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35" windowWidth="19440" windowHeight="9720"/>
  </bookViews>
  <sheets>
    <sheet name="Rådata-K" sheetId="1" r:id="rId1"/>
    <sheet name="Arbeidsark-K" sheetId="3" r:id="rId2"/>
    <sheet name="Vekter" sheetId="4" r:id="rId3"/>
  </sheets>
  <calcPr calcId="125725"/>
</workbook>
</file>

<file path=xl/calcChain.xml><?xml version="1.0" encoding="utf-8"?>
<calcChain xmlns="http://schemas.openxmlformats.org/spreadsheetml/2006/main">
  <c r="Q3" i="1"/>
  <c r="G4" i="3" s="1"/>
  <c r="Q4" i="1"/>
  <c r="G5" i="3" s="1"/>
  <c r="Q5" i="1"/>
  <c r="G6" i="3" s="1"/>
  <c r="Q6" i="1"/>
  <c r="Q7"/>
  <c r="G8" i="3" s="1"/>
  <c r="Q8" i="1"/>
  <c r="G9" i="3" s="1"/>
  <c r="Q9" i="1"/>
  <c r="G10" i="3" s="1"/>
  <c r="Q10" i="1"/>
  <c r="G11" i="3" s="1"/>
  <c r="Q11" i="1"/>
  <c r="G12" i="3" s="1"/>
  <c r="Q12" i="1"/>
  <c r="G13" i="3" s="1"/>
  <c r="Q13" i="1"/>
  <c r="G14" i="3" s="1"/>
  <c r="Q14" i="1"/>
  <c r="G15" i="3" s="1"/>
  <c r="Q15" i="1"/>
  <c r="G16" i="3" s="1"/>
  <c r="Q16" i="1"/>
  <c r="G17" i="3" s="1"/>
  <c r="Q17" i="1"/>
  <c r="G18" i="3" s="1"/>
  <c r="Q18" i="1"/>
  <c r="G19" i="3" s="1"/>
  <c r="Q19" i="1"/>
  <c r="G20" i="3" s="1"/>
  <c r="Q20" i="1"/>
  <c r="G21" i="3" s="1"/>
  <c r="Q21" i="1"/>
  <c r="G22" i="3" s="1"/>
  <c r="Q22" i="1"/>
  <c r="G23" i="3" s="1"/>
  <c r="Q23" i="1"/>
  <c r="G24" i="3" s="1"/>
  <c r="Q24" i="1"/>
  <c r="G25" i="3" s="1"/>
  <c r="Q25" i="1"/>
  <c r="G26" i="3" s="1"/>
  <c r="Q26" i="1"/>
  <c r="G27" i="3" s="1"/>
  <c r="Q27" i="1"/>
  <c r="G28" i="3" s="1"/>
  <c r="Q28" i="1"/>
  <c r="G29" i="3" s="1"/>
  <c r="Q29" i="1"/>
  <c r="G30" i="3" s="1"/>
  <c r="Q30" i="1"/>
  <c r="G31" i="3" s="1"/>
  <c r="Q31" i="1"/>
  <c r="G32" i="3" s="1"/>
  <c r="Q32" i="1"/>
  <c r="G33" i="3" s="1"/>
  <c r="Q33" i="1"/>
  <c r="G34" i="3" s="1"/>
  <c r="Q34" i="1"/>
  <c r="G35" i="3" s="1"/>
  <c r="Q35" i="1"/>
  <c r="G36" i="3" s="1"/>
  <c r="Q36" i="1"/>
  <c r="G37" i="3" s="1"/>
  <c r="Q37" i="1"/>
  <c r="G38" i="3" s="1"/>
  <c r="Q38" i="1"/>
  <c r="Q39"/>
  <c r="G40" i="3" s="1"/>
  <c r="Q40" i="1"/>
  <c r="G41" i="3" s="1"/>
  <c r="Q41" i="1"/>
  <c r="G42" i="3" s="1"/>
  <c r="Q42" i="1"/>
  <c r="Q43"/>
  <c r="G44" i="3" s="1"/>
  <c r="Q44" i="1"/>
  <c r="G45" i="3" s="1"/>
  <c r="Q45" i="1"/>
  <c r="G46" i="3" s="1"/>
  <c r="Q46" i="1"/>
  <c r="G47" i="3" s="1"/>
  <c r="Q47" i="1"/>
  <c r="G48" i="3" s="1"/>
  <c r="Q48" i="1"/>
  <c r="G49" i="3" s="1"/>
  <c r="Q49" i="1"/>
  <c r="G50" i="3" s="1"/>
  <c r="Q50" i="1"/>
  <c r="G51" i="3" s="1"/>
  <c r="Q51" i="1"/>
  <c r="G52" i="3" s="1"/>
  <c r="Q52" i="1"/>
  <c r="G53" i="3" s="1"/>
  <c r="Q53" i="1"/>
  <c r="G54" i="3" s="1"/>
  <c r="Q54" i="1"/>
  <c r="G55" i="3" s="1"/>
  <c r="Q55" i="1"/>
  <c r="G56" i="3" s="1"/>
  <c r="Q56" i="1"/>
  <c r="G57" i="3" s="1"/>
  <c r="Q57" i="1"/>
  <c r="G58" i="3" s="1"/>
  <c r="Q58" i="1"/>
  <c r="G59" i="3" s="1"/>
  <c r="Q59" i="1"/>
  <c r="G60" i="3" s="1"/>
  <c r="Q60" i="1"/>
  <c r="G61" i="3" s="1"/>
  <c r="Q61" i="1"/>
  <c r="G62" i="3" s="1"/>
  <c r="Q62" i="1"/>
  <c r="G63" i="3" s="1"/>
  <c r="Q63" i="1"/>
  <c r="G64" i="3" s="1"/>
  <c r="Q64" i="1"/>
  <c r="G65" i="3" s="1"/>
  <c r="Q65" i="1"/>
  <c r="G66" i="3" s="1"/>
  <c r="Q66" i="1"/>
  <c r="G67" i="3" s="1"/>
  <c r="Q67" i="1"/>
  <c r="G68" i="3" s="1"/>
  <c r="Q68" i="1"/>
  <c r="G69" i="3" s="1"/>
  <c r="Q69" i="1"/>
  <c r="G70" i="3" s="1"/>
  <c r="Q70" i="1"/>
  <c r="G71" i="3" s="1"/>
  <c r="Q71" i="1"/>
  <c r="G72" i="3" s="1"/>
  <c r="Q72" i="1"/>
  <c r="G73" i="3" s="1"/>
  <c r="Q73" i="1"/>
  <c r="G74" i="3" s="1"/>
  <c r="Q74" i="1"/>
  <c r="G75" i="3" s="1"/>
  <c r="Q75" i="1"/>
  <c r="G76" i="3" s="1"/>
  <c r="Q76" i="1"/>
  <c r="G77" i="3" s="1"/>
  <c r="Q77" i="1"/>
  <c r="G78" i="3" s="1"/>
  <c r="Q78" i="1"/>
  <c r="G79" i="3" s="1"/>
  <c r="Q79" i="1"/>
  <c r="G80" i="3" s="1"/>
  <c r="Q80" i="1"/>
  <c r="G81" i="3" s="1"/>
  <c r="Q81" i="1"/>
  <c r="G82" i="3" s="1"/>
  <c r="Q82" i="1"/>
  <c r="Q83"/>
  <c r="G84" i="3" s="1"/>
  <c r="Q84" i="1"/>
  <c r="G85" i="3" s="1"/>
  <c r="Q85" i="1"/>
  <c r="G86" i="3" s="1"/>
  <c r="Q86" i="1"/>
  <c r="G87" i="3" s="1"/>
  <c r="Q87" i="1"/>
  <c r="G88" i="3" s="1"/>
  <c r="Q88" i="1"/>
  <c r="G89" i="3" s="1"/>
  <c r="Q89" i="1"/>
  <c r="G90" i="3" s="1"/>
  <c r="Q90" i="1"/>
  <c r="G91" i="3" s="1"/>
  <c r="Q91" i="1"/>
  <c r="G92" i="3" s="1"/>
  <c r="Q92" i="1"/>
  <c r="G93" i="3" s="1"/>
  <c r="Q93" i="1"/>
  <c r="G94" i="3" s="1"/>
  <c r="Q94" i="1"/>
  <c r="Q95"/>
  <c r="G96" i="3" s="1"/>
  <c r="Q96" i="1"/>
  <c r="G97" i="3" s="1"/>
  <c r="Q97" i="1"/>
  <c r="G98" i="3" s="1"/>
  <c r="Q98" i="1"/>
  <c r="G99" i="3" s="1"/>
  <c r="Q99" i="1"/>
  <c r="G100" i="3" s="1"/>
  <c r="Q100" i="1"/>
  <c r="G101" i="3" s="1"/>
  <c r="Q101" i="1"/>
  <c r="G102" i="3" s="1"/>
  <c r="Q102" i="1"/>
  <c r="G103" i="3" s="1"/>
  <c r="Q103" i="1"/>
  <c r="G104" i="3" s="1"/>
  <c r="Q104" i="1"/>
  <c r="G105" i="3" s="1"/>
  <c r="Q105" i="1"/>
  <c r="G106" i="3" s="1"/>
  <c r="Q106" i="1"/>
  <c r="G107" i="3" s="1"/>
  <c r="Q107" i="1"/>
  <c r="G108" i="3" s="1"/>
  <c r="Q108" i="1"/>
  <c r="G109" i="3" s="1"/>
  <c r="Q109" i="1"/>
  <c r="G110" i="3" s="1"/>
  <c r="Q110" i="1"/>
  <c r="G111" i="3" s="1"/>
  <c r="Q111" i="1"/>
  <c r="G112" i="3" s="1"/>
  <c r="Q112" i="1"/>
  <c r="G113" i="3" s="1"/>
  <c r="Q113" i="1"/>
  <c r="G114" i="3" s="1"/>
  <c r="Q114" i="1"/>
  <c r="G115" i="3" s="1"/>
  <c r="Q115" i="1"/>
  <c r="G116" i="3" s="1"/>
  <c r="Q116" i="1"/>
  <c r="G117" i="3" s="1"/>
  <c r="Q117" i="1"/>
  <c r="G118" i="3" s="1"/>
  <c r="Q118" i="1"/>
  <c r="G119" i="3" s="1"/>
  <c r="Q119" i="1"/>
  <c r="G120" i="3" s="1"/>
  <c r="Q120" i="1"/>
  <c r="G121" i="3" s="1"/>
  <c r="Q121" i="1"/>
  <c r="G122" i="3" s="1"/>
  <c r="Q122" i="1"/>
  <c r="G123" i="3" s="1"/>
  <c r="Q123" i="1"/>
  <c r="G124" i="3" s="1"/>
  <c r="Q124" i="1"/>
  <c r="G125" i="3" s="1"/>
  <c r="Q125" i="1"/>
  <c r="G126" i="3" s="1"/>
  <c r="Q126" i="1"/>
  <c r="Q127"/>
  <c r="G128" i="3" s="1"/>
  <c r="Q128" i="1"/>
  <c r="G129" i="3" s="1"/>
  <c r="Q129" i="1"/>
  <c r="G130" i="3" s="1"/>
  <c r="Q130" i="1"/>
  <c r="G131" i="3" s="1"/>
  <c r="Q131" i="1"/>
  <c r="G132" i="3" s="1"/>
  <c r="Q132" i="1"/>
  <c r="G133" i="3" s="1"/>
  <c r="Q133" i="1"/>
  <c r="G134" i="3" s="1"/>
  <c r="Q134" i="1"/>
  <c r="G135" i="3" s="1"/>
  <c r="Q135" i="1"/>
  <c r="G136" i="3" s="1"/>
  <c r="Q136" i="1"/>
  <c r="G137" i="3" s="1"/>
  <c r="Q137" i="1"/>
  <c r="G138" i="3" s="1"/>
  <c r="Q138" i="1"/>
  <c r="Q139"/>
  <c r="G140" i="3" s="1"/>
  <c r="Q140" i="1"/>
  <c r="G141" i="3" s="1"/>
  <c r="Q141" i="1"/>
  <c r="G142" i="3" s="1"/>
  <c r="Q142" i="1"/>
  <c r="G143" i="3" s="1"/>
  <c r="Q143" i="1"/>
  <c r="G144" i="3" s="1"/>
  <c r="Q144" i="1"/>
  <c r="G145" i="3" s="1"/>
  <c r="Q145" i="1"/>
  <c r="G146" i="3" s="1"/>
  <c r="Q146" i="1"/>
  <c r="G147" i="3" s="1"/>
  <c r="Q147" i="1"/>
  <c r="G148" i="3" s="1"/>
  <c r="Q148" i="1"/>
  <c r="G149" i="3" s="1"/>
  <c r="Q149" i="1"/>
  <c r="G150" i="3" s="1"/>
  <c r="Q150" i="1"/>
  <c r="G151" i="3" s="1"/>
  <c r="Q151" i="1"/>
  <c r="G152" i="3" s="1"/>
  <c r="Q152" i="1"/>
  <c r="G153" i="3" s="1"/>
  <c r="Q153" i="1"/>
  <c r="G154" i="3" s="1"/>
  <c r="Q154" i="1"/>
  <c r="G155" i="3" s="1"/>
  <c r="Q155" i="1"/>
  <c r="G156" i="3" s="1"/>
  <c r="Q156" i="1"/>
  <c r="G157" i="3" s="1"/>
  <c r="Q157" i="1"/>
  <c r="G158" i="3" s="1"/>
  <c r="Q158" i="1"/>
  <c r="G159" i="3" s="1"/>
  <c r="Q159" i="1"/>
  <c r="G160" i="3" s="1"/>
  <c r="Q160" i="1"/>
  <c r="G161" i="3" s="1"/>
  <c r="Q161" i="1"/>
  <c r="G162" i="3" s="1"/>
  <c r="Q162" i="1"/>
  <c r="G163" i="3" s="1"/>
  <c r="Q163" i="1"/>
  <c r="G164" i="3" s="1"/>
  <c r="Q164" i="1"/>
  <c r="G165" i="3" s="1"/>
  <c r="Q165" i="1"/>
  <c r="G166" i="3" s="1"/>
  <c r="Q166" i="1"/>
  <c r="G167" i="3" s="1"/>
  <c r="Q167" i="1"/>
  <c r="G168" i="3" s="1"/>
  <c r="Q168" i="1"/>
  <c r="G169" i="3" s="1"/>
  <c r="Q169" i="1"/>
  <c r="G170" i="3" s="1"/>
  <c r="Q170" i="1"/>
  <c r="Q171"/>
  <c r="G172" i="3" s="1"/>
  <c r="Q172" i="1"/>
  <c r="G173" i="3" s="1"/>
  <c r="Q173" i="1"/>
  <c r="G174" i="3" s="1"/>
  <c r="Q174" i="1"/>
  <c r="Q175"/>
  <c r="G176" i="3" s="1"/>
  <c r="Q176" i="1"/>
  <c r="G177" i="3" s="1"/>
  <c r="Q177" i="1"/>
  <c r="G178" i="3" s="1"/>
  <c r="Q178" i="1"/>
  <c r="G179" i="3" s="1"/>
  <c r="Q179" i="1"/>
  <c r="G180" i="3" s="1"/>
  <c r="Q180" i="1"/>
  <c r="G181" i="3" s="1"/>
  <c r="Q181" i="1"/>
  <c r="G182" i="3" s="1"/>
  <c r="Q182" i="1"/>
  <c r="G183" i="3" s="1"/>
  <c r="Q183" i="1"/>
  <c r="G184" i="3" s="1"/>
  <c r="Q184" i="1"/>
  <c r="G185" i="3" s="1"/>
  <c r="Q185" i="1"/>
  <c r="G186" i="3" s="1"/>
  <c r="Q186" i="1"/>
  <c r="G187" i="3" s="1"/>
  <c r="Q187" i="1"/>
  <c r="G188" i="3" s="1"/>
  <c r="Q188" i="1"/>
  <c r="G189" i="3" s="1"/>
  <c r="Q189" i="1"/>
  <c r="G190" i="3" s="1"/>
  <c r="Q190" i="1"/>
  <c r="G191" i="3" s="1"/>
  <c r="Q191" i="1"/>
  <c r="G192" i="3" s="1"/>
  <c r="Q192" i="1"/>
  <c r="G193" i="3" s="1"/>
  <c r="Q193" i="1"/>
  <c r="G194" i="3" s="1"/>
  <c r="Q194" i="1"/>
  <c r="G195" i="3" s="1"/>
  <c r="Q195" i="1"/>
  <c r="G196" i="3" s="1"/>
  <c r="Q196" i="1"/>
  <c r="G197" i="3" s="1"/>
  <c r="Q197" i="1"/>
  <c r="G198" i="3" s="1"/>
  <c r="Q198" i="1"/>
  <c r="Q199"/>
  <c r="G200" i="3" s="1"/>
  <c r="Q200" i="1"/>
  <c r="G201" i="3" s="1"/>
  <c r="Q201" i="1"/>
  <c r="G202" i="3" s="1"/>
  <c r="Q202" i="1"/>
  <c r="G203" i="3" s="1"/>
  <c r="Q203" i="1"/>
  <c r="G204" i="3" s="1"/>
  <c r="Q204" i="1"/>
  <c r="G205" i="3" s="1"/>
  <c r="Q205" i="1"/>
  <c r="G206" i="3" s="1"/>
  <c r="Q206" i="1"/>
  <c r="G207" i="3" s="1"/>
  <c r="Q207" i="1"/>
  <c r="G208" i="3" s="1"/>
  <c r="Q208" i="1"/>
  <c r="G209" i="3" s="1"/>
  <c r="Q209" i="1"/>
  <c r="G210" i="3" s="1"/>
  <c r="Q210" i="1"/>
  <c r="Q211"/>
  <c r="G212" i="3" s="1"/>
  <c r="Q212" i="1"/>
  <c r="G213" i="3" s="1"/>
  <c r="Q213" i="1"/>
  <c r="G214" i="3" s="1"/>
  <c r="Q214" i="1"/>
  <c r="G215" i="3" s="1"/>
  <c r="Q215" i="1"/>
  <c r="G216" i="3" s="1"/>
  <c r="Q216" i="1"/>
  <c r="G217" i="3" s="1"/>
  <c r="Q217" i="1"/>
  <c r="G218" i="3" s="1"/>
  <c r="Q218" i="1"/>
  <c r="G219" i="3" s="1"/>
  <c r="Q219" i="1"/>
  <c r="G220" i="3" s="1"/>
  <c r="Q220" i="1"/>
  <c r="G221" i="3" s="1"/>
  <c r="Q221" i="1"/>
  <c r="G222" i="3" s="1"/>
  <c r="Q222" i="1"/>
  <c r="G223" i="3" s="1"/>
  <c r="Q223" i="1"/>
  <c r="G224" i="3" s="1"/>
  <c r="Q224" i="1"/>
  <c r="G225" i="3" s="1"/>
  <c r="Q225" i="1"/>
  <c r="G226" i="3" s="1"/>
  <c r="Q226" i="1"/>
  <c r="G227" i="3" s="1"/>
  <c r="Q227" i="1"/>
  <c r="G228" i="3" s="1"/>
  <c r="Q228" i="1"/>
  <c r="G229" i="3" s="1"/>
  <c r="Q229" i="1"/>
  <c r="G230" i="3" s="1"/>
  <c r="Q230" i="1"/>
  <c r="G231" i="3" s="1"/>
  <c r="Q231" i="1"/>
  <c r="G232" i="3" s="1"/>
  <c r="Q232" i="1"/>
  <c r="G233" i="3" s="1"/>
  <c r="Q233" i="1"/>
  <c r="G234" i="3" s="1"/>
  <c r="Q234" i="1"/>
  <c r="G235" i="3" s="1"/>
  <c r="Q235" i="1"/>
  <c r="G236" i="3" s="1"/>
  <c r="Q236" i="1"/>
  <c r="G237" i="3" s="1"/>
  <c r="Q237" i="1"/>
  <c r="G238" i="3" s="1"/>
  <c r="Q238" i="1"/>
  <c r="G239" i="3" s="1"/>
  <c r="Q239" i="1"/>
  <c r="G240" i="3" s="1"/>
  <c r="Q240" i="1"/>
  <c r="G241" i="3" s="1"/>
  <c r="Q241" i="1"/>
  <c r="G242" i="3" s="1"/>
  <c r="Q242" i="1"/>
  <c r="Q243"/>
  <c r="G244" i="3" s="1"/>
  <c r="Q244" i="1"/>
  <c r="G245" i="3" s="1"/>
  <c r="Q245" i="1"/>
  <c r="G246" i="3" s="1"/>
  <c r="Q246" i="1"/>
  <c r="G247" i="3" s="1"/>
  <c r="Q247" i="1"/>
  <c r="G248" i="3" s="1"/>
  <c r="Q248" i="1"/>
  <c r="G249" i="3" s="1"/>
  <c r="Q249" i="1"/>
  <c r="G250" i="3" s="1"/>
  <c r="Q250" i="1"/>
  <c r="G251" i="3" s="1"/>
  <c r="Q251" i="1"/>
  <c r="G252" i="3" s="1"/>
  <c r="Q252" i="1"/>
  <c r="G253" i="3" s="1"/>
  <c r="Q253" i="1"/>
  <c r="G254" i="3" s="1"/>
  <c r="Q254" i="1"/>
  <c r="Q255"/>
  <c r="G256" i="3" s="1"/>
  <c r="Q256" i="1"/>
  <c r="G257" i="3" s="1"/>
  <c r="Q257" i="1"/>
  <c r="G258" i="3" s="1"/>
  <c r="Q258" i="1"/>
  <c r="Q259"/>
  <c r="G260" i="3" s="1"/>
  <c r="Q260" i="1"/>
  <c r="G261" i="3" s="1"/>
  <c r="Q261" i="1"/>
  <c r="G262" i="3" s="1"/>
  <c r="Q262" i="1"/>
  <c r="G263" i="3" s="1"/>
  <c r="Q263" i="1"/>
  <c r="G264" i="3" s="1"/>
  <c r="Q264" i="1"/>
  <c r="G265" i="3" s="1"/>
  <c r="Q265" i="1"/>
  <c r="G266" i="3" s="1"/>
  <c r="Q266" i="1"/>
  <c r="G267" i="3" s="1"/>
  <c r="Q267" i="1"/>
  <c r="G268" i="3" s="1"/>
  <c r="Q268" i="1"/>
  <c r="G269" i="3" s="1"/>
  <c r="Q269" i="1"/>
  <c r="G270" i="3" s="1"/>
  <c r="Q270" i="1"/>
  <c r="G271" i="3" s="1"/>
  <c r="Q271" i="1"/>
  <c r="G272" i="3" s="1"/>
  <c r="Q272" i="1"/>
  <c r="G273" i="3" s="1"/>
  <c r="Q273" i="1"/>
  <c r="G274" i="3" s="1"/>
  <c r="Q274" i="1"/>
  <c r="G275" i="3" s="1"/>
  <c r="Q275" i="1"/>
  <c r="G276" i="3" s="1"/>
  <c r="Q276" i="1"/>
  <c r="G277" i="3" s="1"/>
  <c r="Q277" i="1"/>
  <c r="G278" i="3" s="1"/>
  <c r="Q278" i="1"/>
  <c r="G279" i="3" s="1"/>
  <c r="Q279" i="1"/>
  <c r="G280" i="3" s="1"/>
  <c r="Q280" i="1"/>
  <c r="G281" i="3" s="1"/>
  <c r="Q281" i="1"/>
  <c r="G282" i="3" s="1"/>
  <c r="Q282" i="1"/>
  <c r="G283" i="3" s="1"/>
  <c r="Q283" i="1"/>
  <c r="G284" i="3" s="1"/>
  <c r="Q284" i="1"/>
  <c r="G285" i="3" s="1"/>
  <c r="Q285" i="1"/>
  <c r="G286" i="3" s="1"/>
  <c r="Q286" i="1"/>
  <c r="Q287"/>
  <c r="G288" i="3" s="1"/>
  <c r="Q288" i="1"/>
  <c r="G289" i="3" s="1"/>
  <c r="Q289" i="1"/>
  <c r="G290" i="3" s="1"/>
  <c r="Q290" i="1"/>
  <c r="Q291"/>
  <c r="G292" i="3" s="1"/>
  <c r="Q292" i="1"/>
  <c r="G293" i="3" s="1"/>
  <c r="Q293" i="1"/>
  <c r="G294" i="3" s="1"/>
  <c r="Q294" i="1"/>
  <c r="G295" i="3" s="1"/>
  <c r="Q295" i="1"/>
  <c r="G296" i="3" s="1"/>
  <c r="Q296" i="1"/>
  <c r="G297" i="3" s="1"/>
  <c r="Q297" i="1"/>
  <c r="G298" i="3" s="1"/>
  <c r="Q298" i="1"/>
  <c r="G299" i="3" s="1"/>
  <c r="Q299" i="1"/>
  <c r="G300" i="3" s="1"/>
  <c r="Q300" i="1"/>
  <c r="G301" i="3" s="1"/>
  <c r="Q301" i="1"/>
  <c r="G302" i="3" s="1"/>
  <c r="Q302" i="1"/>
  <c r="Q303"/>
  <c r="G304" i="3" s="1"/>
  <c r="Q304" i="1"/>
  <c r="G305" i="3" s="1"/>
  <c r="Q305" i="1"/>
  <c r="G306" i="3" s="1"/>
  <c r="Q306" i="1"/>
  <c r="G307" i="3" s="1"/>
  <c r="Q307" i="1"/>
  <c r="G308" i="3" s="1"/>
  <c r="Q308" i="1"/>
  <c r="G309" i="3" s="1"/>
  <c r="Q309" i="1"/>
  <c r="G310" i="3" s="1"/>
  <c r="Q310" i="1"/>
  <c r="G311" i="3" s="1"/>
  <c r="Q311" i="1"/>
  <c r="G312" i="3" s="1"/>
  <c r="Q312" i="1"/>
  <c r="G313" i="3" s="1"/>
  <c r="Q313" i="1"/>
  <c r="G314" i="3" s="1"/>
  <c r="Q314" i="1"/>
  <c r="G315" i="3" s="1"/>
  <c r="Q315" i="1"/>
  <c r="G316" i="3" s="1"/>
  <c r="Q316" i="1"/>
  <c r="G317" i="3" s="1"/>
  <c r="Q317" i="1"/>
  <c r="G318" i="3" s="1"/>
  <c r="Q318" i="1"/>
  <c r="G319" i="3" s="1"/>
  <c r="Q319" i="1"/>
  <c r="G320" i="3" s="1"/>
  <c r="Q320" i="1"/>
  <c r="G321" i="3" s="1"/>
  <c r="Q321" i="1"/>
  <c r="G322" i="3" s="1"/>
  <c r="Q322" i="1"/>
  <c r="Q323"/>
  <c r="G324" i="3" s="1"/>
  <c r="Q324" i="1"/>
  <c r="G325" i="3" s="1"/>
  <c r="Q325" i="1"/>
  <c r="G326" i="3" s="1"/>
  <c r="Q326" i="1"/>
  <c r="G327" i="3" s="1"/>
  <c r="Q327" i="1"/>
  <c r="G328" i="3" s="1"/>
  <c r="Q328" i="1"/>
  <c r="G329" i="3" s="1"/>
  <c r="Q329" i="1"/>
  <c r="G330" i="3" s="1"/>
  <c r="Q330" i="1"/>
  <c r="Q331"/>
  <c r="G332" i="3" s="1"/>
  <c r="Q332" i="1"/>
  <c r="G333" i="3" s="1"/>
  <c r="Q333" i="1"/>
  <c r="G334" i="3" s="1"/>
  <c r="Q334" i="1"/>
  <c r="G335" i="3" s="1"/>
  <c r="Q335" i="1"/>
  <c r="G336" i="3" s="1"/>
  <c r="Q336" i="1"/>
  <c r="G337" i="3" s="1"/>
  <c r="Q337" i="1"/>
  <c r="G338" i="3" s="1"/>
  <c r="Q338" i="1"/>
  <c r="G339" i="3" s="1"/>
  <c r="Q339" i="1"/>
  <c r="G340" i="3" s="1"/>
  <c r="Q340" i="1"/>
  <c r="G341" i="3" s="1"/>
  <c r="Q341" i="1"/>
  <c r="G342" i="3" s="1"/>
  <c r="Q342" i="1"/>
  <c r="Q343"/>
  <c r="G344" i="3" s="1"/>
  <c r="Q344" i="1"/>
  <c r="G345" i="3" s="1"/>
  <c r="Q345" i="1"/>
  <c r="G346" i="3" s="1"/>
  <c r="Q346" i="1"/>
  <c r="G347" i="3" s="1"/>
  <c r="Q347" i="1"/>
  <c r="G348" i="3" s="1"/>
  <c r="Q348" i="1"/>
  <c r="G349" i="3" s="1"/>
  <c r="Q349" i="1"/>
  <c r="G350" i="3" s="1"/>
  <c r="Q350" i="1"/>
  <c r="G351" i="3" s="1"/>
  <c r="Q351" i="1"/>
  <c r="G352" i="3" s="1"/>
  <c r="Q352" i="1"/>
  <c r="G353" i="3" s="1"/>
  <c r="Q353" i="1"/>
  <c r="G354" i="3" s="1"/>
  <c r="Q354" i="1"/>
  <c r="G355" i="3" s="1"/>
  <c r="Q355" i="1"/>
  <c r="G356" i="3" s="1"/>
  <c r="Q356" i="1"/>
  <c r="G357" i="3" s="1"/>
  <c r="Q357" i="1"/>
  <c r="G358" i="3" s="1"/>
  <c r="Q358" i="1"/>
  <c r="Q359"/>
  <c r="G360" i="3" s="1"/>
  <c r="Q360" i="1"/>
  <c r="G361" i="3" s="1"/>
  <c r="Q361" i="1"/>
  <c r="G362" i="3" s="1"/>
  <c r="Q362" i="1"/>
  <c r="G363" i="3" s="1"/>
  <c r="Q363" i="1"/>
  <c r="G364" i="3" s="1"/>
  <c r="Q364" i="1"/>
  <c r="G365" i="3" s="1"/>
  <c r="Q365" i="1"/>
  <c r="G366" i="3" s="1"/>
  <c r="Q366" i="1"/>
  <c r="G367" i="3" s="1"/>
  <c r="Q367" i="1"/>
  <c r="G368" i="3" s="1"/>
  <c r="Q368" i="1"/>
  <c r="G369" i="3" s="1"/>
  <c r="Q369" i="1"/>
  <c r="G370" i="3" s="1"/>
  <c r="Q370" i="1"/>
  <c r="G371" i="3" s="1"/>
  <c r="Q371" i="1"/>
  <c r="G372" i="3" s="1"/>
  <c r="Q372" i="1"/>
  <c r="G373" i="3" s="1"/>
  <c r="Q373" i="1"/>
  <c r="G374" i="3" s="1"/>
  <c r="Q374" i="1"/>
  <c r="Q375"/>
  <c r="G376" i="3" s="1"/>
  <c r="Q376" i="1"/>
  <c r="G377" i="3" s="1"/>
  <c r="Q377" i="1"/>
  <c r="G378" i="3" s="1"/>
  <c r="Q378" i="1"/>
  <c r="Q379"/>
  <c r="G380" i="3" s="1"/>
  <c r="Q380" i="1"/>
  <c r="G381" i="3" s="1"/>
  <c r="Q381" i="1"/>
  <c r="G382" i="3" s="1"/>
  <c r="Q382" i="1"/>
  <c r="G383" i="3" s="1"/>
  <c r="Q383" i="1"/>
  <c r="G384" i="3" s="1"/>
  <c r="Q384" i="1"/>
  <c r="G385" i="3" s="1"/>
  <c r="Q385" i="1"/>
  <c r="G386" i="3" s="1"/>
  <c r="Q386" i="1"/>
  <c r="G387" i="3" s="1"/>
  <c r="Q387" i="1"/>
  <c r="G388" i="3" s="1"/>
  <c r="Q388" i="1"/>
  <c r="G389" i="3" s="1"/>
  <c r="Q389" i="1"/>
  <c r="G390" i="3" s="1"/>
  <c r="Q390" i="1"/>
  <c r="G391" i="3" s="1"/>
  <c r="Q391" i="1"/>
  <c r="G392" i="3" s="1"/>
  <c r="Q392" i="1"/>
  <c r="G393" i="3" s="1"/>
  <c r="Q393" i="1"/>
  <c r="G394" i="3" s="1"/>
  <c r="Q394" i="1"/>
  <c r="G395" i="3" s="1"/>
  <c r="Q395" i="1"/>
  <c r="G396" i="3" s="1"/>
  <c r="Q396" i="1"/>
  <c r="G397" i="3" s="1"/>
  <c r="Q397" i="1"/>
  <c r="G398" i="3" s="1"/>
  <c r="Q398" i="1"/>
  <c r="G399" i="3" s="1"/>
  <c r="Q399" i="1"/>
  <c r="G400" i="3" s="1"/>
  <c r="Q400" i="1"/>
  <c r="G401" i="3" s="1"/>
  <c r="Q401" i="1"/>
  <c r="G402" i="3" s="1"/>
  <c r="Q402" i="1"/>
  <c r="G403" i="3" s="1"/>
  <c r="Q403" i="1"/>
  <c r="G404" i="3" s="1"/>
  <c r="Q404" i="1"/>
  <c r="G405" i="3" s="1"/>
  <c r="Q405" i="1"/>
  <c r="G406" i="3" s="1"/>
  <c r="Q406" i="1"/>
  <c r="Q407"/>
  <c r="G408" i="3" s="1"/>
  <c r="Q408" i="1"/>
  <c r="G409" i="3" s="1"/>
  <c r="Q409" i="1"/>
  <c r="G410" i="3" s="1"/>
  <c r="Q410" i="1"/>
  <c r="G411" i="3" s="1"/>
  <c r="Q411" i="1"/>
  <c r="G412" i="3" s="1"/>
  <c r="Q412" i="1"/>
  <c r="G413" i="3" s="1"/>
  <c r="Q413" i="1"/>
  <c r="G414" i="3" s="1"/>
  <c r="Q414" i="1"/>
  <c r="G415" i="3" s="1"/>
  <c r="Q415" i="1"/>
  <c r="G416" i="3" s="1"/>
  <c r="Q416" i="1"/>
  <c r="G417" i="3" s="1"/>
  <c r="Q417" i="1"/>
  <c r="G418" i="3" s="1"/>
  <c r="Q418" i="1"/>
  <c r="Q419"/>
  <c r="G420" i="3" s="1"/>
  <c r="Q420" i="1"/>
  <c r="G421" i="3" s="1"/>
  <c r="Q421" i="1"/>
  <c r="G422" i="3" s="1"/>
  <c r="Q422" i="1"/>
  <c r="Q423"/>
  <c r="G424" i="3" s="1"/>
  <c r="Q424" i="1"/>
  <c r="G425" i="3" s="1"/>
  <c r="Q425" i="1"/>
  <c r="G426" i="3" s="1"/>
  <c r="Q426" i="1"/>
  <c r="G427" i="3" s="1"/>
  <c r="Q427" i="1"/>
  <c r="G428" i="3" s="1"/>
  <c r="Q428" i="1"/>
  <c r="G429" i="3" s="1"/>
  <c r="Q429" i="1"/>
  <c r="G430" i="3" s="1"/>
  <c r="Q430" i="1"/>
  <c r="G431" i="3" s="1"/>
  <c r="P3" i="1"/>
  <c r="F4" i="3" s="1"/>
  <c r="P4" i="1"/>
  <c r="F5" i="3" s="1"/>
  <c r="P5" i="1"/>
  <c r="F6" i="3" s="1"/>
  <c r="P6" i="1"/>
  <c r="F7" i="3" s="1"/>
  <c r="P7" i="1"/>
  <c r="F8" i="3" s="1"/>
  <c r="P8" i="1"/>
  <c r="F9" i="3" s="1"/>
  <c r="P9" i="1"/>
  <c r="F10" i="3" s="1"/>
  <c r="P10" i="1"/>
  <c r="F11" i="3" s="1"/>
  <c r="P11" i="1"/>
  <c r="F12" i="3" s="1"/>
  <c r="P12" i="1"/>
  <c r="F13" i="3" s="1"/>
  <c r="P13" i="1"/>
  <c r="F14" i="3" s="1"/>
  <c r="P14" i="1"/>
  <c r="F15" i="3" s="1"/>
  <c r="P15" i="1"/>
  <c r="F16" i="3" s="1"/>
  <c r="P16" i="1"/>
  <c r="F17" i="3" s="1"/>
  <c r="P17" i="1"/>
  <c r="F18" i="3" s="1"/>
  <c r="P18" i="1"/>
  <c r="F19" i="3" s="1"/>
  <c r="P19" i="1"/>
  <c r="F20" i="3" s="1"/>
  <c r="P20" i="1"/>
  <c r="F21" i="3" s="1"/>
  <c r="P21" i="1"/>
  <c r="F22" i="3" s="1"/>
  <c r="P22" i="1"/>
  <c r="F23" i="3" s="1"/>
  <c r="P23" i="1"/>
  <c r="F24" i="3" s="1"/>
  <c r="P24" i="1"/>
  <c r="F25" i="3" s="1"/>
  <c r="P25" i="1"/>
  <c r="F26" i="3" s="1"/>
  <c r="P26" i="1"/>
  <c r="F27" i="3" s="1"/>
  <c r="P27" i="1"/>
  <c r="F28" i="3" s="1"/>
  <c r="P28" i="1"/>
  <c r="F29" i="3" s="1"/>
  <c r="P29" i="1"/>
  <c r="F30" i="3" s="1"/>
  <c r="P30" i="1"/>
  <c r="P31"/>
  <c r="F32" i="3" s="1"/>
  <c r="P32" i="1"/>
  <c r="F33" i="3" s="1"/>
  <c r="P33" i="1"/>
  <c r="F34" i="3" s="1"/>
  <c r="P34" i="1"/>
  <c r="F35" i="3" s="1"/>
  <c r="P35" i="1"/>
  <c r="F36" i="3" s="1"/>
  <c r="P36" i="1"/>
  <c r="F37" i="3" s="1"/>
  <c r="P37" i="1"/>
  <c r="F38" i="3" s="1"/>
  <c r="P38" i="1"/>
  <c r="F39" i="3" s="1"/>
  <c r="P39" i="1"/>
  <c r="F40" i="3" s="1"/>
  <c r="P40" i="1"/>
  <c r="F41" i="3" s="1"/>
  <c r="P41" i="1"/>
  <c r="F42" i="3" s="1"/>
  <c r="P42" i="1"/>
  <c r="F43" i="3" s="1"/>
  <c r="P43" i="1"/>
  <c r="F44" i="3" s="1"/>
  <c r="P44" i="1"/>
  <c r="F45" i="3" s="1"/>
  <c r="P45" i="1"/>
  <c r="F46" i="3" s="1"/>
  <c r="P46" i="1"/>
  <c r="F47" i="3" s="1"/>
  <c r="P47" i="1"/>
  <c r="F48" i="3" s="1"/>
  <c r="P48" i="1"/>
  <c r="F49" i="3" s="1"/>
  <c r="P49" i="1"/>
  <c r="F50" i="3" s="1"/>
  <c r="P50" i="1"/>
  <c r="F51" i="3" s="1"/>
  <c r="P51" i="1"/>
  <c r="F52" i="3" s="1"/>
  <c r="P52" i="1"/>
  <c r="F53" i="3" s="1"/>
  <c r="P53" i="1"/>
  <c r="F54" i="3" s="1"/>
  <c r="P54" i="1"/>
  <c r="F55" i="3" s="1"/>
  <c r="P55" i="1"/>
  <c r="F56" i="3" s="1"/>
  <c r="P56" i="1"/>
  <c r="F57" i="3" s="1"/>
  <c r="P57" i="1"/>
  <c r="F58" i="3" s="1"/>
  <c r="P58" i="1"/>
  <c r="F59" i="3" s="1"/>
  <c r="P59" i="1"/>
  <c r="F60" i="3" s="1"/>
  <c r="P60" i="1"/>
  <c r="F61" i="3" s="1"/>
  <c r="P61" i="1"/>
  <c r="F62" i="3" s="1"/>
  <c r="P62" i="1"/>
  <c r="F63" i="3" s="1"/>
  <c r="P63" i="1"/>
  <c r="F64" i="3" s="1"/>
  <c r="P64" i="1"/>
  <c r="F65" i="3" s="1"/>
  <c r="P65" i="1"/>
  <c r="F66" i="3" s="1"/>
  <c r="P66" i="1"/>
  <c r="F67" i="3" s="1"/>
  <c r="P67" i="1"/>
  <c r="F68" i="3" s="1"/>
  <c r="P68" i="1"/>
  <c r="F69" i="3" s="1"/>
  <c r="P69" i="1"/>
  <c r="F70" i="3" s="1"/>
  <c r="P70" i="1"/>
  <c r="F71" i="3" s="1"/>
  <c r="P71" i="1"/>
  <c r="F72" i="3" s="1"/>
  <c r="P72" i="1"/>
  <c r="F73" i="3" s="1"/>
  <c r="P73" i="1"/>
  <c r="F74" i="3" s="1"/>
  <c r="P74" i="1"/>
  <c r="F75" i="3" s="1"/>
  <c r="P75" i="1"/>
  <c r="F76" i="3" s="1"/>
  <c r="P76" i="1"/>
  <c r="F77" i="3" s="1"/>
  <c r="P77" i="1"/>
  <c r="F78" i="3" s="1"/>
  <c r="P78" i="1"/>
  <c r="F79" i="3" s="1"/>
  <c r="P79" i="1"/>
  <c r="F80" i="3" s="1"/>
  <c r="P80" i="1"/>
  <c r="F81" i="3" s="1"/>
  <c r="P81" i="1"/>
  <c r="F82" i="3" s="1"/>
  <c r="P82" i="1"/>
  <c r="F83" i="3" s="1"/>
  <c r="P83" i="1"/>
  <c r="F84" i="3" s="1"/>
  <c r="P84" i="1"/>
  <c r="F85" i="3" s="1"/>
  <c r="P85" i="1"/>
  <c r="F86" i="3" s="1"/>
  <c r="P86" i="1"/>
  <c r="F87" i="3" s="1"/>
  <c r="P87" i="1"/>
  <c r="F88" i="3" s="1"/>
  <c r="P88" i="1"/>
  <c r="F89" i="3" s="1"/>
  <c r="P89" i="1"/>
  <c r="F90" i="3" s="1"/>
  <c r="P90" i="1"/>
  <c r="F91" i="3" s="1"/>
  <c r="P91" i="1"/>
  <c r="F92" i="3" s="1"/>
  <c r="P92" i="1"/>
  <c r="F93" i="3" s="1"/>
  <c r="P93" i="1"/>
  <c r="F94" i="3" s="1"/>
  <c r="P94" i="1"/>
  <c r="F95" i="3" s="1"/>
  <c r="P95" i="1"/>
  <c r="F96" i="3" s="1"/>
  <c r="P96" i="1"/>
  <c r="F97" i="3" s="1"/>
  <c r="P97" i="1"/>
  <c r="F98" i="3" s="1"/>
  <c r="P98" i="1"/>
  <c r="F99" i="3" s="1"/>
  <c r="P99" i="1"/>
  <c r="F100" i="3" s="1"/>
  <c r="P100" i="1"/>
  <c r="F101" i="3" s="1"/>
  <c r="P101" i="1"/>
  <c r="F102" i="3" s="1"/>
  <c r="P102" i="1"/>
  <c r="F103" i="3" s="1"/>
  <c r="P103" i="1"/>
  <c r="F104" i="3" s="1"/>
  <c r="P104" i="1"/>
  <c r="F105" i="3" s="1"/>
  <c r="P105" i="1"/>
  <c r="F106" i="3" s="1"/>
  <c r="P106" i="1"/>
  <c r="F107" i="3" s="1"/>
  <c r="P107" i="1"/>
  <c r="F108" i="3" s="1"/>
  <c r="P108" i="1"/>
  <c r="F109" i="3" s="1"/>
  <c r="P109" i="1"/>
  <c r="P110"/>
  <c r="F111" i="3" s="1"/>
  <c r="P111" i="1"/>
  <c r="F112" i="3" s="1"/>
  <c r="P112" i="1"/>
  <c r="F113" i="3" s="1"/>
  <c r="P113" i="1"/>
  <c r="F114" i="3" s="1"/>
  <c r="P114" i="1"/>
  <c r="F115" i="3" s="1"/>
  <c r="P115" i="1"/>
  <c r="F116" i="3" s="1"/>
  <c r="P116" i="1"/>
  <c r="F117" i="3" s="1"/>
  <c r="P117" i="1"/>
  <c r="F118" i="3" s="1"/>
  <c r="P118" i="1"/>
  <c r="F119" i="3" s="1"/>
  <c r="P119" i="1"/>
  <c r="F120" i="3" s="1"/>
  <c r="P120" i="1"/>
  <c r="F121" i="3" s="1"/>
  <c r="P121" i="1"/>
  <c r="F122" i="3" s="1"/>
  <c r="P122" i="1"/>
  <c r="F123" i="3" s="1"/>
  <c r="P123" i="1"/>
  <c r="F124" i="3" s="1"/>
  <c r="P124" i="1"/>
  <c r="F125" i="3" s="1"/>
  <c r="P125" i="1"/>
  <c r="F126" i="3" s="1"/>
  <c r="P126" i="1"/>
  <c r="F127" i="3" s="1"/>
  <c r="P127" i="1"/>
  <c r="F128" i="3" s="1"/>
  <c r="P128" i="1"/>
  <c r="F129" i="3" s="1"/>
  <c r="P129" i="1"/>
  <c r="F130" i="3" s="1"/>
  <c r="P130" i="1"/>
  <c r="F131" i="3" s="1"/>
  <c r="P131" i="1"/>
  <c r="F132" i="3" s="1"/>
  <c r="P132" i="1"/>
  <c r="F133" i="3" s="1"/>
  <c r="P133" i="1"/>
  <c r="F134" i="3" s="1"/>
  <c r="P134" i="1"/>
  <c r="F135" i="3" s="1"/>
  <c r="P135" i="1"/>
  <c r="F136" i="3" s="1"/>
  <c r="P136" i="1"/>
  <c r="F137" i="3" s="1"/>
  <c r="P137" i="1"/>
  <c r="F138" i="3" s="1"/>
  <c r="P138" i="1"/>
  <c r="F139" i="3" s="1"/>
  <c r="P139" i="1"/>
  <c r="F140" i="3" s="1"/>
  <c r="P140" i="1"/>
  <c r="F141" i="3" s="1"/>
  <c r="P141" i="1"/>
  <c r="F142" i="3" s="1"/>
  <c r="P142" i="1"/>
  <c r="F143" i="3" s="1"/>
  <c r="P143" i="1"/>
  <c r="F144" i="3" s="1"/>
  <c r="P144" i="1"/>
  <c r="F145" i="3" s="1"/>
  <c r="P145" i="1"/>
  <c r="F146" i="3" s="1"/>
  <c r="P146" i="1"/>
  <c r="F147" i="3" s="1"/>
  <c r="P147" i="1"/>
  <c r="F148" i="3" s="1"/>
  <c r="P148" i="1"/>
  <c r="F149" i="3" s="1"/>
  <c r="P149" i="1"/>
  <c r="F150" i="3" s="1"/>
  <c r="P150" i="1"/>
  <c r="F151" i="3" s="1"/>
  <c r="P151" i="1"/>
  <c r="F152" i="3" s="1"/>
  <c r="P152" i="1"/>
  <c r="F153" i="3" s="1"/>
  <c r="P153" i="1"/>
  <c r="F154" i="3" s="1"/>
  <c r="P154" i="1"/>
  <c r="F155" i="3" s="1"/>
  <c r="P155" i="1"/>
  <c r="F156" i="3" s="1"/>
  <c r="P156" i="1"/>
  <c r="F157" i="3" s="1"/>
  <c r="P157" i="1"/>
  <c r="F158" i="3" s="1"/>
  <c r="P158" i="1"/>
  <c r="P159"/>
  <c r="F160" i="3" s="1"/>
  <c r="P160" i="1"/>
  <c r="F161" i="3" s="1"/>
  <c r="P161" i="1"/>
  <c r="F162" i="3" s="1"/>
  <c r="P162" i="1"/>
  <c r="F163" i="3" s="1"/>
  <c r="P163" i="1"/>
  <c r="F164" i="3" s="1"/>
  <c r="P164" i="1"/>
  <c r="F165" i="3" s="1"/>
  <c r="P165" i="1"/>
  <c r="F166" i="3" s="1"/>
  <c r="P166" i="1"/>
  <c r="F167" i="3" s="1"/>
  <c r="P167" i="1"/>
  <c r="F168" i="3" s="1"/>
  <c r="P168" i="1"/>
  <c r="F169" i="3" s="1"/>
  <c r="P169" i="1"/>
  <c r="F170" i="3" s="1"/>
  <c r="P170" i="1"/>
  <c r="F171" i="3" s="1"/>
  <c r="P171" i="1"/>
  <c r="F172" i="3" s="1"/>
  <c r="P172" i="1"/>
  <c r="F173" i="3" s="1"/>
  <c r="P173" i="1"/>
  <c r="F174" i="3" s="1"/>
  <c r="P174" i="1"/>
  <c r="F175" i="3" s="1"/>
  <c r="P175" i="1"/>
  <c r="F176" i="3" s="1"/>
  <c r="P176" i="1"/>
  <c r="F177" i="3" s="1"/>
  <c r="P177" i="1"/>
  <c r="F178" i="3" s="1"/>
  <c r="P178" i="1"/>
  <c r="F179" i="3" s="1"/>
  <c r="P179" i="1"/>
  <c r="F180" i="3" s="1"/>
  <c r="P180" i="1"/>
  <c r="F181" i="3" s="1"/>
  <c r="P181" i="1"/>
  <c r="F182" i="3" s="1"/>
  <c r="P182" i="1"/>
  <c r="F183" i="3" s="1"/>
  <c r="P183" i="1"/>
  <c r="F184" i="3" s="1"/>
  <c r="P184" i="1"/>
  <c r="F185" i="3" s="1"/>
  <c r="P185" i="1"/>
  <c r="F186" i="3" s="1"/>
  <c r="P186" i="1"/>
  <c r="F187" i="3" s="1"/>
  <c r="P187" i="1"/>
  <c r="F188" i="3" s="1"/>
  <c r="P188" i="1"/>
  <c r="F189" i="3" s="1"/>
  <c r="P189" i="1"/>
  <c r="F190" i="3" s="1"/>
  <c r="P190" i="1"/>
  <c r="F191" i="3" s="1"/>
  <c r="P191" i="1"/>
  <c r="F192" i="3" s="1"/>
  <c r="P192" i="1"/>
  <c r="F193" i="3" s="1"/>
  <c r="P193" i="1"/>
  <c r="F194" i="3" s="1"/>
  <c r="P194" i="1"/>
  <c r="F195" i="3" s="1"/>
  <c r="P195" i="1"/>
  <c r="F196" i="3" s="1"/>
  <c r="P196" i="1"/>
  <c r="F197" i="3" s="1"/>
  <c r="P197" i="1"/>
  <c r="F198" i="3" s="1"/>
  <c r="P198" i="1"/>
  <c r="F199" i="3" s="1"/>
  <c r="P199" i="1"/>
  <c r="F200" i="3" s="1"/>
  <c r="P200" i="1"/>
  <c r="F201" i="3" s="1"/>
  <c r="P201" i="1"/>
  <c r="F202" i="3" s="1"/>
  <c r="P202" i="1"/>
  <c r="F203" i="3" s="1"/>
  <c r="P203" i="1"/>
  <c r="F204" i="3" s="1"/>
  <c r="P204" i="1"/>
  <c r="F205" i="3" s="1"/>
  <c r="P205" i="1"/>
  <c r="F206" i="3" s="1"/>
  <c r="P206" i="1"/>
  <c r="F207" i="3" s="1"/>
  <c r="P207" i="1"/>
  <c r="F208" i="3" s="1"/>
  <c r="P208" i="1"/>
  <c r="F209" i="3" s="1"/>
  <c r="P209" i="1"/>
  <c r="F210" i="3" s="1"/>
  <c r="P210" i="1"/>
  <c r="F211" i="3" s="1"/>
  <c r="P211" i="1"/>
  <c r="F212" i="3" s="1"/>
  <c r="P212" i="1"/>
  <c r="F213" i="3" s="1"/>
  <c r="P213" i="1"/>
  <c r="F214" i="3" s="1"/>
  <c r="P214" i="1"/>
  <c r="F215" i="3" s="1"/>
  <c r="P215" i="1"/>
  <c r="F216" i="3" s="1"/>
  <c r="P216" i="1"/>
  <c r="F217" i="3" s="1"/>
  <c r="P217" i="1"/>
  <c r="F218" i="3" s="1"/>
  <c r="P218" i="1"/>
  <c r="F219" i="3" s="1"/>
  <c r="P219" i="1"/>
  <c r="F220" i="3" s="1"/>
  <c r="P220" i="1"/>
  <c r="F221" i="3" s="1"/>
  <c r="P221" i="1"/>
  <c r="F222" i="3" s="1"/>
  <c r="P222" i="1"/>
  <c r="F223" i="3" s="1"/>
  <c r="P223" i="1"/>
  <c r="F224" i="3" s="1"/>
  <c r="P224" i="1"/>
  <c r="F225" i="3" s="1"/>
  <c r="P225" i="1"/>
  <c r="F226" i="3" s="1"/>
  <c r="P226" i="1"/>
  <c r="F227" i="3" s="1"/>
  <c r="P227" i="1"/>
  <c r="F228" i="3" s="1"/>
  <c r="P228" i="1"/>
  <c r="F229" i="3" s="1"/>
  <c r="P229" i="1"/>
  <c r="F230" i="3" s="1"/>
  <c r="P230" i="1"/>
  <c r="F231" i="3" s="1"/>
  <c r="P231" i="1"/>
  <c r="F232" i="3" s="1"/>
  <c r="P232" i="1"/>
  <c r="F233" i="3" s="1"/>
  <c r="P233" i="1"/>
  <c r="F234" i="3" s="1"/>
  <c r="P234" i="1"/>
  <c r="F235" i="3" s="1"/>
  <c r="P235" i="1"/>
  <c r="F236" i="3" s="1"/>
  <c r="P236" i="1"/>
  <c r="F237" i="3" s="1"/>
  <c r="P237" i="1"/>
  <c r="F238" i="3" s="1"/>
  <c r="P238" i="1"/>
  <c r="F239" i="3" s="1"/>
  <c r="P239" i="1"/>
  <c r="F240" i="3" s="1"/>
  <c r="P240" i="1"/>
  <c r="F241" i="3" s="1"/>
  <c r="P241" i="1"/>
  <c r="F242" i="3" s="1"/>
  <c r="P242" i="1"/>
  <c r="F243" i="3" s="1"/>
  <c r="P243" i="1"/>
  <c r="F244" i="3" s="1"/>
  <c r="P244" i="1"/>
  <c r="F245" i="3" s="1"/>
  <c r="P245" i="1"/>
  <c r="F246" i="3" s="1"/>
  <c r="P246" i="1"/>
  <c r="F247" i="3" s="1"/>
  <c r="P247" i="1"/>
  <c r="F248" i="3" s="1"/>
  <c r="P248" i="1"/>
  <c r="F249" i="3" s="1"/>
  <c r="P249" i="1"/>
  <c r="F250" i="3" s="1"/>
  <c r="P250" i="1"/>
  <c r="P251"/>
  <c r="F252" i="3" s="1"/>
  <c r="P252" i="1"/>
  <c r="F253" i="3" s="1"/>
  <c r="P253" i="1"/>
  <c r="F254" i="3" s="1"/>
  <c r="P254" i="1"/>
  <c r="F255" i="3" s="1"/>
  <c r="P255" i="1"/>
  <c r="F256" i="3" s="1"/>
  <c r="P256" i="1"/>
  <c r="F257" i="3" s="1"/>
  <c r="P257" i="1"/>
  <c r="F258" i="3" s="1"/>
  <c r="P258" i="1"/>
  <c r="F259" i="3" s="1"/>
  <c r="P259" i="1"/>
  <c r="F260" i="3" s="1"/>
  <c r="P260" i="1"/>
  <c r="F261" i="3" s="1"/>
  <c r="P261" i="1"/>
  <c r="F262" i="3" s="1"/>
  <c r="P262" i="1"/>
  <c r="F263" i="3" s="1"/>
  <c r="P263" i="1"/>
  <c r="F264" i="3" s="1"/>
  <c r="P264" i="1"/>
  <c r="F265" i="3" s="1"/>
  <c r="P265" i="1"/>
  <c r="F266" i="3" s="1"/>
  <c r="P266" i="1"/>
  <c r="F267" i="3" s="1"/>
  <c r="P267" i="1"/>
  <c r="F268" i="3" s="1"/>
  <c r="P268" i="1"/>
  <c r="F269" i="3" s="1"/>
  <c r="P269" i="1"/>
  <c r="F270" i="3" s="1"/>
  <c r="P270" i="1"/>
  <c r="F271" i="3" s="1"/>
  <c r="P271" i="1"/>
  <c r="F272" i="3" s="1"/>
  <c r="P272" i="1"/>
  <c r="F273" i="3" s="1"/>
  <c r="P273" i="1"/>
  <c r="F274" i="3" s="1"/>
  <c r="P274" i="1"/>
  <c r="F275" i="3" s="1"/>
  <c r="P275" i="1"/>
  <c r="F276" i="3" s="1"/>
  <c r="P276" i="1"/>
  <c r="F277" i="3" s="1"/>
  <c r="P277" i="1"/>
  <c r="F278" i="3" s="1"/>
  <c r="P278" i="1"/>
  <c r="F279" i="3" s="1"/>
  <c r="P279" i="1"/>
  <c r="F280" i="3" s="1"/>
  <c r="P280" i="1"/>
  <c r="F281" i="3" s="1"/>
  <c r="P281" i="1"/>
  <c r="F282" i="3" s="1"/>
  <c r="P282" i="1"/>
  <c r="F283" i="3" s="1"/>
  <c r="P283" i="1"/>
  <c r="F284" i="3" s="1"/>
  <c r="P284" i="1"/>
  <c r="F285" i="3" s="1"/>
  <c r="P285" i="1"/>
  <c r="F286" i="3" s="1"/>
  <c r="P286" i="1"/>
  <c r="F287" i="3" s="1"/>
  <c r="P287" i="1"/>
  <c r="F288" i="3" s="1"/>
  <c r="P288" i="1"/>
  <c r="F289" i="3" s="1"/>
  <c r="P289" i="1"/>
  <c r="F290" i="3" s="1"/>
  <c r="P290" i="1"/>
  <c r="F291" i="3" s="1"/>
  <c r="P291" i="1"/>
  <c r="F292" i="3" s="1"/>
  <c r="P292" i="1"/>
  <c r="F293" i="3" s="1"/>
  <c r="P293" i="1"/>
  <c r="F294" i="3" s="1"/>
  <c r="P294" i="1"/>
  <c r="F295" i="3" s="1"/>
  <c r="P295" i="1"/>
  <c r="F296" i="3" s="1"/>
  <c r="P296" i="1"/>
  <c r="F297" i="3" s="1"/>
  <c r="P297" i="1"/>
  <c r="F298" i="3" s="1"/>
  <c r="P298" i="1"/>
  <c r="F299" i="3" s="1"/>
  <c r="P299" i="1"/>
  <c r="F300" i="3" s="1"/>
  <c r="P300" i="1"/>
  <c r="F301" i="3" s="1"/>
  <c r="P301" i="1"/>
  <c r="F302" i="3" s="1"/>
  <c r="P302" i="1"/>
  <c r="F303" i="3" s="1"/>
  <c r="P303" i="1"/>
  <c r="F304" i="3" s="1"/>
  <c r="P304" i="1"/>
  <c r="F305" i="3" s="1"/>
  <c r="P305" i="1"/>
  <c r="F306" i="3" s="1"/>
  <c r="P306" i="1"/>
  <c r="F307" i="3" s="1"/>
  <c r="P307" i="1"/>
  <c r="F308" i="3" s="1"/>
  <c r="P308" i="1"/>
  <c r="F309" i="3" s="1"/>
  <c r="P309" i="1"/>
  <c r="F310" i="3" s="1"/>
  <c r="P310" i="1"/>
  <c r="F311" i="3" s="1"/>
  <c r="P311" i="1"/>
  <c r="F312" i="3" s="1"/>
  <c r="P312" i="1"/>
  <c r="F313" i="3" s="1"/>
  <c r="P313" i="1"/>
  <c r="F314" i="3" s="1"/>
  <c r="P314" i="1"/>
  <c r="F315" i="3" s="1"/>
  <c r="P315" i="1"/>
  <c r="F316" i="3" s="1"/>
  <c r="P316" i="1"/>
  <c r="F317" i="3" s="1"/>
  <c r="P317" i="1"/>
  <c r="F318" i="3" s="1"/>
  <c r="P318" i="1"/>
  <c r="F319" i="3" s="1"/>
  <c r="P319" i="1"/>
  <c r="F320" i="3" s="1"/>
  <c r="P320" i="1"/>
  <c r="F321" i="3" s="1"/>
  <c r="P321" i="1"/>
  <c r="F322" i="3" s="1"/>
  <c r="P322" i="1"/>
  <c r="F323" i="3" s="1"/>
  <c r="P323" i="1"/>
  <c r="F324" i="3" s="1"/>
  <c r="P324" i="1"/>
  <c r="F325" i="3" s="1"/>
  <c r="P325" i="1"/>
  <c r="F326" i="3" s="1"/>
  <c r="P326" i="1"/>
  <c r="F327" i="3" s="1"/>
  <c r="P327" i="1"/>
  <c r="F328" i="3" s="1"/>
  <c r="P328" i="1"/>
  <c r="F329" i="3" s="1"/>
  <c r="P329" i="1"/>
  <c r="F330" i="3" s="1"/>
  <c r="P330" i="1"/>
  <c r="F331" i="3" s="1"/>
  <c r="P331" i="1"/>
  <c r="F332" i="3" s="1"/>
  <c r="P332" i="1"/>
  <c r="F333" i="3" s="1"/>
  <c r="P333" i="1"/>
  <c r="F334" i="3" s="1"/>
  <c r="P334" i="1"/>
  <c r="F335" i="3" s="1"/>
  <c r="P335" i="1"/>
  <c r="F336" i="3" s="1"/>
  <c r="P336" i="1"/>
  <c r="F337" i="3" s="1"/>
  <c r="P337" i="1"/>
  <c r="F338" i="3" s="1"/>
  <c r="P338" i="1"/>
  <c r="F339" i="3" s="1"/>
  <c r="P339" i="1"/>
  <c r="F340" i="3" s="1"/>
  <c r="P340" i="1"/>
  <c r="F341" i="3" s="1"/>
  <c r="P341" i="1"/>
  <c r="F342" i="3" s="1"/>
  <c r="P342" i="1"/>
  <c r="F343" i="3" s="1"/>
  <c r="P343" i="1"/>
  <c r="F344" i="3" s="1"/>
  <c r="P344" i="1"/>
  <c r="F345" i="3" s="1"/>
  <c r="P345" i="1"/>
  <c r="F346" i="3" s="1"/>
  <c r="P346" i="1"/>
  <c r="F347" i="3" s="1"/>
  <c r="P347" i="1"/>
  <c r="F348" i="3" s="1"/>
  <c r="P348" i="1"/>
  <c r="F349" i="3" s="1"/>
  <c r="P349" i="1"/>
  <c r="F350" i="3" s="1"/>
  <c r="P350" i="1"/>
  <c r="F351" i="3" s="1"/>
  <c r="P351" i="1"/>
  <c r="F352" i="3" s="1"/>
  <c r="P352" i="1"/>
  <c r="F353" i="3" s="1"/>
  <c r="P353" i="1"/>
  <c r="F354" i="3" s="1"/>
  <c r="P354" i="1"/>
  <c r="F355" i="3" s="1"/>
  <c r="P355" i="1"/>
  <c r="F356" i="3" s="1"/>
  <c r="P356" i="1"/>
  <c r="F357" i="3" s="1"/>
  <c r="P357" i="1"/>
  <c r="F358" i="3" s="1"/>
  <c r="P358" i="1"/>
  <c r="F359" i="3" s="1"/>
  <c r="P359" i="1"/>
  <c r="F360" i="3" s="1"/>
  <c r="P360" i="1"/>
  <c r="F361" i="3" s="1"/>
  <c r="P361" i="1"/>
  <c r="F362" i="3" s="1"/>
  <c r="P362" i="1"/>
  <c r="F363" i="3" s="1"/>
  <c r="P363" i="1"/>
  <c r="F364" i="3" s="1"/>
  <c r="P364" i="1"/>
  <c r="F365" i="3" s="1"/>
  <c r="P365" i="1"/>
  <c r="F366" i="3" s="1"/>
  <c r="P366" i="1"/>
  <c r="F367" i="3" s="1"/>
  <c r="P367" i="1"/>
  <c r="F368" i="3" s="1"/>
  <c r="P368" i="1"/>
  <c r="F369" i="3" s="1"/>
  <c r="P369" i="1"/>
  <c r="F370" i="3" s="1"/>
  <c r="P370" i="1"/>
  <c r="P371"/>
  <c r="F372" i="3" s="1"/>
  <c r="P372" i="1"/>
  <c r="F373" i="3" s="1"/>
  <c r="P373" i="1"/>
  <c r="F374" i="3" s="1"/>
  <c r="P374" i="1"/>
  <c r="F375" i="3" s="1"/>
  <c r="P375" i="1"/>
  <c r="F376" i="3" s="1"/>
  <c r="P376" i="1"/>
  <c r="F377" i="3" s="1"/>
  <c r="P377" i="1"/>
  <c r="F378" i="3" s="1"/>
  <c r="P378" i="1"/>
  <c r="F379" i="3" s="1"/>
  <c r="P379" i="1"/>
  <c r="F380" i="3" s="1"/>
  <c r="P380" i="1"/>
  <c r="F381" i="3" s="1"/>
  <c r="P381" i="1"/>
  <c r="F382" i="3" s="1"/>
  <c r="P382" i="1"/>
  <c r="F383" i="3" s="1"/>
  <c r="P383" i="1"/>
  <c r="F384" i="3" s="1"/>
  <c r="P384" i="1"/>
  <c r="F385" i="3" s="1"/>
  <c r="P385" i="1"/>
  <c r="F386" i="3" s="1"/>
  <c r="P386" i="1"/>
  <c r="F387" i="3" s="1"/>
  <c r="P387" i="1"/>
  <c r="F388" i="3" s="1"/>
  <c r="P388" i="1"/>
  <c r="F389" i="3" s="1"/>
  <c r="P389" i="1"/>
  <c r="F390" i="3" s="1"/>
  <c r="P390" i="1"/>
  <c r="F391" i="3" s="1"/>
  <c r="P391" i="1"/>
  <c r="F392" i="3" s="1"/>
  <c r="P392" i="1"/>
  <c r="F393" i="3" s="1"/>
  <c r="P393" i="1"/>
  <c r="F394" i="3" s="1"/>
  <c r="P394" i="1"/>
  <c r="F395" i="3" s="1"/>
  <c r="P395" i="1"/>
  <c r="F396" i="3" s="1"/>
  <c r="P396" i="1"/>
  <c r="F397" i="3" s="1"/>
  <c r="P397" i="1"/>
  <c r="F398" i="3" s="1"/>
  <c r="P398" i="1"/>
  <c r="F399" i="3" s="1"/>
  <c r="P399" i="1"/>
  <c r="F400" i="3" s="1"/>
  <c r="P400" i="1"/>
  <c r="F401" i="3" s="1"/>
  <c r="P401" i="1"/>
  <c r="F402" i="3" s="1"/>
  <c r="P402" i="1"/>
  <c r="F403" i="3" s="1"/>
  <c r="P403" i="1"/>
  <c r="F404" i="3" s="1"/>
  <c r="P404" i="1"/>
  <c r="F405" i="3" s="1"/>
  <c r="P405" i="1"/>
  <c r="F406" i="3" s="1"/>
  <c r="P406" i="1"/>
  <c r="F407" i="3" s="1"/>
  <c r="P407" i="1"/>
  <c r="F408" i="3" s="1"/>
  <c r="P408" i="1"/>
  <c r="F409" i="3" s="1"/>
  <c r="P409" i="1"/>
  <c r="F410" i="3" s="1"/>
  <c r="P410" i="1"/>
  <c r="F411" i="3" s="1"/>
  <c r="P411" i="1"/>
  <c r="F412" i="3" s="1"/>
  <c r="P412" i="1"/>
  <c r="F413" i="3" s="1"/>
  <c r="P413" i="1"/>
  <c r="F414" i="3" s="1"/>
  <c r="P414" i="1"/>
  <c r="F415" i="3" s="1"/>
  <c r="P415" i="1"/>
  <c r="F416" i="3" s="1"/>
  <c r="P416" i="1"/>
  <c r="F417" i="3" s="1"/>
  <c r="P417" i="1"/>
  <c r="F418" i="3" s="1"/>
  <c r="P418" i="1"/>
  <c r="F419" i="3" s="1"/>
  <c r="P419" i="1"/>
  <c r="F420" i="3" s="1"/>
  <c r="P420" i="1"/>
  <c r="F421" i="3" s="1"/>
  <c r="P421" i="1"/>
  <c r="F422" i="3" s="1"/>
  <c r="P422" i="1"/>
  <c r="F423" i="3" s="1"/>
  <c r="P423" i="1"/>
  <c r="F424" i="3" s="1"/>
  <c r="P424" i="1"/>
  <c r="F425" i="3" s="1"/>
  <c r="P425" i="1"/>
  <c r="F426" i="3" s="1"/>
  <c r="P426" i="1"/>
  <c r="F427" i="3" s="1"/>
  <c r="P427" i="1"/>
  <c r="F428" i="3" s="1"/>
  <c r="P428" i="1"/>
  <c r="F429" i="3" s="1"/>
  <c r="P429" i="1"/>
  <c r="F430" i="3" s="1"/>
  <c r="P430" i="1"/>
  <c r="F431" i="3" s="1"/>
  <c r="O3" i="1"/>
  <c r="E4" i="3" s="1"/>
  <c r="O4" i="1"/>
  <c r="E5" i="3" s="1"/>
  <c r="O5" i="1"/>
  <c r="E6" i="3" s="1"/>
  <c r="O6" i="1"/>
  <c r="E7" i="3" s="1"/>
  <c r="O7" i="1"/>
  <c r="E8" i="3" s="1"/>
  <c r="O8" i="1"/>
  <c r="E9" i="3" s="1"/>
  <c r="O9" i="1"/>
  <c r="E10" i="3" s="1"/>
  <c r="O10" i="1"/>
  <c r="E11" i="3" s="1"/>
  <c r="O11" i="1"/>
  <c r="E12" i="3" s="1"/>
  <c r="O12" i="1"/>
  <c r="E13" i="3" s="1"/>
  <c r="O13" i="1"/>
  <c r="E14" i="3" s="1"/>
  <c r="O14" i="1"/>
  <c r="O15"/>
  <c r="E16" i="3" s="1"/>
  <c r="O16" i="1"/>
  <c r="E17" i="3" s="1"/>
  <c r="O17" i="1"/>
  <c r="E18" i="3" s="1"/>
  <c r="O18" i="1"/>
  <c r="E19" i="3" s="1"/>
  <c r="O19" i="1"/>
  <c r="E20" i="3" s="1"/>
  <c r="O20" i="1"/>
  <c r="E21" i="3" s="1"/>
  <c r="O21" i="1"/>
  <c r="E22" i="3" s="1"/>
  <c r="O22" i="1"/>
  <c r="E23" i="3" s="1"/>
  <c r="O23" i="1"/>
  <c r="E24" i="3" s="1"/>
  <c r="O24" i="1"/>
  <c r="E25" i="3" s="1"/>
  <c r="O25" i="1"/>
  <c r="E26" i="3" s="1"/>
  <c r="O26" i="1"/>
  <c r="E27" i="3" s="1"/>
  <c r="O27" i="1"/>
  <c r="E28" i="3" s="1"/>
  <c r="O28" i="1"/>
  <c r="E29" i="3" s="1"/>
  <c r="O29" i="1"/>
  <c r="E30" i="3" s="1"/>
  <c r="O30" i="1"/>
  <c r="E31" i="3" s="1"/>
  <c r="O31" i="1"/>
  <c r="E32" i="3" s="1"/>
  <c r="O32" i="1"/>
  <c r="E33" i="3" s="1"/>
  <c r="O33" i="1"/>
  <c r="E34" i="3" s="1"/>
  <c r="O34" i="1"/>
  <c r="O35"/>
  <c r="E36" i="3" s="1"/>
  <c r="O36" i="1"/>
  <c r="E37" i="3" s="1"/>
  <c r="O37" i="1"/>
  <c r="E38" i="3" s="1"/>
  <c r="O38" i="1"/>
  <c r="E39" i="3" s="1"/>
  <c r="O39" i="1"/>
  <c r="E40" i="3" s="1"/>
  <c r="O40" i="1"/>
  <c r="E41" i="3" s="1"/>
  <c r="O41" i="1"/>
  <c r="E42" i="3" s="1"/>
  <c r="O42" i="1"/>
  <c r="E43" i="3" s="1"/>
  <c r="O43" i="1"/>
  <c r="E44" i="3" s="1"/>
  <c r="O44" i="1"/>
  <c r="E45" i="3" s="1"/>
  <c r="O45" i="1"/>
  <c r="E46" i="3" s="1"/>
  <c r="O46" i="1"/>
  <c r="E47" i="3" s="1"/>
  <c r="O47" i="1"/>
  <c r="E48" i="3" s="1"/>
  <c r="O48" i="1"/>
  <c r="E49" i="3" s="1"/>
  <c r="O49" i="1"/>
  <c r="E50" i="3" s="1"/>
  <c r="O50" i="1"/>
  <c r="O51"/>
  <c r="E52" i="3" s="1"/>
  <c r="O52" i="1"/>
  <c r="E53" i="3" s="1"/>
  <c r="O53" i="1"/>
  <c r="E54" i="3" s="1"/>
  <c r="O54" i="1"/>
  <c r="E55" i="3" s="1"/>
  <c r="O55" i="1"/>
  <c r="E56" i="3" s="1"/>
  <c r="O56" i="1"/>
  <c r="E57" i="3" s="1"/>
  <c r="O57" i="1"/>
  <c r="E58" i="3" s="1"/>
  <c r="O58" i="1"/>
  <c r="E59" i="3" s="1"/>
  <c r="O59" i="1"/>
  <c r="E60" i="3" s="1"/>
  <c r="O60" i="1"/>
  <c r="E61" i="3" s="1"/>
  <c r="O61" i="1"/>
  <c r="E62" i="3" s="1"/>
  <c r="O62" i="1"/>
  <c r="E63" i="3" s="1"/>
  <c r="O63" i="1"/>
  <c r="E64" i="3" s="1"/>
  <c r="O64" i="1"/>
  <c r="E65" i="3" s="1"/>
  <c r="O65" i="1"/>
  <c r="E66" i="3" s="1"/>
  <c r="O66" i="1"/>
  <c r="E67" i="3" s="1"/>
  <c r="O67" i="1"/>
  <c r="E68" i="3" s="1"/>
  <c r="O68" i="1"/>
  <c r="E69" i="3" s="1"/>
  <c r="O69" i="1"/>
  <c r="E70" i="3" s="1"/>
  <c r="O70" i="1"/>
  <c r="O71"/>
  <c r="E72" i="3" s="1"/>
  <c r="O72" i="1"/>
  <c r="E73" i="3" s="1"/>
  <c r="O73" i="1"/>
  <c r="E74" i="3" s="1"/>
  <c r="O74" i="1"/>
  <c r="E75" i="3" s="1"/>
  <c r="O75" i="1"/>
  <c r="E76" i="3" s="1"/>
  <c r="O76" i="1"/>
  <c r="E77" i="3" s="1"/>
  <c r="O77" i="1"/>
  <c r="E78" i="3" s="1"/>
  <c r="O78" i="1"/>
  <c r="E79" i="3" s="1"/>
  <c r="O79" i="1"/>
  <c r="E80" i="3" s="1"/>
  <c r="O80" i="1"/>
  <c r="E81" i="3" s="1"/>
  <c r="O81" i="1"/>
  <c r="E82" i="3" s="1"/>
  <c r="O82" i="1"/>
  <c r="E83" i="3" s="1"/>
  <c r="O83" i="1"/>
  <c r="E84" i="3" s="1"/>
  <c r="O84" i="1"/>
  <c r="E85" i="3" s="1"/>
  <c r="O85" i="1"/>
  <c r="E86" i="3" s="1"/>
  <c r="O86" i="1"/>
  <c r="E87" i="3" s="1"/>
  <c r="O87" i="1"/>
  <c r="E88" i="3" s="1"/>
  <c r="O88" i="1"/>
  <c r="E89" i="3" s="1"/>
  <c r="O89" i="1"/>
  <c r="E90" i="3" s="1"/>
  <c r="O90" i="1"/>
  <c r="E91" i="3" s="1"/>
  <c r="O91" i="1"/>
  <c r="E92" i="3" s="1"/>
  <c r="O92" i="1"/>
  <c r="E93" i="3" s="1"/>
  <c r="O93" i="1"/>
  <c r="E94" i="3" s="1"/>
  <c r="O94" i="1"/>
  <c r="E95" i="3" s="1"/>
  <c r="O95" i="1"/>
  <c r="E96" i="3" s="1"/>
  <c r="O96" i="1"/>
  <c r="E97" i="3" s="1"/>
  <c r="O97" i="1"/>
  <c r="E98" i="3" s="1"/>
  <c r="O98" i="1"/>
  <c r="O99"/>
  <c r="E100" i="3" s="1"/>
  <c r="O100" i="1"/>
  <c r="E101" i="3" s="1"/>
  <c r="O101" i="1"/>
  <c r="E102" i="3" s="1"/>
  <c r="O102" i="1"/>
  <c r="E103" i="3" s="1"/>
  <c r="O103" i="1"/>
  <c r="E104" i="3" s="1"/>
  <c r="O104" i="1"/>
  <c r="E105" i="3" s="1"/>
  <c r="O105" i="1"/>
  <c r="E106" i="3" s="1"/>
  <c r="O106" i="1"/>
  <c r="E107" i="3" s="1"/>
  <c r="O107" i="1"/>
  <c r="E108" i="3" s="1"/>
  <c r="O108" i="1"/>
  <c r="E109" i="3" s="1"/>
  <c r="O109" i="1"/>
  <c r="E110" i="3" s="1"/>
  <c r="O110" i="1"/>
  <c r="O111"/>
  <c r="E112" i="3" s="1"/>
  <c r="O112" i="1"/>
  <c r="E113" i="3" s="1"/>
  <c r="O113" i="1"/>
  <c r="E114" i="3" s="1"/>
  <c r="O114" i="1"/>
  <c r="E115" i="3" s="1"/>
  <c r="O115" i="1"/>
  <c r="E116" i="3" s="1"/>
  <c r="O116" i="1"/>
  <c r="E117" i="3" s="1"/>
  <c r="O117" i="1"/>
  <c r="E118" i="3" s="1"/>
  <c r="O118" i="1"/>
  <c r="E119" i="3" s="1"/>
  <c r="O119" i="1"/>
  <c r="E120" i="3" s="1"/>
  <c r="O120" i="1"/>
  <c r="E121" i="3" s="1"/>
  <c r="O121" i="1"/>
  <c r="E122" i="3" s="1"/>
  <c r="O122" i="1"/>
  <c r="E123" i="3" s="1"/>
  <c r="O123" i="1"/>
  <c r="E124" i="3" s="1"/>
  <c r="O124" i="1"/>
  <c r="E125" i="3" s="1"/>
  <c r="O125" i="1"/>
  <c r="E126" i="3" s="1"/>
  <c r="O126" i="1"/>
  <c r="E127" i="3" s="1"/>
  <c r="O127" i="1"/>
  <c r="E128" i="3" s="1"/>
  <c r="O128" i="1"/>
  <c r="E129" i="3" s="1"/>
  <c r="O129" i="1"/>
  <c r="E130" i="3" s="1"/>
  <c r="O130" i="1"/>
  <c r="E131" i="3" s="1"/>
  <c r="O131" i="1"/>
  <c r="E132" i="3" s="1"/>
  <c r="O132" i="1"/>
  <c r="E133" i="3" s="1"/>
  <c r="O133" i="1"/>
  <c r="E134" i="3" s="1"/>
  <c r="O134" i="1"/>
  <c r="E135" i="3" s="1"/>
  <c r="O135" i="1"/>
  <c r="E136" i="3" s="1"/>
  <c r="O136" i="1"/>
  <c r="E137" i="3" s="1"/>
  <c r="O137" i="1"/>
  <c r="E138" i="3" s="1"/>
  <c r="O138" i="1"/>
  <c r="E139" i="3" s="1"/>
  <c r="O139" i="1"/>
  <c r="E140" i="3" s="1"/>
  <c r="O140" i="1"/>
  <c r="E141" i="3" s="1"/>
  <c r="O141" i="1"/>
  <c r="E142" i="3" s="1"/>
  <c r="O142" i="1"/>
  <c r="E143" i="3" s="1"/>
  <c r="O143" i="1"/>
  <c r="E144" i="3" s="1"/>
  <c r="O144" i="1"/>
  <c r="E145" i="3" s="1"/>
  <c r="O145" i="1"/>
  <c r="E146" i="3" s="1"/>
  <c r="O146" i="1"/>
  <c r="E147" i="3" s="1"/>
  <c r="O147" i="1"/>
  <c r="E148" i="3" s="1"/>
  <c r="O148" i="1"/>
  <c r="E149" i="3" s="1"/>
  <c r="O149" i="1"/>
  <c r="E150" i="3" s="1"/>
  <c r="O150" i="1"/>
  <c r="O151"/>
  <c r="E152" i="3" s="1"/>
  <c r="O152" i="1"/>
  <c r="E153" i="3" s="1"/>
  <c r="O153" i="1"/>
  <c r="E154" i="3" s="1"/>
  <c r="O154" i="1"/>
  <c r="E155" i="3" s="1"/>
  <c r="O155" i="1"/>
  <c r="E156" i="3" s="1"/>
  <c r="O156" i="1"/>
  <c r="E157" i="3" s="1"/>
  <c r="O157" i="1"/>
  <c r="E158" i="3" s="1"/>
  <c r="O158" i="1"/>
  <c r="E159" i="3" s="1"/>
  <c r="O159" i="1"/>
  <c r="E160" i="3" s="1"/>
  <c r="O160" i="1"/>
  <c r="E161" i="3" s="1"/>
  <c r="O161" i="1"/>
  <c r="E162" i="3" s="1"/>
  <c r="O162" i="1"/>
  <c r="E163" i="3" s="1"/>
  <c r="O163" i="1"/>
  <c r="E164" i="3" s="1"/>
  <c r="O164" i="1"/>
  <c r="E165" i="3" s="1"/>
  <c r="O165" i="1"/>
  <c r="E166" i="3" s="1"/>
  <c r="O166" i="1"/>
  <c r="O167"/>
  <c r="E168" i="3" s="1"/>
  <c r="O168" i="1"/>
  <c r="E169" i="3" s="1"/>
  <c r="O169" i="1"/>
  <c r="E170" i="3" s="1"/>
  <c r="O170" i="1"/>
  <c r="O171"/>
  <c r="E172" i="3" s="1"/>
  <c r="O172" i="1"/>
  <c r="E173" i="3" s="1"/>
  <c r="O173" i="1"/>
  <c r="E174" i="3" s="1"/>
  <c r="O174" i="1"/>
  <c r="E175" i="3" s="1"/>
  <c r="O175" i="1"/>
  <c r="E176" i="3" s="1"/>
  <c r="O176" i="1"/>
  <c r="E177" i="3" s="1"/>
  <c r="O177" i="1"/>
  <c r="E178" i="3" s="1"/>
  <c r="O178" i="1"/>
  <c r="E179" i="3" s="1"/>
  <c r="O179" i="1"/>
  <c r="E180" i="3" s="1"/>
  <c r="O180" i="1"/>
  <c r="E181" i="3" s="1"/>
  <c r="O181" i="1"/>
  <c r="E182" i="3" s="1"/>
  <c r="O182" i="1"/>
  <c r="E183" i="3" s="1"/>
  <c r="O183" i="1"/>
  <c r="E184" i="3" s="1"/>
  <c r="O184" i="1"/>
  <c r="E185" i="3" s="1"/>
  <c r="O185" i="1"/>
  <c r="E186" i="3" s="1"/>
  <c r="O186" i="1"/>
  <c r="E187" i="3" s="1"/>
  <c r="O187" i="1"/>
  <c r="E188" i="3" s="1"/>
  <c r="O188" i="1"/>
  <c r="E189" i="3" s="1"/>
  <c r="O189" i="1"/>
  <c r="E190" i="3" s="1"/>
  <c r="O190" i="1"/>
  <c r="E191" i="3" s="1"/>
  <c r="O191" i="1"/>
  <c r="E192" i="3" s="1"/>
  <c r="O192" i="1"/>
  <c r="E193" i="3" s="1"/>
  <c r="O193" i="1"/>
  <c r="E194" i="3" s="1"/>
  <c r="O194" i="1"/>
  <c r="E195" i="3" s="1"/>
  <c r="O195" i="1"/>
  <c r="E196" i="3" s="1"/>
  <c r="O196" i="1"/>
  <c r="E197" i="3" s="1"/>
  <c r="O197" i="1"/>
  <c r="E198" i="3" s="1"/>
  <c r="O198" i="1"/>
  <c r="E199" i="3" s="1"/>
  <c r="O199" i="1"/>
  <c r="E200" i="3" s="1"/>
  <c r="O200" i="1"/>
  <c r="E201" i="3" s="1"/>
  <c r="O201" i="1"/>
  <c r="E202" i="3" s="1"/>
  <c r="O202" i="1"/>
  <c r="E203" i="3" s="1"/>
  <c r="O203" i="1"/>
  <c r="E204" i="3" s="1"/>
  <c r="O204" i="1"/>
  <c r="E205" i="3" s="1"/>
  <c r="O205" i="1"/>
  <c r="E206" i="3" s="1"/>
  <c r="O206" i="1"/>
  <c r="E207" i="3" s="1"/>
  <c r="O207" i="1"/>
  <c r="E208" i="3" s="1"/>
  <c r="O208" i="1"/>
  <c r="E209" i="3" s="1"/>
  <c r="O209" i="1"/>
  <c r="E210" i="3" s="1"/>
  <c r="O210" i="1"/>
  <c r="O211"/>
  <c r="E212" i="3" s="1"/>
  <c r="O212" i="1"/>
  <c r="E213" i="3" s="1"/>
  <c r="O213" i="1"/>
  <c r="E214" i="3" s="1"/>
  <c r="O214" i="1"/>
  <c r="E215" i="3" s="1"/>
  <c r="O215" i="1"/>
  <c r="E216" i="3" s="1"/>
  <c r="O216" i="1"/>
  <c r="E217" i="3" s="1"/>
  <c r="O217" i="1"/>
  <c r="E218" i="3" s="1"/>
  <c r="O218" i="1"/>
  <c r="E219" i="3" s="1"/>
  <c r="O219" i="1"/>
  <c r="E220" i="3" s="1"/>
  <c r="O220" i="1"/>
  <c r="E221" i="3" s="1"/>
  <c r="O221" i="1"/>
  <c r="E222" i="3" s="1"/>
  <c r="O222" i="1"/>
  <c r="E223" i="3" s="1"/>
  <c r="O223" i="1"/>
  <c r="E224" i="3" s="1"/>
  <c r="O224" i="1"/>
  <c r="E225" i="3" s="1"/>
  <c r="O225" i="1"/>
  <c r="E226" i="3" s="1"/>
  <c r="O226" i="1"/>
  <c r="O227"/>
  <c r="E228" i="3" s="1"/>
  <c r="O228" i="1"/>
  <c r="E229" i="3" s="1"/>
  <c r="O229" i="1"/>
  <c r="E230" i="3" s="1"/>
  <c r="O230" i="1"/>
  <c r="E231" i="3" s="1"/>
  <c r="O231" i="1"/>
  <c r="E232" i="3" s="1"/>
  <c r="O232" i="1"/>
  <c r="E233" i="3" s="1"/>
  <c r="O233" i="1"/>
  <c r="E234" i="3" s="1"/>
  <c r="O234" i="1"/>
  <c r="E235" i="3" s="1"/>
  <c r="O235" i="1"/>
  <c r="E236" i="3" s="1"/>
  <c r="O236" i="1"/>
  <c r="E237" i="3" s="1"/>
  <c r="O237" i="1"/>
  <c r="E238" i="3" s="1"/>
  <c r="O238" i="1"/>
  <c r="E239" i="3" s="1"/>
  <c r="O239" i="1"/>
  <c r="E240" i="3" s="1"/>
  <c r="O240" i="1"/>
  <c r="E241" i="3" s="1"/>
  <c r="O241" i="1"/>
  <c r="E242" i="3" s="1"/>
  <c r="O242" i="1"/>
  <c r="O243"/>
  <c r="E244" i="3" s="1"/>
  <c r="O244" i="1"/>
  <c r="E245" i="3" s="1"/>
  <c r="O245" i="1"/>
  <c r="E246" i="3" s="1"/>
  <c r="O246" i="1"/>
  <c r="E247" i="3" s="1"/>
  <c r="O247" i="1"/>
  <c r="E248" i="3" s="1"/>
  <c r="O248" i="1"/>
  <c r="E249" i="3" s="1"/>
  <c r="O249" i="1"/>
  <c r="E250" i="3" s="1"/>
  <c r="O250" i="1"/>
  <c r="E251" i="3" s="1"/>
  <c r="O251" i="1"/>
  <c r="E252" i="3" s="1"/>
  <c r="O252" i="1"/>
  <c r="E253" i="3" s="1"/>
  <c r="O253" i="1"/>
  <c r="E254" i="3" s="1"/>
  <c r="O254" i="1"/>
  <c r="E255" i="3" s="1"/>
  <c r="O255" i="1"/>
  <c r="E256" i="3" s="1"/>
  <c r="O256" i="1"/>
  <c r="E257" i="3" s="1"/>
  <c r="O257" i="1"/>
  <c r="E258" i="3" s="1"/>
  <c r="O258" i="1"/>
  <c r="E259" i="3" s="1"/>
  <c r="O259" i="1"/>
  <c r="E260" i="3" s="1"/>
  <c r="O260" i="1"/>
  <c r="E261" i="3" s="1"/>
  <c r="O261" i="1"/>
  <c r="E262" i="3" s="1"/>
  <c r="O262" i="1"/>
  <c r="O263"/>
  <c r="E264" i="3" s="1"/>
  <c r="O264" i="1"/>
  <c r="E265" i="3" s="1"/>
  <c r="O265" i="1"/>
  <c r="E266" i="3" s="1"/>
  <c r="O266" i="1"/>
  <c r="E267" i="3" s="1"/>
  <c r="O267" i="1"/>
  <c r="E268" i="3" s="1"/>
  <c r="O268" i="1"/>
  <c r="E269" i="3" s="1"/>
  <c r="O269" i="1"/>
  <c r="E270" i="3" s="1"/>
  <c r="O270" i="1"/>
  <c r="E271" i="3" s="1"/>
  <c r="O271" i="1"/>
  <c r="E272" i="3" s="1"/>
  <c r="O272" i="1"/>
  <c r="E273" i="3" s="1"/>
  <c r="O273" i="1"/>
  <c r="E274" i="3" s="1"/>
  <c r="O274" i="1"/>
  <c r="E275" i="3" s="1"/>
  <c r="O275" i="1"/>
  <c r="E276" i="3" s="1"/>
  <c r="O276" i="1"/>
  <c r="E277" i="3" s="1"/>
  <c r="O277" i="1"/>
  <c r="E278" i="3" s="1"/>
  <c r="O278" i="1"/>
  <c r="E279" i="3" s="1"/>
  <c r="O279" i="1"/>
  <c r="E280" i="3" s="1"/>
  <c r="O280" i="1"/>
  <c r="E281" i="3" s="1"/>
  <c r="O281" i="1"/>
  <c r="E282" i="3" s="1"/>
  <c r="O282" i="1"/>
  <c r="E283" i="3" s="1"/>
  <c r="O283" i="1"/>
  <c r="E284" i="3" s="1"/>
  <c r="O284" i="1"/>
  <c r="E285" i="3" s="1"/>
  <c r="O285" i="1"/>
  <c r="E286" i="3" s="1"/>
  <c r="O286" i="1"/>
  <c r="O287"/>
  <c r="E288" i="3" s="1"/>
  <c r="O288" i="1"/>
  <c r="E289" i="3" s="1"/>
  <c r="O289" i="1"/>
  <c r="E290" i="3" s="1"/>
  <c r="O290" i="1"/>
  <c r="E291" i="3" s="1"/>
  <c r="O291" i="1"/>
  <c r="E292" i="3" s="1"/>
  <c r="O292" i="1"/>
  <c r="E293" i="3" s="1"/>
  <c r="O293" i="1"/>
  <c r="E294" i="3" s="1"/>
  <c r="O294" i="1"/>
  <c r="E295" i="3" s="1"/>
  <c r="O295" i="1"/>
  <c r="E296" i="3" s="1"/>
  <c r="O296" i="1"/>
  <c r="E297" i="3" s="1"/>
  <c r="O297" i="1"/>
  <c r="E298" i="3" s="1"/>
  <c r="O298" i="1"/>
  <c r="O299"/>
  <c r="E300" i="3" s="1"/>
  <c r="O300" i="1"/>
  <c r="E301" i="3" s="1"/>
  <c r="O301" i="1"/>
  <c r="E302" i="3" s="1"/>
  <c r="O302" i="1"/>
  <c r="E303" i="3" s="1"/>
  <c r="O303" i="1"/>
  <c r="E304" i="3" s="1"/>
  <c r="O304" i="1"/>
  <c r="E305" i="3" s="1"/>
  <c r="O305" i="1"/>
  <c r="E306" i="3" s="1"/>
  <c r="O306" i="1"/>
  <c r="E307" i="3" s="1"/>
  <c r="O307" i="1"/>
  <c r="E308" i="3" s="1"/>
  <c r="O308" i="1"/>
  <c r="E309" i="3" s="1"/>
  <c r="O309" i="1"/>
  <c r="E310" i="3" s="1"/>
  <c r="O310" i="1"/>
  <c r="E311" i="3" s="1"/>
  <c r="O311" i="1"/>
  <c r="E312" i="3" s="1"/>
  <c r="O312" i="1"/>
  <c r="E313" i="3" s="1"/>
  <c r="O313" i="1"/>
  <c r="E314" i="3" s="1"/>
  <c r="O314" i="1"/>
  <c r="E315" i="3" s="1"/>
  <c r="O315" i="1"/>
  <c r="E316" i="3" s="1"/>
  <c r="O316" i="1"/>
  <c r="E317" i="3" s="1"/>
  <c r="O317" i="1"/>
  <c r="E318" i="3" s="1"/>
  <c r="O318" i="1"/>
  <c r="E319" i="3" s="1"/>
  <c r="O319" i="1"/>
  <c r="E320" i="3" s="1"/>
  <c r="O320" i="1"/>
  <c r="E321" i="3" s="1"/>
  <c r="O321" i="1"/>
  <c r="E322" i="3" s="1"/>
  <c r="O322" i="1"/>
  <c r="E323" i="3" s="1"/>
  <c r="O323" i="1"/>
  <c r="E324" i="3" s="1"/>
  <c r="O324" i="1"/>
  <c r="E325" i="3" s="1"/>
  <c r="O325" i="1"/>
  <c r="E326" i="3" s="1"/>
  <c r="O326" i="1"/>
  <c r="E327" i="3" s="1"/>
  <c r="O327" i="1"/>
  <c r="E328" i="3" s="1"/>
  <c r="O328" i="1"/>
  <c r="E329" i="3" s="1"/>
  <c r="O329" i="1"/>
  <c r="E330" i="3" s="1"/>
  <c r="O330" i="1"/>
  <c r="O331"/>
  <c r="E332" i="3" s="1"/>
  <c r="O332" i="1"/>
  <c r="E333" i="3" s="1"/>
  <c r="O333" i="1"/>
  <c r="E334" i="3" s="1"/>
  <c r="O334" i="1"/>
  <c r="E335" i="3" s="1"/>
  <c r="O335" i="1"/>
  <c r="E336" i="3" s="1"/>
  <c r="O336" i="1"/>
  <c r="E337" i="3" s="1"/>
  <c r="O337" i="1"/>
  <c r="E338" i="3" s="1"/>
  <c r="O338" i="1"/>
  <c r="E339" i="3" s="1"/>
  <c r="O339" i="1"/>
  <c r="E340" i="3" s="1"/>
  <c r="O340" i="1"/>
  <c r="E341" i="3" s="1"/>
  <c r="O341" i="1"/>
  <c r="E342" i="3" s="1"/>
  <c r="O342" i="1"/>
  <c r="O343"/>
  <c r="E344" i="3" s="1"/>
  <c r="O344" i="1"/>
  <c r="E345" i="3" s="1"/>
  <c r="O345" i="1"/>
  <c r="E346" i="3" s="1"/>
  <c r="O346" i="1"/>
  <c r="O347"/>
  <c r="E348" i="3" s="1"/>
  <c r="O348" i="1"/>
  <c r="E349" i="3" s="1"/>
  <c r="O349" i="1"/>
  <c r="E350" i="3" s="1"/>
  <c r="O350" i="1"/>
  <c r="E351" i="3" s="1"/>
  <c r="O351" i="1"/>
  <c r="E352" i="3" s="1"/>
  <c r="O352" i="1"/>
  <c r="E353" i="3" s="1"/>
  <c r="O353" i="1"/>
  <c r="E354" i="3" s="1"/>
  <c r="O354" i="1"/>
  <c r="E355" i="3" s="1"/>
  <c r="O355" i="1"/>
  <c r="E356" i="3" s="1"/>
  <c r="O356" i="1"/>
  <c r="E357" i="3" s="1"/>
  <c r="O357" i="1"/>
  <c r="E358" i="3" s="1"/>
  <c r="O358" i="1"/>
  <c r="E359" i="3" s="1"/>
  <c r="O359" i="1"/>
  <c r="E360" i="3" s="1"/>
  <c r="O360" i="1"/>
  <c r="E361" i="3" s="1"/>
  <c r="O361" i="1"/>
  <c r="E362" i="3" s="1"/>
  <c r="O362" i="1"/>
  <c r="E363" i="3" s="1"/>
  <c r="O363" i="1"/>
  <c r="E364" i="3" s="1"/>
  <c r="O364" i="1"/>
  <c r="E365" i="3" s="1"/>
  <c r="O365" i="1"/>
  <c r="E366" i="3" s="1"/>
  <c r="O366" i="1"/>
  <c r="E367" i="3" s="1"/>
  <c r="O367" i="1"/>
  <c r="E368" i="3" s="1"/>
  <c r="O368" i="1"/>
  <c r="E369" i="3" s="1"/>
  <c r="O369" i="1"/>
  <c r="E370" i="3" s="1"/>
  <c r="O370" i="1"/>
  <c r="E371" i="3" s="1"/>
  <c r="O371" i="1"/>
  <c r="E372" i="3" s="1"/>
  <c r="O372" i="1"/>
  <c r="E373" i="3" s="1"/>
  <c r="O373" i="1"/>
  <c r="E374" i="3" s="1"/>
  <c r="O374" i="1"/>
  <c r="E375" i="3" s="1"/>
  <c r="O375" i="1"/>
  <c r="E376" i="3" s="1"/>
  <c r="O376" i="1"/>
  <c r="E377" i="3" s="1"/>
  <c r="O377" i="1"/>
  <c r="E378" i="3" s="1"/>
  <c r="O378" i="1"/>
  <c r="O379"/>
  <c r="E380" i="3" s="1"/>
  <c r="O380" i="1"/>
  <c r="E381" i="3" s="1"/>
  <c r="O381" i="1"/>
  <c r="E382" i="3" s="1"/>
  <c r="O382" i="1"/>
  <c r="E383" i="3" s="1"/>
  <c r="O383" i="1"/>
  <c r="E384" i="3" s="1"/>
  <c r="O384" i="1"/>
  <c r="E385" i="3" s="1"/>
  <c r="O385" i="1"/>
  <c r="E386" i="3" s="1"/>
  <c r="O386" i="1"/>
  <c r="O387"/>
  <c r="E388" i="3" s="1"/>
  <c r="O388" i="1"/>
  <c r="E389" i="3" s="1"/>
  <c r="O389" i="1"/>
  <c r="E390" i="3" s="1"/>
  <c r="O390" i="1"/>
  <c r="E391" i="3" s="1"/>
  <c r="O391" i="1"/>
  <c r="E392" i="3" s="1"/>
  <c r="O392" i="1"/>
  <c r="E393" i="3" s="1"/>
  <c r="O393" i="1"/>
  <c r="E394" i="3" s="1"/>
  <c r="O394" i="1"/>
  <c r="E395" i="3" s="1"/>
  <c r="O395" i="1"/>
  <c r="E396" i="3" s="1"/>
  <c r="O396" i="1"/>
  <c r="E397" i="3" s="1"/>
  <c r="O397" i="1"/>
  <c r="E398" i="3" s="1"/>
  <c r="O398" i="1"/>
  <c r="E399" i="3" s="1"/>
  <c r="O399" i="1"/>
  <c r="E400" i="3" s="1"/>
  <c r="O400" i="1"/>
  <c r="E401" i="3" s="1"/>
  <c r="O401" i="1"/>
  <c r="E402" i="3" s="1"/>
  <c r="O402" i="1"/>
  <c r="O403"/>
  <c r="E404" i="3" s="1"/>
  <c r="O404" i="1"/>
  <c r="E405" i="3" s="1"/>
  <c r="O405" i="1"/>
  <c r="E406" i="3" s="1"/>
  <c r="O406" i="1"/>
  <c r="E407" i="3" s="1"/>
  <c r="O407" i="1"/>
  <c r="E408" i="3" s="1"/>
  <c r="O408" i="1"/>
  <c r="E409" i="3" s="1"/>
  <c r="O409" i="1"/>
  <c r="E410" i="3" s="1"/>
  <c r="O410" i="1"/>
  <c r="E411" i="3" s="1"/>
  <c r="O411" i="1"/>
  <c r="E412" i="3" s="1"/>
  <c r="O412" i="1"/>
  <c r="E413" i="3" s="1"/>
  <c r="O413" i="1"/>
  <c r="E414" i="3" s="1"/>
  <c r="O414" i="1"/>
  <c r="E415" i="3" s="1"/>
  <c r="O415" i="1"/>
  <c r="E416" i="3" s="1"/>
  <c r="O416" i="1"/>
  <c r="E417" i="3" s="1"/>
  <c r="O417" i="1"/>
  <c r="E418" i="3" s="1"/>
  <c r="O418" i="1"/>
  <c r="E419" i="3" s="1"/>
  <c r="O419" i="1"/>
  <c r="E420" i="3" s="1"/>
  <c r="O420" i="1"/>
  <c r="E421" i="3" s="1"/>
  <c r="O421" i="1"/>
  <c r="E422" i="3" s="1"/>
  <c r="O422" i="1"/>
  <c r="E423" i="3" s="1"/>
  <c r="O423" i="1"/>
  <c r="E424" i="3" s="1"/>
  <c r="O424" i="1"/>
  <c r="E425" i="3" s="1"/>
  <c r="O425" i="1"/>
  <c r="E426" i="3" s="1"/>
  <c r="O426" i="1"/>
  <c r="E427" i="3" s="1"/>
  <c r="O427" i="1"/>
  <c r="E428" i="3" s="1"/>
  <c r="O428" i="1"/>
  <c r="E429" i="3" s="1"/>
  <c r="O429" i="1"/>
  <c r="E430" i="3" s="1"/>
  <c r="O430" i="1"/>
  <c r="N4"/>
  <c r="D5" i="3" s="1"/>
  <c r="N5" i="1"/>
  <c r="D6" i="3" s="1"/>
  <c r="N6" i="1"/>
  <c r="D7" i="3" s="1"/>
  <c r="N7" i="1"/>
  <c r="D8" i="3" s="1"/>
  <c r="N8" i="1"/>
  <c r="D9" i="3" s="1"/>
  <c r="N9" i="1"/>
  <c r="D10" i="3" s="1"/>
  <c r="N10" i="1"/>
  <c r="D11" i="3" s="1"/>
  <c r="N11" i="1"/>
  <c r="N12"/>
  <c r="D13" i="3" s="1"/>
  <c r="N13" i="1"/>
  <c r="D14" i="3" s="1"/>
  <c r="N14" i="1"/>
  <c r="D15" i="3" s="1"/>
  <c r="N15" i="1"/>
  <c r="D16" i="3" s="1"/>
  <c r="N16" i="1"/>
  <c r="D17" i="3" s="1"/>
  <c r="N17" i="1"/>
  <c r="D18" i="3" s="1"/>
  <c r="N18" i="1"/>
  <c r="D19" i="3" s="1"/>
  <c r="N19" i="1"/>
  <c r="N20"/>
  <c r="D21" i="3" s="1"/>
  <c r="N21" i="1"/>
  <c r="D22" i="3" s="1"/>
  <c r="N22" i="1"/>
  <c r="D23" i="3" s="1"/>
  <c r="N23" i="1"/>
  <c r="D24" i="3" s="1"/>
  <c r="N24" i="1"/>
  <c r="D25" i="3" s="1"/>
  <c r="N25" i="1"/>
  <c r="D26" i="3" s="1"/>
  <c r="N26" i="1"/>
  <c r="D27" i="3" s="1"/>
  <c r="N27" i="1"/>
  <c r="D28" i="3" s="1"/>
  <c r="N28" i="1"/>
  <c r="D29" i="3" s="1"/>
  <c r="N29" i="1"/>
  <c r="D30" i="3" s="1"/>
  <c r="N30" i="1"/>
  <c r="D31" i="3" s="1"/>
  <c r="N31" i="1"/>
  <c r="D32" i="3" s="1"/>
  <c r="N32" i="1"/>
  <c r="D33" i="3" s="1"/>
  <c r="N33" i="1"/>
  <c r="D34" i="3" s="1"/>
  <c r="N34" i="1"/>
  <c r="D35" i="3" s="1"/>
  <c r="N35" i="1"/>
  <c r="N36"/>
  <c r="D37" i="3" s="1"/>
  <c r="N37" i="1"/>
  <c r="D38" i="3" s="1"/>
  <c r="N38" i="1"/>
  <c r="D39" i="3" s="1"/>
  <c r="N39" i="1"/>
  <c r="D40" i="3" s="1"/>
  <c r="N40" i="1"/>
  <c r="D41" i="3" s="1"/>
  <c r="N41" i="1"/>
  <c r="D42" i="3" s="1"/>
  <c r="N42" i="1"/>
  <c r="D43" i="3" s="1"/>
  <c r="N43" i="1"/>
  <c r="D44" i="3" s="1"/>
  <c r="N44" i="1"/>
  <c r="D45" i="3" s="1"/>
  <c r="N45" i="1"/>
  <c r="D46" i="3" s="1"/>
  <c r="N46" i="1"/>
  <c r="D47" i="3" s="1"/>
  <c r="N47" i="1"/>
  <c r="N48"/>
  <c r="D49" i="3" s="1"/>
  <c r="N49" i="1"/>
  <c r="D50" i="3" s="1"/>
  <c r="N50" i="1"/>
  <c r="D51" i="3" s="1"/>
  <c r="N51" i="1"/>
  <c r="D52" i="3" s="1"/>
  <c r="N52" i="1"/>
  <c r="D53" i="3" s="1"/>
  <c r="N53" i="1"/>
  <c r="D54" i="3" s="1"/>
  <c r="N54" i="1"/>
  <c r="D55" i="3" s="1"/>
  <c r="N55" i="1"/>
  <c r="D56" i="3" s="1"/>
  <c r="N56" i="1"/>
  <c r="D57" i="3" s="1"/>
  <c r="N57" i="1"/>
  <c r="D58" i="3" s="1"/>
  <c r="N58" i="1"/>
  <c r="D59" i="3" s="1"/>
  <c r="N59" i="1"/>
  <c r="D60" i="3" s="1"/>
  <c r="N60" i="1"/>
  <c r="D61" i="3" s="1"/>
  <c r="N61" i="1"/>
  <c r="D62" i="3" s="1"/>
  <c r="N62" i="1"/>
  <c r="D63" i="3" s="1"/>
  <c r="N63" i="1"/>
  <c r="N64"/>
  <c r="D65" i="3" s="1"/>
  <c r="N65" i="1"/>
  <c r="D66" i="3" s="1"/>
  <c r="N66" i="1"/>
  <c r="D67" i="3" s="1"/>
  <c r="N67" i="1"/>
  <c r="N68"/>
  <c r="D69" i="3" s="1"/>
  <c r="N69" i="1"/>
  <c r="D70" i="3" s="1"/>
  <c r="N70" i="1"/>
  <c r="D71" i="3" s="1"/>
  <c r="N71" i="1"/>
  <c r="D72" i="3" s="1"/>
  <c r="N72" i="1"/>
  <c r="D73" i="3" s="1"/>
  <c r="N73" i="1"/>
  <c r="D74" i="3" s="1"/>
  <c r="N74" i="1"/>
  <c r="D75" i="3" s="1"/>
  <c r="N75" i="1"/>
  <c r="D76" i="3" s="1"/>
  <c r="N76" i="1"/>
  <c r="D77" i="3" s="1"/>
  <c r="N77" i="1"/>
  <c r="D78" i="3" s="1"/>
  <c r="N78" i="1"/>
  <c r="D79" i="3" s="1"/>
  <c r="N79" i="1"/>
  <c r="D80" i="3" s="1"/>
  <c r="N80" i="1"/>
  <c r="D81" i="3" s="1"/>
  <c r="N81" i="1"/>
  <c r="D82" i="3" s="1"/>
  <c r="N82" i="1"/>
  <c r="D83" i="3" s="1"/>
  <c r="N83" i="1"/>
  <c r="D84" i="3" s="1"/>
  <c r="N84" i="1"/>
  <c r="D85" i="3" s="1"/>
  <c r="N85" i="1"/>
  <c r="D86" i="3" s="1"/>
  <c r="N86" i="1"/>
  <c r="D87" i="3" s="1"/>
  <c r="N87" i="1"/>
  <c r="D88" i="3" s="1"/>
  <c r="N88" i="1"/>
  <c r="D89" i="3" s="1"/>
  <c r="N89" i="1"/>
  <c r="D90" i="3" s="1"/>
  <c r="N90" i="1"/>
  <c r="D91" i="3" s="1"/>
  <c r="N91" i="1"/>
  <c r="D92" i="3" s="1"/>
  <c r="N92" i="1"/>
  <c r="D93" i="3" s="1"/>
  <c r="N93" i="1"/>
  <c r="D94" i="3" s="1"/>
  <c r="N94" i="1"/>
  <c r="D95" i="3" s="1"/>
  <c r="N95" i="1"/>
  <c r="D96" i="3" s="1"/>
  <c r="N96" i="1"/>
  <c r="D97" i="3" s="1"/>
  <c r="N97" i="1"/>
  <c r="D98" i="3" s="1"/>
  <c r="N98" i="1"/>
  <c r="D99" i="3" s="1"/>
  <c r="N99" i="1"/>
  <c r="D100" i="3" s="1"/>
  <c r="N100" i="1"/>
  <c r="D101" i="3" s="1"/>
  <c r="N101" i="1"/>
  <c r="D102" i="3" s="1"/>
  <c r="N102" i="1"/>
  <c r="D103" i="3" s="1"/>
  <c r="N103" i="1"/>
  <c r="N104"/>
  <c r="D105" i="3" s="1"/>
  <c r="N105" i="1"/>
  <c r="D106" i="3" s="1"/>
  <c r="N106" i="1"/>
  <c r="D107" i="3" s="1"/>
  <c r="N107" i="1"/>
  <c r="N108"/>
  <c r="D109" i="3" s="1"/>
  <c r="N109" i="1"/>
  <c r="D110" i="3" s="1"/>
  <c r="N110" i="1"/>
  <c r="D111" i="3" s="1"/>
  <c r="N111" i="1"/>
  <c r="D112" i="3" s="1"/>
  <c r="N112" i="1"/>
  <c r="D113" i="3" s="1"/>
  <c r="N113" i="1"/>
  <c r="D114" i="3" s="1"/>
  <c r="N114" i="1"/>
  <c r="D115" i="3" s="1"/>
  <c r="N115" i="1"/>
  <c r="D116" i="3" s="1"/>
  <c r="N116" i="1"/>
  <c r="D117" i="3" s="1"/>
  <c r="N117" i="1"/>
  <c r="D118" i="3" s="1"/>
  <c r="N118" i="1"/>
  <c r="D119" i="3" s="1"/>
  <c r="N119" i="1"/>
  <c r="D120" i="3" s="1"/>
  <c r="N120" i="1"/>
  <c r="D121" i="3" s="1"/>
  <c r="N121" i="1"/>
  <c r="D122" i="3" s="1"/>
  <c r="N122" i="1"/>
  <c r="D123" i="3" s="1"/>
  <c r="N123" i="1"/>
  <c r="D124" i="3" s="1"/>
  <c r="N124" i="1"/>
  <c r="D125" i="3" s="1"/>
  <c r="N125" i="1"/>
  <c r="D126" i="3" s="1"/>
  <c r="N126" i="1"/>
  <c r="D127" i="3" s="1"/>
  <c r="N127" i="1"/>
  <c r="D128" i="3" s="1"/>
  <c r="N128" i="1"/>
  <c r="D129" i="3" s="1"/>
  <c r="N129" i="1"/>
  <c r="D130" i="3" s="1"/>
  <c r="N130" i="1"/>
  <c r="D131" i="3" s="1"/>
  <c r="N131" i="1"/>
  <c r="D132" i="3" s="1"/>
  <c r="N132" i="1"/>
  <c r="D133" i="3" s="1"/>
  <c r="N133" i="1"/>
  <c r="D134" i="3" s="1"/>
  <c r="N134" i="1"/>
  <c r="D135" i="3" s="1"/>
  <c r="N135" i="1"/>
  <c r="N136"/>
  <c r="D137" i="3" s="1"/>
  <c r="N137" i="1"/>
  <c r="D138" i="3" s="1"/>
  <c r="N138" i="1"/>
  <c r="D139" i="3" s="1"/>
  <c r="N139" i="1"/>
  <c r="D140" i="3" s="1"/>
  <c r="N140" i="1"/>
  <c r="D141" i="3" s="1"/>
  <c r="N141" i="1"/>
  <c r="D142" i="3" s="1"/>
  <c r="N142" i="1"/>
  <c r="D143" i="3" s="1"/>
  <c r="N143" i="1"/>
  <c r="D144" i="3" s="1"/>
  <c r="N144" i="1"/>
  <c r="D145" i="3" s="1"/>
  <c r="N145" i="1"/>
  <c r="D146" i="3" s="1"/>
  <c r="N146" i="1"/>
  <c r="D147" i="3" s="1"/>
  <c r="N147" i="1"/>
  <c r="D148" i="3" s="1"/>
  <c r="N148" i="1"/>
  <c r="D149" i="3" s="1"/>
  <c r="N149" i="1"/>
  <c r="D150" i="3" s="1"/>
  <c r="N150" i="1"/>
  <c r="D151" i="3" s="1"/>
  <c r="N151" i="1"/>
  <c r="N152"/>
  <c r="D153" i="3" s="1"/>
  <c r="N153" i="1"/>
  <c r="D154" i="3" s="1"/>
  <c r="N154" i="1"/>
  <c r="D155" i="3" s="1"/>
  <c r="N155" i="1"/>
  <c r="D156" i="3" s="1"/>
  <c r="N156" i="1"/>
  <c r="D157" i="3" s="1"/>
  <c r="N157" i="1"/>
  <c r="D158" i="3" s="1"/>
  <c r="N158" i="1"/>
  <c r="D159" i="3" s="1"/>
  <c r="N159" i="1"/>
  <c r="D160" i="3" s="1"/>
  <c r="N160" i="1"/>
  <c r="D161" i="3" s="1"/>
  <c r="N161" i="1"/>
  <c r="D162" i="3" s="1"/>
  <c r="N162" i="1"/>
  <c r="D163" i="3" s="1"/>
  <c r="N163" i="1"/>
  <c r="D164" i="3" s="1"/>
  <c r="N164" i="1"/>
  <c r="D165" i="3" s="1"/>
  <c r="N165" i="1"/>
  <c r="D166" i="3" s="1"/>
  <c r="N166" i="1"/>
  <c r="D167" i="3" s="1"/>
  <c r="N167" i="1"/>
  <c r="D168" i="3" s="1"/>
  <c r="N168" i="1"/>
  <c r="D169" i="3" s="1"/>
  <c r="N169" i="1"/>
  <c r="D170" i="3" s="1"/>
  <c r="N170" i="1"/>
  <c r="D171" i="3" s="1"/>
  <c r="N171" i="1"/>
  <c r="N172"/>
  <c r="D173" i="3" s="1"/>
  <c r="N173" i="1"/>
  <c r="D174" i="3" s="1"/>
  <c r="N174" i="1"/>
  <c r="D175" i="3" s="1"/>
  <c r="N175" i="1"/>
  <c r="D176" i="3" s="1"/>
  <c r="N176" i="1"/>
  <c r="D177" i="3" s="1"/>
  <c r="N177" i="1"/>
  <c r="D178" i="3" s="1"/>
  <c r="N178" i="1"/>
  <c r="D179" i="3" s="1"/>
  <c r="N179" i="1"/>
  <c r="D180" i="3" s="1"/>
  <c r="N180" i="1"/>
  <c r="D181" i="3" s="1"/>
  <c r="N181" i="1"/>
  <c r="D182" i="3" s="1"/>
  <c r="N182" i="1"/>
  <c r="D183" i="3" s="1"/>
  <c r="N183" i="1"/>
  <c r="D184" i="3" s="1"/>
  <c r="N184" i="1"/>
  <c r="D185" i="3" s="1"/>
  <c r="N185" i="1"/>
  <c r="D186" i="3" s="1"/>
  <c r="N186" i="1"/>
  <c r="D187" i="3" s="1"/>
  <c r="N187" i="1"/>
  <c r="N188"/>
  <c r="D189" i="3" s="1"/>
  <c r="N189" i="1"/>
  <c r="D190" i="3" s="1"/>
  <c r="N190" i="1"/>
  <c r="D191" i="3" s="1"/>
  <c r="N191" i="1"/>
  <c r="D192" i="3" s="1"/>
  <c r="N192" i="1"/>
  <c r="D193" i="3" s="1"/>
  <c r="N193" i="1"/>
  <c r="D194" i="3" s="1"/>
  <c r="N194" i="1"/>
  <c r="D195" i="3" s="1"/>
  <c r="N195" i="1"/>
  <c r="D196" i="3" s="1"/>
  <c r="N196" i="1"/>
  <c r="D197" i="3" s="1"/>
  <c r="N197" i="1"/>
  <c r="D198" i="3" s="1"/>
  <c r="N198" i="1"/>
  <c r="D199" i="3" s="1"/>
  <c r="N199" i="1"/>
  <c r="D200" i="3" s="1"/>
  <c r="N200" i="1"/>
  <c r="D201" i="3" s="1"/>
  <c r="N201" i="1"/>
  <c r="D202" i="3" s="1"/>
  <c r="N202" i="1"/>
  <c r="D203" i="3" s="1"/>
  <c r="N203" i="1"/>
  <c r="D204" i="3" s="1"/>
  <c r="N204" i="1"/>
  <c r="D205" i="3" s="1"/>
  <c r="N205" i="1"/>
  <c r="D206" i="3" s="1"/>
  <c r="N206" i="1"/>
  <c r="D207" i="3" s="1"/>
  <c r="N207" i="1"/>
  <c r="D208" i="3" s="1"/>
  <c r="N208" i="1"/>
  <c r="D209" i="3" s="1"/>
  <c r="N209" i="1"/>
  <c r="D210" i="3" s="1"/>
  <c r="N210" i="1"/>
  <c r="D211" i="3" s="1"/>
  <c r="N211" i="1"/>
  <c r="D212" i="3" s="1"/>
  <c r="N212" i="1"/>
  <c r="D213" i="3" s="1"/>
  <c r="N213" i="1"/>
  <c r="D214" i="3" s="1"/>
  <c r="N214" i="1"/>
  <c r="D215" i="3" s="1"/>
  <c r="N215" i="1"/>
  <c r="D216" i="3" s="1"/>
  <c r="N216" i="1"/>
  <c r="D217" i="3" s="1"/>
  <c r="N217" i="1"/>
  <c r="D218" i="3" s="1"/>
  <c r="N218" i="1"/>
  <c r="D219" i="3" s="1"/>
  <c r="N219" i="1"/>
  <c r="N220"/>
  <c r="D221" i="3" s="1"/>
  <c r="N221" i="1"/>
  <c r="D222" i="3" s="1"/>
  <c r="N222" i="1"/>
  <c r="D223" i="3" s="1"/>
  <c r="N223" i="1"/>
  <c r="N224"/>
  <c r="D225" i="3" s="1"/>
  <c r="N225" i="1"/>
  <c r="D226" i="3" s="1"/>
  <c r="N226" i="1"/>
  <c r="D227" i="3" s="1"/>
  <c r="N227" i="1"/>
  <c r="D228" i="3" s="1"/>
  <c r="N228" i="1"/>
  <c r="D229" i="3" s="1"/>
  <c r="N229" i="1"/>
  <c r="D230" i="3" s="1"/>
  <c r="N230" i="1"/>
  <c r="N231"/>
  <c r="D232" i="3" s="1"/>
  <c r="N232" i="1"/>
  <c r="D233" i="3" s="1"/>
  <c r="N233" i="1"/>
  <c r="D234" i="3" s="1"/>
  <c r="N234" i="1"/>
  <c r="D235" i="3" s="1"/>
  <c r="N235" i="1"/>
  <c r="D236" i="3" s="1"/>
  <c r="N236" i="1"/>
  <c r="D237" i="3" s="1"/>
  <c r="N237" i="1"/>
  <c r="D238" i="3" s="1"/>
  <c r="N238" i="1"/>
  <c r="D239" i="3" s="1"/>
  <c r="N239" i="1"/>
  <c r="D240" i="3" s="1"/>
  <c r="N240" i="1"/>
  <c r="D241" i="3" s="1"/>
  <c r="N241" i="1"/>
  <c r="D242" i="3" s="1"/>
  <c r="N242" i="1"/>
  <c r="D243" i="3" s="1"/>
  <c r="N243" i="1"/>
  <c r="D244" i="3" s="1"/>
  <c r="N244" i="1"/>
  <c r="D245" i="3" s="1"/>
  <c r="N245" i="1"/>
  <c r="D246" i="3" s="1"/>
  <c r="N246" i="1"/>
  <c r="D247" i="3" s="1"/>
  <c r="N247" i="1"/>
  <c r="D248" i="3" s="1"/>
  <c r="N248" i="1"/>
  <c r="D249" i="3" s="1"/>
  <c r="N249" i="1"/>
  <c r="D250" i="3" s="1"/>
  <c r="N250" i="1"/>
  <c r="D251" i="3" s="1"/>
  <c r="N251" i="1"/>
  <c r="D252" i="3" s="1"/>
  <c r="N252" i="1"/>
  <c r="D253" i="3" s="1"/>
  <c r="N253" i="1"/>
  <c r="D254" i="3" s="1"/>
  <c r="N254" i="1"/>
  <c r="D255" i="3" s="1"/>
  <c r="N255" i="1"/>
  <c r="D256" i="3" s="1"/>
  <c r="N256" i="1"/>
  <c r="D257" i="3" s="1"/>
  <c r="N257" i="1"/>
  <c r="D258" i="3" s="1"/>
  <c r="N258" i="1"/>
  <c r="D259" i="3" s="1"/>
  <c r="N259" i="1"/>
  <c r="D260" i="3" s="1"/>
  <c r="N260" i="1"/>
  <c r="D261" i="3" s="1"/>
  <c r="N261" i="1"/>
  <c r="D262" i="3" s="1"/>
  <c r="N262" i="1"/>
  <c r="N263"/>
  <c r="D264" i="3" s="1"/>
  <c r="N264" i="1"/>
  <c r="D265" i="3" s="1"/>
  <c r="N265" i="1"/>
  <c r="D266" i="3" s="1"/>
  <c r="N266" i="1"/>
  <c r="D267" i="3" s="1"/>
  <c r="N267" i="1"/>
  <c r="D268" i="3" s="1"/>
  <c r="N268" i="1"/>
  <c r="D269" i="3" s="1"/>
  <c r="N269" i="1"/>
  <c r="D270" i="3" s="1"/>
  <c r="N270" i="1"/>
  <c r="D271" i="3" s="1"/>
  <c r="N271" i="1"/>
  <c r="D272" i="3" s="1"/>
  <c r="N272" i="1"/>
  <c r="D273" i="3" s="1"/>
  <c r="N273" i="1"/>
  <c r="D274" i="3" s="1"/>
  <c r="N274" i="1"/>
  <c r="D275" i="3" s="1"/>
  <c r="N275" i="1"/>
  <c r="N276"/>
  <c r="D277" i="3" s="1"/>
  <c r="N277" i="1"/>
  <c r="D278" i="3" s="1"/>
  <c r="N278" i="1"/>
  <c r="D279" i="3" s="1"/>
  <c r="N279" i="1"/>
  <c r="D280" i="3" s="1"/>
  <c r="N280" i="1"/>
  <c r="D281" i="3" s="1"/>
  <c r="N281" i="1"/>
  <c r="D282" i="3" s="1"/>
  <c r="N282" i="1"/>
  <c r="D283" i="3" s="1"/>
  <c r="N283" i="1"/>
  <c r="D284" i="3" s="1"/>
  <c r="N284" i="1"/>
  <c r="D285" i="3" s="1"/>
  <c r="N285" i="1"/>
  <c r="D286" i="3" s="1"/>
  <c r="N286" i="1"/>
  <c r="D287" i="3" s="1"/>
  <c r="N287" i="1"/>
  <c r="D288" i="3" s="1"/>
  <c r="N288" i="1"/>
  <c r="D289" i="3" s="1"/>
  <c r="N289" i="1"/>
  <c r="D290" i="3" s="1"/>
  <c r="N290" i="1"/>
  <c r="N291"/>
  <c r="D292" i="3" s="1"/>
  <c r="N292" i="1"/>
  <c r="D293" i="3" s="1"/>
  <c r="N293" i="1"/>
  <c r="D294" i="3" s="1"/>
  <c r="N294" i="1"/>
  <c r="D295" i="3" s="1"/>
  <c r="N295" i="1"/>
  <c r="D296" i="3" s="1"/>
  <c r="N296" i="1"/>
  <c r="D297" i="3" s="1"/>
  <c r="N297" i="1"/>
  <c r="D298" i="3" s="1"/>
  <c r="N298" i="1"/>
  <c r="D299" i="3" s="1"/>
  <c r="N299" i="1"/>
  <c r="D300" i="3" s="1"/>
  <c r="N300" i="1"/>
  <c r="D301" i="3" s="1"/>
  <c r="N301" i="1"/>
  <c r="D302" i="3" s="1"/>
  <c r="N302" i="1"/>
  <c r="D303" i="3" s="1"/>
  <c r="N303" i="1"/>
  <c r="N304"/>
  <c r="D305" i="3" s="1"/>
  <c r="N305" i="1"/>
  <c r="D306" i="3" s="1"/>
  <c r="N306" i="1"/>
  <c r="D307" i="3" s="1"/>
  <c r="N307" i="1"/>
  <c r="D308" i="3" s="1"/>
  <c r="N308" i="1"/>
  <c r="D309" i="3" s="1"/>
  <c r="N309" i="1"/>
  <c r="D310" i="3" s="1"/>
  <c r="N310" i="1"/>
  <c r="D311" i="3" s="1"/>
  <c r="N311" i="1"/>
  <c r="D312" i="3" s="1"/>
  <c r="N312" i="1"/>
  <c r="D313" i="3" s="1"/>
  <c r="N313" i="1"/>
  <c r="D314" i="3" s="1"/>
  <c r="N314" i="1"/>
  <c r="D315" i="3" s="1"/>
  <c r="N315" i="1"/>
  <c r="D316" i="3" s="1"/>
  <c r="N316" i="1"/>
  <c r="D317" i="3" s="1"/>
  <c r="N317" i="1"/>
  <c r="D318" i="3" s="1"/>
  <c r="N318" i="1"/>
  <c r="D319" i="3" s="1"/>
  <c r="N319" i="1"/>
  <c r="D320" i="3" s="1"/>
  <c r="N320" i="1"/>
  <c r="D321" i="3" s="1"/>
  <c r="N321" i="1"/>
  <c r="D322" i="3" s="1"/>
  <c r="N322" i="1"/>
  <c r="D323" i="3" s="1"/>
  <c r="N323" i="1"/>
  <c r="D324" i="3" s="1"/>
  <c r="N324" i="1"/>
  <c r="D325" i="3" s="1"/>
  <c r="N325" i="1"/>
  <c r="D326" i="3" s="1"/>
  <c r="N326" i="1"/>
  <c r="D327" i="3" s="1"/>
  <c r="N327" i="1"/>
  <c r="N328"/>
  <c r="D329" i="3" s="1"/>
  <c r="N329" i="1"/>
  <c r="D330" i="3" s="1"/>
  <c r="N330" i="1"/>
  <c r="D331" i="3" s="1"/>
  <c r="N331" i="1"/>
  <c r="N332"/>
  <c r="D333" i="3" s="1"/>
  <c r="N333" i="1"/>
  <c r="D334" i="3" s="1"/>
  <c r="N334" i="1"/>
  <c r="D335" i="3" s="1"/>
  <c r="N335" i="1"/>
  <c r="D336" i="3" s="1"/>
  <c r="N336" i="1"/>
  <c r="D337" i="3" s="1"/>
  <c r="N337" i="1"/>
  <c r="D338" i="3" s="1"/>
  <c r="N338" i="1"/>
  <c r="D339" i="3" s="1"/>
  <c r="N339" i="1"/>
  <c r="D340" i="3" s="1"/>
  <c r="N340" i="1"/>
  <c r="D341" i="3" s="1"/>
  <c r="N341" i="1"/>
  <c r="D342" i="3" s="1"/>
  <c r="N342" i="1"/>
  <c r="D343" i="3" s="1"/>
  <c r="N343" i="1"/>
  <c r="D344" i="3" s="1"/>
  <c r="N344" i="1"/>
  <c r="D345" i="3" s="1"/>
  <c r="N345" i="1"/>
  <c r="D346" i="3" s="1"/>
  <c r="N346" i="1"/>
  <c r="D347" i="3" s="1"/>
  <c r="N347" i="1"/>
  <c r="D348" i="3" s="1"/>
  <c r="N348" i="1"/>
  <c r="D349" i="3" s="1"/>
  <c r="N349" i="1"/>
  <c r="D350" i="3" s="1"/>
  <c r="N350" i="1"/>
  <c r="D351" i="3" s="1"/>
  <c r="N351" i="1"/>
  <c r="D352" i="3" s="1"/>
  <c r="N352" i="1"/>
  <c r="D353" i="3" s="1"/>
  <c r="N353" i="1"/>
  <c r="D354" i="3" s="1"/>
  <c r="N354" i="1"/>
  <c r="D355" i="3" s="1"/>
  <c r="N355" i="1"/>
  <c r="N356"/>
  <c r="D357" i="3" s="1"/>
  <c r="N357" i="1"/>
  <c r="D358" i="3" s="1"/>
  <c r="N358" i="1"/>
  <c r="D359" i="3" s="1"/>
  <c r="N359" i="1"/>
  <c r="D360" i="3" s="1"/>
  <c r="N360" i="1"/>
  <c r="D361" i="3" s="1"/>
  <c r="N361" i="1"/>
  <c r="D362" i="3" s="1"/>
  <c r="N362" i="1"/>
  <c r="D363" i="3" s="1"/>
  <c r="N363" i="1"/>
  <c r="N364"/>
  <c r="D365" i="3" s="1"/>
  <c r="N365" i="1"/>
  <c r="D366" i="3" s="1"/>
  <c r="N366" i="1"/>
  <c r="D367" i="3" s="1"/>
  <c r="N367" i="1"/>
  <c r="D368" i="3" s="1"/>
  <c r="N368" i="1"/>
  <c r="D369" i="3" s="1"/>
  <c r="N369" i="1"/>
  <c r="D370" i="3" s="1"/>
  <c r="N370" i="1"/>
  <c r="D371" i="3" s="1"/>
  <c r="N371" i="1"/>
  <c r="D372" i="3" s="1"/>
  <c r="N372" i="1"/>
  <c r="D373" i="3" s="1"/>
  <c r="N373" i="1"/>
  <c r="D374" i="3" s="1"/>
  <c r="N374" i="1"/>
  <c r="D375" i="3" s="1"/>
  <c r="N375" i="1"/>
  <c r="N376"/>
  <c r="D377" i="3" s="1"/>
  <c r="N377" i="1"/>
  <c r="D378" i="3" s="1"/>
  <c r="N378" i="1"/>
  <c r="D379" i="3" s="1"/>
  <c r="N379" i="1"/>
  <c r="D380" i="3" s="1"/>
  <c r="N380" i="1"/>
  <c r="D381" i="3" s="1"/>
  <c r="N381" i="1"/>
  <c r="D382" i="3" s="1"/>
  <c r="N382" i="1"/>
  <c r="D383" i="3" s="1"/>
  <c r="N383" i="1"/>
  <c r="D384" i="3" s="1"/>
  <c r="N384" i="1"/>
  <c r="D385" i="3" s="1"/>
  <c r="N385" i="1"/>
  <c r="D386" i="3" s="1"/>
  <c r="N386" i="1"/>
  <c r="D387" i="3" s="1"/>
  <c r="N387" i="1"/>
  <c r="D388" i="3" s="1"/>
  <c r="N388" i="1"/>
  <c r="D389" i="3" s="1"/>
  <c r="N389" i="1"/>
  <c r="D390" i="3" s="1"/>
  <c r="N390" i="1"/>
  <c r="D391" i="3" s="1"/>
  <c r="N391" i="1"/>
  <c r="D392" i="3" s="1"/>
  <c r="N392" i="1"/>
  <c r="D393" i="3" s="1"/>
  <c r="N393" i="1"/>
  <c r="D394" i="3" s="1"/>
  <c r="N394" i="1"/>
  <c r="D395" i="3" s="1"/>
  <c r="N395" i="1"/>
  <c r="D396" i="3" s="1"/>
  <c r="N396" i="1"/>
  <c r="D397" i="3" s="1"/>
  <c r="N397" i="1"/>
  <c r="D398" i="3" s="1"/>
  <c r="N398" i="1"/>
  <c r="D399" i="3" s="1"/>
  <c r="N399" i="1"/>
  <c r="N400"/>
  <c r="D401" i="3" s="1"/>
  <c r="N401" i="1"/>
  <c r="D402" i="3" s="1"/>
  <c r="N402" i="1"/>
  <c r="D403" i="3" s="1"/>
  <c r="N403" i="1"/>
  <c r="N404"/>
  <c r="D405" i="3" s="1"/>
  <c r="N405" i="1"/>
  <c r="D406" i="3" s="1"/>
  <c r="N406" i="1"/>
  <c r="D407" i="3" s="1"/>
  <c r="N407" i="1"/>
  <c r="D408" i="3" s="1"/>
  <c r="N408" i="1"/>
  <c r="D409" i="3" s="1"/>
  <c r="N409" i="1"/>
  <c r="D410" i="3" s="1"/>
  <c r="N410" i="1"/>
  <c r="D411" i="3" s="1"/>
  <c r="N411" i="1"/>
  <c r="D412" i="3" s="1"/>
  <c r="N412" i="1"/>
  <c r="D413" i="3" s="1"/>
  <c r="N413" i="1"/>
  <c r="D414" i="3" s="1"/>
  <c r="N414" i="1"/>
  <c r="D415" i="3" s="1"/>
  <c r="N415" i="1"/>
  <c r="D416" i="3" s="1"/>
  <c r="N416" i="1"/>
  <c r="D417" i="3" s="1"/>
  <c r="N417" i="1"/>
  <c r="D418" i="3" s="1"/>
  <c r="N418" i="1"/>
  <c r="D419" i="3" s="1"/>
  <c r="N419" i="1"/>
  <c r="D420" i="3" s="1"/>
  <c r="N420" i="1"/>
  <c r="D421" i="3" s="1"/>
  <c r="N421" i="1"/>
  <c r="D422" i="3" s="1"/>
  <c r="N422" i="1"/>
  <c r="D423" i="3" s="1"/>
  <c r="N423" i="1"/>
  <c r="D424" i="3" s="1"/>
  <c r="N424" i="1"/>
  <c r="D425" i="3" s="1"/>
  <c r="N425" i="1"/>
  <c r="D426" i="3" s="1"/>
  <c r="N426" i="1"/>
  <c r="D427" i="3" s="1"/>
  <c r="N427" i="1"/>
  <c r="N428"/>
  <c r="D429" i="3" s="1"/>
  <c r="N429" i="1"/>
  <c r="D430" i="3" s="1"/>
  <c r="N430" i="1"/>
  <c r="D431" i="3" s="1"/>
  <c r="N3" i="1"/>
  <c r="D4" i="3" s="1"/>
  <c r="M3" i="4"/>
  <c r="F31" i="3"/>
  <c r="F110"/>
  <c r="F159"/>
  <c r="F251"/>
  <c r="F37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S3" i="1"/>
  <c r="I4" i="3" s="1"/>
  <c r="S4" i="1"/>
  <c r="I5" i="3" s="1"/>
  <c r="S5" i="1"/>
  <c r="I6" i="3" s="1"/>
  <c r="S6" i="1"/>
  <c r="I7" i="3" s="1"/>
  <c r="S7" i="1"/>
  <c r="I8" i="3" s="1"/>
  <c r="S8" i="1"/>
  <c r="I9" i="3" s="1"/>
  <c r="S9" i="1"/>
  <c r="I10" i="3" s="1"/>
  <c r="S10" i="1"/>
  <c r="I11" i="3" s="1"/>
  <c r="S11" i="1"/>
  <c r="I12" i="3" s="1"/>
  <c r="S12" i="1"/>
  <c r="I13" i="3" s="1"/>
  <c r="S13" i="1"/>
  <c r="I14" i="3" s="1"/>
  <c r="S14" i="1"/>
  <c r="I15" i="3" s="1"/>
  <c r="S15" i="1"/>
  <c r="I16" i="3" s="1"/>
  <c r="S16" i="1"/>
  <c r="I17" i="3" s="1"/>
  <c r="S17" i="1"/>
  <c r="I18" i="3" s="1"/>
  <c r="S18" i="1"/>
  <c r="I19" i="3" s="1"/>
  <c r="S19" i="1"/>
  <c r="I20" i="3" s="1"/>
  <c r="S20" i="1"/>
  <c r="I21" i="3" s="1"/>
  <c r="S21" i="1"/>
  <c r="I22" i="3" s="1"/>
  <c r="S22" i="1"/>
  <c r="I23" i="3" s="1"/>
  <c r="S23" i="1"/>
  <c r="I24" i="3" s="1"/>
  <c r="S24" i="1"/>
  <c r="I25" i="3" s="1"/>
  <c r="S25" i="1"/>
  <c r="I26" i="3" s="1"/>
  <c r="S26" i="1"/>
  <c r="I27" i="3" s="1"/>
  <c r="S27" i="1"/>
  <c r="I28" i="3" s="1"/>
  <c r="S28" i="1"/>
  <c r="I29" i="3" s="1"/>
  <c r="S29" i="1"/>
  <c r="I30" i="3" s="1"/>
  <c r="S30" i="1"/>
  <c r="I31" i="3" s="1"/>
  <c r="S31" i="1"/>
  <c r="I32" i="3" s="1"/>
  <c r="S32" i="1"/>
  <c r="I33" i="3" s="1"/>
  <c r="S33" i="1"/>
  <c r="I34" i="3" s="1"/>
  <c r="S34" i="1"/>
  <c r="I35" i="3" s="1"/>
  <c r="S35" i="1"/>
  <c r="I36" i="3" s="1"/>
  <c r="S36" i="1"/>
  <c r="I37" i="3" s="1"/>
  <c r="S37" i="1"/>
  <c r="I38" i="3" s="1"/>
  <c r="S38" i="1"/>
  <c r="I39" i="3" s="1"/>
  <c r="S39" i="1"/>
  <c r="I40" i="3" s="1"/>
  <c r="S40" i="1"/>
  <c r="I41" i="3" s="1"/>
  <c r="S41" i="1"/>
  <c r="I42" i="3" s="1"/>
  <c r="S42" i="1"/>
  <c r="I43" i="3" s="1"/>
  <c r="S43" i="1"/>
  <c r="I44" i="3" s="1"/>
  <c r="S44" i="1"/>
  <c r="I45" i="3" s="1"/>
  <c r="S45" i="1"/>
  <c r="I46" i="3" s="1"/>
  <c r="S46" i="1"/>
  <c r="I47" i="3" s="1"/>
  <c r="S47" i="1"/>
  <c r="I48" i="3" s="1"/>
  <c r="S48" i="1"/>
  <c r="I49" i="3" s="1"/>
  <c r="S49" i="1"/>
  <c r="I50" i="3" s="1"/>
  <c r="S50" i="1"/>
  <c r="I51" i="3" s="1"/>
  <c r="S51" i="1"/>
  <c r="I52" i="3" s="1"/>
  <c r="S52" i="1"/>
  <c r="I53" i="3" s="1"/>
  <c r="S53" i="1"/>
  <c r="I54" i="3" s="1"/>
  <c r="S54" i="1"/>
  <c r="I55" i="3" s="1"/>
  <c r="S55" i="1"/>
  <c r="I56" i="3" s="1"/>
  <c r="S56" i="1"/>
  <c r="I57" i="3" s="1"/>
  <c r="S57" i="1"/>
  <c r="I58" i="3" s="1"/>
  <c r="S58" i="1"/>
  <c r="I59" i="3" s="1"/>
  <c r="S59" i="1"/>
  <c r="I60" i="3" s="1"/>
  <c r="S60" i="1"/>
  <c r="I61" i="3" s="1"/>
  <c r="S61" i="1"/>
  <c r="I62" i="3" s="1"/>
  <c r="S62" i="1"/>
  <c r="I63" i="3" s="1"/>
  <c r="S63" i="1"/>
  <c r="I64" i="3" s="1"/>
  <c r="S64" i="1"/>
  <c r="I65" i="3" s="1"/>
  <c r="S65" i="1"/>
  <c r="I66" i="3" s="1"/>
  <c r="S66" i="1"/>
  <c r="I67" i="3" s="1"/>
  <c r="S67" i="1"/>
  <c r="I68" i="3" s="1"/>
  <c r="S68" i="1"/>
  <c r="I69" i="3" s="1"/>
  <c r="S69" i="1"/>
  <c r="I70" i="3" s="1"/>
  <c r="S70" i="1"/>
  <c r="I71" i="3" s="1"/>
  <c r="S71" i="1"/>
  <c r="I72" i="3" s="1"/>
  <c r="S72" i="1"/>
  <c r="I73" i="3" s="1"/>
  <c r="S73" i="1"/>
  <c r="I74" i="3" s="1"/>
  <c r="S74" i="1"/>
  <c r="I75" i="3" s="1"/>
  <c r="S75" i="1"/>
  <c r="I76" i="3" s="1"/>
  <c r="S76" i="1"/>
  <c r="I77" i="3" s="1"/>
  <c r="S77" i="1"/>
  <c r="I78" i="3" s="1"/>
  <c r="S78" i="1"/>
  <c r="I79" i="3" s="1"/>
  <c r="S79" i="1"/>
  <c r="I80" i="3" s="1"/>
  <c r="S80" i="1"/>
  <c r="I81" i="3" s="1"/>
  <c r="S81" i="1"/>
  <c r="I82" i="3" s="1"/>
  <c r="S82" i="1"/>
  <c r="I83" i="3" s="1"/>
  <c r="S83" i="1"/>
  <c r="I84" i="3" s="1"/>
  <c r="S84" i="1"/>
  <c r="I85" i="3" s="1"/>
  <c r="S85" i="1"/>
  <c r="I86" i="3" s="1"/>
  <c r="S86" i="1"/>
  <c r="I87" i="3" s="1"/>
  <c r="S87" i="1"/>
  <c r="I88" i="3" s="1"/>
  <c r="S88" i="1"/>
  <c r="I89" i="3" s="1"/>
  <c r="S89" i="1"/>
  <c r="I90" i="3" s="1"/>
  <c r="S90" i="1"/>
  <c r="I91" i="3" s="1"/>
  <c r="S91" i="1"/>
  <c r="I92" i="3" s="1"/>
  <c r="S92" i="1"/>
  <c r="I93" i="3" s="1"/>
  <c r="S93" i="1"/>
  <c r="I94" i="3" s="1"/>
  <c r="S94" i="1"/>
  <c r="I95" i="3" s="1"/>
  <c r="S95" i="1"/>
  <c r="I96" i="3" s="1"/>
  <c r="S96" i="1"/>
  <c r="I97" i="3" s="1"/>
  <c r="S97" i="1"/>
  <c r="I98" i="3" s="1"/>
  <c r="S98" i="1"/>
  <c r="I99" i="3" s="1"/>
  <c r="S99" i="1"/>
  <c r="I100" i="3" s="1"/>
  <c r="S100" i="1"/>
  <c r="I101" i="3" s="1"/>
  <c r="S101" i="1"/>
  <c r="I102" i="3" s="1"/>
  <c r="S102" i="1"/>
  <c r="I103" i="3" s="1"/>
  <c r="S103" i="1"/>
  <c r="I104" i="3" s="1"/>
  <c r="S104" i="1"/>
  <c r="I105" i="3" s="1"/>
  <c r="S105" i="1"/>
  <c r="I106" i="3" s="1"/>
  <c r="S106" i="1"/>
  <c r="I107" i="3" s="1"/>
  <c r="S107" i="1"/>
  <c r="I108" i="3" s="1"/>
  <c r="S108" i="1"/>
  <c r="I109" i="3" s="1"/>
  <c r="S109" i="1"/>
  <c r="I110" i="3" s="1"/>
  <c r="S110" i="1"/>
  <c r="I111" i="3" s="1"/>
  <c r="S111" i="1"/>
  <c r="I112" i="3" s="1"/>
  <c r="S112" i="1"/>
  <c r="I113" i="3" s="1"/>
  <c r="S113" i="1"/>
  <c r="I114" i="3" s="1"/>
  <c r="S114" i="1"/>
  <c r="I115" i="3" s="1"/>
  <c r="S115" i="1"/>
  <c r="I116" i="3" s="1"/>
  <c r="S116" i="1"/>
  <c r="I117" i="3" s="1"/>
  <c r="S117" i="1"/>
  <c r="I118" i="3" s="1"/>
  <c r="S118" i="1"/>
  <c r="I119" i="3" s="1"/>
  <c r="S119" i="1"/>
  <c r="I120" i="3" s="1"/>
  <c r="S120" i="1"/>
  <c r="I121" i="3" s="1"/>
  <c r="S121" i="1"/>
  <c r="I122" i="3" s="1"/>
  <c r="S122" i="1"/>
  <c r="I123" i="3" s="1"/>
  <c r="S123" i="1"/>
  <c r="I124" i="3" s="1"/>
  <c r="S124" i="1"/>
  <c r="I125" i="3" s="1"/>
  <c r="S125" i="1"/>
  <c r="I126" i="3" s="1"/>
  <c r="S126" i="1"/>
  <c r="I127" i="3" s="1"/>
  <c r="S127" i="1"/>
  <c r="I128" i="3" s="1"/>
  <c r="S128" i="1"/>
  <c r="I129" i="3" s="1"/>
  <c r="S129" i="1"/>
  <c r="I130" i="3" s="1"/>
  <c r="S130" i="1"/>
  <c r="I131" i="3" s="1"/>
  <c r="S131" i="1"/>
  <c r="I132" i="3" s="1"/>
  <c r="S132" i="1"/>
  <c r="I133" i="3" s="1"/>
  <c r="S133" i="1"/>
  <c r="I134" i="3" s="1"/>
  <c r="S134" i="1"/>
  <c r="I135" i="3" s="1"/>
  <c r="S135" i="1"/>
  <c r="I136" i="3" s="1"/>
  <c r="S136" i="1"/>
  <c r="I137" i="3" s="1"/>
  <c r="S137" i="1"/>
  <c r="I138" i="3" s="1"/>
  <c r="S138" i="1"/>
  <c r="I139" i="3" s="1"/>
  <c r="S139" i="1"/>
  <c r="I140" i="3" s="1"/>
  <c r="S140" i="1"/>
  <c r="I141" i="3" s="1"/>
  <c r="S141" i="1"/>
  <c r="I142" i="3" s="1"/>
  <c r="S142" i="1"/>
  <c r="I143" i="3" s="1"/>
  <c r="S143" i="1"/>
  <c r="I144" i="3" s="1"/>
  <c r="S144" i="1"/>
  <c r="I145" i="3" s="1"/>
  <c r="S145" i="1"/>
  <c r="I146" i="3" s="1"/>
  <c r="S146" i="1"/>
  <c r="I147" i="3" s="1"/>
  <c r="S147" i="1"/>
  <c r="I148" i="3" s="1"/>
  <c r="S148" i="1"/>
  <c r="I149" i="3" s="1"/>
  <c r="S149" i="1"/>
  <c r="I150" i="3" s="1"/>
  <c r="S150" i="1"/>
  <c r="I151" i="3" s="1"/>
  <c r="S151" i="1"/>
  <c r="I152" i="3" s="1"/>
  <c r="S152" i="1"/>
  <c r="I153" i="3" s="1"/>
  <c r="S153" i="1"/>
  <c r="I154" i="3" s="1"/>
  <c r="S154" i="1"/>
  <c r="I155" i="3" s="1"/>
  <c r="S155" i="1"/>
  <c r="I156" i="3" s="1"/>
  <c r="S156" i="1"/>
  <c r="I157" i="3" s="1"/>
  <c r="S157" i="1"/>
  <c r="I158" i="3" s="1"/>
  <c r="S158" i="1"/>
  <c r="I159" i="3" s="1"/>
  <c r="S159" i="1"/>
  <c r="I160" i="3" s="1"/>
  <c r="S160" i="1"/>
  <c r="I161" i="3" s="1"/>
  <c r="S161" i="1"/>
  <c r="I162" i="3" s="1"/>
  <c r="S162" i="1"/>
  <c r="I163" i="3" s="1"/>
  <c r="S163" i="1"/>
  <c r="I164" i="3" s="1"/>
  <c r="S164" i="1"/>
  <c r="I165" i="3" s="1"/>
  <c r="S165" i="1"/>
  <c r="I166" i="3" s="1"/>
  <c r="S166" i="1"/>
  <c r="I167" i="3" s="1"/>
  <c r="S167" i="1"/>
  <c r="I168" i="3" s="1"/>
  <c r="S168" i="1"/>
  <c r="I169" i="3" s="1"/>
  <c r="S169" i="1"/>
  <c r="I170" i="3" s="1"/>
  <c r="S170" i="1"/>
  <c r="I171" i="3" s="1"/>
  <c r="S171" i="1"/>
  <c r="I172" i="3" s="1"/>
  <c r="S172" i="1"/>
  <c r="I173" i="3" s="1"/>
  <c r="S173" i="1"/>
  <c r="I174" i="3" s="1"/>
  <c r="S174" i="1"/>
  <c r="I175" i="3" s="1"/>
  <c r="S175" i="1"/>
  <c r="I176" i="3" s="1"/>
  <c r="S176" i="1"/>
  <c r="I177" i="3" s="1"/>
  <c r="S177" i="1"/>
  <c r="I178" i="3" s="1"/>
  <c r="S178" i="1"/>
  <c r="I179" i="3" s="1"/>
  <c r="S179" i="1"/>
  <c r="I180" i="3" s="1"/>
  <c r="S180" i="1"/>
  <c r="I181" i="3" s="1"/>
  <c r="S181" i="1"/>
  <c r="I182" i="3" s="1"/>
  <c r="S182" i="1"/>
  <c r="I183" i="3" s="1"/>
  <c r="S183" i="1"/>
  <c r="I184" i="3" s="1"/>
  <c r="S184" i="1"/>
  <c r="I185" i="3" s="1"/>
  <c r="S185" i="1"/>
  <c r="I186" i="3" s="1"/>
  <c r="S186" i="1"/>
  <c r="I187" i="3" s="1"/>
  <c r="S187" i="1"/>
  <c r="I188" i="3" s="1"/>
  <c r="S188" i="1"/>
  <c r="I189" i="3" s="1"/>
  <c r="S189" i="1"/>
  <c r="I190" i="3" s="1"/>
  <c r="S190" i="1"/>
  <c r="I191" i="3" s="1"/>
  <c r="S191" i="1"/>
  <c r="I192" i="3" s="1"/>
  <c r="S192" i="1"/>
  <c r="I193" i="3" s="1"/>
  <c r="S193" i="1"/>
  <c r="I194" i="3" s="1"/>
  <c r="S194" i="1"/>
  <c r="I195" i="3" s="1"/>
  <c r="S195" i="1"/>
  <c r="I196" i="3" s="1"/>
  <c r="S196" i="1"/>
  <c r="I197" i="3" s="1"/>
  <c r="S197" i="1"/>
  <c r="I198" i="3" s="1"/>
  <c r="S198" i="1"/>
  <c r="I199" i="3" s="1"/>
  <c r="S199" i="1"/>
  <c r="I200" i="3" s="1"/>
  <c r="S200" i="1"/>
  <c r="I201" i="3" s="1"/>
  <c r="S201" i="1"/>
  <c r="I202" i="3" s="1"/>
  <c r="S202" i="1"/>
  <c r="I203" i="3" s="1"/>
  <c r="S203" i="1"/>
  <c r="I204" i="3" s="1"/>
  <c r="S204" i="1"/>
  <c r="I205" i="3" s="1"/>
  <c r="S205" i="1"/>
  <c r="I206" i="3" s="1"/>
  <c r="S206" i="1"/>
  <c r="I207" i="3" s="1"/>
  <c r="S207" i="1"/>
  <c r="I208" i="3" s="1"/>
  <c r="S208" i="1"/>
  <c r="I209" i="3" s="1"/>
  <c r="S209" i="1"/>
  <c r="I210" i="3" s="1"/>
  <c r="S210" i="1"/>
  <c r="I211" i="3" s="1"/>
  <c r="S211" i="1"/>
  <c r="I212" i="3" s="1"/>
  <c r="S212" i="1"/>
  <c r="I213" i="3" s="1"/>
  <c r="S213" i="1"/>
  <c r="I214" i="3" s="1"/>
  <c r="S214" i="1"/>
  <c r="I215" i="3" s="1"/>
  <c r="S215" i="1"/>
  <c r="I216" i="3" s="1"/>
  <c r="S216" i="1"/>
  <c r="I217" i="3" s="1"/>
  <c r="S217" i="1"/>
  <c r="I218" i="3" s="1"/>
  <c r="S218" i="1"/>
  <c r="I219" i="3" s="1"/>
  <c r="S219" i="1"/>
  <c r="I220" i="3" s="1"/>
  <c r="S220" i="1"/>
  <c r="I221" i="3" s="1"/>
  <c r="S221" i="1"/>
  <c r="I222" i="3" s="1"/>
  <c r="S222" i="1"/>
  <c r="I223" i="3" s="1"/>
  <c r="S223" i="1"/>
  <c r="I224" i="3" s="1"/>
  <c r="S224" i="1"/>
  <c r="I225" i="3" s="1"/>
  <c r="S225" i="1"/>
  <c r="I226" i="3" s="1"/>
  <c r="S226" i="1"/>
  <c r="I227" i="3" s="1"/>
  <c r="S227" i="1"/>
  <c r="I228" i="3" s="1"/>
  <c r="S228" i="1"/>
  <c r="I229" i="3" s="1"/>
  <c r="S229" i="1"/>
  <c r="I230" i="3" s="1"/>
  <c r="S230" i="1"/>
  <c r="I231" i="3" s="1"/>
  <c r="S231" i="1"/>
  <c r="I232" i="3" s="1"/>
  <c r="S232" i="1"/>
  <c r="I233" i="3" s="1"/>
  <c r="S233" i="1"/>
  <c r="I234" i="3" s="1"/>
  <c r="S234" i="1"/>
  <c r="I235" i="3" s="1"/>
  <c r="S235" i="1"/>
  <c r="I236" i="3" s="1"/>
  <c r="S236" i="1"/>
  <c r="I237" i="3" s="1"/>
  <c r="S237" i="1"/>
  <c r="I238" i="3" s="1"/>
  <c r="S238" i="1"/>
  <c r="I239" i="3" s="1"/>
  <c r="S239" i="1"/>
  <c r="I240" i="3" s="1"/>
  <c r="S240" i="1"/>
  <c r="I241" i="3" s="1"/>
  <c r="S241" i="1"/>
  <c r="I242" i="3" s="1"/>
  <c r="S242" i="1"/>
  <c r="I243" i="3" s="1"/>
  <c r="S243" i="1"/>
  <c r="I244" i="3" s="1"/>
  <c r="S244" i="1"/>
  <c r="I245" i="3" s="1"/>
  <c r="S245" i="1"/>
  <c r="I246" i="3" s="1"/>
  <c r="S246" i="1"/>
  <c r="I247" i="3" s="1"/>
  <c r="S247" i="1"/>
  <c r="I248" i="3" s="1"/>
  <c r="S248" i="1"/>
  <c r="I249" i="3" s="1"/>
  <c r="S249" i="1"/>
  <c r="I250" i="3" s="1"/>
  <c r="S250" i="1"/>
  <c r="I251" i="3" s="1"/>
  <c r="S251" i="1"/>
  <c r="I252" i="3" s="1"/>
  <c r="S252" i="1"/>
  <c r="I253" i="3" s="1"/>
  <c r="S253" i="1"/>
  <c r="I254" i="3" s="1"/>
  <c r="S254" i="1"/>
  <c r="I255" i="3" s="1"/>
  <c r="S255" i="1"/>
  <c r="I256" i="3" s="1"/>
  <c r="S256" i="1"/>
  <c r="I257" i="3" s="1"/>
  <c r="S257" i="1"/>
  <c r="I258" i="3" s="1"/>
  <c r="S258" i="1"/>
  <c r="I259" i="3" s="1"/>
  <c r="S259" i="1"/>
  <c r="I260" i="3" s="1"/>
  <c r="S260" i="1"/>
  <c r="I261" i="3" s="1"/>
  <c r="S261" i="1"/>
  <c r="I262" i="3" s="1"/>
  <c r="S262" i="1"/>
  <c r="I263" i="3" s="1"/>
  <c r="S263" i="1"/>
  <c r="I264" i="3" s="1"/>
  <c r="S264" i="1"/>
  <c r="I265" i="3" s="1"/>
  <c r="S265" i="1"/>
  <c r="I266" i="3" s="1"/>
  <c r="S266" i="1"/>
  <c r="I267" i="3" s="1"/>
  <c r="S267" i="1"/>
  <c r="I268" i="3" s="1"/>
  <c r="S268" i="1"/>
  <c r="I269" i="3" s="1"/>
  <c r="S269" i="1"/>
  <c r="I270" i="3" s="1"/>
  <c r="S270" i="1"/>
  <c r="I271" i="3" s="1"/>
  <c r="S271" i="1"/>
  <c r="I272" i="3" s="1"/>
  <c r="S272" i="1"/>
  <c r="I273" i="3" s="1"/>
  <c r="S273" i="1"/>
  <c r="I274" i="3" s="1"/>
  <c r="S274" i="1"/>
  <c r="I275" i="3" s="1"/>
  <c r="S275" i="1"/>
  <c r="I276" i="3" s="1"/>
  <c r="S276" i="1"/>
  <c r="I277" i="3" s="1"/>
  <c r="S277" i="1"/>
  <c r="I278" i="3" s="1"/>
  <c r="S278" i="1"/>
  <c r="I279" i="3" s="1"/>
  <c r="S279" i="1"/>
  <c r="I280" i="3" s="1"/>
  <c r="S280" i="1"/>
  <c r="I281" i="3" s="1"/>
  <c r="S281" i="1"/>
  <c r="I282" i="3" s="1"/>
  <c r="S282" i="1"/>
  <c r="I283" i="3" s="1"/>
  <c r="S283" i="1"/>
  <c r="I284" i="3" s="1"/>
  <c r="S284" i="1"/>
  <c r="I285" i="3" s="1"/>
  <c r="S285" i="1"/>
  <c r="I286" i="3" s="1"/>
  <c r="S286" i="1"/>
  <c r="I287" i="3" s="1"/>
  <c r="S287" i="1"/>
  <c r="I288" i="3" s="1"/>
  <c r="S288" i="1"/>
  <c r="I289" i="3" s="1"/>
  <c r="S289" i="1"/>
  <c r="I290" i="3" s="1"/>
  <c r="S290" i="1"/>
  <c r="I291" i="3" s="1"/>
  <c r="S291" i="1"/>
  <c r="I292" i="3" s="1"/>
  <c r="S292" i="1"/>
  <c r="I293" i="3" s="1"/>
  <c r="S293" i="1"/>
  <c r="I294" i="3" s="1"/>
  <c r="S294" i="1"/>
  <c r="I295" i="3" s="1"/>
  <c r="S295" i="1"/>
  <c r="I296" i="3" s="1"/>
  <c r="S296" i="1"/>
  <c r="I297" i="3" s="1"/>
  <c r="S297" i="1"/>
  <c r="I298" i="3" s="1"/>
  <c r="S298" i="1"/>
  <c r="I299" i="3" s="1"/>
  <c r="S299" i="1"/>
  <c r="I300" i="3" s="1"/>
  <c r="S300" i="1"/>
  <c r="I301" i="3" s="1"/>
  <c r="S301" i="1"/>
  <c r="I302" i="3" s="1"/>
  <c r="S302" i="1"/>
  <c r="I303" i="3" s="1"/>
  <c r="S303" i="1"/>
  <c r="I304" i="3" s="1"/>
  <c r="S304" i="1"/>
  <c r="I305" i="3" s="1"/>
  <c r="S305" i="1"/>
  <c r="I306" i="3" s="1"/>
  <c r="S306" i="1"/>
  <c r="I307" i="3" s="1"/>
  <c r="S307" i="1"/>
  <c r="I308" i="3" s="1"/>
  <c r="S308" i="1"/>
  <c r="I309" i="3" s="1"/>
  <c r="S309" i="1"/>
  <c r="I310" i="3" s="1"/>
  <c r="S310" i="1"/>
  <c r="I311" i="3" s="1"/>
  <c r="S311" i="1"/>
  <c r="I312" i="3" s="1"/>
  <c r="S312" i="1"/>
  <c r="I313" i="3" s="1"/>
  <c r="S313" i="1"/>
  <c r="I314" i="3" s="1"/>
  <c r="S314" i="1"/>
  <c r="I315" i="3" s="1"/>
  <c r="S315" i="1"/>
  <c r="I316" i="3" s="1"/>
  <c r="S316" i="1"/>
  <c r="I317" i="3" s="1"/>
  <c r="S317" i="1"/>
  <c r="I318" i="3" s="1"/>
  <c r="S318" i="1"/>
  <c r="I319" i="3" s="1"/>
  <c r="S319" i="1"/>
  <c r="I320" i="3" s="1"/>
  <c r="S320" i="1"/>
  <c r="I321" i="3" s="1"/>
  <c r="S321" i="1"/>
  <c r="I322" i="3" s="1"/>
  <c r="S322" i="1"/>
  <c r="I323" i="3" s="1"/>
  <c r="S323" i="1"/>
  <c r="I324" i="3" s="1"/>
  <c r="S324" i="1"/>
  <c r="I325" i="3" s="1"/>
  <c r="S325" i="1"/>
  <c r="I326" i="3" s="1"/>
  <c r="S326" i="1"/>
  <c r="I327" i="3" s="1"/>
  <c r="S327" i="1"/>
  <c r="I328" i="3" s="1"/>
  <c r="S328" i="1"/>
  <c r="I329" i="3" s="1"/>
  <c r="S329" i="1"/>
  <c r="I330" i="3" s="1"/>
  <c r="S330" i="1"/>
  <c r="I331" i="3" s="1"/>
  <c r="S331" i="1"/>
  <c r="I332" i="3" s="1"/>
  <c r="S332" i="1"/>
  <c r="I333" i="3" s="1"/>
  <c r="S333" i="1"/>
  <c r="I334" i="3" s="1"/>
  <c r="S334" i="1"/>
  <c r="I335" i="3" s="1"/>
  <c r="S335" i="1"/>
  <c r="I336" i="3" s="1"/>
  <c r="S336" i="1"/>
  <c r="I337" i="3" s="1"/>
  <c r="S337" i="1"/>
  <c r="I338" i="3" s="1"/>
  <c r="S338" i="1"/>
  <c r="I339" i="3" s="1"/>
  <c r="S339" i="1"/>
  <c r="I340" i="3" s="1"/>
  <c r="S340" i="1"/>
  <c r="I341" i="3" s="1"/>
  <c r="S341" i="1"/>
  <c r="I342" i="3" s="1"/>
  <c r="S342" i="1"/>
  <c r="I343" i="3" s="1"/>
  <c r="S343" i="1"/>
  <c r="I344" i="3" s="1"/>
  <c r="S344" i="1"/>
  <c r="I345" i="3" s="1"/>
  <c r="S345" i="1"/>
  <c r="I346" i="3" s="1"/>
  <c r="S346" i="1"/>
  <c r="I347" i="3" s="1"/>
  <c r="S347" i="1"/>
  <c r="I348" i="3" s="1"/>
  <c r="S348" i="1"/>
  <c r="I349" i="3" s="1"/>
  <c r="S349" i="1"/>
  <c r="I350" i="3" s="1"/>
  <c r="S350" i="1"/>
  <c r="I351" i="3" s="1"/>
  <c r="S351" i="1"/>
  <c r="I352" i="3" s="1"/>
  <c r="S352" i="1"/>
  <c r="I353" i="3" s="1"/>
  <c r="S353" i="1"/>
  <c r="I354" i="3" s="1"/>
  <c r="S354" i="1"/>
  <c r="I355" i="3" s="1"/>
  <c r="S355" i="1"/>
  <c r="I356" i="3" s="1"/>
  <c r="S356" i="1"/>
  <c r="I357" i="3" s="1"/>
  <c r="S357" i="1"/>
  <c r="I358" i="3" s="1"/>
  <c r="S358" i="1"/>
  <c r="I359" i="3" s="1"/>
  <c r="S359" i="1"/>
  <c r="I360" i="3" s="1"/>
  <c r="S360" i="1"/>
  <c r="I361" i="3" s="1"/>
  <c r="S361" i="1"/>
  <c r="I362" i="3" s="1"/>
  <c r="S362" i="1"/>
  <c r="I363" i="3" s="1"/>
  <c r="S363" i="1"/>
  <c r="I364" i="3" s="1"/>
  <c r="S364" i="1"/>
  <c r="I365" i="3" s="1"/>
  <c r="S365" i="1"/>
  <c r="I366" i="3" s="1"/>
  <c r="S366" i="1"/>
  <c r="I367" i="3" s="1"/>
  <c r="S367" i="1"/>
  <c r="I368" i="3" s="1"/>
  <c r="S368" i="1"/>
  <c r="I369" i="3" s="1"/>
  <c r="S369" i="1"/>
  <c r="I370" i="3" s="1"/>
  <c r="S370" i="1"/>
  <c r="I371" i="3" s="1"/>
  <c r="S371" i="1"/>
  <c r="I372" i="3" s="1"/>
  <c r="S372" i="1"/>
  <c r="I373" i="3" s="1"/>
  <c r="S373" i="1"/>
  <c r="I374" i="3" s="1"/>
  <c r="S374" i="1"/>
  <c r="I375" i="3" s="1"/>
  <c r="S375" i="1"/>
  <c r="I376" i="3" s="1"/>
  <c r="S376" i="1"/>
  <c r="I377" i="3" s="1"/>
  <c r="S377" i="1"/>
  <c r="I378" i="3" s="1"/>
  <c r="S378" i="1"/>
  <c r="I379" i="3" s="1"/>
  <c r="S379" i="1"/>
  <c r="I380" i="3" s="1"/>
  <c r="S380" i="1"/>
  <c r="I381" i="3" s="1"/>
  <c r="S381" i="1"/>
  <c r="I382" i="3" s="1"/>
  <c r="S382" i="1"/>
  <c r="I383" i="3" s="1"/>
  <c r="S383" i="1"/>
  <c r="I384" i="3" s="1"/>
  <c r="S384" i="1"/>
  <c r="I385" i="3" s="1"/>
  <c r="S385" i="1"/>
  <c r="I386" i="3" s="1"/>
  <c r="S386" i="1"/>
  <c r="I387" i="3" s="1"/>
  <c r="S387" i="1"/>
  <c r="I388" i="3" s="1"/>
  <c r="S388" i="1"/>
  <c r="I389" i="3" s="1"/>
  <c r="S389" i="1"/>
  <c r="I390" i="3" s="1"/>
  <c r="S390" i="1"/>
  <c r="I391" i="3" s="1"/>
  <c r="S391" i="1"/>
  <c r="I392" i="3" s="1"/>
  <c r="S392" i="1"/>
  <c r="I393" i="3" s="1"/>
  <c r="S393" i="1"/>
  <c r="I394" i="3" s="1"/>
  <c r="S394" i="1"/>
  <c r="I395" i="3" s="1"/>
  <c r="S395" i="1"/>
  <c r="I396" i="3" s="1"/>
  <c r="S396" i="1"/>
  <c r="I397" i="3" s="1"/>
  <c r="S397" i="1"/>
  <c r="I398" i="3" s="1"/>
  <c r="S398" i="1"/>
  <c r="I399" i="3" s="1"/>
  <c r="S399" i="1"/>
  <c r="I400" i="3" s="1"/>
  <c r="S400" i="1"/>
  <c r="I401" i="3" s="1"/>
  <c r="S401" i="1"/>
  <c r="I402" i="3" s="1"/>
  <c r="S402" i="1"/>
  <c r="I403" i="3" s="1"/>
  <c r="S403" i="1"/>
  <c r="I404" i="3" s="1"/>
  <c r="S404" i="1"/>
  <c r="I405" i="3" s="1"/>
  <c r="S405" i="1"/>
  <c r="I406" i="3" s="1"/>
  <c r="S406" i="1"/>
  <c r="I407" i="3" s="1"/>
  <c r="S407" i="1"/>
  <c r="I408" i="3" s="1"/>
  <c r="S408" i="1"/>
  <c r="I409" i="3" s="1"/>
  <c r="S409" i="1"/>
  <c r="I410" i="3" s="1"/>
  <c r="S410" i="1"/>
  <c r="I411" i="3" s="1"/>
  <c r="S411" i="1"/>
  <c r="I412" i="3" s="1"/>
  <c r="S412" i="1"/>
  <c r="I413" i="3" s="1"/>
  <c r="S413" i="1"/>
  <c r="I414" i="3" s="1"/>
  <c r="S414" i="1"/>
  <c r="I415" i="3" s="1"/>
  <c r="S415" i="1"/>
  <c r="I416" i="3" s="1"/>
  <c r="S416" i="1"/>
  <c r="I417" i="3" s="1"/>
  <c r="S417" i="1"/>
  <c r="I418" i="3" s="1"/>
  <c r="S418" i="1"/>
  <c r="I419" i="3" s="1"/>
  <c r="S419" i="1"/>
  <c r="I420" i="3" s="1"/>
  <c r="S420" i="1"/>
  <c r="I421" i="3" s="1"/>
  <c r="S421" i="1"/>
  <c r="I422" i="3" s="1"/>
  <c r="S422" i="1"/>
  <c r="I423" i="3" s="1"/>
  <c r="S423" i="1"/>
  <c r="I424" i="3" s="1"/>
  <c r="S424" i="1"/>
  <c r="I425" i="3" s="1"/>
  <c r="S425" i="1"/>
  <c r="I426" i="3" s="1"/>
  <c r="S426" i="1"/>
  <c r="I427" i="3" s="1"/>
  <c r="S427" i="1"/>
  <c r="I428" i="3" s="1"/>
  <c r="S428" i="1"/>
  <c r="I429" i="3" s="1"/>
  <c r="S429" i="1"/>
  <c r="I430" i="3" s="1"/>
  <c r="S430" i="1"/>
  <c r="I431" i="3" s="1"/>
  <c r="R3" i="1"/>
  <c r="H4" i="3" s="1"/>
  <c r="R4" i="1"/>
  <c r="H5" i="3" s="1"/>
  <c r="R5" i="1"/>
  <c r="H6" i="3" s="1"/>
  <c r="R6" i="1"/>
  <c r="H7" i="3" s="1"/>
  <c r="R7" i="1"/>
  <c r="H8" i="3" s="1"/>
  <c r="R8" i="1"/>
  <c r="H9" i="3" s="1"/>
  <c r="R9" i="1"/>
  <c r="H10" i="3" s="1"/>
  <c r="R10" i="1"/>
  <c r="H11" i="3" s="1"/>
  <c r="R11" i="1"/>
  <c r="H12" i="3" s="1"/>
  <c r="R12" i="1"/>
  <c r="H13" i="3" s="1"/>
  <c r="R13" i="1"/>
  <c r="H14" i="3" s="1"/>
  <c r="R14" i="1"/>
  <c r="H15" i="3" s="1"/>
  <c r="R15" i="1"/>
  <c r="H16" i="3" s="1"/>
  <c r="R16" i="1"/>
  <c r="H17" i="3" s="1"/>
  <c r="R17" i="1"/>
  <c r="H18" i="3" s="1"/>
  <c r="R18" i="1"/>
  <c r="H19" i="3" s="1"/>
  <c r="R19" i="1"/>
  <c r="H20" i="3" s="1"/>
  <c r="R20" i="1"/>
  <c r="H21" i="3" s="1"/>
  <c r="R21" i="1"/>
  <c r="H22" i="3" s="1"/>
  <c r="R22" i="1"/>
  <c r="H23" i="3" s="1"/>
  <c r="R23" i="1"/>
  <c r="H24" i="3" s="1"/>
  <c r="R24" i="1"/>
  <c r="H25" i="3" s="1"/>
  <c r="R25" i="1"/>
  <c r="H26" i="3" s="1"/>
  <c r="R26" i="1"/>
  <c r="H27" i="3" s="1"/>
  <c r="R27" i="1"/>
  <c r="H28" i="3" s="1"/>
  <c r="R28" i="1"/>
  <c r="H29" i="3" s="1"/>
  <c r="R29" i="1"/>
  <c r="H30" i="3" s="1"/>
  <c r="R30" i="1"/>
  <c r="H31" i="3" s="1"/>
  <c r="R31" i="1"/>
  <c r="H32" i="3" s="1"/>
  <c r="R32" i="1"/>
  <c r="H33" i="3" s="1"/>
  <c r="R33" i="1"/>
  <c r="H34" i="3" s="1"/>
  <c r="R34" i="1"/>
  <c r="H35" i="3" s="1"/>
  <c r="R35" i="1"/>
  <c r="H36" i="3" s="1"/>
  <c r="R36" i="1"/>
  <c r="H37" i="3" s="1"/>
  <c r="R37" i="1"/>
  <c r="H38" i="3" s="1"/>
  <c r="R38" i="1"/>
  <c r="H39" i="3" s="1"/>
  <c r="R39" i="1"/>
  <c r="H40" i="3" s="1"/>
  <c r="R40" i="1"/>
  <c r="H41" i="3" s="1"/>
  <c r="R41" i="1"/>
  <c r="H42" i="3" s="1"/>
  <c r="R42" i="1"/>
  <c r="H43" i="3" s="1"/>
  <c r="R43" i="1"/>
  <c r="H44" i="3" s="1"/>
  <c r="R44" i="1"/>
  <c r="H45" i="3" s="1"/>
  <c r="R45" i="1"/>
  <c r="H46" i="3" s="1"/>
  <c r="R46" i="1"/>
  <c r="H47" i="3" s="1"/>
  <c r="R47" i="1"/>
  <c r="H48" i="3" s="1"/>
  <c r="R48" i="1"/>
  <c r="H49" i="3" s="1"/>
  <c r="R49" i="1"/>
  <c r="H50" i="3" s="1"/>
  <c r="R50" i="1"/>
  <c r="H51" i="3" s="1"/>
  <c r="R51" i="1"/>
  <c r="H52" i="3" s="1"/>
  <c r="R52" i="1"/>
  <c r="H53" i="3" s="1"/>
  <c r="R53" i="1"/>
  <c r="H54" i="3" s="1"/>
  <c r="R54" i="1"/>
  <c r="H55" i="3" s="1"/>
  <c r="R55" i="1"/>
  <c r="H56" i="3" s="1"/>
  <c r="R56" i="1"/>
  <c r="H57" i="3" s="1"/>
  <c r="R57" i="1"/>
  <c r="H58" i="3" s="1"/>
  <c r="R58" i="1"/>
  <c r="H59" i="3" s="1"/>
  <c r="R59" i="1"/>
  <c r="H60" i="3" s="1"/>
  <c r="R60" i="1"/>
  <c r="H61" i="3" s="1"/>
  <c r="R61" i="1"/>
  <c r="H62" i="3" s="1"/>
  <c r="R62" i="1"/>
  <c r="H63" i="3" s="1"/>
  <c r="R63" i="1"/>
  <c r="H64" i="3" s="1"/>
  <c r="R64" i="1"/>
  <c r="H65" i="3" s="1"/>
  <c r="R65" i="1"/>
  <c r="H66" i="3" s="1"/>
  <c r="R66" i="1"/>
  <c r="H67" i="3" s="1"/>
  <c r="R67" i="1"/>
  <c r="H68" i="3" s="1"/>
  <c r="R68" i="1"/>
  <c r="H69" i="3" s="1"/>
  <c r="R69" i="1"/>
  <c r="H70" i="3" s="1"/>
  <c r="R70" i="1"/>
  <c r="H71" i="3" s="1"/>
  <c r="R71" i="1"/>
  <c r="H72" i="3" s="1"/>
  <c r="R72" i="1"/>
  <c r="H73" i="3" s="1"/>
  <c r="R73" i="1"/>
  <c r="H74" i="3" s="1"/>
  <c r="R74" i="1"/>
  <c r="H75" i="3" s="1"/>
  <c r="R75" i="1"/>
  <c r="H76" i="3" s="1"/>
  <c r="R76" i="1"/>
  <c r="H77" i="3" s="1"/>
  <c r="R77" i="1"/>
  <c r="H78" i="3" s="1"/>
  <c r="R78" i="1"/>
  <c r="H79" i="3" s="1"/>
  <c r="R79" i="1"/>
  <c r="H80" i="3" s="1"/>
  <c r="R80" i="1"/>
  <c r="H81" i="3" s="1"/>
  <c r="R81" i="1"/>
  <c r="H82" i="3" s="1"/>
  <c r="R82" i="1"/>
  <c r="H83" i="3" s="1"/>
  <c r="R83" i="1"/>
  <c r="H84" i="3" s="1"/>
  <c r="R84" i="1"/>
  <c r="H85" i="3" s="1"/>
  <c r="R85" i="1"/>
  <c r="H86" i="3" s="1"/>
  <c r="R86" i="1"/>
  <c r="H87" i="3" s="1"/>
  <c r="R87" i="1"/>
  <c r="H88" i="3" s="1"/>
  <c r="R88" i="1"/>
  <c r="H89" i="3" s="1"/>
  <c r="R89" i="1"/>
  <c r="H90" i="3" s="1"/>
  <c r="R90" i="1"/>
  <c r="H91" i="3" s="1"/>
  <c r="R91" i="1"/>
  <c r="H92" i="3" s="1"/>
  <c r="R92" i="1"/>
  <c r="H93" i="3" s="1"/>
  <c r="R93" i="1"/>
  <c r="H94" i="3" s="1"/>
  <c r="R94" i="1"/>
  <c r="H95" i="3" s="1"/>
  <c r="R95" i="1"/>
  <c r="H96" i="3" s="1"/>
  <c r="R96" i="1"/>
  <c r="H97" i="3" s="1"/>
  <c r="R97" i="1"/>
  <c r="H98" i="3" s="1"/>
  <c r="R98" i="1"/>
  <c r="H99" i="3" s="1"/>
  <c r="R99" i="1"/>
  <c r="H100" i="3" s="1"/>
  <c r="R100" i="1"/>
  <c r="H101" i="3" s="1"/>
  <c r="R101" i="1"/>
  <c r="H102" i="3" s="1"/>
  <c r="R102" i="1"/>
  <c r="H103" i="3" s="1"/>
  <c r="R103" i="1"/>
  <c r="H104" i="3" s="1"/>
  <c r="R104" i="1"/>
  <c r="H105" i="3" s="1"/>
  <c r="R105" i="1"/>
  <c r="H106" i="3" s="1"/>
  <c r="R106" i="1"/>
  <c r="H107" i="3" s="1"/>
  <c r="R107" i="1"/>
  <c r="H108" i="3" s="1"/>
  <c r="R108" i="1"/>
  <c r="H109" i="3" s="1"/>
  <c r="R109" i="1"/>
  <c r="H110" i="3" s="1"/>
  <c r="R110" i="1"/>
  <c r="H111" i="3" s="1"/>
  <c r="R111" i="1"/>
  <c r="H112" i="3" s="1"/>
  <c r="R112" i="1"/>
  <c r="H113" i="3" s="1"/>
  <c r="R113" i="1"/>
  <c r="H114" i="3" s="1"/>
  <c r="R114" i="1"/>
  <c r="H115" i="3" s="1"/>
  <c r="R115" i="1"/>
  <c r="H116" i="3" s="1"/>
  <c r="R116" i="1"/>
  <c r="H117" i="3" s="1"/>
  <c r="R117" i="1"/>
  <c r="H118" i="3" s="1"/>
  <c r="R118" i="1"/>
  <c r="H119" i="3" s="1"/>
  <c r="R119" i="1"/>
  <c r="H120" i="3" s="1"/>
  <c r="R120" i="1"/>
  <c r="H121" i="3" s="1"/>
  <c r="R121" i="1"/>
  <c r="H122" i="3" s="1"/>
  <c r="R122" i="1"/>
  <c r="H123" i="3" s="1"/>
  <c r="R123" i="1"/>
  <c r="H124" i="3" s="1"/>
  <c r="R124" i="1"/>
  <c r="H125" i="3" s="1"/>
  <c r="R125" i="1"/>
  <c r="H126" i="3" s="1"/>
  <c r="R126" i="1"/>
  <c r="H127" i="3" s="1"/>
  <c r="R127" i="1"/>
  <c r="H128" i="3" s="1"/>
  <c r="R128" i="1"/>
  <c r="H129" i="3" s="1"/>
  <c r="R129" i="1"/>
  <c r="H130" i="3" s="1"/>
  <c r="R130" i="1"/>
  <c r="H131" i="3" s="1"/>
  <c r="R131" i="1"/>
  <c r="H132" i="3" s="1"/>
  <c r="R132" i="1"/>
  <c r="H133" i="3" s="1"/>
  <c r="R133" i="1"/>
  <c r="H134" i="3" s="1"/>
  <c r="R134" i="1"/>
  <c r="H135" i="3" s="1"/>
  <c r="R135" i="1"/>
  <c r="H136" i="3" s="1"/>
  <c r="R136" i="1"/>
  <c r="H137" i="3" s="1"/>
  <c r="R137" i="1"/>
  <c r="H138" i="3" s="1"/>
  <c r="R138" i="1"/>
  <c r="H139" i="3" s="1"/>
  <c r="R139" i="1"/>
  <c r="H140" i="3" s="1"/>
  <c r="R140" i="1"/>
  <c r="H141" i="3" s="1"/>
  <c r="R141" i="1"/>
  <c r="H142" i="3" s="1"/>
  <c r="R142" i="1"/>
  <c r="H143" i="3" s="1"/>
  <c r="R143" i="1"/>
  <c r="H144" i="3" s="1"/>
  <c r="R144" i="1"/>
  <c r="H145" i="3" s="1"/>
  <c r="R145" i="1"/>
  <c r="H146" i="3" s="1"/>
  <c r="R146" i="1"/>
  <c r="H147" i="3" s="1"/>
  <c r="R147" i="1"/>
  <c r="H148" i="3" s="1"/>
  <c r="R148" i="1"/>
  <c r="H149" i="3" s="1"/>
  <c r="R149" i="1"/>
  <c r="H150" i="3" s="1"/>
  <c r="R150" i="1"/>
  <c r="H151" i="3" s="1"/>
  <c r="R151" i="1"/>
  <c r="H152" i="3" s="1"/>
  <c r="R152" i="1"/>
  <c r="H153" i="3" s="1"/>
  <c r="R153" i="1"/>
  <c r="H154" i="3" s="1"/>
  <c r="R154" i="1"/>
  <c r="H155" i="3" s="1"/>
  <c r="R155" i="1"/>
  <c r="H156" i="3" s="1"/>
  <c r="R156" i="1"/>
  <c r="H157" i="3" s="1"/>
  <c r="R157" i="1"/>
  <c r="H158" i="3" s="1"/>
  <c r="R158" i="1"/>
  <c r="H159" i="3" s="1"/>
  <c r="R159" i="1"/>
  <c r="H160" i="3" s="1"/>
  <c r="R160" i="1"/>
  <c r="H161" i="3" s="1"/>
  <c r="R161" i="1"/>
  <c r="H162" i="3" s="1"/>
  <c r="R162" i="1"/>
  <c r="H163" i="3" s="1"/>
  <c r="R163" i="1"/>
  <c r="H164" i="3" s="1"/>
  <c r="R164" i="1"/>
  <c r="H165" i="3" s="1"/>
  <c r="R165" i="1"/>
  <c r="H166" i="3" s="1"/>
  <c r="R166" i="1"/>
  <c r="H167" i="3" s="1"/>
  <c r="R167" i="1"/>
  <c r="H168" i="3" s="1"/>
  <c r="R168" i="1"/>
  <c r="H169" i="3" s="1"/>
  <c r="R169" i="1"/>
  <c r="H170" i="3" s="1"/>
  <c r="R170" i="1"/>
  <c r="H171" i="3" s="1"/>
  <c r="R171" i="1"/>
  <c r="H172" i="3" s="1"/>
  <c r="R172" i="1"/>
  <c r="H173" i="3" s="1"/>
  <c r="R173" i="1"/>
  <c r="H174" i="3" s="1"/>
  <c r="R174" i="1"/>
  <c r="H175" i="3" s="1"/>
  <c r="R175" i="1"/>
  <c r="H176" i="3" s="1"/>
  <c r="R176" i="1"/>
  <c r="H177" i="3" s="1"/>
  <c r="R177" i="1"/>
  <c r="H178" i="3" s="1"/>
  <c r="R178" i="1"/>
  <c r="H179" i="3" s="1"/>
  <c r="R179" i="1"/>
  <c r="H180" i="3" s="1"/>
  <c r="R180" i="1"/>
  <c r="H181" i="3" s="1"/>
  <c r="R181" i="1"/>
  <c r="H182" i="3" s="1"/>
  <c r="R182" i="1"/>
  <c r="H183" i="3" s="1"/>
  <c r="R183" i="1"/>
  <c r="H184" i="3" s="1"/>
  <c r="R184" i="1"/>
  <c r="H185" i="3" s="1"/>
  <c r="R185" i="1"/>
  <c r="H186" i="3" s="1"/>
  <c r="R186" i="1"/>
  <c r="H187" i="3" s="1"/>
  <c r="R187" i="1"/>
  <c r="H188" i="3" s="1"/>
  <c r="R188" i="1"/>
  <c r="H189" i="3" s="1"/>
  <c r="R189" i="1"/>
  <c r="H190" i="3" s="1"/>
  <c r="R190" i="1"/>
  <c r="H191" i="3" s="1"/>
  <c r="R191" i="1"/>
  <c r="H192" i="3" s="1"/>
  <c r="R192" i="1"/>
  <c r="H193" i="3" s="1"/>
  <c r="R193" i="1"/>
  <c r="H194" i="3" s="1"/>
  <c r="R194" i="1"/>
  <c r="H195" i="3" s="1"/>
  <c r="R195" i="1"/>
  <c r="H196" i="3" s="1"/>
  <c r="R196" i="1"/>
  <c r="H197" i="3" s="1"/>
  <c r="R197" i="1"/>
  <c r="H198" i="3" s="1"/>
  <c r="R198" i="1"/>
  <c r="H199" i="3" s="1"/>
  <c r="R199" i="1"/>
  <c r="H200" i="3" s="1"/>
  <c r="R200" i="1"/>
  <c r="H201" i="3" s="1"/>
  <c r="R201" i="1"/>
  <c r="H202" i="3" s="1"/>
  <c r="R202" i="1"/>
  <c r="H203" i="3" s="1"/>
  <c r="R203" i="1"/>
  <c r="H204" i="3" s="1"/>
  <c r="R204" i="1"/>
  <c r="H205" i="3" s="1"/>
  <c r="R205" i="1"/>
  <c r="H206" i="3" s="1"/>
  <c r="R206" i="1"/>
  <c r="H207" i="3" s="1"/>
  <c r="R207" i="1"/>
  <c r="H208" i="3" s="1"/>
  <c r="R208" i="1"/>
  <c r="H209" i="3" s="1"/>
  <c r="R209" i="1"/>
  <c r="H210" i="3" s="1"/>
  <c r="R210" i="1"/>
  <c r="H211" i="3" s="1"/>
  <c r="R211" i="1"/>
  <c r="H212" i="3" s="1"/>
  <c r="R212" i="1"/>
  <c r="H213" i="3" s="1"/>
  <c r="R213" i="1"/>
  <c r="H214" i="3" s="1"/>
  <c r="R214" i="1"/>
  <c r="H215" i="3" s="1"/>
  <c r="R215" i="1"/>
  <c r="H216" i="3" s="1"/>
  <c r="R216" i="1"/>
  <c r="H217" i="3" s="1"/>
  <c r="R217" i="1"/>
  <c r="H218" i="3" s="1"/>
  <c r="R218" i="1"/>
  <c r="H219" i="3" s="1"/>
  <c r="R219" i="1"/>
  <c r="H220" i="3" s="1"/>
  <c r="R220" i="1"/>
  <c r="H221" i="3" s="1"/>
  <c r="R221" i="1"/>
  <c r="H222" i="3" s="1"/>
  <c r="R222" i="1"/>
  <c r="H223" i="3" s="1"/>
  <c r="R223" i="1"/>
  <c r="H224" i="3" s="1"/>
  <c r="R224" i="1"/>
  <c r="H225" i="3" s="1"/>
  <c r="R225" i="1"/>
  <c r="H226" i="3" s="1"/>
  <c r="R226" i="1"/>
  <c r="H227" i="3" s="1"/>
  <c r="R227" i="1"/>
  <c r="H228" i="3" s="1"/>
  <c r="R228" i="1"/>
  <c r="H229" i="3" s="1"/>
  <c r="R229" i="1"/>
  <c r="H230" i="3" s="1"/>
  <c r="R230" i="1"/>
  <c r="H231" i="3" s="1"/>
  <c r="R231" i="1"/>
  <c r="H232" i="3" s="1"/>
  <c r="R232" i="1"/>
  <c r="H233" i="3" s="1"/>
  <c r="R233" i="1"/>
  <c r="H234" i="3" s="1"/>
  <c r="R234" i="1"/>
  <c r="H235" i="3" s="1"/>
  <c r="R235" i="1"/>
  <c r="H236" i="3" s="1"/>
  <c r="R236" i="1"/>
  <c r="H237" i="3" s="1"/>
  <c r="R237" i="1"/>
  <c r="H238" i="3" s="1"/>
  <c r="R238" i="1"/>
  <c r="H239" i="3" s="1"/>
  <c r="R239" i="1"/>
  <c r="H240" i="3" s="1"/>
  <c r="R240" i="1"/>
  <c r="H241" i="3" s="1"/>
  <c r="R241" i="1"/>
  <c r="H242" i="3" s="1"/>
  <c r="R242" i="1"/>
  <c r="H243" i="3" s="1"/>
  <c r="R243" i="1"/>
  <c r="H244" i="3" s="1"/>
  <c r="R244" i="1"/>
  <c r="H245" i="3" s="1"/>
  <c r="R245" i="1"/>
  <c r="H246" i="3" s="1"/>
  <c r="R246" i="1"/>
  <c r="H247" i="3" s="1"/>
  <c r="R247" i="1"/>
  <c r="H248" i="3" s="1"/>
  <c r="R248" i="1"/>
  <c r="H249" i="3" s="1"/>
  <c r="R249" i="1"/>
  <c r="H250" i="3" s="1"/>
  <c r="R250" i="1"/>
  <c r="H251" i="3" s="1"/>
  <c r="R251" i="1"/>
  <c r="H252" i="3" s="1"/>
  <c r="R252" i="1"/>
  <c r="H253" i="3" s="1"/>
  <c r="R253" i="1"/>
  <c r="H254" i="3" s="1"/>
  <c r="R254" i="1"/>
  <c r="H255" i="3" s="1"/>
  <c r="R255" i="1"/>
  <c r="H256" i="3" s="1"/>
  <c r="R256" i="1"/>
  <c r="H257" i="3" s="1"/>
  <c r="R257" i="1"/>
  <c r="H258" i="3" s="1"/>
  <c r="R258" i="1"/>
  <c r="H259" i="3" s="1"/>
  <c r="R259" i="1"/>
  <c r="H260" i="3" s="1"/>
  <c r="R260" i="1"/>
  <c r="H261" i="3" s="1"/>
  <c r="R261" i="1"/>
  <c r="H262" i="3" s="1"/>
  <c r="R262" i="1"/>
  <c r="H263" i="3" s="1"/>
  <c r="R263" i="1"/>
  <c r="H264" i="3" s="1"/>
  <c r="R264" i="1"/>
  <c r="H265" i="3" s="1"/>
  <c r="R265" i="1"/>
  <c r="H266" i="3" s="1"/>
  <c r="R266" i="1"/>
  <c r="H267" i="3" s="1"/>
  <c r="R267" i="1"/>
  <c r="H268" i="3" s="1"/>
  <c r="R268" i="1"/>
  <c r="H269" i="3" s="1"/>
  <c r="R269" i="1"/>
  <c r="H270" i="3" s="1"/>
  <c r="R270" i="1"/>
  <c r="H271" i="3" s="1"/>
  <c r="R271" i="1"/>
  <c r="H272" i="3" s="1"/>
  <c r="R272" i="1"/>
  <c r="H273" i="3" s="1"/>
  <c r="R273" i="1"/>
  <c r="H274" i="3" s="1"/>
  <c r="R274" i="1"/>
  <c r="H275" i="3" s="1"/>
  <c r="R275" i="1"/>
  <c r="H276" i="3" s="1"/>
  <c r="R276" i="1"/>
  <c r="H277" i="3" s="1"/>
  <c r="R277" i="1"/>
  <c r="H278" i="3" s="1"/>
  <c r="R278" i="1"/>
  <c r="H279" i="3" s="1"/>
  <c r="R279" i="1"/>
  <c r="H280" i="3" s="1"/>
  <c r="R280" i="1"/>
  <c r="H281" i="3" s="1"/>
  <c r="R281" i="1"/>
  <c r="H282" i="3" s="1"/>
  <c r="R282" i="1"/>
  <c r="H283" i="3" s="1"/>
  <c r="R283" i="1"/>
  <c r="H284" i="3" s="1"/>
  <c r="R284" i="1"/>
  <c r="H285" i="3" s="1"/>
  <c r="R285" i="1"/>
  <c r="H286" i="3" s="1"/>
  <c r="R286" i="1"/>
  <c r="H287" i="3" s="1"/>
  <c r="R287" i="1"/>
  <c r="H288" i="3" s="1"/>
  <c r="R288" i="1"/>
  <c r="H289" i="3" s="1"/>
  <c r="R289" i="1"/>
  <c r="H290" i="3" s="1"/>
  <c r="R290" i="1"/>
  <c r="H291" i="3" s="1"/>
  <c r="R291" i="1"/>
  <c r="H292" i="3" s="1"/>
  <c r="R292" i="1"/>
  <c r="H293" i="3" s="1"/>
  <c r="R293" i="1"/>
  <c r="H294" i="3" s="1"/>
  <c r="R294" i="1"/>
  <c r="H295" i="3" s="1"/>
  <c r="R295" i="1"/>
  <c r="H296" i="3" s="1"/>
  <c r="R296" i="1"/>
  <c r="H297" i="3" s="1"/>
  <c r="R297" i="1"/>
  <c r="H298" i="3" s="1"/>
  <c r="R298" i="1"/>
  <c r="H299" i="3" s="1"/>
  <c r="R299" i="1"/>
  <c r="H300" i="3" s="1"/>
  <c r="R300" i="1"/>
  <c r="H301" i="3" s="1"/>
  <c r="R301" i="1"/>
  <c r="H302" i="3" s="1"/>
  <c r="R302" i="1"/>
  <c r="H303" i="3" s="1"/>
  <c r="R303" i="1"/>
  <c r="H304" i="3" s="1"/>
  <c r="R304" i="1"/>
  <c r="H305" i="3" s="1"/>
  <c r="R305" i="1"/>
  <c r="H306" i="3" s="1"/>
  <c r="R306" i="1"/>
  <c r="H307" i="3" s="1"/>
  <c r="R307" i="1"/>
  <c r="H308" i="3" s="1"/>
  <c r="R308" i="1"/>
  <c r="H309" i="3" s="1"/>
  <c r="R309" i="1"/>
  <c r="H310" i="3" s="1"/>
  <c r="R310" i="1"/>
  <c r="H311" i="3" s="1"/>
  <c r="R311" i="1"/>
  <c r="H312" i="3" s="1"/>
  <c r="R312" i="1"/>
  <c r="H313" i="3" s="1"/>
  <c r="R313" i="1"/>
  <c r="H314" i="3" s="1"/>
  <c r="R314" i="1"/>
  <c r="H315" i="3" s="1"/>
  <c r="R315" i="1"/>
  <c r="H316" i="3" s="1"/>
  <c r="R316" i="1"/>
  <c r="H317" i="3" s="1"/>
  <c r="R317" i="1"/>
  <c r="H318" i="3" s="1"/>
  <c r="R318" i="1"/>
  <c r="H319" i="3" s="1"/>
  <c r="R319" i="1"/>
  <c r="H320" i="3" s="1"/>
  <c r="R320" i="1"/>
  <c r="H321" i="3" s="1"/>
  <c r="R321" i="1"/>
  <c r="H322" i="3" s="1"/>
  <c r="R322" i="1"/>
  <c r="H323" i="3" s="1"/>
  <c r="R323" i="1"/>
  <c r="H324" i="3" s="1"/>
  <c r="R324" i="1"/>
  <c r="H325" i="3" s="1"/>
  <c r="R325" i="1"/>
  <c r="H326" i="3" s="1"/>
  <c r="R326" i="1"/>
  <c r="H327" i="3" s="1"/>
  <c r="R327" i="1"/>
  <c r="H328" i="3" s="1"/>
  <c r="R328" i="1"/>
  <c r="H329" i="3" s="1"/>
  <c r="R329" i="1"/>
  <c r="H330" i="3" s="1"/>
  <c r="R330" i="1"/>
  <c r="H331" i="3" s="1"/>
  <c r="R331" i="1"/>
  <c r="H332" i="3" s="1"/>
  <c r="R332" i="1"/>
  <c r="H333" i="3" s="1"/>
  <c r="R333" i="1"/>
  <c r="H334" i="3" s="1"/>
  <c r="R334" i="1"/>
  <c r="H335" i="3" s="1"/>
  <c r="R335" i="1"/>
  <c r="H336" i="3" s="1"/>
  <c r="R336" i="1"/>
  <c r="H337" i="3" s="1"/>
  <c r="R337" i="1"/>
  <c r="H338" i="3" s="1"/>
  <c r="R338" i="1"/>
  <c r="H339" i="3" s="1"/>
  <c r="R339" i="1"/>
  <c r="H340" i="3" s="1"/>
  <c r="R340" i="1"/>
  <c r="H341" i="3" s="1"/>
  <c r="R341" i="1"/>
  <c r="H342" i="3" s="1"/>
  <c r="R342" i="1"/>
  <c r="H343" i="3" s="1"/>
  <c r="R343" i="1"/>
  <c r="H344" i="3" s="1"/>
  <c r="R344" i="1"/>
  <c r="H345" i="3" s="1"/>
  <c r="R345" i="1"/>
  <c r="H346" i="3" s="1"/>
  <c r="R346" i="1"/>
  <c r="H347" i="3" s="1"/>
  <c r="R347" i="1"/>
  <c r="H348" i="3" s="1"/>
  <c r="R348" i="1"/>
  <c r="H349" i="3" s="1"/>
  <c r="R349" i="1"/>
  <c r="H350" i="3" s="1"/>
  <c r="R350" i="1"/>
  <c r="H351" i="3" s="1"/>
  <c r="R351" i="1"/>
  <c r="H352" i="3" s="1"/>
  <c r="R352" i="1"/>
  <c r="H353" i="3" s="1"/>
  <c r="R353" i="1"/>
  <c r="H354" i="3" s="1"/>
  <c r="R354" i="1"/>
  <c r="H355" i="3" s="1"/>
  <c r="R355" i="1"/>
  <c r="H356" i="3" s="1"/>
  <c r="R356" i="1"/>
  <c r="H357" i="3" s="1"/>
  <c r="R357" i="1"/>
  <c r="H358" i="3" s="1"/>
  <c r="R358" i="1"/>
  <c r="H359" i="3" s="1"/>
  <c r="R359" i="1"/>
  <c r="H360" i="3" s="1"/>
  <c r="R360" i="1"/>
  <c r="H361" i="3" s="1"/>
  <c r="R361" i="1"/>
  <c r="H362" i="3" s="1"/>
  <c r="R362" i="1"/>
  <c r="H363" i="3" s="1"/>
  <c r="R363" i="1"/>
  <c r="H364" i="3" s="1"/>
  <c r="R364" i="1"/>
  <c r="H365" i="3" s="1"/>
  <c r="R365" i="1"/>
  <c r="H366" i="3" s="1"/>
  <c r="R366" i="1"/>
  <c r="H367" i="3" s="1"/>
  <c r="R367" i="1"/>
  <c r="H368" i="3" s="1"/>
  <c r="R368" i="1"/>
  <c r="H369" i="3" s="1"/>
  <c r="R369" i="1"/>
  <c r="H370" i="3" s="1"/>
  <c r="R370" i="1"/>
  <c r="H371" i="3" s="1"/>
  <c r="R371" i="1"/>
  <c r="H372" i="3" s="1"/>
  <c r="R372" i="1"/>
  <c r="H373" i="3" s="1"/>
  <c r="R373" i="1"/>
  <c r="H374" i="3" s="1"/>
  <c r="R374" i="1"/>
  <c r="H375" i="3" s="1"/>
  <c r="R375" i="1"/>
  <c r="H376" i="3" s="1"/>
  <c r="R376" i="1"/>
  <c r="H377" i="3" s="1"/>
  <c r="R377" i="1"/>
  <c r="H378" i="3" s="1"/>
  <c r="R378" i="1"/>
  <c r="H379" i="3" s="1"/>
  <c r="R379" i="1"/>
  <c r="H380" i="3" s="1"/>
  <c r="R380" i="1"/>
  <c r="H381" i="3" s="1"/>
  <c r="R381" i="1"/>
  <c r="H382" i="3" s="1"/>
  <c r="R382" i="1"/>
  <c r="H383" i="3" s="1"/>
  <c r="R383" i="1"/>
  <c r="H384" i="3" s="1"/>
  <c r="R384" i="1"/>
  <c r="H385" i="3" s="1"/>
  <c r="R385" i="1"/>
  <c r="H386" i="3" s="1"/>
  <c r="R386" i="1"/>
  <c r="H387" i="3" s="1"/>
  <c r="R387" i="1"/>
  <c r="H388" i="3" s="1"/>
  <c r="R388" i="1"/>
  <c r="H389" i="3" s="1"/>
  <c r="R389" i="1"/>
  <c r="H390" i="3" s="1"/>
  <c r="R390" i="1"/>
  <c r="H391" i="3" s="1"/>
  <c r="R391" i="1"/>
  <c r="H392" i="3" s="1"/>
  <c r="R392" i="1"/>
  <c r="H393" i="3" s="1"/>
  <c r="R393" i="1"/>
  <c r="H394" i="3" s="1"/>
  <c r="R394" i="1"/>
  <c r="H395" i="3" s="1"/>
  <c r="R395" i="1"/>
  <c r="H396" i="3" s="1"/>
  <c r="R396" i="1"/>
  <c r="H397" i="3" s="1"/>
  <c r="R397" i="1"/>
  <c r="H398" i="3" s="1"/>
  <c r="R398" i="1"/>
  <c r="H399" i="3" s="1"/>
  <c r="R399" i="1"/>
  <c r="H400" i="3" s="1"/>
  <c r="R400" i="1"/>
  <c r="H401" i="3" s="1"/>
  <c r="R401" i="1"/>
  <c r="H402" i="3" s="1"/>
  <c r="R402" i="1"/>
  <c r="H403" i="3" s="1"/>
  <c r="R403" i="1"/>
  <c r="H404" i="3" s="1"/>
  <c r="R404" i="1"/>
  <c r="H405" i="3" s="1"/>
  <c r="R405" i="1"/>
  <c r="H406" i="3" s="1"/>
  <c r="R406" i="1"/>
  <c r="H407" i="3" s="1"/>
  <c r="R407" i="1"/>
  <c r="H408" i="3" s="1"/>
  <c r="R408" i="1"/>
  <c r="H409" i="3" s="1"/>
  <c r="R409" i="1"/>
  <c r="H410" i="3" s="1"/>
  <c r="R410" i="1"/>
  <c r="H411" i="3" s="1"/>
  <c r="R411" i="1"/>
  <c r="H412" i="3" s="1"/>
  <c r="R412" i="1"/>
  <c r="H413" i="3" s="1"/>
  <c r="R413" i="1"/>
  <c r="H414" i="3" s="1"/>
  <c r="R414" i="1"/>
  <c r="H415" i="3" s="1"/>
  <c r="R415" i="1"/>
  <c r="H416" i="3" s="1"/>
  <c r="R416" i="1"/>
  <c r="H417" i="3" s="1"/>
  <c r="R417" i="1"/>
  <c r="H418" i="3" s="1"/>
  <c r="R418" i="1"/>
  <c r="H419" i="3" s="1"/>
  <c r="R419" i="1"/>
  <c r="H420" i="3" s="1"/>
  <c r="R420" i="1"/>
  <c r="H421" i="3" s="1"/>
  <c r="R421" i="1"/>
  <c r="H422" i="3" s="1"/>
  <c r="R422" i="1"/>
  <c r="H423" i="3" s="1"/>
  <c r="R423" i="1"/>
  <c r="H424" i="3" s="1"/>
  <c r="R424" i="1"/>
  <c r="H425" i="3" s="1"/>
  <c r="R425" i="1"/>
  <c r="H426" i="3" s="1"/>
  <c r="R426" i="1"/>
  <c r="H427" i="3" s="1"/>
  <c r="R427" i="1"/>
  <c r="H428" i="3" s="1"/>
  <c r="R428" i="1"/>
  <c r="H429" i="3" s="1"/>
  <c r="R429" i="1"/>
  <c r="H430" i="3" s="1"/>
  <c r="R430" i="1"/>
  <c r="H431" i="3" s="1"/>
  <c r="G7"/>
  <c r="G39"/>
  <c r="G43"/>
  <c r="G83"/>
  <c r="G95"/>
  <c r="G127"/>
  <c r="G139"/>
  <c r="G171"/>
  <c r="G175"/>
  <c r="G199"/>
  <c r="G211"/>
  <c r="G243"/>
  <c r="G255"/>
  <c r="G259"/>
  <c r="G287"/>
  <c r="G291"/>
  <c r="G303"/>
  <c r="G323"/>
  <c r="G331"/>
  <c r="G343"/>
  <c r="G359"/>
  <c r="G375"/>
  <c r="G379"/>
  <c r="G407"/>
  <c r="G419"/>
  <c r="G423"/>
  <c r="E15"/>
  <c r="E35"/>
  <c r="E51"/>
  <c r="E71"/>
  <c r="E99"/>
  <c r="E111"/>
  <c r="E151"/>
  <c r="E167"/>
  <c r="E171"/>
  <c r="E211"/>
  <c r="E227"/>
  <c r="E243"/>
  <c r="E263"/>
  <c r="E287"/>
  <c r="E299"/>
  <c r="E331"/>
  <c r="E343"/>
  <c r="E347"/>
  <c r="E379"/>
  <c r="E387"/>
  <c r="E403"/>
  <c r="E43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"/>
  <c r="B5"/>
  <c r="K5" s="1"/>
  <c r="B6"/>
  <c r="K6" s="1"/>
  <c r="B7"/>
  <c r="K7" s="1"/>
  <c r="B8"/>
  <c r="K8" s="1"/>
  <c r="B9"/>
  <c r="K9" s="1"/>
  <c r="B10"/>
  <c r="K10" s="1"/>
  <c r="B11"/>
  <c r="K11" s="1"/>
  <c r="B12"/>
  <c r="K12" s="1"/>
  <c r="B13"/>
  <c r="K13" s="1"/>
  <c r="B14"/>
  <c r="K14" s="1"/>
  <c r="B15"/>
  <c r="K15" s="1"/>
  <c r="B16"/>
  <c r="K16" s="1"/>
  <c r="B17"/>
  <c r="K17" s="1"/>
  <c r="B18"/>
  <c r="K18" s="1"/>
  <c r="B19"/>
  <c r="K19" s="1"/>
  <c r="B20"/>
  <c r="K20" s="1"/>
  <c r="B21"/>
  <c r="K21" s="1"/>
  <c r="B22"/>
  <c r="K22" s="1"/>
  <c r="B23"/>
  <c r="K23" s="1"/>
  <c r="B24"/>
  <c r="K24" s="1"/>
  <c r="B25"/>
  <c r="K25" s="1"/>
  <c r="B26"/>
  <c r="K26" s="1"/>
  <c r="B27"/>
  <c r="K27" s="1"/>
  <c r="B28"/>
  <c r="K28" s="1"/>
  <c r="B29"/>
  <c r="K29" s="1"/>
  <c r="B30"/>
  <c r="K30" s="1"/>
  <c r="B31"/>
  <c r="K31" s="1"/>
  <c r="B32"/>
  <c r="K32" s="1"/>
  <c r="B33"/>
  <c r="K33" s="1"/>
  <c r="B34"/>
  <c r="K34" s="1"/>
  <c r="B35"/>
  <c r="K35" s="1"/>
  <c r="B36"/>
  <c r="K36" s="1"/>
  <c r="B37"/>
  <c r="K37" s="1"/>
  <c r="B38"/>
  <c r="K38" s="1"/>
  <c r="B39"/>
  <c r="K39" s="1"/>
  <c r="B40"/>
  <c r="K40" s="1"/>
  <c r="B41"/>
  <c r="K41" s="1"/>
  <c r="B42"/>
  <c r="K42" s="1"/>
  <c r="B43"/>
  <c r="K43" s="1"/>
  <c r="B44"/>
  <c r="K44" s="1"/>
  <c r="B45"/>
  <c r="K45" s="1"/>
  <c r="B46"/>
  <c r="K46" s="1"/>
  <c r="B47"/>
  <c r="K47" s="1"/>
  <c r="B48"/>
  <c r="K48" s="1"/>
  <c r="B49"/>
  <c r="K49" s="1"/>
  <c r="B50"/>
  <c r="K50" s="1"/>
  <c r="B51"/>
  <c r="K51" s="1"/>
  <c r="B52"/>
  <c r="K52" s="1"/>
  <c r="B53"/>
  <c r="K53" s="1"/>
  <c r="B54"/>
  <c r="K54" s="1"/>
  <c r="B55"/>
  <c r="K55" s="1"/>
  <c r="B56"/>
  <c r="K56" s="1"/>
  <c r="B57"/>
  <c r="K57" s="1"/>
  <c r="B58"/>
  <c r="K58" s="1"/>
  <c r="B59"/>
  <c r="K59" s="1"/>
  <c r="B60"/>
  <c r="K60" s="1"/>
  <c r="B61"/>
  <c r="K61" s="1"/>
  <c r="B62"/>
  <c r="K62" s="1"/>
  <c r="B63"/>
  <c r="K63" s="1"/>
  <c r="B64"/>
  <c r="K64" s="1"/>
  <c r="B65"/>
  <c r="K65" s="1"/>
  <c r="B66"/>
  <c r="K66" s="1"/>
  <c r="B67"/>
  <c r="K67" s="1"/>
  <c r="B68"/>
  <c r="K68" s="1"/>
  <c r="B69"/>
  <c r="K69" s="1"/>
  <c r="B70"/>
  <c r="K70" s="1"/>
  <c r="B71"/>
  <c r="K71" s="1"/>
  <c r="B72"/>
  <c r="K72" s="1"/>
  <c r="B73"/>
  <c r="K73" s="1"/>
  <c r="B74"/>
  <c r="K74" s="1"/>
  <c r="B75"/>
  <c r="K75" s="1"/>
  <c r="B76"/>
  <c r="K76" s="1"/>
  <c r="B77"/>
  <c r="K77" s="1"/>
  <c r="B78"/>
  <c r="K78" s="1"/>
  <c r="B79"/>
  <c r="K79" s="1"/>
  <c r="B80"/>
  <c r="K80" s="1"/>
  <c r="B81"/>
  <c r="K81" s="1"/>
  <c r="B82"/>
  <c r="K82" s="1"/>
  <c r="B83"/>
  <c r="K83" s="1"/>
  <c r="B84"/>
  <c r="K84" s="1"/>
  <c r="B85"/>
  <c r="K85" s="1"/>
  <c r="B86"/>
  <c r="K86" s="1"/>
  <c r="B87"/>
  <c r="K87" s="1"/>
  <c r="B88"/>
  <c r="K88" s="1"/>
  <c r="B89"/>
  <c r="K89" s="1"/>
  <c r="B90"/>
  <c r="K90" s="1"/>
  <c r="B91"/>
  <c r="K91" s="1"/>
  <c r="B92"/>
  <c r="K92" s="1"/>
  <c r="B93"/>
  <c r="K93" s="1"/>
  <c r="B94"/>
  <c r="K94" s="1"/>
  <c r="B95"/>
  <c r="K95" s="1"/>
  <c r="B96"/>
  <c r="K96" s="1"/>
  <c r="B97"/>
  <c r="K97" s="1"/>
  <c r="B98"/>
  <c r="K98" s="1"/>
  <c r="B99"/>
  <c r="K99" s="1"/>
  <c r="B100"/>
  <c r="K100" s="1"/>
  <c r="B101"/>
  <c r="K101" s="1"/>
  <c r="B102"/>
  <c r="K102" s="1"/>
  <c r="B103"/>
  <c r="K103" s="1"/>
  <c r="B104"/>
  <c r="K104" s="1"/>
  <c r="B105"/>
  <c r="K105" s="1"/>
  <c r="B106"/>
  <c r="K106" s="1"/>
  <c r="B107"/>
  <c r="K107" s="1"/>
  <c r="B108"/>
  <c r="K108" s="1"/>
  <c r="B109"/>
  <c r="K109" s="1"/>
  <c r="B110"/>
  <c r="K110" s="1"/>
  <c r="B111"/>
  <c r="K111" s="1"/>
  <c r="B112"/>
  <c r="K112" s="1"/>
  <c r="B113"/>
  <c r="K113" s="1"/>
  <c r="B114"/>
  <c r="K114" s="1"/>
  <c r="B115"/>
  <c r="K115" s="1"/>
  <c r="B116"/>
  <c r="K116" s="1"/>
  <c r="B117"/>
  <c r="K117" s="1"/>
  <c r="B118"/>
  <c r="K118" s="1"/>
  <c r="B119"/>
  <c r="K119" s="1"/>
  <c r="B120"/>
  <c r="K120" s="1"/>
  <c r="B121"/>
  <c r="K121" s="1"/>
  <c r="B122"/>
  <c r="K122" s="1"/>
  <c r="B123"/>
  <c r="K123" s="1"/>
  <c r="B124"/>
  <c r="K124" s="1"/>
  <c r="B125"/>
  <c r="K125" s="1"/>
  <c r="B126"/>
  <c r="K126" s="1"/>
  <c r="B127"/>
  <c r="K127" s="1"/>
  <c r="B128"/>
  <c r="K128" s="1"/>
  <c r="B129"/>
  <c r="K129" s="1"/>
  <c r="B130"/>
  <c r="K130" s="1"/>
  <c r="B131"/>
  <c r="K131" s="1"/>
  <c r="B132"/>
  <c r="K132" s="1"/>
  <c r="B133"/>
  <c r="K133" s="1"/>
  <c r="B134"/>
  <c r="K134" s="1"/>
  <c r="B135"/>
  <c r="K135" s="1"/>
  <c r="B136"/>
  <c r="K136" s="1"/>
  <c r="B137"/>
  <c r="K137" s="1"/>
  <c r="B138"/>
  <c r="K138" s="1"/>
  <c r="B139"/>
  <c r="K139" s="1"/>
  <c r="B140"/>
  <c r="K140" s="1"/>
  <c r="B141"/>
  <c r="K141" s="1"/>
  <c r="B142"/>
  <c r="K142" s="1"/>
  <c r="B143"/>
  <c r="K143" s="1"/>
  <c r="B144"/>
  <c r="K144" s="1"/>
  <c r="B145"/>
  <c r="K145" s="1"/>
  <c r="B146"/>
  <c r="K146" s="1"/>
  <c r="B147"/>
  <c r="K147" s="1"/>
  <c r="B148"/>
  <c r="K148" s="1"/>
  <c r="B149"/>
  <c r="K149" s="1"/>
  <c r="B150"/>
  <c r="K150" s="1"/>
  <c r="B151"/>
  <c r="K151" s="1"/>
  <c r="B152"/>
  <c r="K152" s="1"/>
  <c r="B153"/>
  <c r="K153" s="1"/>
  <c r="B154"/>
  <c r="K154" s="1"/>
  <c r="B155"/>
  <c r="K155" s="1"/>
  <c r="B156"/>
  <c r="K156" s="1"/>
  <c r="B157"/>
  <c r="K157" s="1"/>
  <c r="B158"/>
  <c r="K158" s="1"/>
  <c r="B159"/>
  <c r="K159" s="1"/>
  <c r="B160"/>
  <c r="K160" s="1"/>
  <c r="B161"/>
  <c r="K161" s="1"/>
  <c r="B162"/>
  <c r="K162" s="1"/>
  <c r="B163"/>
  <c r="K163" s="1"/>
  <c r="B164"/>
  <c r="K164" s="1"/>
  <c r="B165"/>
  <c r="K165" s="1"/>
  <c r="B166"/>
  <c r="K166" s="1"/>
  <c r="B167"/>
  <c r="K167" s="1"/>
  <c r="B168"/>
  <c r="K168" s="1"/>
  <c r="B169"/>
  <c r="K169" s="1"/>
  <c r="B170"/>
  <c r="K170" s="1"/>
  <c r="B171"/>
  <c r="K171" s="1"/>
  <c r="B172"/>
  <c r="K172" s="1"/>
  <c r="B173"/>
  <c r="K173" s="1"/>
  <c r="B174"/>
  <c r="K174" s="1"/>
  <c r="B175"/>
  <c r="K175" s="1"/>
  <c r="B176"/>
  <c r="K176" s="1"/>
  <c r="B177"/>
  <c r="K177" s="1"/>
  <c r="B178"/>
  <c r="K178" s="1"/>
  <c r="B179"/>
  <c r="K179" s="1"/>
  <c r="B180"/>
  <c r="K180" s="1"/>
  <c r="B181"/>
  <c r="K181" s="1"/>
  <c r="B182"/>
  <c r="K182" s="1"/>
  <c r="B183"/>
  <c r="K183" s="1"/>
  <c r="B184"/>
  <c r="K184" s="1"/>
  <c r="B185"/>
  <c r="K185" s="1"/>
  <c r="B186"/>
  <c r="K186" s="1"/>
  <c r="B187"/>
  <c r="K187" s="1"/>
  <c r="B188"/>
  <c r="K188" s="1"/>
  <c r="B189"/>
  <c r="K189" s="1"/>
  <c r="B190"/>
  <c r="K190" s="1"/>
  <c r="B191"/>
  <c r="K191" s="1"/>
  <c r="B192"/>
  <c r="K192" s="1"/>
  <c r="B193"/>
  <c r="K193" s="1"/>
  <c r="B194"/>
  <c r="K194" s="1"/>
  <c r="B195"/>
  <c r="K195" s="1"/>
  <c r="B196"/>
  <c r="K196" s="1"/>
  <c r="B197"/>
  <c r="K197" s="1"/>
  <c r="B198"/>
  <c r="K198" s="1"/>
  <c r="B199"/>
  <c r="K199" s="1"/>
  <c r="B200"/>
  <c r="K200" s="1"/>
  <c r="B201"/>
  <c r="K201" s="1"/>
  <c r="B202"/>
  <c r="K202" s="1"/>
  <c r="B203"/>
  <c r="K203" s="1"/>
  <c r="B204"/>
  <c r="K204" s="1"/>
  <c r="B205"/>
  <c r="K205" s="1"/>
  <c r="B206"/>
  <c r="K206" s="1"/>
  <c r="B207"/>
  <c r="K207" s="1"/>
  <c r="B208"/>
  <c r="K208" s="1"/>
  <c r="B209"/>
  <c r="K209" s="1"/>
  <c r="B210"/>
  <c r="K210" s="1"/>
  <c r="B211"/>
  <c r="K211" s="1"/>
  <c r="B212"/>
  <c r="K212" s="1"/>
  <c r="B213"/>
  <c r="K213" s="1"/>
  <c r="B214"/>
  <c r="K214" s="1"/>
  <c r="B215"/>
  <c r="K215" s="1"/>
  <c r="B216"/>
  <c r="K216" s="1"/>
  <c r="B217"/>
  <c r="K217" s="1"/>
  <c r="B218"/>
  <c r="K218" s="1"/>
  <c r="B219"/>
  <c r="K219" s="1"/>
  <c r="B220"/>
  <c r="K220" s="1"/>
  <c r="B221"/>
  <c r="K221" s="1"/>
  <c r="B222"/>
  <c r="K222" s="1"/>
  <c r="B223"/>
  <c r="K223" s="1"/>
  <c r="B224"/>
  <c r="K224" s="1"/>
  <c r="B225"/>
  <c r="K225" s="1"/>
  <c r="B226"/>
  <c r="K226" s="1"/>
  <c r="B227"/>
  <c r="K227" s="1"/>
  <c r="B228"/>
  <c r="K228" s="1"/>
  <c r="B229"/>
  <c r="K229" s="1"/>
  <c r="B230"/>
  <c r="K230" s="1"/>
  <c r="B231"/>
  <c r="K231" s="1"/>
  <c r="B232"/>
  <c r="K232" s="1"/>
  <c r="B233"/>
  <c r="K233" s="1"/>
  <c r="B234"/>
  <c r="K234" s="1"/>
  <c r="B235"/>
  <c r="K235" s="1"/>
  <c r="B236"/>
  <c r="K236" s="1"/>
  <c r="B237"/>
  <c r="K237" s="1"/>
  <c r="B238"/>
  <c r="K238" s="1"/>
  <c r="B239"/>
  <c r="K239" s="1"/>
  <c r="B240"/>
  <c r="K240" s="1"/>
  <c r="B241"/>
  <c r="K241" s="1"/>
  <c r="B242"/>
  <c r="K242" s="1"/>
  <c r="B243"/>
  <c r="K243" s="1"/>
  <c r="B244"/>
  <c r="K244" s="1"/>
  <c r="B245"/>
  <c r="K245" s="1"/>
  <c r="B246"/>
  <c r="K246" s="1"/>
  <c r="B247"/>
  <c r="K247" s="1"/>
  <c r="B248"/>
  <c r="K248" s="1"/>
  <c r="B249"/>
  <c r="K249" s="1"/>
  <c r="B250"/>
  <c r="K250" s="1"/>
  <c r="B251"/>
  <c r="K251" s="1"/>
  <c r="B252"/>
  <c r="K252" s="1"/>
  <c r="B253"/>
  <c r="K253" s="1"/>
  <c r="B254"/>
  <c r="K254" s="1"/>
  <c r="B255"/>
  <c r="K255" s="1"/>
  <c r="B256"/>
  <c r="K256" s="1"/>
  <c r="B257"/>
  <c r="K257" s="1"/>
  <c r="B258"/>
  <c r="K258" s="1"/>
  <c r="B259"/>
  <c r="K259" s="1"/>
  <c r="B260"/>
  <c r="K260" s="1"/>
  <c r="B261"/>
  <c r="K261" s="1"/>
  <c r="B262"/>
  <c r="K262" s="1"/>
  <c r="B263"/>
  <c r="K263" s="1"/>
  <c r="B264"/>
  <c r="K264" s="1"/>
  <c r="B265"/>
  <c r="K265" s="1"/>
  <c r="B266"/>
  <c r="K266" s="1"/>
  <c r="B267"/>
  <c r="K267" s="1"/>
  <c r="B268"/>
  <c r="K268" s="1"/>
  <c r="B269"/>
  <c r="K269" s="1"/>
  <c r="B270"/>
  <c r="K270" s="1"/>
  <c r="B271"/>
  <c r="K271" s="1"/>
  <c r="B272"/>
  <c r="K272" s="1"/>
  <c r="B273"/>
  <c r="K273" s="1"/>
  <c r="B274"/>
  <c r="K274" s="1"/>
  <c r="B275"/>
  <c r="K275" s="1"/>
  <c r="B276"/>
  <c r="K276" s="1"/>
  <c r="B277"/>
  <c r="K277" s="1"/>
  <c r="B278"/>
  <c r="K278" s="1"/>
  <c r="B279"/>
  <c r="K279" s="1"/>
  <c r="B280"/>
  <c r="K280" s="1"/>
  <c r="B281"/>
  <c r="K281" s="1"/>
  <c r="B282"/>
  <c r="K282" s="1"/>
  <c r="B283"/>
  <c r="K283" s="1"/>
  <c r="B284"/>
  <c r="K284" s="1"/>
  <c r="B285"/>
  <c r="K285" s="1"/>
  <c r="B286"/>
  <c r="K286" s="1"/>
  <c r="B287"/>
  <c r="K287" s="1"/>
  <c r="B288"/>
  <c r="K288" s="1"/>
  <c r="B289"/>
  <c r="K289" s="1"/>
  <c r="B290"/>
  <c r="K290" s="1"/>
  <c r="B291"/>
  <c r="K291" s="1"/>
  <c r="B292"/>
  <c r="K292" s="1"/>
  <c r="B293"/>
  <c r="K293" s="1"/>
  <c r="B294"/>
  <c r="K294" s="1"/>
  <c r="B295"/>
  <c r="K295" s="1"/>
  <c r="B296"/>
  <c r="K296" s="1"/>
  <c r="B297"/>
  <c r="K297" s="1"/>
  <c r="B298"/>
  <c r="K298" s="1"/>
  <c r="B299"/>
  <c r="K299" s="1"/>
  <c r="B300"/>
  <c r="K300" s="1"/>
  <c r="B301"/>
  <c r="K301" s="1"/>
  <c r="B302"/>
  <c r="K302" s="1"/>
  <c r="B303"/>
  <c r="K303" s="1"/>
  <c r="B304"/>
  <c r="K304" s="1"/>
  <c r="B305"/>
  <c r="K305" s="1"/>
  <c r="B306"/>
  <c r="K306" s="1"/>
  <c r="B307"/>
  <c r="K307" s="1"/>
  <c r="B308"/>
  <c r="K308" s="1"/>
  <c r="B309"/>
  <c r="K309" s="1"/>
  <c r="B310"/>
  <c r="K310" s="1"/>
  <c r="B311"/>
  <c r="K311" s="1"/>
  <c r="B312"/>
  <c r="K312" s="1"/>
  <c r="B313"/>
  <c r="K313" s="1"/>
  <c r="B314"/>
  <c r="K314" s="1"/>
  <c r="B315"/>
  <c r="K315" s="1"/>
  <c r="B316"/>
  <c r="K316" s="1"/>
  <c r="B317"/>
  <c r="K317" s="1"/>
  <c r="B318"/>
  <c r="K318" s="1"/>
  <c r="B319"/>
  <c r="K319" s="1"/>
  <c r="B320"/>
  <c r="K320" s="1"/>
  <c r="B321"/>
  <c r="K321" s="1"/>
  <c r="B322"/>
  <c r="K322" s="1"/>
  <c r="B323"/>
  <c r="K323" s="1"/>
  <c r="B324"/>
  <c r="K324" s="1"/>
  <c r="B325"/>
  <c r="K325" s="1"/>
  <c r="B326"/>
  <c r="K326" s="1"/>
  <c r="B327"/>
  <c r="K327" s="1"/>
  <c r="B328"/>
  <c r="K328" s="1"/>
  <c r="B329"/>
  <c r="K329" s="1"/>
  <c r="B330"/>
  <c r="K330" s="1"/>
  <c r="B331"/>
  <c r="K331" s="1"/>
  <c r="B332"/>
  <c r="K332" s="1"/>
  <c r="B333"/>
  <c r="K333" s="1"/>
  <c r="B334"/>
  <c r="K334" s="1"/>
  <c r="B335"/>
  <c r="K335" s="1"/>
  <c r="B336"/>
  <c r="K336" s="1"/>
  <c r="B337"/>
  <c r="K337" s="1"/>
  <c r="B338"/>
  <c r="K338" s="1"/>
  <c r="B339"/>
  <c r="K339" s="1"/>
  <c r="B340"/>
  <c r="K340" s="1"/>
  <c r="B341"/>
  <c r="K341" s="1"/>
  <c r="B342"/>
  <c r="K342" s="1"/>
  <c r="B343"/>
  <c r="K343" s="1"/>
  <c r="B344"/>
  <c r="K344" s="1"/>
  <c r="B345"/>
  <c r="K345" s="1"/>
  <c r="B346"/>
  <c r="K346" s="1"/>
  <c r="B347"/>
  <c r="K347" s="1"/>
  <c r="B348"/>
  <c r="K348" s="1"/>
  <c r="B349"/>
  <c r="K349" s="1"/>
  <c r="B350"/>
  <c r="K350" s="1"/>
  <c r="B351"/>
  <c r="K351" s="1"/>
  <c r="B352"/>
  <c r="K352" s="1"/>
  <c r="B353"/>
  <c r="K353" s="1"/>
  <c r="B354"/>
  <c r="K354" s="1"/>
  <c r="B355"/>
  <c r="K355" s="1"/>
  <c r="B356"/>
  <c r="K356" s="1"/>
  <c r="B357"/>
  <c r="K357" s="1"/>
  <c r="B358"/>
  <c r="K358" s="1"/>
  <c r="B359"/>
  <c r="K359" s="1"/>
  <c r="B360"/>
  <c r="K360" s="1"/>
  <c r="B361"/>
  <c r="K361" s="1"/>
  <c r="B362"/>
  <c r="K362" s="1"/>
  <c r="B363"/>
  <c r="K363" s="1"/>
  <c r="B364"/>
  <c r="K364" s="1"/>
  <c r="B365"/>
  <c r="K365" s="1"/>
  <c r="B366"/>
  <c r="K366" s="1"/>
  <c r="B367"/>
  <c r="K367" s="1"/>
  <c r="B368"/>
  <c r="K368" s="1"/>
  <c r="B369"/>
  <c r="K369" s="1"/>
  <c r="B370"/>
  <c r="K370" s="1"/>
  <c r="B371"/>
  <c r="K371" s="1"/>
  <c r="B372"/>
  <c r="K372" s="1"/>
  <c r="B373"/>
  <c r="K373" s="1"/>
  <c r="B374"/>
  <c r="K374" s="1"/>
  <c r="B375"/>
  <c r="K375" s="1"/>
  <c r="B376"/>
  <c r="K376" s="1"/>
  <c r="B377"/>
  <c r="K377" s="1"/>
  <c r="B378"/>
  <c r="K378" s="1"/>
  <c r="B379"/>
  <c r="K379" s="1"/>
  <c r="B380"/>
  <c r="K380" s="1"/>
  <c r="B381"/>
  <c r="K381" s="1"/>
  <c r="B382"/>
  <c r="K382" s="1"/>
  <c r="B383"/>
  <c r="K383" s="1"/>
  <c r="B384"/>
  <c r="K384" s="1"/>
  <c r="B385"/>
  <c r="K385" s="1"/>
  <c r="B386"/>
  <c r="K386" s="1"/>
  <c r="B387"/>
  <c r="K387" s="1"/>
  <c r="B388"/>
  <c r="K388" s="1"/>
  <c r="B389"/>
  <c r="K389" s="1"/>
  <c r="B390"/>
  <c r="K390" s="1"/>
  <c r="B391"/>
  <c r="K391" s="1"/>
  <c r="B392"/>
  <c r="K392" s="1"/>
  <c r="B393"/>
  <c r="K393" s="1"/>
  <c r="B394"/>
  <c r="K394" s="1"/>
  <c r="B395"/>
  <c r="K395" s="1"/>
  <c r="B396"/>
  <c r="K396" s="1"/>
  <c r="B397"/>
  <c r="K397" s="1"/>
  <c r="B398"/>
  <c r="K398" s="1"/>
  <c r="B399"/>
  <c r="K399" s="1"/>
  <c r="B400"/>
  <c r="K400" s="1"/>
  <c r="B401"/>
  <c r="K401" s="1"/>
  <c r="B402"/>
  <c r="K402" s="1"/>
  <c r="B403"/>
  <c r="K403" s="1"/>
  <c r="B404"/>
  <c r="K404" s="1"/>
  <c r="B405"/>
  <c r="K405" s="1"/>
  <c r="B406"/>
  <c r="K406" s="1"/>
  <c r="B407"/>
  <c r="K407" s="1"/>
  <c r="B408"/>
  <c r="K408" s="1"/>
  <c r="B409"/>
  <c r="K409" s="1"/>
  <c r="B410"/>
  <c r="K410" s="1"/>
  <c r="B411"/>
  <c r="K411" s="1"/>
  <c r="B412"/>
  <c r="K412" s="1"/>
  <c r="B413"/>
  <c r="K413" s="1"/>
  <c r="B414"/>
  <c r="K414" s="1"/>
  <c r="B415"/>
  <c r="K415" s="1"/>
  <c r="B416"/>
  <c r="K416" s="1"/>
  <c r="B417"/>
  <c r="K417" s="1"/>
  <c r="B418"/>
  <c r="K418" s="1"/>
  <c r="B419"/>
  <c r="K419" s="1"/>
  <c r="B420"/>
  <c r="K420" s="1"/>
  <c r="B421"/>
  <c r="K421" s="1"/>
  <c r="B422"/>
  <c r="K422" s="1"/>
  <c r="B423"/>
  <c r="K423" s="1"/>
  <c r="B424"/>
  <c r="K424" s="1"/>
  <c r="B425"/>
  <c r="K425" s="1"/>
  <c r="B426"/>
  <c r="K426" s="1"/>
  <c r="B427"/>
  <c r="K427" s="1"/>
  <c r="B428"/>
  <c r="K428" s="1"/>
  <c r="B429"/>
  <c r="K429" s="1"/>
  <c r="B430"/>
  <c r="K430" s="1"/>
  <c r="B431"/>
  <c r="K431" s="1"/>
  <c r="B4"/>
  <c r="K4" s="1"/>
  <c r="D12"/>
  <c r="D20"/>
  <c r="D36"/>
  <c r="D48"/>
  <c r="D64"/>
  <c r="D68"/>
  <c r="D104"/>
  <c r="D108"/>
  <c r="D136"/>
  <c r="D152"/>
  <c r="D172"/>
  <c r="D188"/>
  <c r="D220"/>
  <c r="D224"/>
  <c r="D231"/>
  <c r="D263"/>
  <c r="D276"/>
  <c r="D291"/>
  <c r="D304"/>
  <c r="D328"/>
  <c r="D332"/>
  <c r="D356"/>
  <c r="D364"/>
  <c r="D376"/>
  <c r="D400"/>
  <c r="D404"/>
  <c r="D428"/>
  <c r="E435" l="1"/>
  <c r="E437"/>
  <c r="E436"/>
  <c r="E438"/>
  <c r="E434"/>
  <c r="N4" s="1"/>
  <c r="D435"/>
  <c r="D437"/>
  <c r="D434"/>
  <c r="D436"/>
  <c r="D438"/>
  <c r="B436"/>
  <c r="B437"/>
  <c r="H434"/>
  <c r="I434"/>
  <c r="R4" s="1"/>
  <c r="J434"/>
  <c r="C434"/>
  <c r="L4" s="1"/>
  <c r="F434"/>
  <c r="O4" s="1"/>
  <c r="G434"/>
  <c r="K434"/>
  <c r="B434"/>
  <c r="B438"/>
  <c r="I438"/>
  <c r="G438"/>
  <c r="C438"/>
  <c r="I437"/>
  <c r="G437"/>
  <c r="C437"/>
  <c r="I436"/>
  <c r="G436"/>
  <c r="C436"/>
  <c r="I435"/>
  <c r="G435"/>
  <c r="C435"/>
  <c r="B435"/>
  <c r="J438"/>
  <c r="H438"/>
  <c r="F438"/>
  <c r="J437"/>
  <c r="H437"/>
  <c r="F437"/>
  <c r="J436"/>
  <c r="H436"/>
  <c r="F436"/>
  <c r="J435"/>
  <c r="H435"/>
  <c r="F435"/>
  <c r="K438"/>
  <c r="K435"/>
  <c r="K437"/>
  <c r="K436"/>
  <c r="Q4" l="1"/>
  <c r="P4"/>
  <c r="S4"/>
  <c r="M423"/>
  <c r="M4"/>
  <c r="J439"/>
  <c r="F439"/>
  <c r="C439"/>
  <c r="M91"/>
  <c r="M61"/>
  <c r="M244"/>
  <c r="E439"/>
  <c r="G439"/>
  <c r="Q430"/>
  <c r="I439"/>
  <c r="M334"/>
  <c r="M429"/>
  <c r="M412"/>
  <c r="M339"/>
  <c r="M426"/>
  <c r="M72"/>
  <c r="M237"/>
  <c r="M212"/>
  <c r="M100"/>
  <c r="M43"/>
  <c r="M189"/>
  <c r="M397"/>
  <c r="M364"/>
  <c r="M132"/>
  <c r="M20"/>
  <c r="M109"/>
  <c r="M301"/>
  <c r="M308"/>
  <c r="M180"/>
  <c r="M145"/>
  <c r="M349"/>
  <c r="M388"/>
  <c r="M276"/>
  <c r="M158"/>
  <c r="M52"/>
  <c r="M155"/>
  <c r="M13"/>
  <c r="M65"/>
  <c r="M113"/>
  <c r="M157"/>
  <c r="M205"/>
  <c r="M253"/>
  <c r="M317"/>
  <c r="M357"/>
  <c r="M413"/>
  <c r="M428"/>
  <c r="M408"/>
  <c r="M380"/>
  <c r="M356"/>
  <c r="M332"/>
  <c r="M300"/>
  <c r="M268"/>
  <c r="M236"/>
  <c r="M204"/>
  <c r="M172"/>
  <c r="M156"/>
  <c r="M124"/>
  <c r="M92"/>
  <c r="M70"/>
  <c r="M44"/>
  <c r="M12"/>
  <c r="M59"/>
  <c r="M107"/>
  <c r="M171"/>
  <c r="M347"/>
  <c r="M274"/>
  <c r="M45"/>
  <c r="M93"/>
  <c r="M141"/>
  <c r="M173"/>
  <c r="M221"/>
  <c r="M285"/>
  <c r="M333"/>
  <c r="M381"/>
  <c r="M424"/>
  <c r="M416"/>
  <c r="M396"/>
  <c r="M370"/>
  <c r="M340"/>
  <c r="M316"/>
  <c r="M284"/>
  <c r="M252"/>
  <c r="M220"/>
  <c r="M188"/>
  <c r="M160"/>
  <c r="M140"/>
  <c r="M108"/>
  <c r="M76"/>
  <c r="M60"/>
  <c r="M28"/>
  <c r="M27"/>
  <c r="M75"/>
  <c r="M139"/>
  <c r="M203"/>
  <c r="M425"/>
  <c r="M29"/>
  <c r="M77"/>
  <c r="M125"/>
  <c r="M169"/>
  <c r="M213"/>
  <c r="M269"/>
  <c r="M321"/>
  <c r="M365"/>
  <c r="M421"/>
  <c r="M420"/>
  <c r="M404"/>
  <c r="M372"/>
  <c r="M348"/>
  <c r="M324"/>
  <c r="M292"/>
  <c r="M260"/>
  <c r="M228"/>
  <c r="M196"/>
  <c r="M164"/>
  <c r="M148"/>
  <c r="M116"/>
  <c r="M84"/>
  <c r="M68"/>
  <c r="M36"/>
  <c r="M11"/>
  <c r="M71"/>
  <c r="M123"/>
  <c r="M187"/>
  <c r="M7"/>
  <c r="M25"/>
  <c r="M57"/>
  <c r="M89"/>
  <c r="M121"/>
  <c r="M153"/>
  <c r="M185"/>
  <c r="M217"/>
  <c r="M249"/>
  <c r="M281"/>
  <c r="M313"/>
  <c r="M361"/>
  <c r="M393"/>
  <c r="M414"/>
  <c r="M398"/>
  <c r="M382"/>
  <c r="M358"/>
  <c r="M350"/>
  <c r="M318"/>
  <c r="M302"/>
  <c r="M286"/>
  <c r="M270"/>
  <c r="M254"/>
  <c r="M238"/>
  <c r="M222"/>
  <c r="M198"/>
  <c r="M190"/>
  <c r="M174"/>
  <c r="M142"/>
  <c r="M126"/>
  <c r="M102"/>
  <c r="M86"/>
  <c r="M54"/>
  <c r="M38"/>
  <c r="M22"/>
  <c r="M6"/>
  <c r="M39"/>
  <c r="M103"/>
  <c r="M119"/>
  <c r="M151"/>
  <c r="M167"/>
  <c r="M183"/>
  <c r="M199"/>
  <c r="M215"/>
  <c r="M231"/>
  <c r="M247"/>
  <c r="M263"/>
  <c r="M279"/>
  <c r="M295"/>
  <c r="M311"/>
  <c r="M327"/>
  <c r="M343"/>
  <c r="M375"/>
  <c r="M391"/>
  <c r="M407"/>
  <c r="M431"/>
  <c r="M5"/>
  <c r="M21"/>
  <c r="M37"/>
  <c r="M53"/>
  <c r="M69"/>
  <c r="M85"/>
  <c r="M101"/>
  <c r="M117"/>
  <c r="M133"/>
  <c r="M149"/>
  <c r="M165"/>
  <c r="M181"/>
  <c r="M197"/>
  <c r="M229"/>
  <c r="M245"/>
  <c r="M261"/>
  <c r="M277"/>
  <c r="M293"/>
  <c r="M309"/>
  <c r="M325"/>
  <c r="M341"/>
  <c r="M373"/>
  <c r="M389"/>
  <c r="M405"/>
  <c r="M430"/>
  <c r="M400"/>
  <c r="M392"/>
  <c r="M384"/>
  <c r="M376"/>
  <c r="M368"/>
  <c r="M360"/>
  <c r="M352"/>
  <c r="M344"/>
  <c r="M336"/>
  <c r="M328"/>
  <c r="M320"/>
  <c r="M312"/>
  <c r="M304"/>
  <c r="M296"/>
  <c r="M288"/>
  <c r="M280"/>
  <c r="M272"/>
  <c r="M264"/>
  <c r="M256"/>
  <c r="M248"/>
  <c r="M240"/>
  <c r="M232"/>
  <c r="M224"/>
  <c r="M216"/>
  <c r="M208"/>
  <c r="M200"/>
  <c r="M192"/>
  <c r="M184"/>
  <c r="M176"/>
  <c r="M168"/>
  <c r="M152"/>
  <c r="M144"/>
  <c r="M136"/>
  <c r="M128"/>
  <c r="M120"/>
  <c r="M112"/>
  <c r="M104"/>
  <c r="M96"/>
  <c r="M88"/>
  <c r="M80"/>
  <c r="M64"/>
  <c r="M56"/>
  <c r="M48"/>
  <c r="M40"/>
  <c r="M32"/>
  <c r="M24"/>
  <c r="M16"/>
  <c r="M8"/>
  <c r="M19"/>
  <c r="M35"/>
  <c r="M51"/>
  <c r="M67"/>
  <c r="M83"/>
  <c r="M99"/>
  <c r="M115"/>
  <c r="M131"/>
  <c r="M147"/>
  <c r="M163"/>
  <c r="M179"/>
  <c r="M195"/>
  <c r="M211"/>
  <c r="M227"/>
  <c r="M243"/>
  <c r="M259"/>
  <c r="M275"/>
  <c r="M291"/>
  <c r="M307"/>
  <c r="M323"/>
  <c r="M355"/>
  <c r="M371"/>
  <c r="M387"/>
  <c r="M403"/>
  <c r="M419"/>
  <c r="M219"/>
  <c r="M235"/>
  <c r="M251"/>
  <c r="M267"/>
  <c r="M283"/>
  <c r="M299"/>
  <c r="M315"/>
  <c r="M331"/>
  <c r="M363"/>
  <c r="M379"/>
  <c r="M395"/>
  <c r="M411"/>
  <c r="M9"/>
  <c r="M41"/>
  <c r="M73"/>
  <c r="M105"/>
  <c r="M137"/>
  <c r="M201"/>
  <c r="M233"/>
  <c r="M265"/>
  <c r="M297"/>
  <c r="M329"/>
  <c r="M345"/>
  <c r="M377"/>
  <c r="M409"/>
  <c r="M422"/>
  <c r="M406"/>
  <c r="M390"/>
  <c r="M374"/>
  <c r="M366"/>
  <c r="M342"/>
  <c r="M326"/>
  <c r="M310"/>
  <c r="M294"/>
  <c r="M278"/>
  <c r="M262"/>
  <c r="M246"/>
  <c r="M230"/>
  <c r="M214"/>
  <c r="M206"/>
  <c r="M182"/>
  <c r="M166"/>
  <c r="M150"/>
  <c r="M134"/>
  <c r="M118"/>
  <c r="M110"/>
  <c r="M94"/>
  <c r="M78"/>
  <c r="M62"/>
  <c r="M46"/>
  <c r="M30"/>
  <c r="M14"/>
  <c r="M23"/>
  <c r="M55"/>
  <c r="M87"/>
  <c r="M135"/>
  <c r="M359"/>
  <c r="M17"/>
  <c r="M33"/>
  <c r="M49"/>
  <c r="M81"/>
  <c r="M97"/>
  <c r="M129"/>
  <c r="M161"/>
  <c r="M177"/>
  <c r="M193"/>
  <c r="M209"/>
  <c r="M225"/>
  <c r="M241"/>
  <c r="M257"/>
  <c r="M273"/>
  <c r="M289"/>
  <c r="M305"/>
  <c r="M337"/>
  <c r="M353"/>
  <c r="M369"/>
  <c r="M385"/>
  <c r="M401"/>
  <c r="M417"/>
  <c r="M418"/>
  <c r="M410"/>
  <c r="M402"/>
  <c r="M394"/>
  <c r="M386"/>
  <c r="M378"/>
  <c r="M362"/>
  <c r="M354"/>
  <c r="M346"/>
  <c r="M338"/>
  <c r="M330"/>
  <c r="M322"/>
  <c r="M314"/>
  <c r="M306"/>
  <c r="M298"/>
  <c r="M290"/>
  <c r="M282"/>
  <c r="M266"/>
  <c r="M258"/>
  <c r="M250"/>
  <c r="M242"/>
  <c r="M234"/>
  <c r="M226"/>
  <c r="M218"/>
  <c r="M210"/>
  <c r="M202"/>
  <c r="M194"/>
  <c r="M186"/>
  <c r="M178"/>
  <c r="M170"/>
  <c r="M162"/>
  <c r="M154"/>
  <c r="M146"/>
  <c r="M138"/>
  <c r="M130"/>
  <c r="M122"/>
  <c r="M114"/>
  <c r="M106"/>
  <c r="M98"/>
  <c r="M90"/>
  <c r="M82"/>
  <c r="M74"/>
  <c r="M66"/>
  <c r="M58"/>
  <c r="M50"/>
  <c r="M42"/>
  <c r="M34"/>
  <c r="M26"/>
  <c r="M18"/>
  <c r="M10"/>
  <c r="M15"/>
  <c r="M31"/>
  <c r="M47"/>
  <c r="M63"/>
  <c r="M79"/>
  <c r="M95"/>
  <c r="M111"/>
  <c r="M127"/>
  <c r="M143"/>
  <c r="M159"/>
  <c r="M175"/>
  <c r="M191"/>
  <c r="M207"/>
  <c r="M223"/>
  <c r="M239"/>
  <c r="M255"/>
  <c r="M271"/>
  <c r="M287"/>
  <c r="M303"/>
  <c r="M319"/>
  <c r="M335"/>
  <c r="M351"/>
  <c r="M367"/>
  <c r="M383"/>
  <c r="M399"/>
  <c r="M415"/>
  <c r="M427"/>
  <c r="D439"/>
  <c r="H439"/>
  <c r="P426"/>
  <c r="S430"/>
  <c r="L431"/>
  <c r="K439"/>
  <c r="T20" s="1"/>
  <c r="AC20" s="1"/>
  <c r="O429"/>
  <c r="R430"/>
  <c r="B439"/>
  <c r="O14"/>
  <c r="O28"/>
  <c r="O32"/>
  <c r="O46"/>
  <c r="O60"/>
  <c r="O64"/>
  <c r="O78"/>
  <c r="O92"/>
  <c r="O96"/>
  <c r="O110"/>
  <c r="O124"/>
  <c r="O128"/>
  <c r="O142"/>
  <c r="O156"/>
  <c r="O160"/>
  <c r="O174"/>
  <c r="O188"/>
  <c r="O192"/>
  <c r="O206"/>
  <c r="O220"/>
  <c r="O224"/>
  <c r="O238"/>
  <c r="O252"/>
  <c r="O256"/>
  <c r="O270"/>
  <c r="O284"/>
  <c r="O288"/>
  <c r="O302"/>
  <c r="O316"/>
  <c r="O320"/>
  <c r="O334"/>
  <c r="O348"/>
  <c r="O352"/>
  <c r="O366"/>
  <c r="O380"/>
  <c r="O384"/>
  <c r="O398"/>
  <c r="O412"/>
  <c r="O416"/>
  <c r="O430"/>
  <c r="S7"/>
  <c r="S11"/>
  <c r="S15"/>
  <c r="S19"/>
  <c r="S23"/>
  <c r="S27"/>
  <c r="S31"/>
  <c r="S35"/>
  <c r="S39"/>
  <c r="S43"/>
  <c r="S47"/>
  <c r="S51"/>
  <c r="S55"/>
  <c r="S59"/>
  <c r="S63"/>
  <c r="S67"/>
  <c r="S71"/>
  <c r="S75"/>
  <c r="S79"/>
  <c r="S83"/>
  <c r="S87"/>
  <c r="S91"/>
  <c r="S95"/>
  <c r="S99"/>
  <c r="S103"/>
  <c r="S107"/>
  <c r="S111"/>
  <c r="S115"/>
  <c r="S119"/>
  <c r="S123"/>
  <c r="S127"/>
  <c r="S131"/>
  <c r="S135"/>
  <c r="S139"/>
  <c r="S143"/>
  <c r="S147"/>
  <c r="S151"/>
  <c r="S155"/>
  <c r="S159"/>
  <c r="S163"/>
  <c r="S167"/>
  <c r="S171"/>
  <c r="S175"/>
  <c r="S179"/>
  <c r="S183"/>
  <c r="S187"/>
  <c r="S191"/>
  <c r="S195"/>
  <c r="S199"/>
  <c r="S203"/>
  <c r="S207"/>
  <c r="S211"/>
  <c r="S215"/>
  <c r="S219"/>
  <c r="S223"/>
  <c r="S227"/>
  <c r="S231"/>
  <c r="S235"/>
  <c r="S239"/>
  <c r="S243"/>
  <c r="S247"/>
  <c r="S251"/>
  <c r="S255"/>
  <c r="S259"/>
  <c r="S263"/>
  <c r="S267"/>
  <c r="S271"/>
  <c r="S275"/>
  <c r="S279"/>
  <c r="S283"/>
  <c r="S287"/>
  <c r="S291"/>
  <c r="S295"/>
  <c r="S299"/>
  <c r="S303"/>
  <c r="S307"/>
  <c r="S311"/>
  <c r="S315"/>
  <c r="S319"/>
  <c r="S323"/>
  <c r="S327"/>
  <c r="S331"/>
  <c r="S335"/>
  <c r="S339"/>
  <c r="S343"/>
  <c r="S347"/>
  <c r="S351"/>
  <c r="S355"/>
  <c r="S359"/>
  <c r="S363"/>
  <c r="S367"/>
  <c r="S371"/>
  <c r="S375"/>
  <c r="S379"/>
  <c r="S383"/>
  <c r="S387"/>
  <c r="S391"/>
  <c r="S395"/>
  <c r="S399"/>
  <c r="S403"/>
  <c r="S407"/>
  <c r="S411"/>
  <c r="S415"/>
  <c r="S419"/>
  <c r="S423"/>
  <c r="S427"/>
  <c r="S431"/>
  <c r="R7"/>
  <c r="R11"/>
  <c r="R15"/>
  <c r="R19"/>
  <c r="R23"/>
  <c r="R27"/>
  <c r="R31"/>
  <c r="R35"/>
  <c r="R39"/>
  <c r="R43"/>
  <c r="R47"/>
  <c r="R51"/>
  <c r="R55"/>
  <c r="R59"/>
  <c r="R63"/>
  <c r="R67"/>
  <c r="R71"/>
  <c r="R75"/>
  <c r="R79"/>
  <c r="R83"/>
  <c r="R87"/>
  <c r="R91"/>
  <c r="R95"/>
  <c r="R99"/>
  <c r="R103"/>
  <c r="R107"/>
  <c r="R111"/>
  <c r="R115"/>
  <c r="R119"/>
  <c r="R123"/>
  <c r="R127"/>
  <c r="R131"/>
  <c r="R135"/>
  <c r="R139"/>
  <c r="R143"/>
  <c r="R147"/>
  <c r="R151"/>
  <c r="R155"/>
  <c r="R159"/>
  <c r="R163"/>
  <c r="R167"/>
  <c r="R171"/>
  <c r="R175"/>
  <c r="R179"/>
  <c r="R183"/>
  <c r="R187"/>
  <c r="R191"/>
  <c r="R195"/>
  <c r="R199"/>
  <c r="R203"/>
  <c r="R207"/>
  <c r="R211"/>
  <c r="R215"/>
  <c r="R219"/>
  <c r="R223"/>
  <c r="R227"/>
  <c r="R231"/>
  <c r="R235"/>
  <c r="R239"/>
  <c r="R243"/>
  <c r="R247"/>
  <c r="R251"/>
  <c r="R255"/>
  <c r="R259"/>
  <c r="R263"/>
  <c r="R267"/>
  <c r="R271"/>
  <c r="R275"/>
  <c r="R279"/>
  <c r="R283"/>
  <c r="R287"/>
  <c r="R291"/>
  <c r="R295"/>
  <c r="R299"/>
  <c r="R303"/>
  <c r="R307"/>
  <c r="R311"/>
  <c r="R315"/>
  <c r="R319"/>
  <c r="R323"/>
  <c r="R327"/>
  <c r="R331"/>
  <c r="R335"/>
  <c r="R339"/>
  <c r="R343"/>
  <c r="R347"/>
  <c r="R351"/>
  <c r="R355"/>
  <c r="R359"/>
  <c r="R363"/>
  <c r="R367"/>
  <c r="R371"/>
  <c r="R375"/>
  <c r="R379"/>
  <c r="R383"/>
  <c r="R387"/>
  <c r="R391"/>
  <c r="R395"/>
  <c r="R399"/>
  <c r="R403"/>
  <c r="R407"/>
  <c r="R411"/>
  <c r="R415"/>
  <c r="R419"/>
  <c r="R423"/>
  <c r="R427"/>
  <c r="R431"/>
  <c r="Q7"/>
  <c r="Q11"/>
  <c r="Q15"/>
  <c r="Q19"/>
  <c r="Q23"/>
  <c r="Q27"/>
  <c r="Q31"/>
  <c r="Q35"/>
  <c r="Q39"/>
  <c r="Q43"/>
  <c r="Q47"/>
  <c r="Q51"/>
  <c r="Q55"/>
  <c r="Q59"/>
  <c r="Q63"/>
  <c r="Q67"/>
  <c r="Q71"/>
  <c r="Q75"/>
  <c r="Q79"/>
  <c r="Q83"/>
  <c r="Q87"/>
  <c r="Q91"/>
  <c r="Q95"/>
  <c r="Q99"/>
  <c r="Q103"/>
  <c r="Q107"/>
  <c r="Q111"/>
  <c r="Q115"/>
  <c r="Q119"/>
  <c r="Q123"/>
  <c r="Q127"/>
  <c r="Q131"/>
  <c r="Q135"/>
  <c r="Q139"/>
  <c r="Q143"/>
  <c r="Q147"/>
  <c r="Q151"/>
  <c r="Q155"/>
  <c r="Q159"/>
  <c r="Q163"/>
  <c r="Q167"/>
  <c r="Q171"/>
  <c r="Q175"/>
  <c r="Q179"/>
  <c r="Q183"/>
  <c r="Q187"/>
  <c r="Q191"/>
  <c r="Q195"/>
  <c r="Q199"/>
  <c r="Q203"/>
  <c r="Q207"/>
  <c r="Q211"/>
  <c r="Q215"/>
  <c r="Q219"/>
  <c r="Q223"/>
  <c r="Q227"/>
  <c r="Q231"/>
  <c r="Q235"/>
  <c r="Q239"/>
  <c r="Q243"/>
  <c r="Q247"/>
  <c r="Q251"/>
  <c r="Q255"/>
  <c r="Q259"/>
  <c r="Q263"/>
  <c r="Q267"/>
  <c r="Q271"/>
  <c r="Q275"/>
  <c r="Q279"/>
  <c r="Q283"/>
  <c r="Q287"/>
  <c r="Q291"/>
  <c r="Q295"/>
  <c r="Q299"/>
  <c r="Q303"/>
  <c r="Q307"/>
  <c r="Q311"/>
  <c r="Q315"/>
  <c r="Q319"/>
  <c r="Q323"/>
  <c r="Q327"/>
  <c r="Q331"/>
  <c r="Q335"/>
  <c r="Q339"/>
  <c r="Q343"/>
  <c r="Q347"/>
  <c r="Q351"/>
  <c r="Q355"/>
  <c r="Q359"/>
  <c r="Q363"/>
  <c r="Q367"/>
  <c r="Q371"/>
  <c r="Q375"/>
  <c r="Q379"/>
  <c r="Q383"/>
  <c r="Q387"/>
  <c r="Q391"/>
  <c r="Q395"/>
  <c r="Q399"/>
  <c r="Q403"/>
  <c r="Q407"/>
  <c r="Q411"/>
  <c r="Q415"/>
  <c r="Q419"/>
  <c r="Q423"/>
  <c r="Q427"/>
  <c r="Q431"/>
  <c r="P142"/>
  <c r="P174"/>
  <c r="P206"/>
  <c r="P238"/>
  <c r="P270"/>
  <c r="P302"/>
  <c r="P334"/>
  <c r="P366"/>
  <c r="P398"/>
  <c r="P430"/>
  <c r="O66"/>
  <c r="O130"/>
  <c r="O194"/>
  <c r="O258"/>
  <c r="O322"/>
  <c r="O386"/>
  <c r="P5"/>
  <c r="P9"/>
  <c r="P13"/>
  <c r="P17"/>
  <c r="P21"/>
  <c r="P25"/>
  <c r="P29"/>
  <c r="P33"/>
  <c r="P37"/>
  <c r="P41"/>
  <c r="P45"/>
  <c r="P49"/>
  <c r="P53"/>
  <c r="P57"/>
  <c r="P61"/>
  <c r="P65"/>
  <c r="P69"/>
  <c r="P73"/>
  <c r="P77"/>
  <c r="P81"/>
  <c r="P85"/>
  <c r="P89"/>
  <c r="P93"/>
  <c r="P97"/>
  <c r="P101"/>
  <c r="P105"/>
  <c r="P109"/>
  <c r="P113"/>
  <c r="P117"/>
  <c r="P121"/>
  <c r="P125"/>
  <c r="P129"/>
  <c r="P133"/>
  <c r="P137"/>
  <c r="P141"/>
  <c r="P145"/>
  <c r="P149"/>
  <c r="P153"/>
  <c r="P157"/>
  <c r="P161"/>
  <c r="P165"/>
  <c r="P169"/>
  <c r="P173"/>
  <c r="P177"/>
  <c r="P181"/>
  <c r="P185"/>
  <c r="P189"/>
  <c r="P193"/>
  <c r="P197"/>
  <c r="P201"/>
  <c r="P205"/>
  <c r="P209"/>
  <c r="P213"/>
  <c r="P217"/>
  <c r="P221"/>
  <c r="P225"/>
  <c r="P229"/>
  <c r="P233"/>
  <c r="P237"/>
  <c r="P241"/>
  <c r="P245"/>
  <c r="P249"/>
  <c r="P253"/>
  <c r="P257"/>
  <c r="P261"/>
  <c r="P265"/>
  <c r="P269"/>
  <c r="P273"/>
  <c r="P277"/>
  <c r="P281"/>
  <c r="P285"/>
  <c r="P289"/>
  <c r="P293"/>
  <c r="P297"/>
  <c r="P301"/>
  <c r="P305"/>
  <c r="P309"/>
  <c r="P313"/>
  <c r="P317"/>
  <c r="P321"/>
  <c r="P325"/>
  <c r="P329"/>
  <c r="P333"/>
  <c r="P337"/>
  <c r="P341"/>
  <c r="P345"/>
  <c r="P349"/>
  <c r="P353"/>
  <c r="P357"/>
  <c r="P361"/>
  <c r="P365"/>
  <c r="P369"/>
  <c r="P373"/>
  <c r="P377"/>
  <c r="P381"/>
  <c r="P385"/>
  <c r="P389"/>
  <c r="P393"/>
  <c r="P397"/>
  <c r="P401"/>
  <c r="P405"/>
  <c r="P409"/>
  <c r="P413"/>
  <c r="P417"/>
  <c r="P421"/>
  <c r="P425"/>
  <c r="P429"/>
  <c r="O5"/>
  <c r="O9"/>
  <c r="O15"/>
  <c r="O21"/>
  <c r="O25"/>
  <c r="O31"/>
  <c r="O37"/>
  <c r="O41"/>
  <c r="O47"/>
  <c r="O53"/>
  <c r="O57"/>
  <c r="O63"/>
  <c r="O69"/>
  <c r="O73"/>
  <c r="O79"/>
  <c r="O85"/>
  <c r="O89"/>
  <c r="O95"/>
  <c r="O101"/>
  <c r="O105"/>
  <c r="O111"/>
  <c r="O117"/>
  <c r="O121"/>
  <c r="O127"/>
  <c r="O133"/>
  <c r="O137"/>
  <c r="O143"/>
  <c r="O149"/>
  <c r="O153"/>
  <c r="O159"/>
  <c r="O165"/>
  <c r="O169"/>
  <c r="O175"/>
  <c r="O181"/>
  <c r="O185"/>
  <c r="O191"/>
  <c r="O197"/>
  <c r="O201"/>
  <c r="O207"/>
  <c r="O213"/>
  <c r="O217"/>
  <c r="O223"/>
  <c r="O229"/>
  <c r="O233"/>
  <c r="O239"/>
  <c r="O245"/>
  <c r="O249"/>
  <c r="O255"/>
  <c r="O261"/>
  <c r="O265"/>
  <c r="O271"/>
  <c r="O277"/>
  <c r="O281"/>
  <c r="O287"/>
  <c r="O293"/>
  <c r="O297"/>
  <c r="O303"/>
  <c r="O309"/>
  <c r="O313"/>
  <c r="O319"/>
  <c r="O325"/>
  <c r="O329"/>
  <c r="O335"/>
  <c r="O341"/>
  <c r="O345"/>
  <c r="O351"/>
  <c r="O357"/>
  <c r="O361"/>
  <c r="O367"/>
  <c r="O373"/>
  <c r="O377"/>
  <c r="O383"/>
  <c r="O389"/>
  <c r="O393"/>
  <c r="O399"/>
  <c r="O405"/>
  <c r="O409"/>
  <c r="O415"/>
  <c r="O421"/>
  <c r="O425"/>
  <c r="O431"/>
  <c r="N153"/>
  <c r="N329"/>
  <c r="N5"/>
  <c r="N11"/>
  <c r="N15"/>
  <c r="N19"/>
  <c r="N23"/>
  <c r="N27"/>
  <c r="N31"/>
  <c r="N35"/>
  <c r="N39"/>
  <c r="N43"/>
  <c r="N47"/>
  <c r="N51"/>
  <c r="N55"/>
  <c r="N59"/>
  <c r="N63"/>
  <c r="N67"/>
  <c r="N71"/>
  <c r="N77"/>
  <c r="N81"/>
  <c r="N85"/>
  <c r="N91"/>
  <c r="N95"/>
  <c r="N99"/>
  <c r="N103"/>
  <c r="N107"/>
  <c r="N111"/>
  <c r="N115"/>
  <c r="N119"/>
  <c r="N123"/>
  <c r="N127"/>
  <c r="N131"/>
  <c r="N135"/>
  <c r="N139"/>
  <c r="N143"/>
  <c r="N147"/>
  <c r="N151"/>
  <c r="N157"/>
  <c r="N161"/>
  <c r="N165"/>
  <c r="N171"/>
  <c r="N175"/>
  <c r="N179"/>
  <c r="N183"/>
  <c r="N187"/>
  <c r="N191"/>
  <c r="N195"/>
  <c r="N199"/>
  <c r="N203"/>
  <c r="N207"/>
  <c r="N211"/>
  <c r="N215"/>
  <c r="N219"/>
  <c r="N223"/>
  <c r="N227"/>
  <c r="N231"/>
  <c r="N237"/>
  <c r="N241"/>
  <c r="N245"/>
  <c r="N249"/>
  <c r="N253"/>
  <c r="N257"/>
  <c r="N261"/>
  <c r="N267"/>
  <c r="N271"/>
  <c r="N275"/>
  <c r="N279"/>
  <c r="N283"/>
  <c r="N287"/>
  <c r="N291"/>
  <c r="N295"/>
  <c r="N299"/>
  <c r="N303"/>
  <c r="N307"/>
  <c r="N311"/>
  <c r="N315"/>
  <c r="N319"/>
  <c r="N323"/>
  <c r="N327"/>
  <c r="N333"/>
  <c r="N337"/>
  <c r="N341"/>
  <c r="N347"/>
  <c r="N351"/>
  <c r="N355"/>
  <c r="N359"/>
  <c r="N363"/>
  <c r="N367"/>
  <c r="N371"/>
  <c r="N375"/>
  <c r="N379"/>
  <c r="N383"/>
  <c r="N387"/>
  <c r="N391"/>
  <c r="N395"/>
  <c r="N399"/>
  <c r="N403"/>
  <c r="N407"/>
  <c r="N413"/>
  <c r="N417"/>
  <c r="N421"/>
  <c r="N427"/>
  <c r="N431"/>
  <c r="L7"/>
  <c r="L11"/>
  <c r="L15"/>
  <c r="L19"/>
  <c r="L23"/>
  <c r="L27"/>
  <c r="L31"/>
  <c r="L35"/>
  <c r="L39"/>
  <c r="L43"/>
  <c r="L47"/>
  <c r="L51"/>
  <c r="L55"/>
  <c r="L59"/>
  <c r="L63"/>
  <c r="L67"/>
  <c r="L71"/>
  <c r="L75"/>
  <c r="L79"/>
  <c r="L83"/>
  <c r="L87"/>
  <c r="L91"/>
  <c r="L95"/>
  <c r="L99"/>
  <c r="L103"/>
  <c r="L107"/>
  <c r="L111"/>
  <c r="L115"/>
  <c r="L119"/>
  <c r="L123"/>
  <c r="L127"/>
  <c r="L131"/>
  <c r="L135"/>
  <c r="L139"/>
  <c r="L143"/>
  <c r="L147"/>
  <c r="L151"/>
  <c r="L155"/>
  <c r="L159"/>
  <c r="L163"/>
  <c r="L167"/>
  <c r="L171"/>
  <c r="L175"/>
  <c r="L179"/>
  <c r="L183"/>
  <c r="L187"/>
  <c r="L191"/>
  <c r="L195"/>
  <c r="L199"/>
  <c r="L203"/>
  <c r="L207"/>
  <c r="L211"/>
  <c r="L215"/>
  <c r="L219"/>
  <c r="L223"/>
  <c r="L227"/>
  <c r="L231"/>
  <c r="L235"/>
  <c r="L239"/>
  <c r="L243"/>
  <c r="L247"/>
  <c r="L251"/>
  <c r="L255"/>
  <c r="L259"/>
  <c r="L263"/>
  <c r="L267"/>
  <c r="L271"/>
  <c r="L275"/>
  <c r="L279"/>
  <c r="L285"/>
  <c r="L289"/>
  <c r="L293"/>
  <c r="L297"/>
  <c r="L301"/>
  <c r="L305"/>
  <c r="L309"/>
  <c r="L317"/>
  <c r="L325"/>
  <c r="L337"/>
  <c r="L347"/>
  <c r="S8"/>
  <c r="S12"/>
  <c r="S16"/>
  <c r="S20"/>
  <c r="S24"/>
  <c r="S28"/>
  <c r="S32"/>
  <c r="S36"/>
  <c r="S40"/>
  <c r="S44"/>
  <c r="S48"/>
  <c r="S52"/>
  <c r="S56"/>
  <c r="S60"/>
  <c r="S64"/>
  <c r="S68"/>
  <c r="S72"/>
  <c r="S76"/>
  <c r="S80"/>
  <c r="S84"/>
  <c r="S88"/>
  <c r="S92"/>
  <c r="S96"/>
  <c r="S100"/>
  <c r="S104"/>
  <c r="S108"/>
  <c r="S112"/>
  <c r="S116"/>
  <c r="S120"/>
  <c r="S124"/>
  <c r="S128"/>
  <c r="S132"/>
  <c r="S136"/>
  <c r="S140"/>
  <c r="S144"/>
  <c r="S148"/>
  <c r="S152"/>
  <c r="S156"/>
  <c r="S160"/>
  <c r="S164"/>
  <c r="S168"/>
  <c r="S172"/>
  <c r="S176"/>
  <c r="S180"/>
  <c r="S184"/>
  <c r="S188"/>
  <c r="S192"/>
  <c r="S196"/>
  <c r="S200"/>
  <c r="S204"/>
  <c r="S208"/>
  <c r="S212"/>
  <c r="S216"/>
  <c r="S220"/>
  <c r="S224"/>
  <c r="S228"/>
  <c r="S232"/>
  <c r="S236"/>
  <c r="S240"/>
  <c r="S244"/>
  <c r="S248"/>
  <c r="S252"/>
  <c r="S256"/>
  <c r="S260"/>
  <c r="S264"/>
  <c r="S268"/>
  <c r="S272"/>
  <c r="S276"/>
  <c r="S280"/>
  <c r="S284"/>
  <c r="S288"/>
  <c r="S292"/>
  <c r="S296"/>
  <c r="S300"/>
  <c r="S304"/>
  <c r="S308"/>
  <c r="S312"/>
  <c r="S316"/>
  <c r="S320"/>
  <c r="S324"/>
  <c r="S328"/>
  <c r="S332"/>
  <c r="S336"/>
  <c r="S340"/>
  <c r="S344"/>
  <c r="S348"/>
  <c r="S352"/>
  <c r="S356"/>
  <c r="S360"/>
  <c r="S364"/>
  <c r="S368"/>
  <c r="S372"/>
  <c r="S376"/>
  <c r="S380"/>
  <c r="S384"/>
  <c r="S388"/>
  <c r="S392"/>
  <c r="S396"/>
  <c r="S400"/>
  <c r="S404"/>
  <c r="S408"/>
  <c r="S412"/>
  <c r="S416"/>
  <c r="S420"/>
  <c r="S424"/>
  <c r="S428"/>
  <c r="R8"/>
  <c r="R12"/>
  <c r="R16"/>
  <c r="R20"/>
  <c r="R24"/>
  <c r="R28"/>
  <c r="R32"/>
  <c r="R36"/>
  <c r="R40"/>
  <c r="R44"/>
  <c r="R48"/>
  <c r="R52"/>
  <c r="R56"/>
  <c r="R60"/>
  <c r="R64"/>
  <c r="R68"/>
  <c r="R72"/>
  <c r="R76"/>
  <c r="R80"/>
  <c r="R84"/>
  <c r="R88"/>
  <c r="R92"/>
  <c r="R96"/>
  <c r="R100"/>
  <c r="R104"/>
  <c r="R108"/>
  <c r="R112"/>
  <c r="R116"/>
  <c r="R120"/>
  <c r="R124"/>
  <c r="R128"/>
  <c r="R132"/>
  <c r="R136"/>
  <c r="R140"/>
  <c r="R144"/>
  <c r="R148"/>
  <c r="R152"/>
  <c r="R156"/>
  <c r="R160"/>
  <c r="R164"/>
  <c r="R168"/>
  <c r="R172"/>
  <c r="R176"/>
  <c r="R180"/>
  <c r="R184"/>
  <c r="R188"/>
  <c r="R192"/>
  <c r="R196"/>
  <c r="R200"/>
  <c r="R204"/>
  <c r="R208"/>
  <c r="R212"/>
  <c r="R216"/>
  <c r="R220"/>
  <c r="R224"/>
  <c r="R228"/>
  <c r="R232"/>
  <c r="R236"/>
  <c r="R240"/>
  <c r="R244"/>
  <c r="R248"/>
  <c r="R252"/>
  <c r="R256"/>
  <c r="R260"/>
  <c r="R264"/>
  <c r="R268"/>
  <c r="R272"/>
  <c r="R276"/>
  <c r="R280"/>
  <c r="R284"/>
  <c r="R288"/>
  <c r="R292"/>
  <c r="R296"/>
  <c r="R300"/>
  <c r="R304"/>
  <c r="R308"/>
  <c r="R312"/>
  <c r="R316"/>
  <c r="R320"/>
  <c r="R324"/>
  <c r="R328"/>
  <c r="R332"/>
  <c r="R336"/>
  <c r="R340"/>
  <c r="R344"/>
  <c r="R348"/>
  <c r="R352"/>
  <c r="R356"/>
  <c r="R360"/>
  <c r="R364"/>
  <c r="R368"/>
  <c r="R372"/>
  <c r="R376"/>
  <c r="R380"/>
  <c r="R384"/>
  <c r="R388"/>
  <c r="R392"/>
  <c r="R396"/>
  <c r="R400"/>
  <c r="R404"/>
  <c r="R408"/>
  <c r="R412"/>
  <c r="R416"/>
  <c r="R420"/>
  <c r="R424"/>
  <c r="R428"/>
  <c r="Q8"/>
  <c r="Q12"/>
  <c r="Q16"/>
  <c r="Q20"/>
  <c r="Q24"/>
  <c r="Q28"/>
  <c r="Q32"/>
  <c r="Q36"/>
  <c r="Q40"/>
  <c r="Q44"/>
  <c r="Q48"/>
  <c r="Q52"/>
  <c r="Q56"/>
  <c r="Q60"/>
  <c r="Q64"/>
  <c r="Q68"/>
  <c r="Q72"/>
  <c r="Q76"/>
  <c r="Q80"/>
  <c r="Q84"/>
  <c r="Q88"/>
  <c r="Q92"/>
  <c r="Q96"/>
  <c r="Q100"/>
  <c r="Q104"/>
  <c r="Q108"/>
  <c r="Q112"/>
  <c r="Q116"/>
  <c r="Q120"/>
  <c r="Q124"/>
  <c r="Q128"/>
  <c r="Q132"/>
  <c r="Q136"/>
  <c r="Q140"/>
  <c r="Q144"/>
  <c r="Q148"/>
  <c r="Q152"/>
  <c r="Q156"/>
  <c r="Q160"/>
  <c r="Q164"/>
  <c r="Q168"/>
  <c r="Q172"/>
  <c r="Q176"/>
  <c r="Q180"/>
  <c r="Q184"/>
  <c r="Q188"/>
  <c r="Q192"/>
  <c r="Q196"/>
  <c r="Q200"/>
  <c r="Q204"/>
  <c r="Q208"/>
  <c r="Q212"/>
  <c r="Q216"/>
  <c r="Q220"/>
  <c r="Q224"/>
  <c r="Q228"/>
  <c r="Q232"/>
  <c r="Q236"/>
  <c r="Q240"/>
  <c r="Q244"/>
  <c r="Q248"/>
  <c r="Q252"/>
  <c r="Q256"/>
  <c r="Q260"/>
  <c r="Q264"/>
  <c r="Q268"/>
  <c r="Q272"/>
  <c r="Q276"/>
  <c r="Q280"/>
  <c r="Q284"/>
  <c r="Q288"/>
  <c r="Q292"/>
  <c r="Q296"/>
  <c r="Q300"/>
  <c r="Q304"/>
  <c r="Q308"/>
  <c r="Q312"/>
  <c r="Q316"/>
  <c r="Q320"/>
  <c r="Q324"/>
  <c r="Q328"/>
  <c r="Q332"/>
  <c r="Q336"/>
  <c r="Q340"/>
  <c r="Q344"/>
  <c r="Q348"/>
  <c r="Q352"/>
  <c r="Q356"/>
  <c r="Q360"/>
  <c r="Q364"/>
  <c r="Q368"/>
  <c r="Q372"/>
  <c r="Q376"/>
  <c r="Q380"/>
  <c r="Q384"/>
  <c r="Q388"/>
  <c r="Q392"/>
  <c r="Q396"/>
  <c r="Q400"/>
  <c r="Q404"/>
  <c r="Q408"/>
  <c r="Q412"/>
  <c r="Q416"/>
  <c r="Q420"/>
  <c r="Q424"/>
  <c r="Q428"/>
  <c r="P120"/>
  <c r="P152"/>
  <c r="P184"/>
  <c r="P216"/>
  <c r="P248"/>
  <c r="P280"/>
  <c r="P312"/>
  <c r="P344"/>
  <c r="P376"/>
  <c r="P408"/>
  <c r="O18"/>
  <c r="O82"/>
  <c r="O146"/>
  <c r="O210"/>
  <c r="O274"/>
  <c r="O338"/>
  <c r="O402"/>
  <c r="P6"/>
  <c r="P10"/>
  <c r="P14"/>
  <c r="P18"/>
  <c r="P22"/>
  <c r="P26"/>
  <c r="P30"/>
  <c r="P34"/>
  <c r="P38"/>
  <c r="P42"/>
  <c r="P46"/>
  <c r="P50"/>
  <c r="P54"/>
  <c r="P58"/>
  <c r="P62"/>
  <c r="P66"/>
  <c r="P70"/>
  <c r="P74"/>
  <c r="P78"/>
  <c r="P82"/>
  <c r="P86"/>
  <c r="P90"/>
  <c r="P94"/>
  <c r="P98"/>
  <c r="P102"/>
  <c r="P106"/>
  <c r="P110"/>
  <c r="P114"/>
  <c r="P118"/>
  <c r="P124"/>
  <c r="P130"/>
  <c r="P134"/>
  <c r="P140"/>
  <c r="P146"/>
  <c r="P150"/>
  <c r="P156"/>
  <c r="P162"/>
  <c r="P166"/>
  <c r="P172"/>
  <c r="P178"/>
  <c r="P182"/>
  <c r="P188"/>
  <c r="P194"/>
  <c r="P198"/>
  <c r="P204"/>
  <c r="P210"/>
  <c r="P214"/>
  <c r="P220"/>
  <c r="P226"/>
  <c r="P230"/>
  <c r="P236"/>
  <c r="P242"/>
  <c r="P246"/>
  <c r="P252"/>
  <c r="P258"/>
  <c r="P262"/>
  <c r="P268"/>
  <c r="P274"/>
  <c r="P278"/>
  <c r="P284"/>
  <c r="P290"/>
  <c r="P294"/>
  <c r="P300"/>
  <c r="P306"/>
  <c r="P310"/>
  <c r="P316"/>
  <c r="P322"/>
  <c r="P326"/>
  <c r="P332"/>
  <c r="P338"/>
  <c r="P342"/>
  <c r="P348"/>
  <c r="P354"/>
  <c r="P358"/>
  <c r="P364"/>
  <c r="P370"/>
  <c r="P374"/>
  <c r="P380"/>
  <c r="P386"/>
  <c r="P390"/>
  <c r="P396"/>
  <c r="P402"/>
  <c r="P406"/>
  <c r="P412"/>
  <c r="P418"/>
  <c r="P422"/>
  <c r="P428"/>
  <c r="O6"/>
  <c r="O10"/>
  <c r="O17"/>
  <c r="O22"/>
  <c r="O26"/>
  <c r="O33"/>
  <c r="O38"/>
  <c r="O42"/>
  <c r="O49"/>
  <c r="O54"/>
  <c r="O58"/>
  <c r="O65"/>
  <c r="O70"/>
  <c r="O74"/>
  <c r="O81"/>
  <c r="O86"/>
  <c r="O90"/>
  <c r="O97"/>
  <c r="O102"/>
  <c r="O106"/>
  <c r="O113"/>
  <c r="O118"/>
  <c r="O122"/>
  <c r="O129"/>
  <c r="O134"/>
  <c r="O138"/>
  <c r="O145"/>
  <c r="O150"/>
  <c r="O154"/>
  <c r="O161"/>
  <c r="O166"/>
  <c r="O170"/>
  <c r="O177"/>
  <c r="O182"/>
  <c r="O186"/>
  <c r="O193"/>
  <c r="O198"/>
  <c r="O202"/>
  <c r="O209"/>
  <c r="O214"/>
  <c r="O218"/>
  <c r="O225"/>
  <c r="O230"/>
  <c r="O234"/>
  <c r="O241"/>
  <c r="O246"/>
  <c r="O250"/>
  <c r="O257"/>
  <c r="O262"/>
  <c r="O266"/>
  <c r="O273"/>
  <c r="O278"/>
  <c r="O282"/>
  <c r="O289"/>
  <c r="O294"/>
  <c r="O298"/>
  <c r="O305"/>
  <c r="O310"/>
  <c r="O314"/>
  <c r="O321"/>
  <c r="O326"/>
  <c r="O330"/>
  <c r="O337"/>
  <c r="O342"/>
  <c r="O346"/>
  <c r="O353"/>
  <c r="O358"/>
  <c r="O362"/>
  <c r="O369"/>
  <c r="O374"/>
  <c r="O378"/>
  <c r="O385"/>
  <c r="O390"/>
  <c r="O394"/>
  <c r="O401"/>
  <c r="O406"/>
  <c r="O410"/>
  <c r="O417"/>
  <c r="O422"/>
  <c r="O426"/>
  <c r="N9"/>
  <c r="N169"/>
  <c r="N345"/>
  <c r="N6"/>
  <c r="N10"/>
  <c r="N14"/>
  <c r="N18"/>
  <c r="N22"/>
  <c r="N26"/>
  <c r="N30"/>
  <c r="N34"/>
  <c r="N38"/>
  <c r="N42"/>
  <c r="N46"/>
  <c r="N50"/>
  <c r="N54"/>
  <c r="N58"/>
  <c r="N62"/>
  <c r="N66"/>
  <c r="N70"/>
  <c r="N74"/>
  <c r="N78"/>
  <c r="N82"/>
  <c r="N86"/>
  <c r="N90"/>
  <c r="N94"/>
  <c r="N98"/>
  <c r="N102"/>
  <c r="N106"/>
  <c r="N110"/>
  <c r="N114"/>
  <c r="N118"/>
  <c r="N122"/>
  <c r="N126"/>
  <c r="N130"/>
  <c r="N134"/>
  <c r="N138"/>
  <c r="N142"/>
  <c r="N146"/>
  <c r="N150"/>
  <c r="N154"/>
  <c r="N158"/>
  <c r="N162"/>
  <c r="N166"/>
  <c r="N170"/>
  <c r="N174"/>
  <c r="N178"/>
  <c r="N182"/>
  <c r="N186"/>
  <c r="N190"/>
  <c r="N194"/>
  <c r="N198"/>
  <c r="N202"/>
  <c r="N206"/>
  <c r="N210"/>
  <c r="N214"/>
  <c r="N218"/>
  <c r="N222"/>
  <c r="N226"/>
  <c r="N230"/>
  <c r="N234"/>
  <c r="N238"/>
  <c r="N242"/>
  <c r="N246"/>
  <c r="N250"/>
  <c r="N254"/>
  <c r="N258"/>
  <c r="N262"/>
  <c r="N266"/>
  <c r="N270"/>
  <c r="N274"/>
  <c r="N278"/>
  <c r="N282"/>
  <c r="N286"/>
  <c r="N290"/>
  <c r="N294"/>
  <c r="N298"/>
  <c r="N302"/>
  <c r="N306"/>
  <c r="N310"/>
  <c r="N314"/>
  <c r="N318"/>
  <c r="N322"/>
  <c r="N326"/>
  <c r="N330"/>
  <c r="N334"/>
  <c r="N338"/>
  <c r="N342"/>
  <c r="N346"/>
  <c r="N350"/>
  <c r="N354"/>
  <c r="N358"/>
  <c r="N362"/>
  <c r="N366"/>
  <c r="N370"/>
  <c r="N374"/>
  <c r="N378"/>
  <c r="N382"/>
  <c r="N386"/>
  <c r="N390"/>
  <c r="N394"/>
  <c r="N398"/>
  <c r="N402"/>
  <c r="N406"/>
  <c r="N410"/>
  <c r="N414"/>
  <c r="N418"/>
  <c r="N422"/>
  <c r="N426"/>
  <c r="N430"/>
  <c r="L6"/>
  <c r="L10"/>
  <c r="L14"/>
  <c r="L18"/>
  <c r="L22"/>
  <c r="L26"/>
  <c r="L30"/>
  <c r="L34"/>
  <c r="L38"/>
  <c r="L42"/>
  <c r="L46"/>
  <c r="L50"/>
  <c r="L54"/>
  <c r="L58"/>
  <c r="L62"/>
  <c r="L66"/>
  <c r="L70"/>
  <c r="L74"/>
  <c r="L78"/>
  <c r="L82"/>
  <c r="L86"/>
  <c r="L90"/>
  <c r="L94"/>
  <c r="L98"/>
  <c r="L102"/>
  <c r="L106"/>
  <c r="L110"/>
  <c r="L114"/>
  <c r="L118"/>
  <c r="L122"/>
  <c r="L126"/>
  <c r="L130"/>
  <c r="L134"/>
  <c r="L138"/>
  <c r="L142"/>
  <c r="L146"/>
  <c r="L150"/>
  <c r="L154"/>
  <c r="L158"/>
  <c r="L162"/>
  <c r="L166"/>
  <c r="L170"/>
  <c r="L174"/>
  <c r="L178"/>
  <c r="L182"/>
  <c r="L186"/>
  <c r="L190"/>
  <c r="L194"/>
  <c r="L198"/>
  <c r="L202"/>
  <c r="L206"/>
  <c r="L210"/>
  <c r="L214"/>
  <c r="L218"/>
  <c r="L222"/>
  <c r="L226"/>
  <c r="L230"/>
  <c r="L234"/>
  <c r="L238"/>
  <c r="L242"/>
  <c r="L246"/>
  <c r="L250"/>
  <c r="L254"/>
  <c r="L258"/>
  <c r="L262"/>
  <c r="L266"/>
  <c r="L270"/>
  <c r="L274"/>
  <c r="L278"/>
  <c r="L282"/>
  <c r="L286"/>
  <c r="L290"/>
  <c r="L294"/>
  <c r="L281"/>
  <c r="L315"/>
  <c r="L323"/>
  <c r="L329"/>
  <c r="L335"/>
  <c r="L343"/>
  <c r="L349"/>
  <c r="L298"/>
  <c r="L302"/>
  <c r="L306"/>
  <c r="L310"/>
  <c r="L314"/>
  <c r="L318"/>
  <c r="L322"/>
  <c r="L326"/>
  <c r="L330"/>
  <c r="L334"/>
  <c r="L338"/>
  <c r="L342"/>
  <c r="L346"/>
  <c r="L350"/>
  <c r="L354"/>
  <c r="L358"/>
  <c r="L362"/>
  <c r="L366"/>
  <c r="L370"/>
  <c r="L374"/>
  <c r="L378"/>
  <c r="L382"/>
  <c r="L386"/>
  <c r="L390"/>
  <c r="L394"/>
  <c r="L398"/>
  <c r="L402"/>
  <c r="L406"/>
  <c r="L410"/>
  <c r="L414"/>
  <c r="L418"/>
  <c r="L422"/>
  <c r="L426"/>
  <c r="L430"/>
  <c r="T28"/>
  <c r="AC28" s="1"/>
  <c r="T36"/>
  <c r="AC36" s="1"/>
  <c r="T44"/>
  <c r="AC44" s="1"/>
  <c r="T160"/>
  <c r="AC160" s="1"/>
  <c r="T200"/>
  <c r="AC200" s="1"/>
  <c r="T244"/>
  <c r="AC244" s="1"/>
  <c r="T284"/>
  <c r="AC284" s="1"/>
  <c r="T308"/>
  <c r="AC308" s="1"/>
  <c r="T340"/>
  <c r="AC340" s="1"/>
  <c r="T364"/>
  <c r="AC364" s="1"/>
  <c r="T388"/>
  <c r="AC388" s="1"/>
  <c r="T412"/>
  <c r="AC412" s="1"/>
  <c r="L357"/>
  <c r="L361"/>
  <c r="L365"/>
  <c r="L369"/>
  <c r="L373"/>
  <c r="L377"/>
  <c r="L381"/>
  <c r="L385"/>
  <c r="L389"/>
  <c r="L393"/>
  <c r="L397"/>
  <c r="L401"/>
  <c r="L405"/>
  <c r="L409"/>
  <c r="L413"/>
  <c r="L417"/>
  <c r="L421"/>
  <c r="L425"/>
  <c r="L429"/>
  <c r="T29"/>
  <c r="AC29" s="1"/>
  <c r="T33"/>
  <c r="AC33" s="1"/>
  <c r="T37"/>
  <c r="AC37" s="1"/>
  <c r="T109"/>
  <c r="AC109" s="1"/>
  <c r="T233"/>
  <c r="AC233" s="1"/>
  <c r="T237"/>
  <c r="AC237" s="1"/>
  <c r="T321"/>
  <c r="AC321" s="1"/>
  <c r="T333"/>
  <c r="AC333" s="1"/>
  <c r="T357"/>
  <c r="AC357" s="1"/>
  <c r="T393"/>
  <c r="AC393" s="1"/>
  <c r="T409"/>
  <c r="AC409" s="1"/>
  <c r="T421"/>
  <c r="AC421" s="1"/>
  <c r="T425"/>
  <c r="AC425" s="1"/>
  <c r="O12"/>
  <c r="O16"/>
  <c r="O30"/>
  <c r="O44"/>
  <c r="O48"/>
  <c r="O62"/>
  <c r="O76"/>
  <c r="O80"/>
  <c r="O94"/>
  <c r="O108"/>
  <c r="O112"/>
  <c r="O126"/>
  <c r="O140"/>
  <c r="O144"/>
  <c r="O158"/>
  <c r="O172"/>
  <c r="O176"/>
  <c r="O190"/>
  <c r="O204"/>
  <c r="O208"/>
  <c r="O222"/>
  <c r="O236"/>
  <c r="O240"/>
  <c r="O254"/>
  <c r="O268"/>
  <c r="O272"/>
  <c r="O286"/>
  <c r="O300"/>
  <c r="O304"/>
  <c r="O318"/>
  <c r="O332"/>
  <c r="O336"/>
  <c r="O350"/>
  <c r="O364"/>
  <c r="O368"/>
  <c r="O382"/>
  <c r="O396"/>
  <c r="O400"/>
  <c r="O414"/>
  <c r="O428"/>
  <c r="S5"/>
  <c r="S9"/>
  <c r="S13"/>
  <c r="S17"/>
  <c r="S21"/>
  <c r="S25"/>
  <c r="S29"/>
  <c r="S33"/>
  <c r="S37"/>
  <c r="S41"/>
  <c r="S45"/>
  <c r="S49"/>
  <c r="S53"/>
  <c r="S57"/>
  <c r="S61"/>
  <c r="S65"/>
  <c r="S69"/>
  <c r="S73"/>
  <c r="S77"/>
  <c r="S81"/>
  <c r="S85"/>
  <c r="S89"/>
  <c r="S93"/>
  <c r="S97"/>
  <c r="S101"/>
  <c r="S105"/>
  <c r="S109"/>
  <c r="S113"/>
  <c r="S117"/>
  <c r="S121"/>
  <c r="S125"/>
  <c r="S129"/>
  <c r="S133"/>
  <c r="S137"/>
  <c r="S141"/>
  <c r="S145"/>
  <c r="S149"/>
  <c r="S153"/>
  <c r="S157"/>
  <c r="S161"/>
  <c r="S165"/>
  <c r="S169"/>
  <c r="S173"/>
  <c r="S177"/>
  <c r="S181"/>
  <c r="S185"/>
  <c r="S189"/>
  <c r="S193"/>
  <c r="S197"/>
  <c r="S201"/>
  <c r="S205"/>
  <c r="S209"/>
  <c r="S213"/>
  <c r="S217"/>
  <c r="S221"/>
  <c r="S225"/>
  <c r="S229"/>
  <c r="S233"/>
  <c r="S237"/>
  <c r="S241"/>
  <c r="S245"/>
  <c r="S249"/>
  <c r="S253"/>
  <c r="S257"/>
  <c r="S261"/>
  <c r="S265"/>
  <c r="S269"/>
  <c r="S273"/>
  <c r="S277"/>
  <c r="S281"/>
  <c r="S285"/>
  <c r="S289"/>
  <c r="S293"/>
  <c r="S297"/>
  <c r="S301"/>
  <c r="S305"/>
  <c r="S309"/>
  <c r="S313"/>
  <c r="S317"/>
  <c r="S321"/>
  <c r="S325"/>
  <c r="S329"/>
  <c r="S333"/>
  <c r="S337"/>
  <c r="S341"/>
  <c r="S345"/>
  <c r="S349"/>
  <c r="S353"/>
  <c r="S357"/>
  <c r="S361"/>
  <c r="S365"/>
  <c r="S369"/>
  <c r="S373"/>
  <c r="S377"/>
  <c r="S381"/>
  <c r="S385"/>
  <c r="S389"/>
  <c r="S393"/>
  <c r="S397"/>
  <c r="S401"/>
  <c r="S405"/>
  <c r="S409"/>
  <c r="S413"/>
  <c r="S417"/>
  <c r="S421"/>
  <c r="S425"/>
  <c r="S429"/>
  <c r="R5"/>
  <c r="R9"/>
  <c r="R13"/>
  <c r="R17"/>
  <c r="R21"/>
  <c r="R25"/>
  <c r="R29"/>
  <c r="R33"/>
  <c r="R37"/>
  <c r="R41"/>
  <c r="R45"/>
  <c r="R49"/>
  <c r="R53"/>
  <c r="R57"/>
  <c r="R61"/>
  <c r="R65"/>
  <c r="R69"/>
  <c r="R73"/>
  <c r="R77"/>
  <c r="R81"/>
  <c r="R85"/>
  <c r="R89"/>
  <c r="R93"/>
  <c r="R97"/>
  <c r="R101"/>
  <c r="R105"/>
  <c r="R109"/>
  <c r="R113"/>
  <c r="R117"/>
  <c r="R121"/>
  <c r="R125"/>
  <c r="R129"/>
  <c r="R133"/>
  <c r="R137"/>
  <c r="R141"/>
  <c r="R145"/>
  <c r="R149"/>
  <c r="R153"/>
  <c r="R157"/>
  <c r="R161"/>
  <c r="R165"/>
  <c r="R169"/>
  <c r="R173"/>
  <c r="R177"/>
  <c r="R181"/>
  <c r="R185"/>
  <c r="R189"/>
  <c r="R193"/>
  <c r="R197"/>
  <c r="R201"/>
  <c r="R205"/>
  <c r="R209"/>
  <c r="R213"/>
  <c r="R217"/>
  <c r="R221"/>
  <c r="R225"/>
  <c r="R229"/>
  <c r="R233"/>
  <c r="R237"/>
  <c r="R241"/>
  <c r="R245"/>
  <c r="R249"/>
  <c r="R253"/>
  <c r="R257"/>
  <c r="R261"/>
  <c r="R265"/>
  <c r="R269"/>
  <c r="R273"/>
  <c r="R277"/>
  <c r="R281"/>
  <c r="R285"/>
  <c r="R289"/>
  <c r="R293"/>
  <c r="R297"/>
  <c r="R301"/>
  <c r="R305"/>
  <c r="R309"/>
  <c r="R313"/>
  <c r="R317"/>
  <c r="R321"/>
  <c r="R325"/>
  <c r="R329"/>
  <c r="R333"/>
  <c r="R337"/>
  <c r="R341"/>
  <c r="R345"/>
  <c r="R349"/>
  <c r="R353"/>
  <c r="R357"/>
  <c r="R361"/>
  <c r="R365"/>
  <c r="R369"/>
  <c r="R373"/>
  <c r="R377"/>
  <c r="R381"/>
  <c r="R385"/>
  <c r="R389"/>
  <c r="R393"/>
  <c r="R397"/>
  <c r="R401"/>
  <c r="R405"/>
  <c r="R409"/>
  <c r="R413"/>
  <c r="R417"/>
  <c r="R421"/>
  <c r="R425"/>
  <c r="R429"/>
  <c r="Q5"/>
  <c r="Q9"/>
  <c r="Q13"/>
  <c r="Q17"/>
  <c r="Q21"/>
  <c r="Q25"/>
  <c r="Q29"/>
  <c r="Q33"/>
  <c r="Q37"/>
  <c r="Q41"/>
  <c r="Q45"/>
  <c r="Q49"/>
  <c r="Q53"/>
  <c r="Q57"/>
  <c r="Q61"/>
  <c r="Q65"/>
  <c r="Q69"/>
  <c r="Q73"/>
  <c r="Q77"/>
  <c r="Q81"/>
  <c r="Q85"/>
  <c r="Q89"/>
  <c r="Q93"/>
  <c r="Q97"/>
  <c r="Q101"/>
  <c r="Q105"/>
  <c r="Q109"/>
  <c r="Q113"/>
  <c r="Q117"/>
  <c r="Q121"/>
  <c r="Q125"/>
  <c r="Q129"/>
  <c r="Q133"/>
  <c r="Q137"/>
  <c r="Q141"/>
  <c r="Q145"/>
  <c r="Q149"/>
  <c r="Q153"/>
  <c r="Q157"/>
  <c r="Q161"/>
  <c r="Q165"/>
  <c r="Q169"/>
  <c r="Q173"/>
  <c r="Q177"/>
  <c r="Q181"/>
  <c r="Q185"/>
  <c r="Q189"/>
  <c r="Q193"/>
  <c r="Q197"/>
  <c r="Q201"/>
  <c r="Q205"/>
  <c r="Q209"/>
  <c r="Q213"/>
  <c r="Q217"/>
  <c r="Q221"/>
  <c r="Q225"/>
  <c r="Q229"/>
  <c r="Q233"/>
  <c r="Q237"/>
  <c r="Q241"/>
  <c r="Q245"/>
  <c r="Q249"/>
  <c r="Q253"/>
  <c r="Q257"/>
  <c r="Q261"/>
  <c r="Q265"/>
  <c r="Q269"/>
  <c r="Q273"/>
  <c r="Q277"/>
  <c r="Q281"/>
  <c r="Q285"/>
  <c r="Q289"/>
  <c r="Q293"/>
  <c r="Q297"/>
  <c r="Q301"/>
  <c r="Q305"/>
  <c r="Q309"/>
  <c r="Q313"/>
  <c r="Q317"/>
  <c r="Q321"/>
  <c r="Q325"/>
  <c r="Q329"/>
  <c r="Q333"/>
  <c r="Q337"/>
  <c r="Q341"/>
  <c r="Q345"/>
  <c r="Q349"/>
  <c r="Q353"/>
  <c r="Q357"/>
  <c r="Q361"/>
  <c r="Q365"/>
  <c r="Q369"/>
  <c r="Q373"/>
  <c r="Q377"/>
  <c r="Q381"/>
  <c r="Q385"/>
  <c r="Q389"/>
  <c r="Q393"/>
  <c r="Q397"/>
  <c r="Q401"/>
  <c r="Q405"/>
  <c r="Q409"/>
  <c r="Q413"/>
  <c r="Q417"/>
  <c r="Q421"/>
  <c r="Q425"/>
  <c r="Q429"/>
  <c r="P126"/>
  <c r="P158"/>
  <c r="P190"/>
  <c r="P222"/>
  <c r="P254"/>
  <c r="P286"/>
  <c r="P318"/>
  <c r="P350"/>
  <c r="P382"/>
  <c r="P414"/>
  <c r="O34"/>
  <c r="O98"/>
  <c r="O162"/>
  <c r="O226"/>
  <c r="O290"/>
  <c r="O354"/>
  <c r="O418"/>
  <c r="P7"/>
  <c r="P11"/>
  <c r="P15"/>
  <c r="P19"/>
  <c r="P23"/>
  <c r="P27"/>
  <c r="P31"/>
  <c r="P35"/>
  <c r="P39"/>
  <c r="P43"/>
  <c r="P47"/>
  <c r="P51"/>
  <c r="P55"/>
  <c r="P59"/>
  <c r="P63"/>
  <c r="P67"/>
  <c r="P71"/>
  <c r="P75"/>
  <c r="P79"/>
  <c r="P83"/>
  <c r="P87"/>
  <c r="P91"/>
  <c r="P95"/>
  <c r="P99"/>
  <c r="P103"/>
  <c r="P107"/>
  <c r="P111"/>
  <c r="P115"/>
  <c r="P119"/>
  <c r="P123"/>
  <c r="P127"/>
  <c r="P131"/>
  <c r="P135"/>
  <c r="P139"/>
  <c r="P143"/>
  <c r="P147"/>
  <c r="P151"/>
  <c r="P155"/>
  <c r="P159"/>
  <c r="P163"/>
  <c r="P167"/>
  <c r="P171"/>
  <c r="P175"/>
  <c r="P179"/>
  <c r="P183"/>
  <c r="P187"/>
  <c r="P191"/>
  <c r="P195"/>
  <c r="P199"/>
  <c r="P203"/>
  <c r="P207"/>
  <c r="P211"/>
  <c r="P215"/>
  <c r="P219"/>
  <c r="P223"/>
  <c r="P227"/>
  <c r="P231"/>
  <c r="P235"/>
  <c r="P239"/>
  <c r="P243"/>
  <c r="P247"/>
  <c r="P251"/>
  <c r="P255"/>
  <c r="P259"/>
  <c r="P263"/>
  <c r="P267"/>
  <c r="P271"/>
  <c r="P275"/>
  <c r="P279"/>
  <c r="P283"/>
  <c r="P287"/>
  <c r="P291"/>
  <c r="P295"/>
  <c r="P299"/>
  <c r="P303"/>
  <c r="P307"/>
  <c r="P311"/>
  <c r="P315"/>
  <c r="P319"/>
  <c r="P323"/>
  <c r="P327"/>
  <c r="P331"/>
  <c r="P335"/>
  <c r="P339"/>
  <c r="P343"/>
  <c r="P347"/>
  <c r="P351"/>
  <c r="P355"/>
  <c r="P359"/>
  <c r="P363"/>
  <c r="P367"/>
  <c r="P371"/>
  <c r="P375"/>
  <c r="P379"/>
  <c r="P383"/>
  <c r="P387"/>
  <c r="P391"/>
  <c r="P395"/>
  <c r="P399"/>
  <c r="P403"/>
  <c r="P407"/>
  <c r="P411"/>
  <c r="P415"/>
  <c r="P419"/>
  <c r="P423"/>
  <c r="P427"/>
  <c r="P431"/>
  <c r="O7"/>
  <c r="O11"/>
  <c r="O19"/>
  <c r="O23"/>
  <c r="O27"/>
  <c r="O35"/>
  <c r="O39"/>
  <c r="O43"/>
  <c r="O51"/>
  <c r="O55"/>
  <c r="O59"/>
  <c r="O67"/>
  <c r="O71"/>
  <c r="O75"/>
  <c r="O83"/>
  <c r="O87"/>
  <c r="O91"/>
  <c r="O99"/>
  <c r="O103"/>
  <c r="O107"/>
  <c r="O115"/>
  <c r="O119"/>
  <c r="O123"/>
  <c r="O131"/>
  <c r="O135"/>
  <c r="O139"/>
  <c r="O147"/>
  <c r="O151"/>
  <c r="O155"/>
  <c r="O163"/>
  <c r="O167"/>
  <c r="O171"/>
  <c r="O179"/>
  <c r="O183"/>
  <c r="O187"/>
  <c r="O195"/>
  <c r="O199"/>
  <c r="O203"/>
  <c r="O211"/>
  <c r="O215"/>
  <c r="O219"/>
  <c r="O227"/>
  <c r="O231"/>
  <c r="O235"/>
  <c r="O243"/>
  <c r="O247"/>
  <c r="O251"/>
  <c r="O259"/>
  <c r="O263"/>
  <c r="O267"/>
  <c r="O275"/>
  <c r="O279"/>
  <c r="O283"/>
  <c r="O291"/>
  <c r="O295"/>
  <c r="O299"/>
  <c r="O307"/>
  <c r="O311"/>
  <c r="O315"/>
  <c r="O323"/>
  <c r="O327"/>
  <c r="O331"/>
  <c r="O339"/>
  <c r="O343"/>
  <c r="O347"/>
  <c r="O355"/>
  <c r="O359"/>
  <c r="O363"/>
  <c r="O371"/>
  <c r="O375"/>
  <c r="O379"/>
  <c r="O387"/>
  <c r="O391"/>
  <c r="O395"/>
  <c r="O403"/>
  <c r="O407"/>
  <c r="O411"/>
  <c r="O419"/>
  <c r="O423"/>
  <c r="O427"/>
  <c r="N73"/>
  <c r="N233"/>
  <c r="N409"/>
  <c r="N7"/>
  <c r="N13"/>
  <c r="N17"/>
  <c r="N21"/>
  <c r="N25"/>
  <c r="N29"/>
  <c r="N33"/>
  <c r="N37"/>
  <c r="N41"/>
  <c r="N45"/>
  <c r="N49"/>
  <c r="N53"/>
  <c r="N57"/>
  <c r="N61"/>
  <c r="N65"/>
  <c r="N69"/>
  <c r="N75"/>
  <c r="N79"/>
  <c r="N83"/>
  <c r="N87"/>
  <c r="N93"/>
  <c r="N97"/>
  <c r="N101"/>
  <c r="N105"/>
  <c r="N109"/>
  <c r="N113"/>
  <c r="N117"/>
  <c r="N121"/>
  <c r="N125"/>
  <c r="N129"/>
  <c r="N133"/>
  <c r="N137"/>
  <c r="N141"/>
  <c r="N145"/>
  <c r="N149"/>
  <c r="N155"/>
  <c r="N159"/>
  <c r="N163"/>
  <c r="N167"/>
  <c r="N173"/>
  <c r="N177"/>
  <c r="N181"/>
  <c r="N185"/>
  <c r="N189"/>
  <c r="N193"/>
  <c r="N197"/>
  <c r="N201"/>
  <c r="N205"/>
  <c r="N209"/>
  <c r="N213"/>
  <c r="N217"/>
  <c r="N221"/>
  <c r="N225"/>
  <c r="N229"/>
  <c r="N235"/>
  <c r="N239"/>
  <c r="N243"/>
  <c r="N247"/>
  <c r="N251"/>
  <c r="N255"/>
  <c r="N259"/>
  <c r="N263"/>
  <c r="N269"/>
  <c r="N273"/>
  <c r="N277"/>
  <c r="N281"/>
  <c r="N285"/>
  <c r="N289"/>
  <c r="N293"/>
  <c r="N297"/>
  <c r="N301"/>
  <c r="N305"/>
  <c r="N309"/>
  <c r="N313"/>
  <c r="N317"/>
  <c r="N321"/>
  <c r="N325"/>
  <c r="N331"/>
  <c r="N335"/>
  <c r="N339"/>
  <c r="N343"/>
  <c r="N349"/>
  <c r="N353"/>
  <c r="N357"/>
  <c r="N361"/>
  <c r="N365"/>
  <c r="N369"/>
  <c r="N373"/>
  <c r="N377"/>
  <c r="N381"/>
  <c r="N385"/>
  <c r="N389"/>
  <c r="N393"/>
  <c r="N397"/>
  <c r="N401"/>
  <c r="N405"/>
  <c r="N411"/>
  <c r="N415"/>
  <c r="N419"/>
  <c r="N423"/>
  <c r="N429"/>
  <c r="L5"/>
  <c r="L9"/>
  <c r="L13"/>
  <c r="L17"/>
  <c r="L21"/>
  <c r="L25"/>
  <c r="L29"/>
  <c r="L33"/>
  <c r="L37"/>
  <c r="L41"/>
  <c r="L45"/>
  <c r="L49"/>
  <c r="L53"/>
  <c r="L57"/>
  <c r="L61"/>
  <c r="L65"/>
  <c r="L69"/>
  <c r="L73"/>
  <c r="L77"/>
  <c r="L81"/>
  <c r="L85"/>
  <c r="L89"/>
  <c r="L93"/>
  <c r="L97"/>
  <c r="L101"/>
  <c r="L105"/>
  <c r="L109"/>
  <c r="L113"/>
  <c r="L117"/>
  <c r="L121"/>
  <c r="L125"/>
  <c r="L129"/>
  <c r="L133"/>
  <c r="L137"/>
  <c r="L141"/>
  <c r="L145"/>
  <c r="L149"/>
  <c r="L153"/>
  <c r="L157"/>
  <c r="L161"/>
  <c r="L165"/>
  <c r="L169"/>
  <c r="L173"/>
  <c r="L177"/>
  <c r="L181"/>
  <c r="L185"/>
  <c r="L189"/>
  <c r="L193"/>
  <c r="L197"/>
  <c r="L201"/>
  <c r="L205"/>
  <c r="L209"/>
  <c r="L213"/>
  <c r="L217"/>
  <c r="L221"/>
  <c r="L225"/>
  <c r="L229"/>
  <c r="L233"/>
  <c r="L237"/>
  <c r="L241"/>
  <c r="L245"/>
  <c r="L249"/>
  <c r="L253"/>
  <c r="L257"/>
  <c r="L261"/>
  <c r="L265"/>
  <c r="L269"/>
  <c r="L273"/>
  <c r="L277"/>
  <c r="L283"/>
  <c r="L287"/>
  <c r="L291"/>
  <c r="L295"/>
  <c r="L299"/>
  <c r="L303"/>
  <c r="L307"/>
  <c r="L313"/>
  <c r="L321"/>
  <c r="L331"/>
  <c r="L341"/>
  <c r="L353"/>
  <c r="S6"/>
  <c r="S10"/>
  <c r="S14"/>
  <c r="S18"/>
  <c r="S22"/>
  <c r="S26"/>
  <c r="S30"/>
  <c r="S34"/>
  <c r="S38"/>
  <c r="S42"/>
  <c r="S46"/>
  <c r="S50"/>
  <c r="S54"/>
  <c r="S58"/>
  <c r="S62"/>
  <c r="S66"/>
  <c r="S70"/>
  <c r="S74"/>
  <c r="S78"/>
  <c r="S82"/>
  <c r="S86"/>
  <c r="S90"/>
  <c r="S94"/>
  <c r="S98"/>
  <c r="S102"/>
  <c r="S106"/>
  <c r="S110"/>
  <c r="S114"/>
  <c r="S118"/>
  <c r="S122"/>
  <c r="S126"/>
  <c r="S130"/>
  <c r="S134"/>
  <c r="S138"/>
  <c r="S142"/>
  <c r="S146"/>
  <c r="S150"/>
  <c r="S154"/>
  <c r="S158"/>
  <c r="S162"/>
  <c r="S166"/>
  <c r="S170"/>
  <c r="S174"/>
  <c r="S178"/>
  <c r="S182"/>
  <c r="S186"/>
  <c r="S190"/>
  <c r="S194"/>
  <c r="S198"/>
  <c r="S202"/>
  <c r="S206"/>
  <c r="S210"/>
  <c r="S214"/>
  <c r="S218"/>
  <c r="S222"/>
  <c r="S226"/>
  <c r="S230"/>
  <c r="S234"/>
  <c r="S238"/>
  <c r="S242"/>
  <c r="S246"/>
  <c r="S250"/>
  <c r="S254"/>
  <c r="S258"/>
  <c r="S262"/>
  <c r="S266"/>
  <c r="S270"/>
  <c r="S274"/>
  <c r="S278"/>
  <c r="S282"/>
  <c r="S286"/>
  <c r="S290"/>
  <c r="S294"/>
  <c r="S298"/>
  <c r="S302"/>
  <c r="S306"/>
  <c r="S310"/>
  <c r="S314"/>
  <c r="S318"/>
  <c r="S322"/>
  <c r="S326"/>
  <c r="S330"/>
  <c r="S334"/>
  <c r="S338"/>
  <c r="S342"/>
  <c r="S346"/>
  <c r="S350"/>
  <c r="S354"/>
  <c r="S358"/>
  <c r="S362"/>
  <c r="S366"/>
  <c r="S370"/>
  <c r="S374"/>
  <c r="S378"/>
  <c r="S382"/>
  <c r="S386"/>
  <c r="S390"/>
  <c r="S394"/>
  <c r="S398"/>
  <c r="S402"/>
  <c r="S406"/>
  <c r="S410"/>
  <c r="S414"/>
  <c r="S418"/>
  <c r="S422"/>
  <c r="S426"/>
  <c r="R6"/>
  <c r="R10"/>
  <c r="R14"/>
  <c r="R18"/>
  <c r="R22"/>
  <c r="R26"/>
  <c r="R30"/>
  <c r="R34"/>
  <c r="R38"/>
  <c r="R42"/>
  <c r="R46"/>
  <c r="R50"/>
  <c r="R54"/>
  <c r="R58"/>
  <c r="R62"/>
  <c r="R66"/>
  <c r="R70"/>
  <c r="R74"/>
  <c r="R78"/>
  <c r="R82"/>
  <c r="R86"/>
  <c r="R90"/>
  <c r="R94"/>
  <c r="R98"/>
  <c r="R102"/>
  <c r="R106"/>
  <c r="R110"/>
  <c r="R114"/>
  <c r="R118"/>
  <c r="R122"/>
  <c r="R126"/>
  <c r="R130"/>
  <c r="R134"/>
  <c r="R138"/>
  <c r="R142"/>
  <c r="R146"/>
  <c r="R150"/>
  <c r="R154"/>
  <c r="R158"/>
  <c r="R162"/>
  <c r="R166"/>
  <c r="R170"/>
  <c r="R174"/>
  <c r="R178"/>
  <c r="R182"/>
  <c r="R186"/>
  <c r="R190"/>
  <c r="R194"/>
  <c r="R198"/>
  <c r="R202"/>
  <c r="R206"/>
  <c r="R210"/>
  <c r="R214"/>
  <c r="R218"/>
  <c r="R222"/>
  <c r="R226"/>
  <c r="R230"/>
  <c r="R234"/>
  <c r="R238"/>
  <c r="R242"/>
  <c r="R246"/>
  <c r="R250"/>
  <c r="R254"/>
  <c r="R258"/>
  <c r="R262"/>
  <c r="R266"/>
  <c r="R270"/>
  <c r="R274"/>
  <c r="R278"/>
  <c r="R282"/>
  <c r="R286"/>
  <c r="R290"/>
  <c r="R294"/>
  <c r="R298"/>
  <c r="R302"/>
  <c r="R306"/>
  <c r="R310"/>
  <c r="R314"/>
  <c r="R318"/>
  <c r="R322"/>
  <c r="R326"/>
  <c r="R330"/>
  <c r="R334"/>
  <c r="R338"/>
  <c r="R342"/>
  <c r="R346"/>
  <c r="R350"/>
  <c r="R354"/>
  <c r="R358"/>
  <c r="R362"/>
  <c r="R366"/>
  <c r="R370"/>
  <c r="R374"/>
  <c r="R378"/>
  <c r="R382"/>
  <c r="R386"/>
  <c r="R390"/>
  <c r="R394"/>
  <c r="R398"/>
  <c r="R402"/>
  <c r="R406"/>
  <c r="R410"/>
  <c r="R414"/>
  <c r="R418"/>
  <c r="R422"/>
  <c r="R426"/>
  <c r="Q6"/>
  <c r="Q10"/>
  <c r="Q14"/>
  <c r="Q18"/>
  <c r="Q22"/>
  <c r="Q26"/>
  <c r="Q30"/>
  <c r="Q34"/>
  <c r="Q38"/>
  <c r="Q42"/>
  <c r="Q46"/>
  <c r="Q50"/>
  <c r="Q54"/>
  <c r="Q58"/>
  <c r="Q62"/>
  <c r="Q66"/>
  <c r="Q70"/>
  <c r="Q74"/>
  <c r="Q78"/>
  <c r="Q82"/>
  <c r="Q86"/>
  <c r="Q90"/>
  <c r="Q94"/>
  <c r="Q98"/>
  <c r="Q102"/>
  <c r="Q106"/>
  <c r="Q110"/>
  <c r="Q114"/>
  <c r="Q118"/>
  <c r="Q122"/>
  <c r="Q126"/>
  <c r="Q130"/>
  <c r="Q134"/>
  <c r="Q138"/>
  <c r="Q142"/>
  <c r="Q146"/>
  <c r="Q150"/>
  <c r="Q154"/>
  <c r="Q158"/>
  <c r="Q162"/>
  <c r="Q166"/>
  <c r="Q170"/>
  <c r="Q174"/>
  <c r="Q178"/>
  <c r="Q182"/>
  <c r="Q186"/>
  <c r="Q190"/>
  <c r="Q194"/>
  <c r="Q198"/>
  <c r="Q202"/>
  <c r="Q206"/>
  <c r="Q210"/>
  <c r="Q214"/>
  <c r="Q218"/>
  <c r="Q222"/>
  <c r="Q226"/>
  <c r="Q230"/>
  <c r="Q234"/>
  <c r="Q238"/>
  <c r="Q242"/>
  <c r="Q246"/>
  <c r="Q250"/>
  <c r="Q254"/>
  <c r="Q258"/>
  <c r="Q262"/>
  <c r="Q266"/>
  <c r="Q270"/>
  <c r="Q274"/>
  <c r="Q278"/>
  <c r="Q282"/>
  <c r="Q286"/>
  <c r="Q290"/>
  <c r="Q294"/>
  <c r="Q298"/>
  <c r="Q302"/>
  <c r="Q306"/>
  <c r="Q310"/>
  <c r="Q314"/>
  <c r="Q318"/>
  <c r="Q322"/>
  <c r="Q326"/>
  <c r="Q330"/>
  <c r="Q334"/>
  <c r="Q338"/>
  <c r="Q342"/>
  <c r="Q346"/>
  <c r="Q350"/>
  <c r="Q354"/>
  <c r="Q358"/>
  <c r="Q362"/>
  <c r="Q366"/>
  <c r="Q370"/>
  <c r="Q374"/>
  <c r="Q378"/>
  <c r="Q382"/>
  <c r="Q386"/>
  <c r="Q390"/>
  <c r="Q394"/>
  <c r="Q398"/>
  <c r="Q402"/>
  <c r="Q406"/>
  <c r="Q410"/>
  <c r="Q414"/>
  <c r="Q418"/>
  <c r="Q422"/>
  <c r="Q426"/>
  <c r="P136"/>
  <c r="P168"/>
  <c r="P200"/>
  <c r="P232"/>
  <c r="P264"/>
  <c r="P296"/>
  <c r="P328"/>
  <c r="P360"/>
  <c r="P392"/>
  <c r="P424"/>
  <c r="O50"/>
  <c r="O114"/>
  <c r="O178"/>
  <c r="O242"/>
  <c r="O306"/>
  <c r="O370"/>
  <c r="P8"/>
  <c r="P12"/>
  <c r="P16"/>
  <c r="P20"/>
  <c r="P24"/>
  <c r="P28"/>
  <c r="P32"/>
  <c r="P36"/>
  <c r="P40"/>
  <c r="P44"/>
  <c r="P48"/>
  <c r="P52"/>
  <c r="P56"/>
  <c r="P60"/>
  <c r="P64"/>
  <c r="P68"/>
  <c r="P72"/>
  <c r="P76"/>
  <c r="P80"/>
  <c r="P84"/>
  <c r="P88"/>
  <c r="P92"/>
  <c r="P96"/>
  <c r="P100"/>
  <c r="P104"/>
  <c r="P108"/>
  <c r="P112"/>
  <c r="P116"/>
  <c r="P122"/>
  <c r="P128"/>
  <c r="P132"/>
  <c r="P138"/>
  <c r="P144"/>
  <c r="P148"/>
  <c r="P154"/>
  <c r="P160"/>
  <c r="P164"/>
  <c r="P170"/>
  <c r="P176"/>
  <c r="P180"/>
  <c r="P186"/>
  <c r="P192"/>
  <c r="P196"/>
  <c r="P202"/>
  <c r="P208"/>
  <c r="P212"/>
  <c r="P218"/>
  <c r="P224"/>
  <c r="P228"/>
  <c r="P234"/>
  <c r="P240"/>
  <c r="P244"/>
  <c r="P250"/>
  <c r="P256"/>
  <c r="P260"/>
  <c r="P266"/>
  <c r="P272"/>
  <c r="P276"/>
  <c r="P282"/>
  <c r="P288"/>
  <c r="P292"/>
  <c r="P298"/>
  <c r="P304"/>
  <c r="P308"/>
  <c r="P314"/>
  <c r="P320"/>
  <c r="P324"/>
  <c r="P330"/>
  <c r="P336"/>
  <c r="P340"/>
  <c r="P346"/>
  <c r="P352"/>
  <c r="P356"/>
  <c r="P362"/>
  <c r="P368"/>
  <c r="P372"/>
  <c r="P378"/>
  <c r="P384"/>
  <c r="P388"/>
  <c r="P394"/>
  <c r="P400"/>
  <c r="P404"/>
  <c r="P410"/>
  <c r="P416"/>
  <c r="P420"/>
  <c r="O8"/>
  <c r="O13"/>
  <c r="O20"/>
  <c r="O24"/>
  <c r="O29"/>
  <c r="O36"/>
  <c r="O40"/>
  <c r="O45"/>
  <c r="O52"/>
  <c r="O56"/>
  <c r="O61"/>
  <c r="O68"/>
  <c r="O72"/>
  <c r="O77"/>
  <c r="O84"/>
  <c r="O88"/>
  <c r="O93"/>
  <c r="O100"/>
  <c r="O104"/>
  <c r="O109"/>
  <c r="O116"/>
  <c r="O120"/>
  <c r="O125"/>
  <c r="O132"/>
  <c r="O136"/>
  <c r="O141"/>
  <c r="O148"/>
  <c r="O152"/>
  <c r="O157"/>
  <c r="O164"/>
  <c r="O168"/>
  <c r="O173"/>
  <c r="O180"/>
  <c r="O184"/>
  <c r="O189"/>
  <c r="O196"/>
  <c r="O200"/>
  <c r="O205"/>
  <c r="O212"/>
  <c r="O216"/>
  <c r="O221"/>
  <c r="O228"/>
  <c r="O232"/>
  <c r="O237"/>
  <c r="O244"/>
  <c r="O248"/>
  <c r="O253"/>
  <c r="O260"/>
  <c r="O264"/>
  <c r="O269"/>
  <c r="O276"/>
  <c r="O280"/>
  <c r="O285"/>
  <c r="O292"/>
  <c r="O296"/>
  <c r="O301"/>
  <c r="O308"/>
  <c r="O312"/>
  <c r="O317"/>
  <c r="O324"/>
  <c r="O328"/>
  <c r="O333"/>
  <c r="O340"/>
  <c r="O344"/>
  <c r="O349"/>
  <c r="O356"/>
  <c r="O360"/>
  <c r="O365"/>
  <c r="O372"/>
  <c r="O376"/>
  <c r="O381"/>
  <c r="O388"/>
  <c r="O392"/>
  <c r="O397"/>
  <c r="O404"/>
  <c r="O408"/>
  <c r="O413"/>
  <c r="O420"/>
  <c r="O424"/>
  <c r="N89"/>
  <c r="N265"/>
  <c r="N425"/>
  <c r="N8"/>
  <c r="N12"/>
  <c r="N16"/>
  <c r="N20"/>
  <c r="N24"/>
  <c r="N28"/>
  <c r="N32"/>
  <c r="N36"/>
  <c r="N40"/>
  <c r="N44"/>
  <c r="N48"/>
  <c r="N52"/>
  <c r="N56"/>
  <c r="N60"/>
  <c r="N64"/>
  <c r="N68"/>
  <c r="N72"/>
  <c r="N76"/>
  <c r="N80"/>
  <c r="N84"/>
  <c r="N88"/>
  <c r="N92"/>
  <c r="N96"/>
  <c r="N100"/>
  <c r="N104"/>
  <c r="N108"/>
  <c r="N112"/>
  <c r="N116"/>
  <c r="N120"/>
  <c r="N124"/>
  <c r="N128"/>
  <c r="N132"/>
  <c r="N136"/>
  <c r="N140"/>
  <c r="N144"/>
  <c r="N148"/>
  <c r="N152"/>
  <c r="N156"/>
  <c r="N160"/>
  <c r="N164"/>
  <c r="N168"/>
  <c r="N172"/>
  <c r="N176"/>
  <c r="N180"/>
  <c r="N184"/>
  <c r="N188"/>
  <c r="N192"/>
  <c r="N196"/>
  <c r="N200"/>
  <c r="N204"/>
  <c r="N208"/>
  <c r="N212"/>
  <c r="N216"/>
  <c r="N220"/>
  <c r="N224"/>
  <c r="N228"/>
  <c r="N232"/>
  <c r="N236"/>
  <c r="N240"/>
  <c r="N244"/>
  <c r="N248"/>
  <c r="N252"/>
  <c r="N256"/>
  <c r="N260"/>
  <c r="N264"/>
  <c r="N268"/>
  <c r="N272"/>
  <c r="N276"/>
  <c r="N280"/>
  <c r="N284"/>
  <c r="N288"/>
  <c r="N292"/>
  <c r="N296"/>
  <c r="N300"/>
  <c r="N304"/>
  <c r="N308"/>
  <c r="N312"/>
  <c r="N316"/>
  <c r="N320"/>
  <c r="N324"/>
  <c r="N328"/>
  <c r="N332"/>
  <c r="N336"/>
  <c r="N340"/>
  <c r="N344"/>
  <c r="N348"/>
  <c r="N352"/>
  <c r="N356"/>
  <c r="N360"/>
  <c r="N364"/>
  <c r="N368"/>
  <c r="N372"/>
  <c r="N376"/>
  <c r="N380"/>
  <c r="N384"/>
  <c r="N388"/>
  <c r="N392"/>
  <c r="N396"/>
  <c r="N400"/>
  <c r="N404"/>
  <c r="N408"/>
  <c r="N412"/>
  <c r="N416"/>
  <c r="N420"/>
  <c r="N424"/>
  <c r="N428"/>
  <c r="L8"/>
  <c r="L12"/>
  <c r="L16"/>
  <c r="L20"/>
  <c r="L24"/>
  <c r="L28"/>
  <c r="L32"/>
  <c r="L36"/>
  <c r="L40"/>
  <c r="L44"/>
  <c r="L48"/>
  <c r="L52"/>
  <c r="L56"/>
  <c r="L60"/>
  <c r="L64"/>
  <c r="L68"/>
  <c r="L72"/>
  <c r="L76"/>
  <c r="L80"/>
  <c r="L84"/>
  <c r="L88"/>
  <c r="L92"/>
  <c r="L96"/>
  <c r="L100"/>
  <c r="L104"/>
  <c r="L108"/>
  <c r="L112"/>
  <c r="L116"/>
  <c r="L120"/>
  <c r="L124"/>
  <c r="L128"/>
  <c r="L132"/>
  <c r="L136"/>
  <c r="L140"/>
  <c r="L144"/>
  <c r="L148"/>
  <c r="L152"/>
  <c r="L156"/>
  <c r="L160"/>
  <c r="L164"/>
  <c r="L168"/>
  <c r="L172"/>
  <c r="L176"/>
  <c r="L180"/>
  <c r="L184"/>
  <c r="L188"/>
  <c r="L192"/>
  <c r="L196"/>
  <c r="L200"/>
  <c r="L204"/>
  <c r="L208"/>
  <c r="L212"/>
  <c r="L216"/>
  <c r="L220"/>
  <c r="L224"/>
  <c r="L228"/>
  <c r="L232"/>
  <c r="L236"/>
  <c r="L240"/>
  <c r="L244"/>
  <c r="L248"/>
  <c r="L252"/>
  <c r="L256"/>
  <c r="L260"/>
  <c r="L264"/>
  <c r="L268"/>
  <c r="L272"/>
  <c r="L276"/>
  <c r="L280"/>
  <c r="L284"/>
  <c r="L288"/>
  <c r="L292"/>
  <c r="L296"/>
  <c r="L311"/>
  <c r="L319"/>
  <c r="L327"/>
  <c r="L333"/>
  <c r="L339"/>
  <c r="L345"/>
  <c r="L351"/>
  <c r="L300"/>
  <c r="L304"/>
  <c r="L308"/>
  <c r="L312"/>
  <c r="L316"/>
  <c r="L320"/>
  <c r="L324"/>
  <c r="L328"/>
  <c r="L332"/>
  <c r="L336"/>
  <c r="L340"/>
  <c r="L344"/>
  <c r="L348"/>
  <c r="L352"/>
  <c r="L356"/>
  <c r="L360"/>
  <c r="L364"/>
  <c r="L368"/>
  <c r="L372"/>
  <c r="L376"/>
  <c r="L380"/>
  <c r="L384"/>
  <c r="L388"/>
  <c r="L392"/>
  <c r="L396"/>
  <c r="L400"/>
  <c r="L404"/>
  <c r="L408"/>
  <c r="L412"/>
  <c r="L416"/>
  <c r="L420"/>
  <c r="L424"/>
  <c r="L428"/>
  <c r="T142"/>
  <c r="AC142" s="1"/>
  <c r="T334"/>
  <c r="AC334" s="1"/>
  <c r="T362"/>
  <c r="AC362" s="1"/>
  <c r="T378"/>
  <c r="AC378" s="1"/>
  <c r="T402"/>
  <c r="AC402" s="1"/>
  <c r="T418"/>
  <c r="AC418" s="1"/>
  <c r="T426"/>
  <c r="AC426" s="1"/>
  <c r="L355"/>
  <c r="L359"/>
  <c r="L363"/>
  <c r="L367"/>
  <c r="L371"/>
  <c r="L375"/>
  <c r="L379"/>
  <c r="L383"/>
  <c r="L387"/>
  <c r="L391"/>
  <c r="L395"/>
  <c r="L399"/>
  <c r="L403"/>
  <c r="L407"/>
  <c r="L411"/>
  <c r="L415"/>
  <c r="L419"/>
  <c r="L423"/>
  <c r="L427"/>
  <c r="T23"/>
  <c r="AC23" s="1"/>
  <c r="T27"/>
  <c r="AC27" s="1"/>
  <c r="T31"/>
  <c r="AC31" s="1"/>
  <c r="T35"/>
  <c r="AC35" s="1"/>
  <c r="T143"/>
  <c r="AC143" s="1"/>
  <c r="T159"/>
  <c r="AC159" s="1"/>
  <c r="T295"/>
  <c r="AC295" s="1"/>
  <c r="T307"/>
  <c r="AC307" s="1"/>
  <c r="T335"/>
  <c r="AC335" s="1"/>
  <c r="T343"/>
  <c r="AC343" s="1"/>
  <c r="T347"/>
  <c r="AC347" s="1"/>
  <c r="T363"/>
  <c r="AC363" s="1"/>
  <c r="T367"/>
  <c r="AC367" s="1"/>
  <c r="T371"/>
  <c r="AC371" s="1"/>
  <c r="T379"/>
  <c r="AC379" s="1"/>
  <c r="T395"/>
  <c r="AC395" s="1"/>
  <c r="T403"/>
  <c r="AC403" s="1"/>
  <c r="T419"/>
  <c r="AC419" s="1"/>
  <c r="T427"/>
  <c r="AC427" s="1"/>
  <c r="T208" l="1"/>
  <c r="AC208" s="1"/>
  <c r="M437"/>
  <c r="T350"/>
  <c r="AC350" s="1"/>
  <c r="T61"/>
  <c r="AC61" s="1"/>
  <c r="T408"/>
  <c r="AC408" s="1"/>
  <c r="M436"/>
  <c r="M435"/>
  <c r="T92"/>
  <c r="AC92" s="1"/>
  <c r="M438"/>
  <c r="T351"/>
  <c r="AC351" s="1"/>
  <c r="T155"/>
  <c r="AC155" s="1"/>
  <c r="T234"/>
  <c r="AC234" s="1"/>
  <c r="T337"/>
  <c r="AC337" s="1"/>
  <c r="T256"/>
  <c r="AC256" s="1"/>
  <c r="M434"/>
  <c r="T4"/>
  <c r="AC4" s="1"/>
  <c r="T306"/>
  <c r="AC306" s="1"/>
  <c r="T21"/>
  <c r="AC21" s="1"/>
  <c r="T372"/>
  <c r="AC372" s="1"/>
  <c r="T34"/>
  <c r="AC34" s="1"/>
  <c r="T416"/>
  <c r="AC416" s="1"/>
  <c r="T296"/>
  <c r="AC296" s="1"/>
  <c r="T203"/>
  <c r="AC203" s="1"/>
  <c r="T32"/>
  <c r="AC32" s="1"/>
  <c r="T407"/>
  <c r="AC407" s="1"/>
  <c r="T38"/>
  <c r="AC38" s="1"/>
  <c r="T397"/>
  <c r="AC397" s="1"/>
  <c r="T22"/>
  <c r="AC22" s="1"/>
  <c r="T265"/>
  <c r="AC265" s="1"/>
  <c r="T264"/>
  <c r="AC264" s="1"/>
  <c r="T24"/>
  <c r="AC24" s="1"/>
  <c r="T25"/>
  <c r="AC25" s="1"/>
  <c r="T191"/>
  <c r="AC191" s="1"/>
  <c r="T59"/>
  <c r="AC59" s="1"/>
  <c r="T26"/>
  <c r="AC26" s="1"/>
  <c r="T373"/>
  <c r="AC373" s="1"/>
  <c r="T113"/>
  <c r="AC113" s="1"/>
  <c r="T240"/>
  <c r="AC240" s="1"/>
  <c r="T339"/>
  <c r="AC339" s="1"/>
  <c r="T87"/>
  <c r="AC87" s="1"/>
  <c r="T358"/>
  <c r="AC358" s="1"/>
  <c r="T158"/>
  <c r="AC158" s="1"/>
  <c r="T301"/>
  <c r="AC301" s="1"/>
  <c r="T384"/>
  <c r="AC384" s="1"/>
  <c r="T175"/>
  <c r="AC175" s="1"/>
  <c r="T103"/>
  <c r="AC103" s="1"/>
  <c r="T314"/>
  <c r="AC314" s="1"/>
  <c r="T290"/>
  <c r="AC290" s="1"/>
  <c r="T210"/>
  <c r="AC210" s="1"/>
  <c r="T401"/>
  <c r="AC401" s="1"/>
  <c r="T241"/>
  <c r="AC241" s="1"/>
  <c r="T213"/>
  <c r="AC213" s="1"/>
  <c r="T69"/>
  <c r="AC69" s="1"/>
  <c r="T356"/>
  <c r="AC356" s="1"/>
  <c r="T272"/>
  <c r="AC272" s="1"/>
  <c r="T359"/>
  <c r="AC359" s="1"/>
  <c r="T283"/>
  <c r="AC283" s="1"/>
  <c r="T394"/>
  <c r="AC394" s="1"/>
  <c r="T310"/>
  <c r="AC310" s="1"/>
  <c r="T274"/>
  <c r="AC274" s="1"/>
  <c r="T65"/>
  <c r="AC65" s="1"/>
  <c r="T352"/>
  <c r="AC352" s="1"/>
  <c r="T300"/>
  <c r="AC300" s="1"/>
  <c r="T108"/>
  <c r="AC108" s="1"/>
  <c r="T366"/>
  <c r="AC366" s="1"/>
  <c r="T294"/>
  <c r="AC294" s="1"/>
  <c r="T214"/>
  <c r="AC214" s="1"/>
  <c r="T70"/>
  <c r="AC70" s="1"/>
  <c r="T377"/>
  <c r="AC377" s="1"/>
  <c r="T245"/>
  <c r="AC245" s="1"/>
  <c r="T221"/>
  <c r="AC221" s="1"/>
  <c r="T97"/>
  <c r="AC97" s="1"/>
  <c r="T420"/>
  <c r="AC420" s="1"/>
  <c r="T400"/>
  <c r="AC400" s="1"/>
  <c r="T324"/>
  <c r="AC324" s="1"/>
  <c r="T248"/>
  <c r="AC248" s="1"/>
  <c r="T60"/>
  <c r="AC60" s="1"/>
  <c r="T218"/>
  <c r="AC218" s="1"/>
  <c r="T10"/>
  <c r="AC10" s="1"/>
  <c r="T423"/>
  <c r="AC423" s="1"/>
  <c r="T369"/>
  <c r="AC369" s="1"/>
  <c r="T188"/>
  <c r="AC188" s="1"/>
  <c r="R435"/>
  <c r="T323"/>
  <c r="AC323" s="1"/>
  <c r="T163"/>
  <c r="AC163" s="1"/>
  <c r="T119"/>
  <c r="AC119" s="1"/>
  <c r="T19"/>
  <c r="AC19" s="1"/>
  <c r="T170"/>
  <c r="AC170" s="1"/>
  <c r="T74"/>
  <c r="AC74" s="1"/>
  <c r="T104"/>
  <c r="AC104" s="1"/>
  <c r="T291"/>
  <c r="AC291" s="1"/>
  <c r="T106"/>
  <c r="AC106" s="1"/>
  <c r="T285"/>
  <c r="AC285" s="1"/>
  <c r="T125"/>
  <c r="AC125" s="1"/>
  <c r="T93"/>
  <c r="AC93" s="1"/>
  <c r="T328"/>
  <c r="AC328" s="1"/>
  <c r="T375"/>
  <c r="AC375" s="1"/>
  <c r="T231"/>
  <c r="AC231" s="1"/>
  <c r="T147"/>
  <c r="AC147" s="1"/>
  <c r="T414"/>
  <c r="AC414" s="1"/>
  <c r="T202"/>
  <c r="AC202" s="1"/>
  <c r="T138"/>
  <c r="AC138" s="1"/>
  <c r="T46"/>
  <c r="AC46" s="1"/>
  <c r="T349"/>
  <c r="AC349" s="1"/>
  <c r="T317"/>
  <c r="AC317" s="1"/>
  <c r="T257"/>
  <c r="AC257" s="1"/>
  <c r="T157"/>
  <c r="AC157" s="1"/>
  <c r="T348"/>
  <c r="AC348" s="1"/>
  <c r="T280"/>
  <c r="AC280" s="1"/>
  <c r="T136"/>
  <c r="AC136" s="1"/>
  <c r="T72"/>
  <c r="AC72" s="1"/>
  <c r="Q437"/>
  <c r="T263"/>
  <c r="AC263" s="1"/>
  <c r="T183"/>
  <c r="AC183" s="1"/>
  <c r="T250"/>
  <c r="AC250" s="1"/>
  <c r="T30"/>
  <c r="AC30" s="1"/>
  <c r="T385"/>
  <c r="AC385" s="1"/>
  <c r="T189"/>
  <c r="AC189" s="1"/>
  <c r="T216"/>
  <c r="AC216" s="1"/>
  <c r="T40"/>
  <c r="AC40" s="1"/>
  <c r="T327"/>
  <c r="AC327" s="1"/>
  <c r="T243"/>
  <c r="AC243" s="1"/>
  <c r="T151"/>
  <c r="AC151" s="1"/>
  <c r="T99"/>
  <c r="AC99" s="1"/>
  <c r="T39"/>
  <c r="AC39" s="1"/>
  <c r="T398"/>
  <c r="AC398" s="1"/>
  <c r="T282"/>
  <c r="AC282" s="1"/>
  <c r="T254"/>
  <c r="AC254" s="1"/>
  <c r="T206"/>
  <c r="AC206" s="1"/>
  <c r="T78"/>
  <c r="AC78" s="1"/>
  <c r="T14"/>
  <c r="AC14" s="1"/>
  <c r="P436"/>
  <c r="T429"/>
  <c r="AC429" s="1"/>
  <c r="T353"/>
  <c r="AC353" s="1"/>
  <c r="T161"/>
  <c r="AC161" s="1"/>
  <c r="T45"/>
  <c r="AC45" s="1"/>
  <c r="T424"/>
  <c r="AC424" s="1"/>
  <c r="T312"/>
  <c r="AC312" s="1"/>
  <c r="T140"/>
  <c r="AC140" s="1"/>
  <c r="T391"/>
  <c r="AC391" s="1"/>
  <c r="T355"/>
  <c r="AC355" s="1"/>
  <c r="T311"/>
  <c r="AC311" s="1"/>
  <c r="T259"/>
  <c r="AC259" s="1"/>
  <c r="T227"/>
  <c r="AC227" s="1"/>
  <c r="T199"/>
  <c r="AC199" s="1"/>
  <c r="T179"/>
  <c r="AC179" s="1"/>
  <c r="T115"/>
  <c r="AC115" s="1"/>
  <c r="T83"/>
  <c r="AC83" s="1"/>
  <c r="T55"/>
  <c r="AC55" s="1"/>
  <c r="T7"/>
  <c r="AC7" s="1"/>
  <c r="T430"/>
  <c r="AC430" s="1"/>
  <c r="T410"/>
  <c r="AC410" s="1"/>
  <c r="T382"/>
  <c r="AC382" s="1"/>
  <c r="T330"/>
  <c r="AC330" s="1"/>
  <c r="T270"/>
  <c r="AC270" s="1"/>
  <c r="T238"/>
  <c r="AC238" s="1"/>
  <c r="T190"/>
  <c r="AC190" s="1"/>
  <c r="T126"/>
  <c r="AC126" s="1"/>
  <c r="T94"/>
  <c r="AC94" s="1"/>
  <c r="T42"/>
  <c r="AC42" s="1"/>
  <c r="T381"/>
  <c r="AC381" s="1"/>
  <c r="T365"/>
  <c r="AC365" s="1"/>
  <c r="T305"/>
  <c r="AC305" s="1"/>
  <c r="T273"/>
  <c r="AC273" s="1"/>
  <c r="T253"/>
  <c r="AC253" s="1"/>
  <c r="T209"/>
  <c r="AC209" s="1"/>
  <c r="T177"/>
  <c r="AC177" s="1"/>
  <c r="T145"/>
  <c r="AC145" s="1"/>
  <c r="T81"/>
  <c r="AC81" s="1"/>
  <c r="T17"/>
  <c r="AC17" s="1"/>
  <c r="T396"/>
  <c r="AC396" s="1"/>
  <c r="T380"/>
  <c r="AC380" s="1"/>
  <c r="T360"/>
  <c r="AC360" s="1"/>
  <c r="T344"/>
  <c r="AC344" s="1"/>
  <c r="T252"/>
  <c r="AC252" s="1"/>
  <c r="T236"/>
  <c r="AC236" s="1"/>
  <c r="T184"/>
  <c r="AC184" s="1"/>
  <c r="T156"/>
  <c r="AC156" s="1"/>
  <c r="T124"/>
  <c r="AC124" s="1"/>
  <c r="T12"/>
  <c r="AC12" s="1"/>
  <c r="N436"/>
  <c r="T275"/>
  <c r="AC275" s="1"/>
  <c r="T211"/>
  <c r="AC211" s="1"/>
  <c r="T167"/>
  <c r="AC167" s="1"/>
  <c r="T131"/>
  <c r="AC131" s="1"/>
  <c r="T67"/>
  <c r="AC67" s="1"/>
  <c r="T346"/>
  <c r="AC346" s="1"/>
  <c r="T298"/>
  <c r="AC298" s="1"/>
  <c r="T222"/>
  <c r="AC222" s="1"/>
  <c r="T174"/>
  <c r="AC174" s="1"/>
  <c r="T110"/>
  <c r="AC110" s="1"/>
  <c r="T58"/>
  <c r="AC58" s="1"/>
  <c r="S438"/>
  <c r="T413"/>
  <c r="AC413" s="1"/>
  <c r="T289"/>
  <c r="AC289" s="1"/>
  <c r="T193"/>
  <c r="AC193" s="1"/>
  <c r="T129"/>
  <c r="AC129" s="1"/>
  <c r="T332"/>
  <c r="AC332" s="1"/>
  <c r="T220"/>
  <c r="AC220" s="1"/>
  <c r="T168"/>
  <c r="AC168" s="1"/>
  <c r="T76"/>
  <c r="AC76" s="1"/>
  <c r="T387"/>
  <c r="AC387" s="1"/>
  <c r="T279"/>
  <c r="AC279" s="1"/>
  <c r="T247"/>
  <c r="AC247" s="1"/>
  <c r="T215"/>
  <c r="AC215" s="1"/>
  <c r="T195"/>
  <c r="AC195" s="1"/>
  <c r="T135"/>
  <c r="AC135" s="1"/>
  <c r="T71"/>
  <c r="AC71" s="1"/>
  <c r="T51"/>
  <c r="AC51" s="1"/>
  <c r="T318"/>
  <c r="AC318" s="1"/>
  <c r="T302"/>
  <c r="AC302" s="1"/>
  <c r="T286"/>
  <c r="AC286" s="1"/>
  <c r="T266"/>
  <c r="AC266" s="1"/>
  <c r="T186"/>
  <c r="AC186" s="1"/>
  <c r="T154"/>
  <c r="AC154" s="1"/>
  <c r="T122"/>
  <c r="AC122" s="1"/>
  <c r="T90"/>
  <c r="AC90" s="1"/>
  <c r="T62"/>
  <c r="AC62" s="1"/>
  <c r="T417"/>
  <c r="AC417" s="1"/>
  <c r="T269"/>
  <c r="AC269" s="1"/>
  <c r="T225"/>
  <c r="AC225" s="1"/>
  <c r="T205"/>
  <c r="AC205" s="1"/>
  <c r="T173"/>
  <c r="AC173" s="1"/>
  <c r="T141"/>
  <c r="AC141" s="1"/>
  <c r="T77"/>
  <c r="AC77" s="1"/>
  <c r="T49"/>
  <c r="AC49" s="1"/>
  <c r="T13"/>
  <c r="AC13" s="1"/>
  <c r="T428"/>
  <c r="AC428" s="1"/>
  <c r="T392"/>
  <c r="AC392" s="1"/>
  <c r="T376"/>
  <c r="AC376" s="1"/>
  <c r="T316"/>
  <c r="AC316" s="1"/>
  <c r="T268"/>
  <c r="AC268" s="1"/>
  <c r="T232"/>
  <c r="AC232" s="1"/>
  <c r="T204"/>
  <c r="AC204" s="1"/>
  <c r="T172"/>
  <c r="AC172" s="1"/>
  <c r="T152"/>
  <c r="AC152" s="1"/>
  <c r="T120"/>
  <c r="AC120" s="1"/>
  <c r="T88"/>
  <c r="AC88" s="1"/>
  <c r="T56"/>
  <c r="AC56" s="1"/>
  <c r="T8"/>
  <c r="AC8" s="1"/>
  <c r="Q435"/>
  <c r="S435"/>
  <c r="T411"/>
  <c r="AC411" s="1"/>
  <c r="T331"/>
  <c r="AC331" s="1"/>
  <c r="T315"/>
  <c r="AC315" s="1"/>
  <c r="T299"/>
  <c r="AC299" s="1"/>
  <c r="T267"/>
  <c r="AC267" s="1"/>
  <c r="T251"/>
  <c r="AC251" s="1"/>
  <c r="T235"/>
  <c r="AC235" s="1"/>
  <c r="T219"/>
  <c r="AC219" s="1"/>
  <c r="T187"/>
  <c r="AC187" s="1"/>
  <c r="T171"/>
  <c r="AC171" s="1"/>
  <c r="T139"/>
  <c r="AC139" s="1"/>
  <c r="T123"/>
  <c r="AC123" s="1"/>
  <c r="T107"/>
  <c r="AC107" s="1"/>
  <c r="T91"/>
  <c r="AC91" s="1"/>
  <c r="T75"/>
  <c r="AC75" s="1"/>
  <c r="T43"/>
  <c r="AC43" s="1"/>
  <c r="T11"/>
  <c r="AC11" s="1"/>
  <c r="T386"/>
  <c r="AC386" s="1"/>
  <c r="T370"/>
  <c r="AC370" s="1"/>
  <c r="T354"/>
  <c r="AC354" s="1"/>
  <c r="T338"/>
  <c r="AC338" s="1"/>
  <c r="T322"/>
  <c r="AC322" s="1"/>
  <c r="T258"/>
  <c r="AC258" s="1"/>
  <c r="T242"/>
  <c r="AC242" s="1"/>
  <c r="T226"/>
  <c r="AC226" s="1"/>
  <c r="T194"/>
  <c r="AC194" s="1"/>
  <c r="T178"/>
  <c r="AC178" s="1"/>
  <c r="T162"/>
  <c r="AC162" s="1"/>
  <c r="T146"/>
  <c r="AC146" s="1"/>
  <c r="T130"/>
  <c r="AC130" s="1"/>
  <c r="T114"/>
  <c r="AC114" s="1"/>
  <c r="T98"/>
  <c r="AC98" s="1"/>
  <c r="T82"/>
  <c r="AC82" s="1"/>
  <c r="T66"/>
  <c r="AC66" s="1"/>
  <c r="T50"/>
  <c r="AC50" s="1"/>
  <c r="T18"/>
  <c r="AC18" s="1"/>
  <c r="Q438"/>
  <c r="N434"/>
  <c r="P434"/>
  <c r="R438"/>
  <c r="T405"/>
  <c r="AC405" s="1"/>
  <c r="T389"/>
  <c r="AC389" s="1"/>
  <c r="T341"/>
  <c r="AC341" s="1"/>
  <c r="T325"/>
  <c r="AC325" s="1"/>
  <c r="T309"/>
  <c r="AC309" s="1"/>
  <c r="T293"/>
  <c r="AC293" s="1"/>
  <c r="T277"/>
  <c r="AC277" s="1"/>
  <c r="T261"/>
  <c r="AC261" s="1"/>
  <c r="T229"/>
  <c r="AC229" s="1"/>
  <c r="T197"/>
  <c r="AC197" s="1"/>
  <c r="T181"/>
  <c r="AC181" s="1"/>
  <c r="T165"/>
  <c r="AC165" s="1"/>
  <c r="T149"/>
  <c r="AC149" s="1"/>
  <c r="T133"/>
  <c r="AC133" s="1"/>
  <c r="T117"/>
  <c r="AC117" s="1"/>
  <c r="T101"/>
  <c r="AC101" s="1"/>
  <c r="T85"/>
  <c r="AC85" s="1"/>
  <c r="T53"/>
  <c r="AC53" s="1"/>
  <c r="T5"/>
  <c r="AC5" s="1"/>
  <c r="T368"/>
  <c r="AC368" s="1"/>
  <c r="T336"/>
  <c r="AC336" s="1"/>
  <c r="T320"/>
  <c r="AC320" s="1"/>
  <c r="T304"/>
  <c r="AC304" s="1"/>
  <c r="T288"/>
  <c r="AC288" s="1"/>
  <c r="T224"/>
  <c r="AC224" s="1"/>
  <c r="T192"/>
  <c r="AC192" s="1"/>
  <c r="T176"/>
  <c r="AC176" s="1"/>
  <c r="T144"/>
  <c r="AC144" s="1"/>
  <c r="T128"/>
  <c r="AC128" s="1"/>
  <c r="T112"/>
  <c r="AC112" s="1"/>
  <c r="T96"/>
  <c r="AC96" s="1"/>
  <c r="T80"/>
  <c r="AC80" s="1"/>
  <c r="T64"/>
  <c r="AC64" s="1"/>
  <c r="T48"/>
  <c r="AC48" s="1"/>
  <c r="T16"/>
  <c r="AC16" s="1"/>
  <c r="S434"/>
  <c r="T431"/>
  <c r="AC431" s="1"/>
  <c r="T415"/>
  <c r="AC415" s="1"/>
  <c r="T399"/>
  <c r="AC399" s="1"/>
  <c r="T383"/>
  <c r="AC383" s="1"/>
  <c r="T319"/>
  <c r="AC319" s="1"/>
  <c r="T303"/>
  <c r="AC303" s="1"/>
  <c r="T287"/>
  <c r="AC287" s="1"/>
  <c r="T271"/>
  <c r="AC271" s="1"/>
  <c r="T255"/>
  <c r="AC255" s="1"/>
  <c r="T239"/>
  <c r="AC239" s="1"/>
  <c r="T223"/>
  <c r="AC223" s="1"/>
  <c r="T207"/>
  <c r="AC207" s="1"/>
  <c r="T127"/>
  <c r="AC127" s="1"/>
  <c r="T111"/>
  <c r="AC111" s="1"/>
  <c r="T95"/>
  <c r="AC95" s="1"/>
  <c r="T79"/>
  <c r="AC79" s="1"/>
  <c r="T63"/>
  <c r="AC63" s="1"/>
  <c r="T47"/>
  <c r="AC47" s="1"/>
  <c r="T15"/>
  <c r="AC15" s="1"/>
  <c r="T422"/>
  <c r="AC422" s="1"/>
  <c r="T406"/>
  <c r="AC406" s="1"/>
  <c r="T390"/>
  <c r="AC390" s="1"/>
  <c r="T374"/>
  <c r="AC374" s="1"/>
  <c r="T342"/>
  <c r="AC342" s="1"/>
  <c r="T326"/>
  <c r="AC326" s="1"/>
  <c r="T278"/>
  <c r="AC278" s="1"/>
  <c r="T262"/>
  <c r="AC262" s="1"/>
  <c r="T246"/>
  <c r="AC246" s="1"/>
  <c r="T230"/>
  <c r="AC230" s="1"/>
  <c r="T198"/>
  <c r="AC198" s="1"/>
  <c r="T182"/>
  <c r="AC182" s="1"/>
  <c r="T166"/>
  <c r="AC166" s="1"/>
  <c r="T150"/>
  <c r="AC150" s="1"/>
  <c r="T134"/>
  <c r="AC134" s="1"/>
  <c r="T118"/>
  <c r="AC118" s="1"/>
  <c r="T102"/>
  <c r="AC102" s="1"/>
  <c r="T86"/>
  <c r="AC86" s="1"/>
  <c r="T54"/>
  <c r="AC54" s="1"/>
  <c r="T6"/>
  <c r="AC6" s="1"/>
  <c r="N435"/>
  <c r="T361"/>
  <c r="AC361" s="1"/>
  <c r="T345"/>
  <c r="AC345" s="1"/>
  <c r="T329"/>
  <c r="AC329" s="1"/>
  <c r="T313"/>
  <c r="AC313" s="1"/>
  <c r="T297"/>
  <c r="AC297" s="1"/>
  <c r="T281"/>
  <c r="AC281" s="1"/>
  <c r="T249"/>
  <c r="AC249" s="1"/>
  <c r="T217"/>
  <c r="AC217" s="1"/>
  <c r="T201"/>
  <c r="AC201" s="1"/>
  <c r="T185"/>
  <c r="AC185" s="1"/>
  <c r="T169"/>
  <c r="AC169" s="1"/>
  <c r="T153"/>
  <c r="AC153" s="1"/>
  <c r="T137"/>
  <c r="AC137" s="1"/>
  <c r="T121"/>
  <c r="AC121" s="1"/>
  <c r="T105"/>
  <c r="AC105" s="1"/>
  <c r="T89"/>
  <c r="AC89" s="1"/>
  <c r="T73"/>
  <c r="AC73" s="1"/>
  <c r="T57"/>
  <c r="AC57" s="1"/>
  <c r="T41"/>
  <c r="AC41" s="1"/>
  <c r="T9"/>
  <c r="AC9" s="1"/>
  <c r="T404"/>
  <c r="AC404" s="1"/>
  <c r="T292"/>
  <c r="AC292" s="1"/>
  <c r="T276"/>
  <c r="AC276" s="1"/>
  <c r="T260"/>
  <c r="AC260" s="1"/>
  <c r="T228"/>
  <c r="AC228" s="1"/>
  <c r="T212"/>
  <c r="AC212" s="1"/>
  <c r="T196"/>
  <c r="AC196" s="1"/>
  <c r="T180"/>
  <c r="AC180" s="1"/>
  <c r="T164"/>
  <c r="AC164" s="1"/>
  <c r="T148"/>
  <c r="AC148" s="1"/>
  <c r="T132"/>
  <c r="AC132" s="1"/>
  <c r="T116"/>
  <c r="AC116" s="1"/>
  <c r="T100"/>
  <c r="AC100" s="1"/>
  <c r="T84"/>
  <c r="AC84" s="1"/>
  <c r="T68"/>
  <c r="AC68" s="1"/>
  <c r="T52"/>
  <c r="AC52" s="1"/>
  <c r="O435"/>
  <c r="P435"/>
  <c r="Q434"/>
  <c r="R436"/>
  <c r="S436"/>
  <c r="S437"/>
  <c r="R434"/>
  <c r="N438"/>
  <c r="O436"/>
  <c r="Q436"/>
  <c r="R437"/>
  <c r="P437"/>
  <c r="P438"/>
  <c r="N437"/>
  <c r="O438"/>
  <c r="L436"/>
  <c r="L435"/>
  <c r="O434"/>
  <c r="O437"/>
  <c r="L437"/>
  <c r="L438"/>
  <c r="L434"/>
  <c r="P439" l="1"/>
  <c r="Y15" s="1"/>
  <c r="AH15" s="1"/>
  <c r="M439"/>
  <c r="V115" s="1"/>
  <c r="AE115" s="1"/>
  <c r="N439"/>
  <c r="W9" s="1"/>
  <c r="AF9" s="1"/>
  <c r="S439"/>
  <c r="AB410" s="1"/>
  <c r="AK410" s="1"/>
  <c r="O439"/>
  <c r="X20" s="1"/>
  <c r="AG20" s="1"/>
  <c r="R439"/>
  <c r="AA68" s="1"/>
  <c r="AJ68" s="1"/>
  <c r="Q439"/>
  <c r="Z424" s="1"/>
  <c r="AI424" s="1"/>
  <c r="L439"/>
  <c r="U5" s="1"/>
  <c r="AD5" s="1"/>
  <c r="V87" l="1"/>
  <c r="AE87" s="1"/>
  <c r="V29"/>
  <c r="AE29" s="1"/>
  <c r="V37"/>
  <c r="AE37" s="1"/>
  <c r="V330"/>
  <c r="AE330" s="1"/>
  <c r="V187"/>
  <c r="AE187" s="1"/>
  <c r="V349"/>
  <c r="AE349" s="1"/>
  <c r="V53"/>
  <c r="AE53" s="1"/>
  <c r="V265"/>
  <c r="AE265" s="1"/>
  <c r="V388"/>
  <c r="AE388" s="1"/>
  <c r="V203"/>
  <c r="AE203" s="1"/>
  <c r="V273"/>
  <c r="AE273" s="1"/>
  <c r="V220"/>
  <c r="AE220" s="1"/>
  <c r="V43"/>
  <c r="AE43" s="1"/>
  <c r="V132"/>
  <c r="AE132" s="1"/>
  <c r="V430"/>
  <c r="AE430" s="1"/>
  <c r="V160"/>
  <c r="AE160" s="1"/>
  <c r="V227"/>
  <c r="AE227" s="1"/>
  <c r="V242"/>
  <c r="AE242" s="1"/>
  <c r="V276"/>
  <c r="AE276" s="1"/>
  <c r="V375"/>
  <c r="AE375" s="1"/>
  <c r="V171"/>
  <c r="AE171" s="1"/>
  <c r="V189"/>
  <c r="AE189" s="1"/>
  <c r="V144"/>
  <c r="AE144" s="1"/>
  <c r="V399"/>
  <c r="AE399" s="1"/>
  <c r="V357"/>
  <c r="AE357" s="1"/>
  <c r="V233"/>
  <c r="AE233" s="1"/>
  <c r="V95"/>
  <c r="AE95" s="1"/>
  <c r="V287"/>
  <c r="AE287" s="1"/>
  <c r="V46"/>
  <c r="AE46" s="1"/>
  <c r="V217"/>
  <c r="AE217" s="1"/>
  <c r="V343"/>
  <c r="AE343" s="1"/>
  <c r="V190"/>
  <c r="AE190" s="1"/>
  <c r="V167"/>
  <c r="AE167" s="1"/>
  <c r="V278"/>
  <c r="AE278" s="1"/>
  <c r="V74"/>
  <c r="AE74" s="1"/>
  <c r="V143"/>
  <c r="AE143" s="1"/>
  <c r="V202"/>
  <c r="AE202" s="1"/>
  <c r="V325"/>
  <c r="AE325" s="1"/>
  <c r="V380"/>
  <c r="AE380" s="1"/>
  <c r="V262"/>
  <c r="AE262" s="1"/>
  <c r="V4"/>
  <c r="AE4" s="1"/>
  <c r="V148"/>
  <c r="AE148" s="1"/>
  <c r="V404"/>
  <c r="AE404" s="1"/>
  <c r="V119"/>
  <c r="AE119" s="1"/>
  <c r="V174"/>
  <c r="AE174" s="1"/>
  <c r="V67"/>
  <c r="AE67" s="1"/>
  <c r="V300"/>
  <c r="AE300" s="1"/>
  <c r="V246"/>
  <c r="AE246" s="1"/>
  <c r="V251"/>
  <c r="AE251" s="1"/>
  <c r="V288"/>
  <c r="AE288" s="1"/>
  <c r="V111"/>
  <c r="AE111" s="1"/>
  <c r="V61"/>
  <c r="AE61" s="1"/>
  <c r="V101"/>
  <c r="AE101" s="1"/>
  <c r="V6"/>
  <c r="AE6" s="1"/>
  <c r="V236"/>
  <c r="AE236" s="1"/>
  <c r="V16"/>
  <c r="AE16" s="1"/>
  <c r="V57"/>
  <c r="AE57" s="1"/>
  <c r="V306"/>
  <c r="AE306" s="1"/>
  <c r="V277"/>
  <c r="AE277" s="1"/>
  <c r="V62"/>
  <c r="AE62" s="1"/>
  <c r="V249"/>
  <c r="AE249" s="1"/>
  <c r="V318"/>
  <c r="AE318" s="1"/>
  <c r="V231"/>
  <c r="AE231" s="1"/>
  <c r="V416"/>
  <c r="AE416" s="1"/>
  <c r="V314"/>
  <c r="AE314" s="1"/>
  <c r="V108"/>
  <c r="AE108" s="1"/>
  <c r="V294"/>
  <c r="AE294" s="1"/>
  <c r="V376"/>
  <c r="AE376" s="1"/>
  <c r="V260"/>
  <c r="AE260" s="1"/>
  <c r="V333"/>
  <c r="AE333" s="1"/>
  <c r="V400"/>
  <c r="AE400" s="1"/>
  <c r="V22"/>
  <c r="AE22" s="1"/>
  <c r="V136"/>
  <c r="AE136" s="1"/>
  <c r="V168"/>
  <c r="AE168" s="1"/>
  <c r="V5"/>
  <c r="AE5" s="1"/>
  <c r="V302"/>
  <c r="AE302" s="1"/>
  <c r="V301"/>
  <c r="AE301" s="1"/>
  <c r="V427"/>
  <c r="AE427" s="1"/>
  <c r="V80"/>
  <c r="AE80" s="1"/>
  <c r="V125"/>
  <c r="AE125" s="1"/>
  <c r="V58"/>
  <c r="AE58" s="1"/>
  <c r="V272"/>
  <c r="AE272" s="1"/>
  <c r="V241"/>
  <c r="AE241" s="1"/>
  <c r="V367"/>
  <c r="AE367" s="1"/>
  <c r="V186"/>
  <c r="AE186" s="1"/>
  <c r="V51"/>
  <c r="AE51" s="1"/>
  <c r="V195"/>
  <c r="AE195" s="1"/>
  <c r="V92"/>
  <c r="AE92" s="1"/>
  <c r="V364"/>
  <c r="AE364" s="1"/>
  <c r="V359"/>
  <c r="AE359" s="1"/>
  <c r="V285"/>
  <c r="AE285" s="1"/>
  <c r="V353"/>
  <c r="AE353" s="1"/>
  <c r="V307"/>
  <c r="AE307" s="1"/>
  <c r="V76"/>
  <c r="AE76" s="1"/>
  <c r="V159"/>
  <c r="AE159" s="1"/>
  <c r="V50"/>
  <c r="AE50" s="1"/>
  <c r="V405"/>
  <c r="AE405" s="1"/>
  <c r="V338"/>
  <c r="AE338" s="1"/>
  <c r="Y22"/>
  <c r="AH22" s="1"/>
  <c r="Y129"/>
  <c r="AH129" s="1"/>
  <c r="Y233"/>
  <c r="AH233" s="1"/>
  <c r="Y266"/>
  <c r="AH266" s="1"/>
  <c r="Y197"/>
  <c r="AH197" s="1"/>
  <c r="Y400"/>
  <c r="AH400" s="1"/>
  <c r="Y409"/>
  <c r="AH409" s="1"/>
  <c r="V98"/>
  <c r="AE98" s="1"/>
  <c r="V232"/>
  <c r="AE232" s="1"/>
  <c r="V402"/>
  <c r="AE402" s="1"/>
  <c r="Y383"/>
  <c r="AH383" s="1"/>
  <c r="Y175"/>
  <c r="AH175" s="1"/>
  <c r="Y303"/>
  <c r="AH303" s="1"/>
  <c r="Y80"/>
  <c r="AH80" s="1"/>
  <c r="Y281"/>
  <c r="AH281" s="1"/>
  <c r="Y152"/>
  <c r="AH152" s="1"/>
  <c r="Y57"/>
  <c r="AH57" s="1"/>
  <c r="Y354"/>
  <c r="AH354" s="1"/>
  <c r="Y238"/>
  <c r="AH238" s="1"/>
  <c r="Y87"/>
  <c r="AH87" s="1"/>
  <c r="Y330"/>
  <c r="AH330" s="1"/>
  <c r="Y45"/>
  <c r="AH45" s="1"/>
  <c r="Y174"/>
  <c r="AH174" s="1"/>
  <c r="Y345"/>
  <c r="AH345" s="1"/>
  <c r="Y216"/>
  <c r="AH216" s="1"/>
  <c r="Y65"/>
  <c r="AH65" s="1"/>
  <c r="Y422"/>
  <c r="AH422" s="1"/>
  <c r="Y288"/>
  <c r="AH288" s="1"/>
  <c r="Y116"/>
  <c r="AH116" s="1"/>
  <c r="X349"/>
  <c r="AG349" s="1"/>
  <c r="V49"/>
  <c r="AE49" s="1"/>
  <c r="V196"/>
  <c r="AE196" s="1"/>
  <c r="V324"/>
  <c r="AE324" s="1"/>
  <c r="V89"/>
  <c r="AE89" s="1"/>
  <c r="V345"/>
  <c r="AE345" s="1"/>
  <c r="V215"/>
  <c r="AE215" s="1"/>
  <c r="V24"/>
  <c r="AE24" s="1"/>
  <c r="V110"/>
  <c r="AE110" s="1"/>
  <c r="V238"/>
  <c r="AE238" s="1"/>
  <c r="V366"/>
  <c r="AE366" s="1"/>
  <c r="V173"/>
  <c r="AE173" s="1"/>
  <c r="V429"/>
  <c r="AE429" s="1"/>
  <c r="V299"/>
  <c r="AE299" s="1"/>
  <c r="V297"/>
  <c r="AE297" s="1"/>
  <c r="V391"/>
  <c r="AE391" s="1"/>
  <c r="V150"/>
  <c r="AE150" s="1"/>
  <c r="V374"/>
  <c r="AE374" s="1"/>
  <c r="V381"/>
  <c r="AE381" s="1"/>
  <c r="V411"/>
  <c r="AE411" s="1"/>
  <c r="V73"/>
  <c r="AE73" s="1"/>
  <c r="V208"/>
  <c r="AE208" s="1"/>
  <c r="V336"/>
  <c r="AE336" s="1"/>
  <c r="V113"/>
  <c r="AE113" s="1"/>
  <c r="V369"/>
  <c r="AE369" s="1"/>
  <c r="V239"/>
  <c r="AE239" s="1"/>
  <c r="V36"/>
  <c r="AE36" s="1"/>
  <c r="V122"/>
  <c r="AE122" s="1"/>
  <c r="V250"/>
  <c r="AE250" s="1"/>
  <c r="V378"/>
  <c r="AE378" s="1"/>
  <c r="V197"/>
  <c r="AE197" s="1"/>
  <c r="V47"/>
  <c r="AE47" s="1"/>
  <c r="V323"/>
  <c r="AE323" s="1"/>
  <c r="V70"/>
  <c r="AE70" s="1"/>
  <c r="V156"/>
  <c r="AE156" s="1"/>
  <c r="V284"/>
  <c r="AE284" s="1"/>
  <c r="V428"/>
  <c r="AE428" s="1"/>
  <c r="V55"/>
  <c r="AE55" s="1"/>
  <c r="V102"/>
  <c r="AE102" s="1"/>
  <c r="V406"/>
  <c r="AE406" s="1"/>
  <c r="V219"/>
  <c r="AE219" s="1"/>
  <c r="V328"/>
  <c r="AE328" s="1"/>
  <c r="V28"/>
  <c r="AE28" s="1"/>
  <c r="V181"/>
  <c r="AE181" s="1"/>
  <c r="V120"/>
  <c r="AE120" s="1"/>
  <c r="V39"/>
  <c r="AE39" s="1"/>
  <c r="V290"/>
  <c r="AE290" s="1"/>
  <c r="V403"/>
  <c r="AE403" s="1"/>
  <c r="V424"/>
  <c r="AE424" s="1"/>
  <c r="V77"/>
  <c r="AE77" s="1"/>
  <c r="V373"/>
  <c r="AE373" s="1"/>
  <c r="V81"/>
  <c r="AE81" s="1"/>
  <c r="V212"/>
  <c r="AE212" s="1"/>
  <c r="V340"/>
  <c r="AE340" s="1"/>
  <c r="V121"/>
  <c r="AE121" s="1"/>
  <c r="V377"/>
  <c r="AE377" s="1"/>
  <c r="V247"/>
  <c r="AE247" s="1"/>
  <c r="V40"/>
  <c r="AE40" s="1"/>
  <c r="V126"/>
  <c r="AE126" s="1"/>
  <c r="V254"/>
  <c r="AE254" s="1"/>
  <c r="V382"/>
  <c r="AE382" s="1"/>
  <c r="V205"/>
  <c r="AE205" s="1"/>
  <c r="V63"/>
  <c r="AE63" s="1"/>
  <c r="V331"/>
  <c r="AE331" s="1"/>
  <c r="V361"/>
  <c r="AE361" s="1"/>
  <c r="V423"/>
  <c r="AE423" s="1"/>
  <c r="V166"/>
  <c r="AE166" s="1"/>
  <c r="V390"/>
  <c r="AE390" s="1"/>
  <c r="V413"/>
  <c r="AE413" s="1"/>
  <c r="V10"/>
  <c r="AE10" s="1"/>
  <c r="V96"/>
  <c r="AE96" s="1"/>
  <c r="V224"/>
  <c r="AE224" s="1"/>
  <c r="V352"/>
  <c r="AE352" s="1"/>
  <c r="V145"/>
  <c r="AE145" s="1"/>
  <c r="V401"/>
  <c r="AE401" s="1"/>
  <c r="V271"/>
  <c r="AE271" s="1"/>
  <c r="V52"/>
  <c r="AE52" s="1"/>
  <c r="V138"/>
  <c r="AE138" s="1"/>
  <c r="V266"/>
  <c r="AE266" s="1"/>
  <c r="V394"/>
  <c r="AE394" s="1"/>
  <c r="V229"/>
  <c r="AE229" s="1"/>
  <c r="V99"/>
  <c r="AE99" s="1"/>
  <c r="V355"/>
  <c r="AE355" s="1"/>
  <c r="V86"/>
  <c r="AE86" s="1"/>
  <c r="V172"/>
  <c r="AE172" s="1"/>
  <c r="V316"/>
  <c r="AE316" s="1"/>
  <c r="V105"/>
  <c r="AE105" s="1"/>
  <c r="V135"/>
  <c r="AE135" s="1"/>
  <c r="V134"/>
  <c r="AE134" s="1"/>
  <c r="V35"/>
  <c r="AE35" s="1"/>
  <c r="V283"/>
  <c r="AE283" s="1"/>
  <c r="V392"/>
  <c r="AE392" s="1"/>
  <c r="V13"/>
  <c r="AE13" s="1"/>
  <c r="V309"/>
  <c r="AE309" s="1"/>
  <c r="V184"/>
  <c r="AE184" s="1"/>
  <c r="V191"/>
  <c r="AE191" s="1"/>
  <c r="V354"/>
  <c r="AE354" s="1"/>
  <c r="V18"/>
  <c r="AE18" s="1"/>
  <c r="V161"/>
  <c r="AE161" s="1"/>
  <c r="V146"/>
  <c r="AE146" s="1"/>
  <c r="Y416"/>
  <c r="AH416" s="1"/>
  <c r="Y297"/>
  <c r="AH297" s="1"/>
  <c r="Y282"/>
  <c r="AH282" s="1"/>
  <c r="Y168"/>
  <c r="AH168" s="1"/>
  <c r="Y81"/>
  <c r="AH81" s="1"/>
  <c r="Y16"/>
  <c r="AH16" s="1"/>
  <c r="Y360"/>
  <c r="AH360" s="1"/>
  <c r="Y319"/>
  <c r="AH319" s="1"/>
  <c r="Y304"/>
  <c r="AH304" s="1"/>
  <c r="Y190"/>
  <c r="AH190" s="1"/>
  <c r="Y148"/>
  <c r="AH148" s="1"/>
  <c r="Y103"/>
  <c r="AH103" s="1"/>
  <c r="Y38"/>
  <c r="AH38" s="1"/>
  <c r="Y19"/>
  <c r="AH19" s="1"/>
  <c r="Y415"/>
  <c r="AH415" s="1"/>
  <c r="Y4"/>
  <c r="AH4" s="1"/>
  <c r="Y368"/>
  <c r="AH368" s="1"/>
  <c r="Y313"/>
  <c r="AH313" s="1"/>
  <c r="Y249"/>
  <c r="AH249" s="1"/>
  <c r="Y298"/>
  <c r="AH298" s="1"/>
  <c r="Y223"/>
  <c r="AH223" s="1"/>
  <c r="Y184"/>
  <c r="AH184" s="1"/>
  <c r="Y207"/>
  <c r="AH207" s="1"/>
  <c r="Y136"/>
  <c r="AH136" s="1"/>
  <c r="Y97"/>
  <c r="AH97" s="1"/>
  <c r="Y90"/>
  <c r="AH90" s="1"/>
  <c r="Y32"/>
  <c r="AH32" s="1"/>
  <c r="Y13"/>
  <c r="AH13" s="1"/>
  <c r="Y377"/>
  <c r="AH377" s="1"/>
  <c r="Y390"/>
  <c r="AH390" s="1"/>
  <c r="Y335"/>
  <c r="AH335" s="1"/>
  <c r="Y271"/>
  <c r="AH271" s="1"/>
  <c r="Y320"/>
  <c r="AH320" s="1"/>
  <c r="Y256"/>
  <c r="AH256" s="1"/>
  <c r="Y206"/>
  <c r="AH206" s="1"/>
  <c r="Y134"/>
  <c r="AH134" s="1"/>
  <c r="Y165"/>
  <c r="AH165" s="1"/>
  <c r="Y119"/>
  <c r="AH119" s="1"/>
  <c r="Y112"/>
  <c r="AH112" s="1"/>
  <c r="Y54"/>
  <c r="AH54" s="1"/>
  <c r="Y35"/>
  <c r="AH35" s="1"/>
  <c r="Y399"/>
  <c r="AH399" s="1"/>
  <c r="Y361"/>
  <c r="AH361" s="1"/>
  <c r="Y221"/>
  <c r="AH221" s="1"/>
  <c r="Y232"/>
  <c r="AH232" s="1"/>
  <c r="Y191"/>
  <c r="AH191" s="1"/>
  <c r="Y145"/>
  <c r="AH145" s="1"/>
  <c r="Y74"/>
  <c r="AH74" s="1"/>
  <c r="Y425"/>
  <c r="AH425" s="1"/>
  <c r="Y374"/>
  <c r="AH374" s="1"/>
  <c r="Y255"/>
  <c r="AH255" s="1"/>
  <c r="Y235"/>
  <c r="AH235" s="1"/>
  <c r="Y213"/>
  <c r="AH213" s="1"/>
  <c r="Y96"/>
  <c r="AH96" s="1"/>
  <c r="Y431"/>
  <c r="AH431" s="1"/>
  <c r="Y367"/>
  <c r="AH367" s="1"/>
  <c r="Y384"/>
  <c r="AH384" s="1"/>
  <c r="Y329"/>
  <c r="AH329" s="1"/>
  <c r="Y265"/>
  <c r="AH265" s="1"/>
  <c r="Y314"/>
  <c r="AH314" s="1"/>
  <c r="Y250"/>
  <c r="AH250" s="1"/>
  <c r="Y200"/>
  <c r="AH200" s="1"/>
  <c r="Y122"/>
  <c r="AH122" s="1"/>
  <c r="Y159"/>
  <c r="AH159" s="1"/>
  <c r="Y113"/>
  <c r="AH113" s="1"/>
  <c r="Y106"/>
  <c r="AH106" s="1"/>
  <c r="Y48"/>
  <c r="AH48" s="1"/>
  <c r="Y29"/>
  <c r="AH29" s="1"/>
  <c r="Y393"/>
  <c r="AH393" s="1"/>
  <c r="Y406"/>
  <c r="AH406" s="1"/>
  <c r="Y351"/>
  <c r="AH351" s="1"/>
  <c r="Y287"/>
  <c r="AH287" s="1"/>
  <c r="Y336"/>
  <c r="AH336" s="1"/>
  <c r="Y272"/>
  <c r="AH272" s="1"/>
  <c r="Y222"/>
  <c r="AH222" s="1"/>
  <c r="Y158"/>
  <c r="AH158" s="1"/>
  <c r="Y181"/>
  <c r="AH181" s="1"/>
  <c r="Y135"/>
  <c r="AH135" s="1"/>
  <c r="Y71"/>
  <c r="AH71" s="1"/>
  <c r="Y64"/>
  <c r="AH64" s="1"/>
  <c r="Y6"/>
  <c r="AH6" s="1"/>
  <c r="Y419"/>
  <c r="AH419" s="1"/>
  <c r="Y371"/>
  <c r="AH371" s="1"/>
  <c r="Y420"/>
  <c r="AH420" s="1"/>
  <c r="Y404"/>
  <c r="AH404" s="1"/>
  <c r="Y372"/>
  <c r="AH372" s="1"/>
  <c r="Y349"/>
  <c r="AH349" s="1"/>
  <c r="Y317"/>
  <c r="AH317" s="1"/>
  <c r="Y269"/>
  <c r="AH269" s="1"/>
  <c r="Y229"/>
  <c r="AH229" s="1"/>
  <c r="Y318"/>
  <c r="AH318" s="1"/>
  <c r="Y286"/>
  <c r="AH286" s="1"/>
  <c r="Y254"/>
  <c r="AH254" s="1"/>
  <c r="Y236"/>
  <c r="AH236" s="1"/>
  <c r="Y204"/>
  <c r="AH204" s="1"/>
  <c r="Y172"/>
  <c r="AH172" s="1"/>
  <c r="Y130"/>
  <c r="AH130" s="1"/>
  <c r="Y195"/>
  <c r="AH195" s="1"/>
  <c r="Y163"/>
  <c r="AH163" s="1"/>
  <c r="Y149"/>
  <c r="AH149" s="1"/>
  <c r="Y117"/>
  <c r="AH117" s="1"/>
  <c r="Y85"/>
  <c r="AH85" s="1"/>
  <c r="Y110"/>
  <c r="AH110" s="1"/>
  <c r="Y78"/>
  <c r="AH78" s="1"/>
  <c r="Y52"/>
  <c r="AH52" s="1"/>
  <c r="Y20"/>
  <c r="AH20" s="1"/>
  <c r="Y33"/>
  <c r="AH33" s="1"/>
  <c r="Y429"/>
  <c r="AH429" s="1"/>
  <c r="Y397"/>
  <c r="AH397" s="1"/>
  <c r="Y365"/>
  <c r="AH365" s="1"/>
  <c r="Y410"/>
  <c r="AH410" s="1"/>
  <c r="Y378"/>
  <c r="AH378" s="1"/>
  <c r="Y355"/>
  <c r="AH355" s="1"/>
  <c r="Y323"/>
  <c r="AH323" s="1"/>
  <c r="Y291"/>
  <c r="AH291" s="1"/>
  <c r="Y259"/>
  <c r="AH259" s="1"/>
  <c r="Y340"/>
  <c r="AH340" s="1"/>
  <c r="Y308"/>
  <c r="AH308" s="1"/>
  <c r="Y276"/>
  <c r="AH276" s="1"/>
  <c r="Y243"/>
  <c r="AH243" s="1"/>
  <c r="Y226"/>
  <c r="AH226" s="1"/>
  <c r="Y194"/>
  <c r="AH194" s="1"/>
  <c r="Y162"/>
  <c r="AH162" s="1"/>
  <c r="Y217"/>
  <c r="AH217" s="1"/>
  <c r="Y169"/>
  <c r="AH169" s="1"/>
  <c r="Y124"/>
  <c r="AH124" s="1"/>
  <c r="Y123"/>
  <c r="AH123" s="1"/>
  <c r="Y91"/>
  <c r="AH91" s="1"/>
  <c r="Y55"/>
  <c r="AH55" s="1"/>
  <c r="Y84"/>
  <c r="AH84" s="1"/>
  <c r="Y68"/>
  <c r="AH68" s="1"/>
  <c r="Y42"/>
  <c r="AH42" s="1"/>
  <c r="Y10"/>
  <c r="AH10" s="1"/>
  <c r="Y23"/>
  <c r="AH23" s="1"/>
  <c r="Y423"/>
  <c r="AH423" s="1"/>
  <c r="Y407"/>
  <c r="AH407" s="1"/>
  <c r="Y391"/>
  <c r="AH391" s="1"/>
  <c r="Y375"/>
  <c r="AH375" s="1"/>
  <c r="Y356"/>
  <c r="AH356" s="1"/>
  <c r="Y424"/>
  <c r="AH424" s="1"/>
  <c r="Y408"/>
  <c r="AH408" s="1"/>
  <c r="Y392"/>
  <c r="AH392" s="1"/>
  <c r="Y376"/>
  <c r="AH376" s="1"/>
  <c r="Y358"/>
  <c r="AH358" s="1"/>
  <c r="Y353"/>
  <c r="AH353" s="1"/>
  <c r="Y337"/>
  <c r="AH337" s="1"/>
  <c r="Y321"/>
  <c r="AH321" s="1"/>
  <c r="Y305"/>
  <c r="AH305" s="1"/>
  <c r="Y289"/>
  <c r="AH289" s="1"/>
  <c r="Y273"/>
  <c r="AH273" s="1"/>
  <c r="Y257"/>
  <c r="AH257" s="1"/>
  <c r="Y237"/>
  <c r="AH237" s="1"/>
  <c r="Y338"/>
  <c r="AH338" s="1"/>
  <c r="Y322"/>
  <c r="AH322" s="1"/>
  <c r="Y306"/>
  <c r="AH306" s="1"/>
  <c r="Y290"/>
  <c r="AH290" s="1"/>
  <c r="Y274"/>
  <c r="AH274" s="1"/>
  <c r="Y258"/>
  <c r="AH258" s="1"/>
  <c r="Y239"/>
  <c r="AH239" s="1"/>
  <c r="Y240"/>
  <c r="AH240" s="1"/>
  <c r="Y224"/>
  <c r="AH224" s="1"/>
  <c r="Y208"/>
  <c r="AH208" s="1"/>
  <c r="Y192"/>
  <c r="AH192" s="1"/>
  <c r="Y176"/>
  <c r="AH176" s="1"/>
  <c r="Y160"/>
  <c r="AH160" s="1"/>
  <c r="Y138"/>
  <c r="AH138" s="1"/>
  <c r="Y215"/>
  <c r="AH215" s="1"/>
  <c r="Y199"/>
  <c r="AH199" s="1"/>
  <c r="Y183"/>
  <c r="AH183" s="1"/>
  <c r="Y167"/>
  <c r="AH167" s="1"/>
  <c r="Y151"/>
  <c r="AH151" s="1"/>
  <c r="Y120"/>
  <c r="AH120" s="1"/>
  <c r="Y137"/>
  <c r="AH137" s="1"/>
  <c r="Y121"/>
  <c r="AH121" s="1"/>
  <c r="Y105"/>
  <c r="AH105" s="1"/>
  <c r="Y89"/>
  <c r="AH89" s="1"/>
  <c r="Y73"/>
  <c r="AH73" s="1"/>
  <c r="Y51"/>
  <c r="AH51" s="1"/>
  <c r="Y98"/>
  <c r="AH98" s="1"/>
  <c r="Y82"/>
  <c r="AH82" s="1"/>
  <c r="Y66"/>
  <c r="AH66" s="1"/>
  <c r="Y56"/>
  <c r="AH56" s="1"/>
  <c r="Y40"/>
  <c r="AH40" s="1"/>
  <c r="Y24"/>
  <c r="AH24" s="1"/>
  <c r="Y8"/>
  <c r="AH8" s="1"/>
  <c r="Y37"/>
  <c r="AH37" s="1"/>
  <c r="Y21"/>
  <c r="AH21" s="1"/>
  <c r="Y5"/>
  <c r="AH5" s="1"/>
  <c r="Y417"/>
  <c r="AH417" s="1"/>
  <c r="Y401"/>
  <c r="AH401" s="1"/>
  <c r="Y385"/>
  <c r="AH385" s="1"/>
  <c r="Y369"/>
  <c r="AH369" s="1"/>
  <c r="Y430"/>
  <c r="AH430" s="1"/>
  <c r="Y414"/>
  <c r="AH414" s="1"/>
  <c r="Y398"/>
  <c r="AH398" s="1"/>
  <c r="Y382"/>
  <c r="AH382" s="1"/>
  <c r="Y366"/>
  <c r="AH366" s="1"/>
  <c r="Y359"/>
  <c r="AH359" s="1"/>
  <c r="Y343"/>
  <c r="AH343" s="1"/>
  <c r="Y327"/>
  <c r="AH327" s="1"/>
  <c r="Y311"/>
  <c r="AH311" s="1"/>
  <c r="Y295"/>
  <c r="AH295" s="1"/>
  <c r="Y279"/>
  <c r="AH279" s="1"/>
  <c r="Y263"/>
  <c r="AH263" s="1"/>
  <c r="Y247"/>
  <c r="AH247" s="1"/>
  <c r="Y344"/>
  <c r="AH344" s="1"/>
  <c r="Y328"/>
  <c r="AH328" s="1"/>
  <c r="Y312"/>
  <c r="AH312" s="1"/>
  <c r="Y296"/>
  <c r="AH296" s="1"/>
  <c r="Y280"/>
  <c r="AH280" s="1"/>
  <c r="Y264"/>
  <c r="AH264" s="1"/>
  <c r="Y248"/>
  <c r="AH248" s="1"/>
  <c r="Y219"/>
  <c r="AH219" s="1"/>
  <c r="Y230"/>
  <c r="AH230" s="1"/>
  <c r="Y214"/>
  <c r="AH214" s="1"/>
  <c r="Y198"/>
  <c r="AH198" s="1"/>
  <c r="Y182"/>
  <c r="AH182" s="1"/>
  <c r="Y166"/>
  <c r="AH166" s="1"/>
  <c r="Y150"/>
  <c r="AH150" s="1"/>
  <c r="Y118"/>
  <c r="AH118" s="1"/>
  <c r="Y205"/>
  <c r="AH205" s="1"/>
  <c r="Y189"/>
  <c r="AH189" s="1"/>
  <c r="Y173"/>
  <c r="AH173" s="1"/>
  <c r="Y157"/>
  <c r="AH157" s="1"/>
  <c r="Y132"/>
  <c r="AH132" s="1"/>
  <c r="Y143"/>
  <c r="AH143" s="1"/>
  <c r="Y127"/>
  <c r="AH127" s="1"/>
  <c r="Y111"/>
  <c r="AH111" s="1"/>
  <c r="Y95"/>
  <c r="AH95" s="1"/>
  <c r="Y79"/>
  <c r="AH79" s="1"/>
  <c r="Y63"/>
  <c r="AH63" s="1"/>
  <c r="Y104"/>
  <c r="AH104" s="1"/>
  <c r="Y88"/>
  <c r="AH88" s="1"/>
  <c r="Y72"/>
  <c r="AH72" s="1"/>
  <c r="Y53"/>
  <c r="AH53" s="1"/>
  <c r="Y46"/>
  <c r="AH46" s="1"/>
  <c r="Y30"/>
  <c r="AH30" s="1"/>
  <c r="Y14"/>
  <c r="AH14" s="1"/>
  <c r="Y43"/>
  <c r="AH43" s="1"/>
  <c r="Y27"/>
  <c r="AH27" s="1"/>
  <c r="Y11"/>
  <c r="AH11" s="1"/>
  <c r="Y403"/>
  <c r="AH403" s="1"/>
  <c r="Y387"/>
  <c r="AH387" s="1"/>
  <c r="Y348"/>
  <c r="AH348" s="1"/>
  <c r="Y388"/>
  <c r="AH388" s="1"/>
  <c r="Y350"/>
  <c r="AH350" s="1"/>
  <c r="Y333"/>
  <c r="AH333" s="1"/>
  <c r="Y301"/>
  <c r="AH301" s="1"/>
  <c r="Y285"/>
  <c r="AH285" s="1"/>
  <c r="Y253"/>
  <c r="AH253" s="1"/>
  <c r="Y334"/>
  <c r="AH334" s="1"/>
  <c r="Y302"/>
  <c r="AH302" s="1"/>
  <c r="Y270"/>
  <c r="AH270" s="1"/>
  <c r="Y231"/>
  <c r="AH231" s="1"/>
  <c r="Y220"/>
  <c r="AH220" s="1"/>
  <c r="Y188"/>
  <c r="AH188" s="1"/>
  <c r="Y156"/>
  <c r="AH156" s="1"/>
  <c r="Y211"/>
  <c r="AH211" s="1"/>
  <c r="Y179"/>
  <c r="AH179" s="1"/>
  <c r="Y144"/>
  <c r="AH144" s="1"/>
  <c r="Y133"/>
  <c r="AH133" s="1"/>
  <c r="Y101"/>
  <c r="AH101" s="1"/>
  <c r="Y69"/>
  <c r="AH69" s="1"/>
  <c r="Y94"/>
  <c r="AH94" s="1"/>
  <c r="Y62"/>
  <c r="AH62" s="1"/>
  <c r="Y36"/>
  <c r="AH36" s="1"/>
  <c r="Y49"/>
  <c r="AH49" s="1"/>
  <c r="Y17"/>
  <c r="AH17" s="1"/>
  <c r="Y413"/>
  <c r="AH413" s="1"/>
  <c r="Y381"/>
  <c r="AH381" s="1"/>
  <c r="Y426"/>
  <c r="AH426" s="1"/>
  <c r="Y394"/>
  <c r="AH394" s="1"/>
  <c r="Y362"/>
  <c r="AH362" s="1"/>
  <c r="Y339"/>
  <c r="AH339" s="1"/>
  <c r="Y307"/>
  <c r="AH307" s="1"/>
  <c r="Y275"/>
  <c r="AH275" s="1"/>
  <c r="Y241"/>
  <c r="AH241" s="1"/>
  <c r="Y324"/>
  <c r="AH324" s="1"/>
  <c r="Y292"/>
  <c r="AH292" s="1"/>
  <c r="Y260"/>
  <c r="AH260" s="1"/>
  <c r="Y242"/>
  <c r="AH242" s="1"/>
  <c r="Y210"/>
  <c r="AH210" s="1"/>
  <c r="Y178"/>
  <c r="AH178" s="1"/>
  <c r="Y142"/>
  <c r="AH142" s="1"/>
  <c r="Y201"/>
  <c r="AH201" s="1"/>
  <c r="Y185"/>
  <c r="AH185" s="1"/>
  <c r="Y153"/>
  <c r="AH153" s="1"/>
  <c r="Y139"/>
  <c r="AH139" s="1"/>
  <c r="Y107"/>
  <c r="AH107" s="1"/>
  <c r="Y75"/>
  <c r="AH75" s="1"/>
  <c r="Y100"/>
  <c r="AH100" s="1"/>
  <c r="Y58"/>
  <c r="AH58" s="1"/>
  <c r="Y26"/>
  <c r="AH26" s="1"/>
  <c r="Y39"/>
  <c r="AH39" s="1"/>
  <c r="Y7"/>
  <c r="AH7" s="1"/>
  <c r="Y427"/>
  <c r="AH427" s="1"/>
  <c r="Y411"/>
  <c r="AH411" s="1"/>
  <c r="Y395"/>
  <c r="AH395" s="1"/>
  <c r="Y379"/>
  <c r="AH379" s="1"/>
  <c r="Y363"/>
  <c r="AH363" s="1"/>
  <c r="Y428"/>
  <c r="AH428" s="1"/>
  <c r="Y412"/>
  <c r="AH412" s="1"/>
  <c r="Y396"/>
  <c r="AH396" s="1"/>
  <c r="Y380"/>
  <c r="AH380" s="1"/>
  <c r="Y364"/>
  <c r="AH364" s="1"/>
  <c r="Y357"/>
  <c r="AH357" s="1"/>
  <c r="Y341"/>
  <c r="AH341" s="1"/>
  <c r="Y325"/>
  <c r="AH325" s="1"/>
  <c r="Y309"/>
  <c r="AH309" s="1"/>
  <c r="Y293"/>
  <c r="AH293" s="1"/>
  <c r="Y277"/>
  <c r="AH277" s="1"/>
  <c r="Y261"/>
  <c r="AH261" s="1"/>
  <c r="Y245"/>
  <c r="AH245" s="1"/>
  <c r="Y342"/>
  <c r="AH342" s="1"/>
  <c r="Y326"/>
  <c r="AH326" s="1"/>
  <c r="Y310"/>
  <c r="AH310" s="1"/>
  <c r="Y294"/>
  <c r="AH294" s="1"/>
  <c r="Y278"/>
  <c r="AH278" s="1"/>
  <c r="Y262"/>
  <c r="AH262" s="1"/>
  <c r="Y246"/>
  <c r="AH246" s="1"/>
  <c r="Y244"/>
  <c r="AH244" s="1"/>
  <c r="Y228"/>
  <c r="AH228" s="1"/>
  <c r="Y212"/>
  <c r="AH212" s="1"/>
  <c r="Y196"/>
  <c r="AH196" s="1"/>
  <c r="Y180"/>
  <c r="AH180" s="1"/>
  <c r="Y164"/>
  <c r="AH164" s="1"/>
  <c r="Y146"/>
  <c r="AH146" s="1"/>
  <c r="Y114"/>
  <c r="AH114" s="1"/>
  <c r="Y203"/>
  <c r="AH203" s="1"/>
  <c r="Y187"/>
  <c r="AH187" s="1"/>
  <c r="Y171"/>
  <c r="AH171" s="1"/>
  <c r="Y155"/>
  <c r="AH155" s="1"/>
  <c r="Y128"/>
  <c r="AH128" s="1"/>
  <c r="Y141"/>
  <c r="AH141" s="1"/>
  <c r="Y125"/>
  <c r="AH125" s="1"/>
  <c r="Y109"/>
  <c r="AH109" s="1"/>
  <c r="Y93"/>
  <c r="AH93" s="1"/>
  <c r="Y77"/>
  <c r="AH77" s="1"/>
  <c r="Y59"/>
  <c r="AH59" s="1"/>
  <c r="Y102"/>
  <c r="AH102" s="1"/>
  <c r="Y86"/>
  <c r="AH86" s="1"/>
  <c r="Y70"/>
  <c r="AH70" s="1"/>
  <c r="Y60"/>
  <c r="AH60" s="1"/>
  <c r="Y44"/>
  <c r="AH44" s="1"/>
  <c r="Y28"/>
  <c r="AH28" s="1"/>
  <c r="Y12"/>
  <c r="AH12" s="1"/>
  <c r="Y41"/>
  <c r="AH41" s="1"/>
  <c r="Y25"/>
  <c r="AH25" s="1"/>
  <c r="Y9"/>
  <c r="AH9" s="1"/>
  <c r="Y421"/>
  <c r="AH421" s="1"/>
  <c r="Y405"/>
  <c r="AH405" s="1"/>
  <c r="Y389"/>
  <c r="AH389" s="1"/>
  <c r="Y373"/>
  <c r="AH373" s="1"/>
  <c r="Y352"/>
  <c r="AH352" s="1"/>
  <c r="Y418"/>
  <c r="AH418" s="1"/>
  <c r="Y402"/>
  <c r="AH402" s="1"/>
  <c r="Y386"/>
  <c r="AH386" s="1"/>
  <c r="Y370"/>
  <c r="AH370" s="1"/>
  <c r="Y346"/>
  <c r="AH346" s="1"/>
  <c r="Y347"/>
  <c r="AH347" s="1"/>
  <c r="Y331"/>
  <c r="AH331" s="1"/>
  <c r="Y315"/>
  <c r="AH315" s="1"/>
  <c r="Y299"/>
  <c r="AH299" s="1"/>
  <c r="Y283"/>
  <c r="AH283" s="1"/>
  <c r="Y267"/>
  <c r="AH267" s="1"/>
  <c r="Y251"/>
  <c r="AH251" s="1"/>
  <c r="Y225"/>
  <c r="AH225" s="1"/>
  <c r="Y332"/>
  <c r="AH332" s="1"/>
  <c r="Y316"/>
  <c r="AH316" s="1"/>
  <c r="Y300"/>
  <c r="AH300" s="1"/>
  <c r="Y284"/>
  <c r="AH284" s="1"/>
  <c r="Y268"/>
  <c r="AH268" s="1"/>
  <c r="Y252"/>
  <c r="AH252" s="1"/>
  <c r="Y227"/>
  <c r="AH227" s="1"/>
  <c r="Y234"/>
  <c r="AH234" s="1"/>
  <c r="Y218"/>
  <c r="AH218" s="1"/>
  <c r="Y202"/>
  <c r="AH202" s="1"/>
  <c r="Y186"/>
  <c r="AH186" s="1"/>
  <c r="Y170"/>
  <c r="AH170" s="1"/>
  <c r="Y154"/>
  <c r="AH154" s="1"/>
  <c r="Y126"/>
  <c r="AH126" s="1"/>
  <c r="Y209"/>
  <c r="AH209" s="1"/>
  <c r="Y193"/>
  <c r="AH193" s="1"/>
  <c r="Y177"/>
  <c r="AH177" s="1"/>
  <c r="Y161"/>
  <c r="AH161" s="1"/>
  <c r="Y140"/>
  <c r="AH140" s="1"/>
  <c r="Y147"/>
  <c r="AH147" s="1"/>
  <c r="Y131"/>
  <c r="AH131" s="1"/>
  <c r="Y115"/>
  <c r="AH115" s="1"/>
  <c r="Y99"/>
  <c r="AH99" s="1"/>
  <c r="Y83"/>
  <c r="AH83" s="1"/>
  <c r="Y67"/>
  <c r="AH67" s="1"/>
  <c r="Y108"/>
  <c r="AH108" s="1"/>
  <c r="Y92"/>
  <c r="AH92" s="1"/>
  <c r="Y76"/>
  <c r="AH76" s="1"/>
  <c r="Y61"/>
  <c r="AH61" s="1"/>
  <c r="Y50"/>
  <c r="AH50" s="1"/>
  <c r="Y34"/>
  <c r="AH34" s="1"/>
  <c r="Y18"/>
  <c r="AH18" s="1"/>
  <c r="Y47"/>
  <c r="AH47" s="1"/>
  <c r="Y31"/>
  <c r="AH31" s="1"/>
  <c r="V152"/>
  <c r="AE152" s="1"/>
  <c r="V344"/>
  <c r="AE344" s="1"/>
  <c r="V129"/>
  <c r="AE129" s="1"/>
  <c r="V127"/>
  <c r="AE127" s="1"/>
  <c r="V383"/>
  <c r="AE383" s="1"/>
  <c r="V45"/>
  <c r="AE45" s="1"/>
  <c r="V194"/>
  <c r="AE194" s="1"/>
  <c r="V322"/>
  <c r="AE322" s="1"/>
  <c r="V386"/>
  <c r="AE386" s="1"/>
  <c r="V213"/>
  <c r="AE213" s="1"/>
  <c r="V79"/>
  <c r="AE79" s="1"/>
  <c r="V339"/>
  <c r="AE339" s="1"/>
  <c r="V66"/>
  <c r="AE66" s="1"/>
  <c r="V88"/>
  <c r="AE88" s="1"/>
  <c r="V216"/>
  <c r="AE216" s="1"/>
  <c r="V280"/>
  <c r="AE280" s="1"/>
  <c r="V408"/>
  <c r="AE408" s="1"/>
  <c r="V257"/>
  <c r="AE257" s="1"/>
  <c r="V385"/>
  <c r="AE385" s="1"/>
  <c r="V255"/>
  <c r="AE255" s="1"/>
  <c r="V44"/>
  <c r="AE44" s="1"/>
  <c r="V130"/>
  <c r="AE130" s="1"/>
  <c r="V258"/>
  <c r="AE258" s="1"/>
  <c r="V83"/>
  <c r="AE83" s="1"/>
  <c r="V341"/>
  <c r="AE341" s="1"/>
  <c r="V211"/>
  <c r="AE211" s="1"/>
  <c r="V30"/>
  <c r="AE30" s="1"/>
  <c r="V17"/>
  <c r="AE17" s="1"/>
  <c r="V116"/>
  <c r="AE116" s="1"/>
  <c r="V180"/>
  <c r="AE180" s="1"/>
  <c r="V244"/>
  <c r="AE244" s="1"/>
  <c r="V308"/>
  <c r="AE308" s="1"/>
  <c r="V372"/>
  <c r="AE372" s="1"/>
  <c r="V27"/>
  <c r="AE27" s="1"/>
  <c r="V185"/>
  <c r="AE185" s="1"/>
  <c r="V313"/>
  <c r="AE313" s="1"/>
  <c r="V23"/>
  <c r="AE23" s="1"/>
  <c r="V183"/>
  <c r="AE183" s="1"/>
  <c r="V311"/>
  <c r="AE311" s="1"/>
  <c r="V8"/>
  <c r="AE8" s="1"/>
  <c r="V72"/>
  <c r="AE72" s="1"/>
  <c r="V94"/>
  <c r="AE94" s="1"/>
  <c r="V158"/>
  <c r="AE158" s="1"/>
  <c r="V222"/>
  <c r="AE222" s="1"/>
  <c r="V286"/>
  <c r="AE286" s="1"/>
  <c r="V350"/>
  <c r="AE350" s="1"/>
  <c r="V414"/>
  <c r="AE414" s="1"/>
  <c r="V141"/>
  <c r="AE141" s="1"/>
  <c r="V269"/>
  <c r="AE269" s="1"/>
  <c r="V397"/>
  <c r="AE397" s="1"/>
  <c r="V139"/>
  <c r="AE139" s="1"/>
  <c r="V267"/>
  <c r="AE267" s="1"/>
  <c r="V395"/>
  <c r="AE395" s="1"/>
  <c r="V201"/>
  <c r="AE201" s="1"/>
  <c r="V103"/>
  <c r="AE103" s="1"/>
  <c r="V327"/>
  <c r="AE327" s="1"/>
  <c r="V64"/>
  <c r="AE64" s="1"/>
  <c r="V118"/>
  <c r="AE118" s="1"/>
  <c r="V214"/>
  <c r="AE214" s="1"/>
  <c r="V342"/>
  <c r="AE342" s="1"/>
  <c r="V93"/>
  <c r="AE93" s="1"/>
  <c r="V317"/>
  <c r="AE317" s="1"/>
  <c r="V155"/>
  <c r="AE155" s="1"/>
  <c r="V347"/>
  <c r="AE347" s="1"/>
  <c r="V42"/>
  <c r="AE42" s="1"/>
  <c r="V41"/>
  <c r="AE41" s="1"/>
  <c r="V128"/>
  <c r="AE128" s="1"/>
  <c r="V192"/>
  <c r="AE192" s="1"/>
  <c r="V256"/>
  <c r="AE256" s="1"/>
  <c r="V320"/>
  <c r="AE320" s="1"/>
  <c r="V384"/>
  <c r="AE384" s="1"/>
  <c r="V75"/>
  <c r="AE75" s="1"/>
  <c r="V209"/>
  <c r="AE209" s="1"/>
  <c r="V337"/>
  <c r="AE337" s="1"/>
  <c r="V71"/>
  <c r="AE71" s="1"/>
  <c r="V207"/>
  <c r="AE207" s="1"/>
  <c r="V335"/>
  <c r="AE335" s="1"/>
  <c r="V20"/>
  <c r="AE20" s="1"/>
  <c r="V84"/>
  <c r="AE84" s="1"/>
  <c r="V106"/>
  <c r="AE106" s="1"/>
  <c r="V170"/>
  <c r="AE170" s="1"/>
  <c r="V234"/>
  <c r="AE234" s="1"/>
  <c r="V298"/>
  <c r="AE298" s="1"/>
  <c r="V362"/>
  <c r="AE362" s="1"/>
  <c r="V426"/>
  <c r="AE426" s="1"/>
  <c r="V165"/>
  <c r="AE165" s="1"/>
  <c r="V293"/>
  <c r="AE293" s="1"/>
  <c r="V421"/>
  <c r="AE421" s="1"/>
  <c r="V163"/>
  <c r="AE163" s="1"/>
  <c r="V291"/>
  <c r="AE291" s="1"/>
  <c r="V419"/>
  <c r="AE419" s="1"/>
  <c r="V54"/>
  <c r="AE54" s="1"/>
  <c r="V65"/>
  <c r="AE65" s="1"/>
  <c r="V140"/>
  <c r="AE140" s="1"/>
  <c r="V204"/>
  <c r="AE204" s="1"/>
  <c r="V268"/>
  <c r="AE268" s="1"/>
  <c r="V348"/>
  <c r="AE348" s="1"/>
  <c r="V412"/>
  <c r="AE412" s="1"/>
  <c r="V169"/>
  <c r="AE169" s="1"/>
  <c r="V393"/>
  <c r="AE393" s="1"/>
  <c r="V295"/>
  <c r="AE295" s="1"/>
  <c r="V21"/>
  <c r="AE21" s="1"/>
  <c r="V230"/>
  <c r="AE230" s="1"/>
  <c r="V358"/>
  <c r="AE358" s="1"/>
  <c r="V221"/>
  <c r="AE221" s="1"/>
  <c r="V123"/>
  <c r="AE123" s="1"/>
  <c r="V14"/>
  <c r="AE14" s="1"/>
  <c r="V264"/>
  <c r="AE264" s="1"/>
  <c r="V225"/>
  <c r="AE225" s="1"/>
  <c r="V351"/>
  <c r="AE351" s="1"/>
  <c r="V178"/>
  <c r="AE178" s="1"/>
  <c r="V19"/>
  <c r="AE19" s="1"/>
  <c r="V179"/>
  <c r="AE179" s="1"/>
  <c r="V25"/>
  <c r="AE25" s="1"/>
  <c r="V312"/>
  <c r="AE312" s="1"/>
  <c r="V321"/>
  <c r="AE321" s="1"/>
  <c r="V12"/>
  <c r="AE12" s="1"/>
  <c r="V226"/>
  <c r="AE226" s="1"/>
  <c r="V149"/>
  <c r="AE149" s="1"/>
  <c r="V275"/>
  <c r="AE275" s="1"/>
  <c r="V104"/>
  <c r="AE104" s="1"/>
  <c r="V360"/>
  <c r="AE360" s="1"/>
  <c r="V417"/>
  <c r="AE417" s="1"/>
  <c r="V60"/>
  <c r="AE60" s="1"/>
  <c r="V274"/>
  <c r="AE274" s="1"/>
  <c r="V245"/>
  <c r="AE245" s="1"/>
  <c r="V371"/>
  <c r="AE371" s="1"/>
  <c r="V78"/>
  <c r="AE78" s="1"/>
  <c r="V100"/>
  <c r="AE100" s="1"/>
  <c r="V164"/>
  <c r="AE164" s="1"/>
  <c r="V228"/>
  <c r="AE228" s="1"/>
  <c r="V292"/>
  <c r="AE292" s="1"/>
  <c r="V356"/>
  <c r="AE356" s="1"/>
  <c r="V420"/>
  <c r="AE420" s="1"/>
  <c r="V153"/>
  <c r="AE153" s="1"/>
  <c r="V281"/>
  <c r="AE281" s="1"/>
  <c r="V409"/>
  <c r="AE409" s="1"/>
  <c r="V151"/>
  <c r="AE151" s="1"/>
  <c r="V279"/>
  <c r="AE279" s="1"/>
  <c r="V407"/>
  <c r="AE407" s="1"/>
  <c r="V56"/>
  <c r="AE56" s="1"/>
  <c r="V69"/>
  <c r="AE69" s="1"/>
  <c r="V142"/>
  <c r="AE142" s="1"/>
  <c r="V206"/>
  <c r="AE206" s="1"/>
  <c r="V270"/>
  <c r="AE270" s="1"/>
  <c r="V334"/>
  <c r="AE334" s="1"/>
  <c r="V398"/>
  <c r="AE398" s="1"/>
  <c r="V109"/>
  <c r="AE109" s="1"/>
  <c r="V237"/>
  <c r="AE237" s="1"/>
  <c r="V365"/>
  <c r="AE365" s="1"/>
  <c r="V107"/>
  <c r="AE107" s="1"/>
  <c r="V235"/>
  <c r="AE235" s="1"/>
  <c r="V363"/>
  <c r="AE363" s="1"/>
  <c r="V59"/>
  <c r="AE59" s="1"/>
  <c r="V425"/>
  <c r="AE425" s="1"/>
  <c r="V263"/>
  <c r="AE263" s="1"/>
  <c r="V32"/>
  <c r="AE32" s="1"/>
  <c r="V85"/>
  <c r="AE85" s="1"/>
  <c r="V198"/>
  <c r="AE198" s="1"/>
  <c r="V310"/>
  <c r="AE310" s="1"/>
  <c r="V422"/>
  <c r="AE422" s="1"/>
  <c r="V253"/>
  <c r="AE253" s="1"/>
  <c r="V91"/>
  <c r="AE91" s="1"/>
  <c r="V315"/>
  <c r="AE315" s="1"/>
  <c r="V26"/>
  <c r="AE26" s="1"/>
  <c r="V9"/>
  <c r="AE9" s="1"/>
  <c r="V112"/>
  <c r="AE112" s="1"/>
  <c r="V176"/>
  <c r="AE176" s="1"/>
  <c r="V240"/>
  <c r="AE240" s="1"/>
  <c r="V304"/>
  <c r="AE304" s="1"/>
  <c r="V368"/>
  <c r="AE368" s="1"/>
  <c r="V11"/>
  <c r="AE11" s="1"/>
  <c r="V177"/>
  <c r="AE177" s="1"/>
  <c r="V305"/>
  <c r="AE305" s="1"/>
  <c r="V7"/>
  <c r="AE7" s="1"/>
  <c r="V175"/>
  <c r="AE175" s="1"/>
  <c r="V303"/>
  <c r="AE303" s="1"/>
  <c r="V431"/>
  <c r="AE431" s="1"/>
  <c r="V68"/>
  <c r="AE68" s="1"/>
  <c r="V90"/>
  <c r="AE90" s="1"/>
  <c r="V154"/>
  <c r="AE154" s="1"/>
  <c r="V218"/>
  <c r="AE218" s="1"/>
  <c r="V282"/>
  <c r="AE282" s="1"/>
  <c r="V346"/>
  <c r="AE346" s="1"/>
  <c r="V410"/>
  <c r="AE410" s="1"/>
  <c r="V133"/>
  <c r="AE133" s="1"/>
  <c r="V261"/>
  <c r="AE261" s="1"/>
  <c r="V389"/>
  <c r="AE389" s="1"/>
  <c r="V131"/>
  <c r="AE131" s="1"/>
  <c r="V259"/>
  <c r="AE259" s="1"/>
  <c r="V387"/>
  <c r="AE387" s="1"/>
  <c r="V38"/>
  <c r="AE38" s="1"/>
  <c r="V33"/>
  <c r="AE33" s="1"/>
  <c r="V124"/>
  <c r="AE124" s="1"/>
  <c r="V188"/>
  <c r="AE188" s="1"/>
  <c r="V252"/>
  <c r="AE252" s="1"/>
  <c r="V332"/>
  <c r="AE332" s="1"/>
  <c r="V396"/>
  <c r="AE396" s="1"/>
  <c r="V137"/>
  <c r="AE137" s="1"/>
  <c r="V329"/>
  <c r="AE329" s="1"/>
  <c r="V199"/>
  <c r="AE199" s="1"/>
  <c r="V48"/>
  <c r="AE48" s="1"/>
  <c r="V182"/>
  <c r="AE182" s="1"/>
  <c r="V326"/>
  <c r="AE326" s="1"/>
  <c r="V157"/>
  <c r="AE157" s="1"/>
  <c r="V31"/>
  <c r="AE31" s="1"/>
  <c r="V379"/>
  <c r="AE379" s="1"/>
  <c r="V200"/>
  <c r="AE200" s="1"/>
  <c r="V97"/>
  <c r="AE97" s="1"/>
  <c r="V223"/>
  <c r="AE223" s="1"/>
  <c r="V114"/>
  <c r="AE114" s="1"/>
  <c r="V370"/>
  <c r="AE370" s="1"/>
  <c r="V15"/>
  <c r="AE15" s="1"/>
  <c r="V34"/>
  <c r="AE34" s="1"/>
  <c r="V248"/>
  <c r="AE248" s="1"/>
  <c r="V193"/>
  <c r="AE193" s="1"/>
  <c r="V319"/>
  <c r="AE319" s="1"/>
  <c r="V162"/>
  <c r="AE162" s="1"/>
  <c r="V418"/>
  <c r="AE418" s="1"/>
  <c r="V147"/>
  <c r="AE147" s="1"/>
  <c r="V82"/>
  <c r="AE82" s="1"/>
  <c r="V296"/>
  <c r="AE296" s="1"/>
  <c r="V289"/>
  <c r="AE289" s="1"/>
  <c r="V415"/>
  <c r="AE415" s="1"/>
  <c r="V210"/>
  <c r="AE210" s="1"/>
  <c r="V117"/>
  <c r="AE117" s="1"/>
  <c r="V243"/>
  <c r="AE243" s="1"/>
  <c r="AA340"/>
  <c r="AJ340" s="1"/>
  <c r="AA148"/>
  <c r="AJ148" s="1"/>
  <c r="AA227"/>
  <c r="AJ227" s="1"/>
  <c r="AA388"/>
  <c r="AJ388" s="1"/>
  <c r="AA91"/>
  <c r="AJ91" s="1"/>
  <c r="AA27"/>
  <c r="AJ27" s="1"/>
  <c r="AB74"/>
  <c r="AK74" s="1"/>
  <c r="AA407"/>
  <c r="AJ407" s="1"/>
  <c r="AA311"/>
  <c r="AJ311" s="1"/>
  <c r="AA254"/>
  <c r="AJ254" s="1"/>
  <c r="AA113"/>
  <c r="AJ113" s="1"/>
  <c r="AA360"/>
  <c r="AJ360" s="1"/>
  <c r="AA160"/>
  <c r="AJ160" s="1"/>
  <c r="AA10"/>
  <c r="AJ10" s="1"/>
  <c r="X397"/>
  <c r="AG397" s="1"/>
  <c r="X189"/>
  <c r="AG189" s="1"/>
  <c r="X128"/>
  <c r="AG128" s="1"/>
  <c r="AA350"/>
  <c r="AJ350" s="1"/>
  <c r="AA348"/>
  <c r="AJ348" s="1"/>
  <c r="AA267"/>
  <c r="AJ267" s="1"/>
  <c r="AA298"/>
  <c r="AJ298" s="1"/>
  <c r="AA234"/>
  <c r="AJ234" s="1"/>
  <c r="AA157"/>
  <c r="AJ157" s="1"/>
  <c r="AA55"/>
  <c r="AJ55" s="1"/>
  <c r="AA393"/>
  <c r="AJ393" s="1"/>
  <c r="AA289"/>
  <c r="AJ289" s="1"/>
  <c r="AA240"/>
  <c r="AJ240" s="1"/>
  <c r="AA183"/>
  <c r="AJ183" s="1"/>
  <c r="AA21"/>
  <c r="AJ21" s="1"/>
  <c r="AA26"/>
  <c r="AJ26" s="1"/>
  <c r="AA75"/>
  <c r="AJ75" s="1"/>
  <c r="AA139"/>
  <c r="AJ139" s="1"/>
  <c r="AA199"/>
  <c r="AJ199" s="1"/>
  <c r="AA224"/>
  <c r="AJ224" s="1"/>
  <c r="AA276"/>
  <c r="AJ276" s="1"/>
  <c r="AA239"/>
  <c r="AJ239" s="1"/>
  <c r="AA353"/>
  <c r="AJ353" s="1"/>
  <c r="AA410"/>
  <c r="AJ410" s="1"/>
  <c r="AA409"/>
  <c r="AJ409" s="1"/>
  <c r="AA48"/>
  <c r="AJ48" s="1"/>
  <c r="AA106"/>
  <c r="AJ106" s="1"/>
  <c r="AA129"/>
  <c r="AJ129" s="1"/>
  <c r="AA116"/>
  <c r="AJ116" s="1"/>
  <c r="AA198"/>
  <c r="AJ198" s="1"/>
  <c r="AA221"/>
  <c r="AJ221" s="1"/>
  <c r="AA286"/>
  <c r="AJ286" s="1"/>
  <c r="AA318"/>
  <c r="AJ318" s="1"/>
  <c r="AA247"/>
  <c r="AJ247" s="1"/>
  <c r="AA299"/>
  <c r="AJ299" s="1"/>
  <c r="AA331"/>
  <c r="AJ331" s="1"/>
  <c r="AA368"/>
  <c r="AJ368" s="1"/>
  <c r="AA420"/>
  <c r="AJ420" s="1"/>
  <c r="AA375"/>
  <c r="AJ375" s="1"/>
  <c r="AA419"/>
  <c r="AJ419" s="1"/>
  <c r="X316"/>
  <c r="AG316" s="1"/>
  <c r="X95"/>
  <c r="AG95" s="1"/>
  <c r="X278"/>
  <c r="AG278" s="1"/>
  <c r="X12"/>
  <c r="AG12" s="1"/>
  <c r="AB392"/>
  <c r="AK392" s="1"/>
  <c r="X141"/>
  <c r="AG141" s="1"/>
  <c r="X265"/>
  <c r="AG265" s="1"/>
  <c r="AB325"/>
  <c r="AK325" s="1"/>
  <c r="Z214"/>
  <c r="AI214" s="1"/>
  <c r="Z48"/>
  <c r="AI48" s="1"/>
  <c r="Z370"/>
  <c r="AI370" s="1"/>
  <c r="X303"/>
  <c r="AG303" s="1"/>
  <c r="X18"/>
  <c r="AG18" s="1"/>
  <c r="X151"/>
  <c r="AG151" s="1"/>
  <c r="Z148"/>
  <c r="AI148" s="1"/>
  <c r="W262"/>
  <c r="AF262" s="1"/>
  <c r="Z68"/>
  <c r="AI68" s="1"/>
  <c r="AB9"/>
  <c r="AK9" s="1"/>
  <c r="Z160"/>
  <c r="AI160" s="1"/>
  <c r="AB378"/>
  <c r="AK378" s="1"/>
  <c r="W96"/>
  <c r="AF96" s="1"/>
  <c r="AA387"/>
  <c r="AJ387" s="1"/>
  <c r="AA400"/>
  <c r="AJ400" s="1"/>
  <c r="AA343"/>
  <c r="AJ343" s="1"/>
  <c r="AA279"/>
  <c r="AJ279" s="1"/>
  <c r="AA330"/>
  <c r="AJ330" s="1"/>
  <c r="AA266"/>
  <c r="AJ266" s="1"/>
  <c r="AA214"/>
  <c r="AJ214" s="1"/>
  <c r="AA173"/>
  <c r="AJ173" s="1"/>
  <c r="AA65"/>
  <c r="AJ65" s="1"/>
  <c r="AA43"/>
  <c r="AJ43" s="1"/>
  <c r="AA426"/>
  <c r="AJ426" s="1"/>
  <c r="AA305"/>
  <c r="AJ305" s="1"/>
  <c r="AA292"/>
  <c r="AJ292" s="1"/>
  <c r="AA176"/>
  <c r="AJ176" s="1"/>
  <c r="AA122"/>
  <c r="AJ122" s="1"/>
  <c r="AA84"/>
  <c r="AJ84" s="1"/>
  <c r="AA5"/>
  <c r="AJ5" s="1"/>
  <c r="Z315"/>
  <c r="AI315" s="1"/>
  <c r="Z60"/>
  <c r="AI60" s="1"/>
  <c r="Z211"/>
  <c r="AI211" s="1"/>
  <c r="Z30"/>
  <c r="AI30" s="1"/>
  <c r="W319"/>
  <c r="AF319" s="1"/>
  <c r="Z51"/>
  <c r="AI51" s="1"/>
  <c r="Z124"/>
  <c r="AI124" s="1"/>
  <c r="Z191"/>
  <c r="AI191" s="1"/>
  <c r="Z251"/>
  <c r="AI251" s="1"/>
  <c r="W354"/>
  <c r="AF354" s="1"/>
  <c r="W277"/>
  <c r="AF277" s="1"/>
  <c r="Z16"/>
  <c r="AI16" s="1"/>
  <c r="Z35"/>
  <c r="AI35" s="1"/>
  <c r="Z93"/>
  <c r="AI93" s="1"/>
  <c r="Z104"/>
  <c r="AI104" s="1"/>
  <c r="Z170"/>
  <c r="AI170" s="1"/>
  <c r="Z171"/>
  <c r="AI171" s="1"/>
  <c r="Z238"/>
  <c r="AI238" s="1"/>
  <c r="AB339"/>
  <c r="AK339" s="1"/>
  <c r="Z107"/>
  <c r="AI107" s="1"/>
  <c r="Z201"/>
  <c r="AI201" s="1"/>
  <c r="Z328"/>
  <c r="AI328" s="1"/>
  <c r="AB168"/>
  <c r="AK168" s="1"/>
  <c r="W190"/>
  <c r="AF190" s="1"/>
  <c r="W396"/>
  <c r="AF396" s="1"/>
  <c r="W125"/>
  <c r="AF125" s="1"/>
  <c r="Z32"/>
  <c r="AI32" s="1"/>
  <c r="Z109"/>
  <c r="AI109" s="1"/>
  <c r="Z194"/>
  <c r="AI194" s="1"/>
  <c r="Z114"/>
  <c r="AI114" s="1"/>
  <c r="Z383"/>
  <c r="AI383" s="1"/>
  <c r="W146"/>
  <c r="AF146" s="1"/>
  <c r="W60"/>
  <c r="AF60" s="1"/>
  <c r="Z19"/>
  <c r="AI19" s="1"/>
  <c r="Z77"/>
  <c r="AI77" s="1"/>
  <c r="Z84"/>
  <c r="AI84" s="1"/>
  <c r="Z147"/>
  <c r="AI147" s="1"/>
  <c r="Z145"/>
  <c r="AI145" s="1"/>
  <c r="Z235"/>
  <c r="AI235" s="1"/>
  <c r="AB182"/>
  <c r="AK182" s="1"/>
  <c r="Z49"/>
  <c r="AI49" s="1"/>
  <c r="Z125"/>
  <c r="AI125" s="1"/>
  <c r="Z264"/>
  <c r="AI264" s="1"/>
  <c r="AB40"/>
  <c r="AK40" s="1"/>
  <c r="W304"/>
  <c r="AF304" s="1"/>
  <c r="W19"/>
  <c r="AF19" s="1"/>
  <c r="W144"/>
  <c r="AF144" s="1"/>
  <c r="Z12"/>
  <c r="AI12" s="1"/>
  <c r="Z44"/>
  <c r="AI44" s="1"/>
  <c r="Z31"/>
  <c r="AI31" s="1"/>
  <c r="Z52"/>
  <c r="AI52" s="1"/>
  <c r="Z89"/>
  <c r="AI89" s="1"/>
  <c r="Z64"/>
  <c r="AI64" s="1"/>
  <c r="Z100"/>
  <c r="AI100" s="1"/>
  <c r="Z140"/>
  <c r="AI140" s="1"/>
  <c r="Z166"/>
  <c r="AI166" s="1"/>
  <c r="Z210"/>
  <c r="AI210" s="1"/>
  <c r="Z163"/>
  <c r="AI163" s="1"/>
  <c r="Z207"/>
  <c r="AI207" s="1"/>
  <c r="Z230"/>
  <c r="AI230" s="1"/>
  <c r="Z5"/>
  <c r="AI5" s="1"/>
  <c r="Z70"/>
  <c r="AI70" s="1"/>
  <c r="Z180"/>
  <c r="AI180" s="1"/>
  <c r="Z221"/>
  <c r="AI221" s="1"/>
  <c r="Z335"/>
  <c r="AI335" s="1"/>
  <c r="Z348"/>
  <c r="AI348" s="1"/>
  <c r="Z390"/>
  <c r="AI390" s="1"/>
  <c r="W423"/>
  <c r="AF423" s="1"/>
  <c r="W255"/>
  <c r="AF255" s="1"/>
  <c r="W211"/>
  <c r="AF211" s="1"/>
  <c r="W38"/>
  <c r="AF38" s="1"/>
  <c r="W341"/>
  <c r="AF341" s="1"/>
  <c r="W212"/>
  <c r="AF212" s="1"/>
  <c r="W61"/>
  <c r="AF61" s="1"/>
  <c r="X371"/>
  <c r="AG371" s="1"/>
  <c r="X232"/>
  <c r="AG232" s="1"/>
  <c r="X102"/>
  <c r="AG102" s="1"/>
  <c r="X382"/>
  <c r="AG382" s="1"/>
  <c r="X329"/>
  <c r="AG329" s="1"/>
  <c r="X172"/>
  <c r="AG172" s="1"/>
  <c r="Z266"/>
  <c r="AI266" s="1"/>
  <c r="Z28"/>
  <c r="AI28" s="1"/>
  <c r="Z15"/>
  <c r="AI15" s="1"/>
  <c r="Z47"/>
  <c r="AI47" s="1"/>
  <c r="Z73"/>
  <c r="AI73" s="1"/>
  <c r="Z105"/>
  <c r="AI105" s="1"/>
  <c r="Z80"/>
  <c r="AI80" s="1"/>
  <c r="Z120"/>
  <c r="AI120" s="1"/>
  <c r="Z139"/>
  <c r="AI139" s="1"/>
  <c r="Z186"/>
  <c r="AI186" s="1"/>
  <c r="Z137"/>
  <c r="AI137" s="1"/>
  <c r="Z187"/>
  <c r="AI187" s="1"/>
  <c r="Z227"/>
  <c r="AI227" s="1"/>
  <c r="Z63"/>
  <c r="AI63" s="1"/>
  <c r="Z134"/>
  <c r="AI134" s="1"/>
  <c r="Z157"/>
  <c r="AI157" s="1"/>
  <c r="Z271"/>
  <c r="AI271" s="1"/>
  <c r="Z284"/>
  <c r="AI284" s="1"/>
  <c r="Z403"/>
  <c r="AI403" s="1"/>
  <c r="U409"/>
  <c r="AD409" s="1"/>
  <c r="W374"/>
  <c r="AF374" s="1"/>
  <c r="W237"/>
  <c r="AF237" s="1"/>
  <c r="W103"/>
  <c r="AF103" s="1"/>
  <c r="W385"/>
  <c r="AF385" s="1"/>
  <c r="W326"/>
  <c r="AF326" s="1"/>
  <c r="W169"/>
  <c r="AF169" s="1"/>
  <c r="W41"/>
  <c r="AF41" s="1"/>
  <c r="X420"/>
  <c r="AG420" s="1"/>
  <c r="X252"/>
  <c r="AG252" s="1"/>
  <c r="X210"/>
  <c r="AG210" s="1"/>
  <c r="X37"/>
  <c r="AG37" s="1"/>
  <c r="X342"/>
  <c r="AG342" s="1"/>
  <c r="X215"/>
  <c r="AG215" s="1"/>
  <c r="X89"/>
  <c r="AG89" s="1"/>
  <c r="AA403"/>
  <c r="AJ403" s="1"/>
  <c r="AA371"/>
  <c r="AJ371" s="1"/>
  <c r="AA416"/>
  <c r="AJ416" s="1"/>
  <c r="AA384"/>
  <c r="AJ384" s="1"/>
  <c r="AA359"/>
  <c r="AJ359" s="1"/>
  <c r="AA327"/>
  <c r="AJ327" s="1"/>
  <c r="AA295"/>
  <c r="AJ295" s="1"/>
  <c r="AA263"/>
  <c r="AJ263" s="1"/>
  <c r="AA219"/>
  <c r="AJ219" s="1"/>
  <c r="AA314"/>
  <c r="AJ314" s="1"/>
  <c r="AA282"/>
  <c r="AJ282" s="1"/>
  <c r="AA250"/>
  <c r="AJ250" s="1"/>
  <c r="AA230"/>
  <c r="AJ230" s="1"/>
  <c r="AA182"/>
  <c r="AJ182" s="1"/>
  <c r="AA205"/>
  <c r="AJ205" s="1"/>
  <c r="AA134"/>
  <c r="AJ134" s="1"/>
  <c r="AA97"/>
  <c r="AJ97" s="1"/>
  <c r="AA90"/>
  <c r="AJ90" s="1"/>
  <c r="AA32"/>
  <c r="AJ32" s="1"/>
  <c r="AA11"/>
  <c r="AJ11" s="1"/>
  <c r="AA377"/>
  <c r="AJ377" s="1"/>
  <c r="AA394"/>
  <c r="AJ394" s="1"/>
  <c r="AA337"/>
  <c r="AJ337" s="1"/>
  <c r="AA273"/>
  <c r="AJ273" s="1"/>
  <c r="AA324"/>
  <c r="AJ324" s="1"/>
  <c r="AA260"/>
  <c r="AJ260" s="1"/>
  <c r="AA208"/>
  <c r="AJ208" s="1"/>
  <c r="AA136"/>
  <c r="AJ136" s="1"/>
  <c r="AA167"/>
  <c r="AJ167" s="1"/>
  <c r="AA123"/>
  <c r="AJ123" s="1"/>
  <c r="AA57"/>
  <c r="AJ57" s="1"/>
  <c r="AA58"/>
  <c r="AJ58" s="1"/>
  <c r="AA37"/>
  <c r="AJ37" s="1"/>
  <c r="X408"/>
  <c r="AG408" s="1"/>
  <c r="X423"/>
  <c r="AG423" s="1"/>
  <c r="X355"/>
  <c r="AG355" s="1"/>
  <c r="X304"/>
  <c r="AG304" s="1"/>
  <c r="X234"/>
  <c r="AG234" s="1"/>
  <c r="X291"/>
  <c r="AG291" s="1"/>
  <c r="X241"/>
  <c r="AG241" s="1"/>
  <c r="X177"/>
  <c r="AG177" s="1"/>
  <c r="X198"/>
  <c r="AG198" s="1"/>
  <c r="X117"/>
  <c r="AG117" s="1"/>
  <c r="X90"/>
  <c r="AG90" s="1"/>
  <c r="X83"/>
  <c r="AG83" s="1"/>
  <c r="X25"/>
  <c r="AG25" s="1"/>
  <c r="X6"/>
  <c r="AG6" s="1"/>
  <c r="X370"/>
  <c r="AG370" s="1"/>
  <c r="X385"/>
  <c r="AG385" s="1"/>
  <c r="X330"/>
  <c r="AG330" s="1"/>
  <c r="X266"/>
  <c r="AG266" s="1"/>
  <c r="X317"/>
  <c r="AG317" s="1"/>
  <c r="X253"/>
  <c r="AG253" s="1"/>
  <c r="X203"/>
  <c r="AG203" s="1"/>
  <c r="X127"/>
  <c r="AG127" s="1"/>
  <c r="X160"/>
  <c r="AG160" s="1"/>
  <c r="X116"/>
  <c r="AG116" s="1"/>
  <c r="X58"/>
  <c r="AG58" s="1"/>
  <c r="X376"/>
  <c r="AG376" s="1"/>
  <c r="X391"/>
  <c r="AG391" s="1"/>
  <c r="X336"/>
  <c r="AG336" s="1"/>
  <c r="X272"/>
  <c r="AG272" s="1"/>
  <c r="X323"/>
  <c r="AG323" s="1"/>
  <c r="X259"/>
  <c r="AG259" s="1"/>
  <c r="X209"/>
  <c r="AG209" s="1"/>
  <c r="X139"/>
  <c r="AG139" s="1"/>
  <c r="X166"/>
  <c r="AG166" s="1"/>
  <c r="X122"/>
  <c r="AG122" s="1"/>
  <c r="X56"/>
  <c r="AG56" s="1"/>
  <c r="X57"/>
  <c r="AG57" s="1"/>
  <c r="X38"/>
  <c r="AG38" s="1"/>
  <c r="X402"/>
  <c r="AG402" s="1"/>
  <c r="X417"/>
  <c r="AG417" s="1"/>
  <c r="X362"/>
  <c r="AG362" s="1"/>
  <c r="X298"/>
  <c r="AG298" s="1"/>
  <c r="X222"/>
  <c r="AG222" s="1"/>
  <c r="X285"/>
  <c r="AG285" s="1"/>
  <c r="X235"/>
  <c r="AG235" s="1"/>
  <c r="X171"/>
  <c r="AG171" s="1"/>
  <c r="X192"/>
  <c r="AG192" s="1"/>
  <c r="X148"/>
  <c r="AG148" s="1"/>
  <c r="X68"/>
  <c r="AG68" s="1"/>
  <c r="X48"/>
  <c r="AG48" s="1"/>
  <c r="AA423"/>
  <c r="AJ423" s="1"/>
  <c r="AA391"/>
  <c r="AJ391" s="1"/>
  <c r="AA358"/>
  <c r="AJ358" s="1"/>
  <c r="AA404"/>
  <c r="AJ404" s="1"/>
  <c r="AA372"/>
  <c r="AJ372" s="1"/>
  <c r="AA347"/>
  <c r="AJ347" s="1"/>
  <c r="AA315"/>
  <c r="AJ315" s="1"/>
  <c r="AA283"/>
  <c r="AJ283" s="1"/>
  <c r="AA251"/>
  <c r="AJ251" s="1"/>
  <c r="AA334"/>
  <c r="AJ334" s="1"/>
  <c r="AA302"/>
  <c r="AJ302" s="1"/>
  <c r="AA270"/>
  <c r="AJ270" s="1"/>
  <c r="AA229"/>
  <c r="AJ229" s="1"/>
  <c r="AA218"/>
  <c r="AJ218" s="1"/>
  <c r="AA166"/>
  <c r="AJ166" s="1"/>
  <c r="AA189"/>
  <c r="AJ189" s="1"/>
  <c r="AA145"/>
  <c r="AJ145" s="1"/>
  <c r="AA81"/>
  <c r="AJ81" s="1"/>
  <c r="AA74"/>
  <c r="AJ74" s="1"/>
  <c r="AA16"/>
  <c r="AJ16" s="1"/>
  <c r="AA425"/>
  <c r="AJ425" s="1"/>
  <c r="AA362"/>
  <c r="AJ362" s="1"/>
  <c r="AA378"/>
  <c r="AJ378" s="1"/>
  <c r="AA321"/>
  <c r="AJ321" s="1"/>
  <c r="AA257"/>
  <c r="AJ257" s="1"/>
  <c r="AA308"/>
  <c r="AJ308" s="1"/>
  <c r="AA241"/>
  <c r="AJ241" s="1"/>
  <c r="AA192"/>
  <c r="AJ192" s="1"/>
  <c r="AA215"/>
  <c r="AJ215" s="1"/>
  <c r="AA151"/>
  <c r="AJ151" s="1"/>
  <c r="AA107"/>
  <c r="AJ107" s="1"/>
  <c r="AA100"/>
  <c r="AJ100" s="1"/>
  <c r="AA42"/>
  <c r="AJ42" s="1"/>
  <c r="X388"/>
  <c r="AG388" s="1"/>
  <c r="X403"/>
  <c r="AG403" s="1"/>
  <c r="X348"/>
  <c r="AG348" s="1"/>
  <c r="X284"/>
  <c r="AG284" s="1"/>
  <c r="X335"/>
  <c r="AG335" s="1"/>
  <c r="X271"/>
  <c r="AG271" s="1"/>
  <c r="X221"/>
  <c r="AG221" s="1"/>
  <c r="X157"/>
  <c r="AG157" s="1"/>
  <c r="X178"/>
  <c r="AG178" s="1"/>
  <c r="X134"/>
  <c r="AG134" s="1"/>
  <c r="X70"/>
  <c r="AG70" s="1"/>
  <c r="X63"/>
  <c r="AG63" s="1"/>
  <c r="X5"/>
  <c r="AG5" s="1"/>
  <c r="X414"/>
  <c r="AG414" s="1"/>
  <c r="X429"/>
  <c r="AG429" s="1"/>
  <c r="X365"/>
  <c r="AG365" s="1"/>
  <c r="X310"/>
  <c r="AG310" s="1"/>
  <c r="X246"/>
  <c r="AG246" s="1"/>
  <c r="X297"/>
  <c r="AG297" s="1"/>
  <c r="X220"/>
  <c r="AG220" s="1"/>
  <c r="X183"/>
  <c r="AG183" s="1"/>
  <c r="X204"/>
  <c r="AG204" s="1"/>
  <c r="X129"/>
  <c r="AG129" s="1"/>
  <c r="X96"/>
  <c r="AG96" s="1"/>
  <c r="X31"/>
  <c r="AG31" s="1"/>
  <c r="AB38"/>
  <c r="AK38" s="1"/>
  <c r="AB166"/>
  <c r="AK166" s="1"/>
  <c r="AB357"/>
  <c r="AK357" s="1"/>
  <c r="AB8"/>
  <c r="AK8" s="1"/>
  <c r="AB293"/>
  <c r="AK293" s="1"/>
  <c r="U417"/>
  <c r="AD417" s="1"/>
  <c r="AB57"/>
  <c r="AK57" s="1"/>
  <c r="AB122"/>
  <c r="AK122" s="1"/>
  <c r="AB193"/>
  <c r="AK193" s="1"/>
  <c r="AB322"/>
  <c r="AK322" s="1"/>
  <c r="AB85"/>
  <c r="AK85" s="1"/>
  <c r="AB179"/>
  <c r="AK179" s="1"/>
  <c r="AB308"/>
  <c r="AK308" s="1"/>
  <c r="U401"/>
  <c r="AD401" s="1"/>
  <c r="X404"/>
  <c r="AG404" s="1"/>
  <c r="X372"/>
  <c r="AG372" s="1"/>
  <c r="X419"/>
  <c r="AG419" s="1"/>
  <c r="X387"/>
  <c r="AG387" s="1"/>
  <c r="X347"/>
  <c r="AG347" s="1"/>
  <c r="X332"/>
  <c r="AG332" s="1"/>
  <c r="X300"/>
  <c r="AG300" s="1"/>
  <c r="X268"/>
  <c r="AG268" s="1"/>
  <c r="X226"/>
  <c r="AG226" s="1"/>
  <c r="X319"/>
  <c r="AG319" s="1"/>
  <c r="X287"/>
  <c r="AG287" s="1"/>
  <c r="X255"/>
  <c r="AG255" s="1"/>
  <c r="X237"/>
  <c r="AG237" s="1"/>
  <c r="X205"/>
  <c r="AG205" s="1"/>
  <c r="X173"/>
  <c r="AG173" s="1"/>
  <c r="X131"/>
  <c r="AG131" s="1"/>
  <c r="X194"/>
  <c r="AG194" s="1"/>
  <c r="X162"/>
  <c r="AG162" s="1"/>
  <c r="X150"/>
  <c r="AG150" s="1"/>
  <c r="X118"/>
  <c r="AG118" s="1"/>
  <c r="X86"/>
  <c r="AG86" s="1"/>
  <c r="X111"/>
  <c r="AG111" s="1"/>
  <c r="X79"/>
  <c r="AG79" s="1"/>
  <c r="X53"/>
  <c r="AG53" s="1"/>
  <c r="X21"/>
  <c r="AG21" s="1"/>
  <c r="X34"/>
  <c r="AG34" s="1"/>
  <c r="X430"/>
  <c r="AG430" s="1"/>
  <c r="X398"/>
  <c r="AG398" s="1"/>
  <c r="X366"/>
  <c r="AG366" s="1"/>
  <c r="X413"/>
  <c r="AG413" s="1"/>
  <c r="X381"/>
  <c r="AG381" s="1"/>
  <c r="X358"/>
  <c r="AG358" s="1"/>
  <c r="X326"/>
  <c r="AG326" s="1"/>
  <c r="X294"/>
  <c r="AG294" s="1"/>
  <c r="X262"/>
  <c r="AG262" s="1"/>
  <c r="X345"/>
  <c r="AG345" s="1"/>
  <c r="X313"/>
  <c r="AG313" s="1"/>
  <c r="X281"/>
  <c r="AG281" s="1"/>
  <c r="X249"/>
  <c r="AG249" s="1"/>
  <c r="X231"/>
  <c r="AG231" s="1"/>
  <c r="X199"/>
  <c r="AG199" s="1"/>
  <c r="X167"/>
  <c r="AG167" s="1"/>
  <c r="X119"/>
  <c r="AG119" s="1"/>
  <c r="X188"/>
  <c r="AG188" s="1"/>
  <c r="X156"/>
  <c r="AG156" s="1"/>
  <c r="X144"/>
  <c r="AG144" s="1"/>
  <c r="X112"/>
  <c r="AG112" s="1"/>
  <c r="X64"/>
  <c r="AG64" s="1"/>
  <c r="X50"/>
  <c r="AG50" s="1"/>
  <c r="X44"/>
  <c r="AG44" s="1"/>
  <c r="AB56"/>
  <c r="AK56" s="1"/>
  <c r="AB307"/>
  <c r="AK307" s="1"/>
  <c r="AB121"/>
  <c r="AK121" s="1"/>
  <c r="AB427"/>
  <c r="AK427" s="1"/>
  <c r="U385"/>
  <c r="AD385" s="1"/>
  <c r="AB67"/>
  <c r="AK67" s="1"/>
  <c r="AB138"/>
  <c r="AK138" s="1"/>
  <c r="AB225"/>
  <c r="AK225" s="1"/>
  <c r="AB354"/>
  <c r="AK354" s="1"/>
  <c r="AB60"/>
  <c r="AK60" s="1"/>
  <c r="AB211"/>
  <c r="AK211" s="1"/>
  <c r="AB340"/>
  <c r="AK340" s="1"/>
  <c r="U425"/>
  <c r="AD425" s="1"/>
  <c r="U393"/>
  <c r="AD393" s="1"/>
  <c r="X424"/>
  <c r="AG424" s="1"/>
  <c r="X392"/>
  <c r="AG392" s="1"/>
  <c r="X357"/>
  <c r="AG357" s="1"/>
  <c r="X407"/>
  <c r="AG407" s="1"/>
  <c r="X375"/>
  <c r="AG375" s="1"/>
  <c r="X352"/>
  <c r="AG352" s="1"/>
  <c r="X320"/>
  <c r="AG320" s="1"/>
  <c r="X288"/>
  <c r="AG288" s="1"/>
  <c r="X256"/>
  <c r="AG256" s="1"/>
  <c r="X339"/>
  <c r="AG339" s="1"/>
  <c r="X307"/>
  <c r="AG307" s="1"/>
  <c r="X275"/>
  <c r="AG275" s="1"/>
  <c r="X240"/>
  <c r="AG240" s="1"/>
  <c r="X225"/>
  <c r="AG225" s="1"/>
  <c r="X193"/>
  <c r="AG193" s="1"/>
  <c r="X161"/>
  <c r="AG161" s="1"/>
  <c r="X214"/>
  <c r="AG214" s="1"/>
  <c r="X182"/>
  <c r="AG182" s="1"/>
  <c r="X149"/>
  <c r="AG149" s="1"/>
  <c r="X138"/>
  <c r="AG138" s="1"/>
  <c r="X106"/>
  <c r="AG106" s="1"/>
  <c r="X74"/>
  <c r="AG74" s="1"/>
  <c r="X99"/>
  <c r="AG99" s="1"/>
  <c r="X67"/>
  <c r="AG67" s="1"/>
  <c r="X41"/>
  <c r="AG41" s="1"/>
  <c r="X9"/>
  <c r="AG9" s="1"/>
  <c r="X22"/>
  <c r="AG22" s="1"/>
  <c r="X418"/>
  <c r="AG418" s="1"/>
  <c r="X386"/>
  <c r="AG386" s="1"/>
  <c r="X4"/>
  <c r="AG4" s="1"/>
  <c r="X401"/>
  <c r="AG401" s="1"/>
  <c r="X369"/>
  <c r="AG369" s="1"/>
  <c r="X346"/>
  <c r="AG346" s="1"/>
  <c r="X314"/>
  <c r="AG314" s="1"/>
  <c r="X282"/>
  <c r="AG282" s="1"/>
  <c r="X250"/>
  <c r="AG250" s="1"/>
  <c r="X333"/>
  <c r="AG333" s="1"/>
  <c r="X301"/>
  <c r="AG301" s="1"/>
  <c r="X269"/>
  <c r="AG269" s="1"/>
  <c r="X228"/>
  <c r="AG228" s="1"/>
  <c r="X219"/>
  <c r="AG219" s="1"/>
  <c r="X187"/>
  <c r="AG187" s="1"/>
  <c r="X155"/>
  <c r="AG155" s="1"/>
  <c r="X208"/>
  <c r="AG208" s="1"/>
  <c r="X176"/>
  <c r="AG176" s="1"/>
  <c r="X137"/>
  <c r="AG137" s="1"/>
  <c r="X132"/>
  <c r="AG132" s="1"/>
  <c r="X100"/>
  <c r="AG100" s="1"/>
  <c r="X93"/>
  <c r="AG93" s="1"/>
  <c r="X35"/>
  <c r="AG35" s="1"/>
  <c r="X16"/>
  <c r="AG16" s="1"/>
  <c r="W362"/>
  <c r="AF362" s="1"/>
  <c r="W323"/>
  <c r="AF323" s="1"/>
  <c r="W308"/>
  <c r="AF308" s="1"/>
  <c r="W194"/>
  <c r="AF194" s="1"/>
  <c r="W151"/>
  <c r="AF151" s="1"/>
  <c r="W100"/>
  <c r="AF100" s="1"/>
  <c r="W23"/>
  <c r="AF23" s="1"/>
  <c r="W400"/>
  <c r="AF400" s="1"/>
  <c r="W281"/>
  <c r="AF281" s="1"/>
  <c r="W266"/>
  <c r="AF266" s="1"/>
  <c r="W152"/>
  <c r="AF152" s="1"/>
  <c r="W129"/>
  <c r="AF129" s="1"/>
  <c r="W55"/>
  <c r="AF55" s="1"/>
  <c r="W391"/>
  <c r="AF391" s="1"/>
  <c r="W406"/>
  <c r="AF406" s="1"/>
  <c r="W351"/>
  <c r="AF351" s="1"/>
  <c r="W287"/>
  <c r="AF287" s="1"/>
  <c r="W336"/>
  <c r="AF336" s="1"/>
  <c r="W272"/>
  <c r="AF272" s="1"/>
  <c r="W222"/>
  <c r="AF222" s="1"/>
  <c r="W158"/>
  <c r="AF158" s="1"/>
  <c r="W179"/>
  <c r="AF179" s="1"/>
  <c r="W135"/>
  <c r="AF135" s="1"/>
  <c r="W71"/>
  <c r="AF71" s="1"/>
  <c r="W64"/>
  <c r="AF64" s="1"/>
  <c r="W6"/>
  <c r="AF6" s="1"/>
  <c r="W417"/>
  <c r="AF417" s="1"/>
  <c r="W428"/>
  <c r="AF428" s="1"/>
  <c r="W364"/>
  <c r="AF364" s="1"/>
  <c r="W309"/>
  <c r="AF309" s="1"/>
  <c r="W243"/>
  <c r="AF243" s="1"/>
  <c r="W294"/>
  <c r="AF294" s="1"/>
  <c r="W244"/>
  <c r="AF244" s="1"/>
  <c r="W180"/>
  <c r="AF180" s="1"/>
  <c r="W201"/>
  <c r="AF201" s="1"/>
  <c r="W126"/>
  <c r="AF126" s="1"/>
  <c r="W93"/>
  <c r="AF93" s="1"/>
  <c r="W86"/>
  <c r="AF86" s="1"/>
  <c r="W28"/>
  <c r="AF28" s="1"/>
  <c r="W29"/>
  <c r="AF29" s="1"/>
  <c r="W16"/>
  <c r="AF16" s="1"/>
  <c r="W48"/>
  <c r="AF48" s="1"/>
  <c r="W74"/>
  <c r="AF74" s="1"/>
  <c r="W106"/>
  <c r="AF106" s="1"/>
  <c r="W81"/>
  <c r="AF81" s="1"/>
  <c r="W113"/>
  <c r="AF113" s="1"/>
  <c r="W145"/>
  <c r="AF145" s="1"/>
  <c r="W157"/>
  <c r="AF157" s="1"/>
  <c r="W189"/>
  <c r="AF189" s="1"/>
  <c r="W120"/>
  <c r="AF120" s="1"/>
  <c r="W168"/>
  <c r="AF168" s="1"/>
  <c r="W200"/>
  <c r="AF200" s="1"/>
  <c r="W232"/>
  <c r="AF232" s="1"/>
  <c r="W250"/>
  <c r="AF250" s="1"/>
  <c r="W282"/>
  <c r="AF282" s="1"/>
  <c r="W314"/>
  <c r="AF314" s="1"/>
  <c r="W219"/>
  <c r="AF219" s="1"/>
  <c r="W265"/>
  <c r="AF265" s="1"/>
  <c r="W297"/>
  <c r="AF297" s="1"/>
  <c r="W329"/>
  <c r="AF329" s="1"/>
  <c r="W361"/>
  <c r="AF361" s="1"/>
  <c r="W384"/>
  <c r="AF384" s="1"/>
  <c r="W416"/>
  <c r="AF416" s="1"/>
  <c r="W373"/>
  <c r="AF373" s="1"/>
  <c r="W405"/>
  <c r="AF405" s="1"/>
  <c r="W7"/>
  <c r="AF7" s="1"/>
  <c r="W39"/>
  <c r="AF39" s="1"/>
  <c r="W26"/>
  <c r="AF26" s="1"/>
  <c r="W58"/>
  <c r="AF58" s="1"/>
  <c r="W84"/>
  <c r="AF84" s="1"/>
  <c r="W57"/>
  <c r="AF57" s="1"/>
  <c r="W91"/>
  <c r="AF91" s="1"/>
  <c r="W123"/>
  <c r="AF123" s="1"/>
  <c r="W122"/>
  <c r="AF122" s="1"/>
  <c r="W167"/>
  <c r="AF167" s="1"/>
  <c r="W199"/>
  <c r="AF199" s="1"/>
  <c r="W140"/>
  <c r="AF140" s="1"/>
  <c r="W178"/>
  <c r="AF178" s="1"/>
  <c r="W210"/>
  <c r="AF210" s="1"/>
  <c r="W242"/>
  <c r="AF242" s="1"/>
  <c r="W260"/>
  <c r="AF260" s="1"/>
  <c r="W292"/>
  <c r="AF292" s="1"/>
  <c r="W324"/>
  <c r="AF324" s="1"/>
  <c r="W239"/>
  <c r="AF239" s="1"/>
  <c r="W275"/>
  <c r="AF275" s="1"/>
  <c r="W307"/>
  <c r="AF307" s="1"/>
  <c r="W339"/>
  <c r="AF339" s="1"/>
  <c r="W360"/>
  <c r="AF360" s="1"/>
  <c r="W394"/>
  <c r="AF394" s="1"/>
  <c r="W426"/>
  <c r="AF426" s="1"/>
  <c r="W379"/>
  <c r="AF379" s="1"/>
  <c r="W411"/>
  <c r="AF411" s="1"/>
  <c r="W25"/>
  <c r="AF25" s="1"/>
  <c r="W12"/>
  <c r="AF12" s="1"/>
  <c r="W44"/>
  <c r="AF44" s="1"/>
  <c r="W70"/>
  <c r="AF70" s="1"/>
  <c r="W102"/>
  <c r="AF102" s="1"/>
  <c r="W77"/>
  <c r="AF77" s="1"/>
  <c r="W109"/>
  <c r="AF109" s="1"/>
  <c r="W141"/>
  <c r="AF141" s="1"/>
  <c r="W153"/>
  <c r="AF153" s="1"/>
  <c r="W185"/>
  <c r="AF185" s="1"/>
  <c r="W217"/>
  <c r="AF217" s="1"/>
  <c r="W164"/>
  <c r="AF164" s="1"/>
  <c r="W196"/>
  <c r="AF196" s="1"/>
  <c r="W228"/>
  <c r="AF228" s="1"/>
  <c r="W246"/>
  <c r="AF246" s="1"/>
  <c r="W278"/>
  <c r="AF278" s="1"/>
  <c r="W310"/>
  <c r="AF310" s="1"/>
  <c r="W342"/>
  <c r="AF342" s="1"/>
  <c r="W261"/>
  <c r="AF261" s="1"/>
  <c r="W293"/>
  <c r="AF293" s="1"/>
  <c r="W325"/>
  <c r="AF325" s="1"/>
  <c r="W357"/>
  <c r="AF357" s="1"/>
  <c r="W380"/>
  <c r="AF380" s="1"/>
  <c r="W412"/>
  <c r="AF412" s="1"/>
  <c r="W369"/>
  <c r="AF369" s="1"/>
  <c r="W401"/>
  <c r="AF401" s="1"/>
  <c r="W4"/>
  <c r="AF4" s="1"/>
  <c r="W35"/>
  <c r="AF35" s="1"/>
  <c r="W22"/>
  <c r="AF22" s="1"/>
  <c r="W54"/>
  <c r="AF54" s="1"/>
  <c r="W80"/>
  <c r="AF80" s="1"/>
  <c r="W112"/>
  <c r="AF112" s="1"/>
  <c r="W87"/>
  <c r="AF87" s="1"/>
  <c r="W119"/>
  <c r="AF119" s="1"/>
  <c r="W114"/>
  <c r="AF114" s="1"/>
  <c r="W163"/>
  <c r="AF163" s="1"/>
  <c r="W195"/>
  <c r="AF195" s="1"/>
  <c r="W132"/>
  <c r="AF132" s="1"/>
  <c r="W174"/>
  <c r="AF174" s="1"/>
  <c r="W206"/>
  <c r="AF206" s="1"/>
  <c r="W238"/>
  <c r="AF238" s="1"/>
  <c r="W256"/>
  <c r="AF256" s="1"/>
  <c r="W288"/>
  <c r="AF288" s="1"/>
  <c r="W320"/>
  <c r="AF320" s="1"/>
  <c r="W231"/>
  <c r="AF231" s="1"/>
  <c r="W271"/>
  <c r="AF271" s="1"/>
  <c r="W303"/>
  <c r="AF303" s="1"/>
  <c r="W335"/>
  <c r="AF335" s="1"/>
  <c r="W352"/>
  <c r="AF352" s="1"/>
  <c r="W390"/>
  <c r="AF390" s="1"/>
  <c r="W422"/>
  <c r="AF422" s="1"/>
  <c r="W375"/>
  <c r="AF375" s="1"/>
  <c r="W407"/>
  <c r="AF407" s="1"/>
  <c r="AA17"/>
  <c r="AJ17" s="1"/>
  <c r="AA33"/>
  <c r="AJ33" s="1"/>
  <c r="AA6"/>
  <c r="AJ6" s="1"/>
  <c r="AA22"/>
  <c r="AJ22" s="1"/>
  <c r="AA38"/>
  <c r="AJ38" s="1"/>
  <c r="AA54"/>
  <c r="AJ54" s="1"/>
  <c r="AA64"/>
  <c r="AJ64" s="1"/>
  <c r="AA80"/>
  <c r="AJ80" s="1"/>
  <c r="AA96"/>
  <c r="AJ96" s="1"/>
  <c r="AA49"/>
  <c r="AJ49" s="1"/>
  <c r="AA71"/>
  <c r="AJ71" s="1"/>
  <c r="AA87"/>
  <c r="AJ87" s="1"/>
  <c r="AA103"/>
  <c r="AJ103" s="1"/>
  <c r="AA119"/>
  <c r="AJ119" s="1"/>
  <c r="AA135"/>
  <c r="AJ135" s="1"/>
  <c r="AA114"/>
  <c r="AJ114" s="1"/>
  <c r="AA146"/>
  <c r="AJ146" s="1"/>
  <c r="AA163"/>
  <c r="AJ163" s="1"/>
  <c r="AA179"/>
  <c r="AJ179" s="1"/>
  <c r="AA195"/>
  <c r="AJ195" s="1"/>
  <c r="AA211"/>
  <c r="AJ211" s="1"/>
  <c r="AA128"/>
  <c r="AJ128" s="1"/>
  <c r="AA156"/>
  <c r="AJ156" s="1"/>
  <c r="AA172"/>
  <c r="AJ172" s="1"/>
  <c r="AA188"/>
  <c r="AJ188" s="1"/>
  <c r="AA204"/>
  <c r="AJ204" s="1"/>
  <c r="AA220"/>
  <c r="AJ220" s="1"/>
  <c r="AA236"/>
  <c r="AJ236" s="1"/>
  <c r="AA233"/>
  <c r="AJ233" s="1"/>
  <c r="AA256"/>
  <c r="AJ256" s="1"/>
  <c r="AA272"/>
  <c r="AJ272" s="1"/>
  <c r="AA288"/>
  <c r="AJ288" s="1"/>
  <c r="AA304"/>
  <c r="AJ304" s="1"/>
  <c r="AA320"/>
  <c r="AJ320" s="1"/>
  <c r="AA336"/>
  <c r="AJ336" s="1"/>
  <c r="AA231"/>
  <c r="AJ231" s="1"/>
  <c r="AA253"/>
  <c r="AJ253" s="1"/>
  <c r="AA269"/>
  <c r="AJ269" s="1"/>
  <c r="AA285"/>
  <c r="AJ285" s="1"/>
  <c r="AA301"/>
  <c r="AJ301" s="1"/>
  <c r="AA317"/>
  <c r="AJ317" s="1"/>
  <c r="AA333"/>
  <c r="AJ333" s="1"/>
  <c r="AA349"/>
  <c r="AJ349" s="1"/>
  <c r="AA352"/>
  <c r="AJ352" s="1"/>
  <c r="AA374"/>
  <c r="AJ374" s="1"/>
  <c r="AA390"/>
  <c r="AJ390" s="1"/>
  <c r="AA406"/>
  <c r="AJ406" s="1"/>
  <c r="AA422"/>
  <c r="AJ422" s="1"/>
  <c r="AA354"/>
  <c r="AJ354" s="1"/>
  <c r="AA373"/>
  <c r="AJ373" s="1"/>
  <c r="AA389"/>
  <c r="AJ389" s="1"/>
  <c r="AA405"/>
  <c r="AJ405" s="1"/>
  <c r="AA421"/>
  <c r="AJ421" s="1"/>
  <c r="AA7"/>
  <c r="AJ7" s="1"/>
  <c r="AA23"/>
  <c r="AJ23" s="1"/>
  <c r="AA39"/>
  <c r="AJ39" s="1"/>
  <c r="AA12"/>
  <c r="AJ12" s="1"/>
  <c r="AA28"/>
  <c r="AJ28" s="1"/>
  <c r="AA44"/>
  <c r="AJ44" s="1"/>
  <c r="AA60"/>
  <c r="AJ60" s="1"/>
  <c r="AA70"/>
  <c r="AJ70" s="1"/>
  <c r="AA86"/>
  <c r="AJ86" s="1"/>
  <c r="AA102"/>
  <c r="AJ102" s="1"/>
  <c r="AA61"/>
  <c r="AJ61" s="1"/>
  <c r="AA77"/>
  <c r="AJ77" s="1"/>
  <c r="AA93"/>
  <c r="AJ93" s="1"/>
  <c r="AA109"/>
  <c r="AJ109" s="1"/>
  <c r="AA125"/>
  <c r="AJ125" s="1"/>
  <c r="AA141"/>
  <c r="AJ141" s="1"/>
  <c r="AA126"/>
  <c r="AJ126" s="1"/>
  <c r="AA153"/>
  <c r="AJ153" s="1"/>
  <c r="AA169"/>
  <c r="AJ169" s="1"/>
  <c r="AA185"/>
  <c r="AJ185" s="1"/>
  <c r="AA201"/>
  <c r="AJ201" s="1"/>
  <c r="AA217"/>
  <c r="AJ217" s="1"/>
  <c r="AA140"/>
  <c r="AJ140" s="1"/>
  <c r="AA162"/>
  <c r="AJ162" s="1"/>
  <c r="AA178"/>
  <c r="AJ178" s="1"/>
  <c r="AA194"/>
  <c r="AJ194" s="1"/>
  <c r="AA210"/>
  <c r="AJ210" s="1"/>
  <c r="AA226"/>
  <c r="AJ226" s="1"/>
  <c r="AA242"/>
  <c r="AJ242" s="1"/>
  <c r="AA246"/>
  <c r="AJ246" s="1"/>
  <c r="AA262"/>
  <c r="AJ262" s="1"/>
  <c r="AA278"/>
  <c r="AJ278" s="1"/>
  <c r="AA294"/>
  <c r="AJ294" s="1"/>
  <c r="AA310"/>
  <c r="AJ310" s="1"/>
  <c r="AA326"/>
  <c r="AJ326" s="1"/>
  <c r="AA342"/>
  <c r="AJ342" s="1"/>
  <c r="AA243"/>
  <c r="AJ243" s="1"/>
  <c r="AA259"/>
  <c r="AJ259" s="1"/>
  <c r="AA275"/>
  <c r="AJ275" s="1"/>
  <c r="AA291"/>
  <c r="AJ291" s="1"/>
  <c r="AA307"/>
  <c r="AJ307" s="1"/>
  <c r="AA323"/>
  <c r="AJ323" s="1"/>
  <c r="AA339"/>
  <c r="AJ339" s="1"/>
  <c r="AA355"/>
  <c r="AJ355" s="1"/>
  <c r="AA364"/>
  <c r="AJ364" s="1"/>
  <c r="AA380"/>
  <c r="AJ380" s="1"/>
  <c r="AA396"/>
  <c r="AJ396" s="1"/>
  <c r="AA412"/>
  <c r="AJ412" s="1"/>
  <c r="AA428"/>
  <c r="AJ428" s="1"/>
  <c r="AA367"/>
  <c r="AJ367" s="1"/>
  <c r="AA383"/>
  <c r="AJ383" s="1"/>
  <c r="AA399"/>
  <c r="AJ399" s="1"/>
  <c r="AA415"/>
  <c r="AJ415" s="1"/>
  <c r="AA431"/>
  <c r="AJ431" s="1"/>
  <c r="AA25"/>
  <c r="AJ25" s="1"/>
  <c r="AA14"/>
  <c r="AJ14" s="1"/>
  <c r="AA46"/>
  <c r="AJ46" s="1"/>
  <c r="AA72"/>
  <c r="AJ72" s="1"/>
  <c r="AA104"/>
  <c r="AJ104" s="1"/>
  <c r="AA79"/>
  <c r="AJ79" s="1"/>
  <c r="AA111"/>
  <c r="AJ111" s="1"/>
  <c r="AA143"/>
  <c r="AJ143" s="1"/>
  <c r="AA155"/>
  <c r="AJ155" s="1"/>
  <c r="AA187"/>
  <c r="AJ187" s="1"/>
  <c r="AA112"/>
  <c r="AJ112" s="1"/>
  <c r="AA164"/>
  <c r="AJ164" s="1"/>
  <c r="AA196"/>
  <c r="AJ196" s="1"/>
  <c r="AA228"/>
  <c r="AJ228" s="1"/>
  <c r="AA248"/>
  <c r="AJ248" s="1"/>
  <c r="AA280"/>
  <c r="AJ280" s="1"/>
  <c r="AA312"/>
  <c r="AJ312" s="1"/>
  <c r="AA344"/>
  <c r="AJ344" s="1"/>
  <c r="AA245"/>
  <c r="AJ245" s="1"/>
  <c r="AA277"/>
  <c r="AJ277" s="1"/>
  <c r="AA309"/>
  <c r="AJ309" s="1"/>
  <c r="AA341"/>
  <c r="AJ341" s="1"/>
  <c r="AA366"/>
  <c r="AJ366" s="1"/>
  <c r="AA398"/>
  <c r="AJ398" s="1"/>
  <c r="AA430"/>
  <c r="AJ430" s="1"/>
  <c r="AA381"/>
  <c r="AJ381" s="1"/>
  <c r="AA413"/>
  <c r="AJ413" s="1"/>
  <c r="AA15"/>
  <c r="AJ15" s="1"/>
  <c r="AA47"/>
  <c r="AJ47" s="1"/>
  <c r="AA36"/>
  <c r="AJ36" s="1"/>
  <c r="AA62"/>
  <c r="AJ62" s="1"/>
  <c r="AA94"/>
  <c r="AJ94" s="1"/>
  <c r="AA69"/>
  <c r="AJ69" s="1"/>
  <c r="AA101"/>
  <c r="AJ101" s="1"/>
  <c r="AA133"/>
  <c r="AJ133" s="1"/>
  <c r="AA142"/>
  <c r="AJ142" s="1"/>
  <c r="AA177"/>
  <c r="AJ177" s="1"/>
  <c r="AA209"/>
  <c r="AJ209" s="1"/>
  <c r="AA154"/>
  <c r="AJ154" s="1"/>
  <c r="AA186"/>
  <c r="AJ186" s="1"/>
  <c r="AA13"/>
  <c r="AJ13" s="1"/>
  <c r="AA29"/>
  <c r="AJ29" s="1"/>
  <c r="AA45"/>
  <c r="AJ45" s="1"/>
  <c r="AA18"/>
  <c r="AJ18" s="1"/>
  <c r="AA34"/>
  <c r="AJ34" s="1"/>
  <c r="AA50"/>
  <c r="AJ50" s="1"/>
  <c r="AA59"/>
  <c r="AJ59" s="1"/>
  <c r="AA76"/>
  <c r="AJ76" s="1"/>
  <c r="AA92"/>
  <c r="AJ92" s="1"/>
  <c r="AA108"/>
  <c r="AJ108" s="1"/>
  <c r="AA67"/>
  <c r="AJ67" s="1"/>
  <c r="AA83"/>
  <c r="AJ83" s="1"/>
  <c r="AA99"/>
  <c r="AJ99" s="1"/>
  <c r="AA115"/>
  <c r="AJ115" s="1"/>
  <c r="AA131"/>
  <c r="AJ131" s="1"/>
  <c r="AA147"/>
  <c r="AJ147" s="1"/>
  <c r="AA138"/>
  <c r="AJ138" s="1"/>
  <c r="AA159"/>
  <c r="AJ159" s="1"/>
  <c r="AA175"/>
  <c r="AJ175" s="1"/>
  <c r="AA191"/>
  <c r="AJ191" s="1"/>
  <c r="AA207"/>
  <c r="AJ207" s="1"/>
  <c r="AA120"/>
  <c r="AJ120" s="1"/>
  <c r="AA152"/>
  <c r="AJ152" s="1"/>
  <c r="AA168"/>
  <c r="AJ168" s="1"/>
  <c r="AA184"/>
  <c r="AJ184" s="1"/>
  <c r="AA200"/>
  <c r="AJ200" s="1"/>
  <c r="AA216"/>
  <c r="AJ216" s="1"/>
  <c r="AA232"/>
  <c r="AJ232" s="1"/>
  <c r="AA225"/>
  <c r="AJ225" s="1"/>
  <c r="AA252"/>
  <c r="AJ252" s="1"/>
  <c r="AA268"/>
  <c r="AJ268" s="1"/>
  <c r="AA284"/>
  <c r="AJ284" s="1"/>
  <c r="AA300"/>
  <c r="AJ300" s="1"/>
  <c r="AA316"/>
  <c r="AJ316" s="1"/>
  <c r="AA332"/>
  <c r="AJ332" s="1"/>
  <c r="AA223"/>
  <c r="AJ223" s="1"/>
  <c r="AA249"/>
  <c r="AJ249" s="1"/>
  <c r="AA265"/>
  <c r="AJ265" s="1"/>
  <c r="AA281"/>
  <c r="AJ281" s="1"/>
  <c r="AA297"/>
  <c r="AJ297" s="1"/>
  <c r="AA313"/>
  <c r="AJ313" s="1"/>
  <c r="AA329"/>
  <c r="AJ329" s="1"/>
  <c r="AA345"/>
  <c r="AJ345" s="1"/>
  <c r="AA361"/>
  <c r="AJ361" s="1"/>
  <c r="AA370"/>
  <c r="AJ370" s="1"/>
  <c r="AA386"/>
  <c r="AJ386" s="1"/>
  <c r="AA402"/>
  <c r="AJ402" s="1"/>
  <c r="AA418"/>
  <c r="AJ418" s="1"/>
  <c r="AA346"/>
  <c r="AJ346" s="1"/>
  <c r="AA369"/>
  <c r="AJ369" s="1"/>
  <c r="AA385"/>
  <c r="AJ385" s="1"/>
  <c r="AA401"/>
  <c r="AJ401" s="1"/>
  <c r="AA417"/>
  <c r="AJ417" s="1"/>
  <c r="AA4"/>
  <c r="AJ4" s="1"/>
  <c r="AA19"/>
  <c r="AJ19" s="1"/>
  <c r="AA35"/>
  <c r="AJ35" s="1"/>
  <c r="AA8"/>
  <c r="AJ8" s="1"/>
  <c r="AA24"/>
  <c r="AJ24" s="1"/>
  <c r="AA40"/>
  <c r="AJ40" s="1"/>
  <c r="AA56"/>
  <c r="AJ56" s="1"/>
  <c r="AA66"/>
  <c r="AJ66" s="1"/>
  <c r="AA82"/>
  <c r="AJ82" s="1"/>
  <c r="AA98"/>
  <c r="AJ98" s="1"/>
  <c r="AA53"/>
  <c r="AJ53" s="1"/>
  <c r="AA73"/>
  <c r="AJ73" s="1"/>
  <c r="AA89"/>
  <c r="AJ89" s="1"/>
  <c r="AA105"/>
  <c r="AJ105" s="1"/>
  <c r="AA121"/>
  <c r="AJ121" s="1"/>
  <c r="AA137"/>
  <c r="AJ137" s="1"/>
  <c r="AA118"/>
  <c r="AJ118" s="1"/>
  <c r="AA150"/>
  <c r="AJ150" s="1"/>
  <c r="AA165"/>
  <c r="AJ165" s="1"/>
  <c r="AA181"/>
  <c r="AJ181" s="1"/>
  <c r="AA197"/>
  <c r="AJ197" s="1"/>
  <c r="AA213"/>
  <c r="AJ213" s="1"/>
  <c r="AA132"/>
  <c r="AJ132" s="1"/>
  <c r="AA158"/>
  <c r="AJ158" s="1"/>
  <c r="AA174"/>
  <c r="AJ174" s="1"/>
  <c r="AA190"/>
  <c r="AJ190" s="1"/>
  <c r="AA206"/>
  <c r="AJ206" s="1"/>
  <c r="AA222"/>
  <c r="AJ222" s="1"/>
  <c r="AA238"/>
  <c r="AJ238" s="1"/>
  <c r="AA237"/>
  <c r="AJ237" s="1"/>
  <c r="AA258"/>
  <c r="AJ258" s="1"/>
  <c r="AA274"/>
  <c r="AJ274" s="1"/>
  <c r="AA290"/>
  <c r="AJ290" s="1"/>
  <c r="AA306"/>
  <c r="AJ306" s="1"/>
  <c r="AA322"/>
  <c r="AJ322" s="1"/>
  <c r="AA338"/>
  <c r="AJ338" s="1"/>
  <c r="AA235"/>
  <c r="AJ235" s="1"/>
  <c r="AA255"/>
  <c r="AJ255" s="1"/>
  <c r="AA271"/>
  <c r="AJ271" s="1"/>
  <c r="AA287"/>
  <c r="AJ287" s="1"/>
  <c r="AA303"/>
  <c r="AJ303" s="1"/>
  <c r="AA319"/>
  <c r="AJ319" s="1"/>
  <c r="AA335"/>
  <c r="AJ335" s="1"/>
  <c r="AA351"/>
  <c r="AJ351" s="1"/>
  <c r="AA356"/>
  <c r="AJ356" s="1"/>
  <c r="AA376"/>
  <c r="AJ376" s="1"/>
  <c r="AA392"/>
  <c r="AJ392" s="1"/>
  <c r="AA408"/>
  <c r="AJ408" s="1"/>
  <c r="AA424"/>
  <c r="AJ424" s="1"/>
  <c r="AA363"/>
  <c r="AJ363" s="1"/>
  <c r="AA379"/>
  <c r="AJ379" s="1"/>
  <c r="AA395"/>
  <c r="AJ395" s="1"/>
  <c r="AA411"/>
  <c r="AJ411" s="1"/>
  <c r="AA427"/>
  <c r="AJ427" s="1"/>
  <c r="AA9"/>
  <c r="AJ9" s="1"/>
  <c r="AA41"/>
  <c r="AJ41" s="1"/>
  <c r="AA30"/>
  <c r="AJ30" s="1"/>
  <c r="AA51"/>
  <c r="AJ51" s="1"/>
  <c r="AA88"/>
  <c r="AJ88" s="1"/>
  <c r="AA63"/>
  <c r="AJ63" s="1"/>
  <c r="AA95"/>
  <c r="AJ95" s="1"/>
  <c r="AA127"/>
  <c r="AJ127" s="1"/>
  <c r="AA130"/>
  <c r="AJ130" s="1"/>
  <c r="AA171"/>
  <c r="AJ171" s="1"/>
  <c r="AA203"/>
  <c r="AJ203" s="1"/>
  <c r="AA144"/>
  <c r="AJ144" s="1"/>
  <c r="AA180"/>
  <c r="AJ180" s="1"/>
  <c r="AA212"/>
  <c r="AJ212" s="1"/>
  <c r="AA244"/>
  <c r="AJ244" s="1"/>
  <c r="AA264"/>
  <c r="AJ264" s="1"/>
  <c r="AA296"/>
  <c r="AJ296" s="1"/>
  <c r="AA328"/>
  <c r="AJ328" s="1"/>
  <c r="AA261"/>
  <c r="AJ261" s="1"/>
  <c r="AA293"/>
  <c r="AJ293" s="1"/>
  <c r="AA325"/>
  <c r="AJ325" s="1"/>
  <c r="AA357"/>
  <c r="AJ357" s="1"/>
  <c r="AA382"/>
  <c r="AJ382" s="1"/>
  <c r="AA414"/>
  <c r="AJ414" s="1"/>
  <c r="AA365"/>
  <c r="AJ365" s="1"/>
  <c r="AA397"/>
  <c r="AJ397" s="1"/>
  <c r="AA429"/>
  <c r="AJ429" s="1"/>
  <c r="AA31"/>
  <c r="AJ31" s="1"/>
  <c r="AA20"/>
  <c r="AJ20" s="1"/>
  <c r="AA52"/>
  <c r="AJ52" s="1"/>
  <c r="AA78"/>
  <c r="AJ78" s="1"/>
  <c r="AA110"/>
  <c r="AJ110" s="1"/>
  <c r="AA85"/>
  <c r="AJ85" s="1"/>
  <c r="AA117"/>
  <c r="AJ117" s="1"/>
  <c r="AA149"/>
  <c r="AJ149" s="1"/>
  <c r="AA161"/>
  <c r="AJ161" s="1"/>
  <c r="AA193"/>
  <c r="AJ193" s="1"/>
  <c r="AA124"/>
  <c r="AJ124" s="1"/>
  <c r="AA170"/>
  <c r="AJ170" s="1"/>
  <c r="AA202"/>
  <c r="AJ202" s="1"/>
  <c r="W427"/>
  <c r="AF427" s="1"/>
  <c r="W378"/>
  <c r="AF378" s="1"/>
  <c r="W259"/>
  <c r="AF259" s="1"/>
  <c r="W245"/>
  <c r="AF245" s="1"/>
  <c r="W215"/>
  <c r="AF215" s="1"/>
  <c r="W107"/>
  <c r="AF107" s="1"/>
  <c r="W42"/>
  <c r="AF42" s="1"/>
  <c r="W389"/>
  <c r="AF389" s="1"/>
  <c r="W345"/>
  <c r="AF345" s="1"/>
  <c r="W330"/>
  <c r="AF330" s="1"/>
  <c r="W216"/>
  <c r="AF216" s="1"/>
  <c r="W173"/>
  <c r="AF173" s="1"/>
  <c r="W65"/>
  <c r="AF65" s="1"/>
  <c r="W45"/>
  <c r="AF45" s="1"/>
  <c r="W395"/>
  <c r="AF395" s="1"/>
  <c r="W410"/>
  <c r="AF410" s="1"/>
  <c r="W355"/>
  <c r="AF355" s="1"/>
  <c r="W291"/>
  <c r="AF291" s="1"/>
  <c r="W340"/>
  <c r="AF340" s="1"/>
  <c r="W276"/>
  <c r="AF276" s="1"/>
  <c r="W226"/>
  <c r="AF226" s="1"/>
  <c r="W162"/>
  <c r="AF162" s="1"/>
  <c r="W183"/>
  <c r="AF183" s="1"/>
  <c r="W139"/>
  <c r="AF139" s="1"/>
  <c r="W75"/>
  <c r="AF75" s="1"/>
  <c r="W68"/>
  <c r="AF68" s="1"/>
  <c r="W10"/>
  <c r="AF10" s="1"/>
  <c r="W421"/>
  <c r="AF421" s="1"/>
  <c r="W350"/>
  <c r="AF350" s="1"/>
  <c r="W368"/>
  <c r="AF368" s="1"/>
  <c r="W313"/>
  <c r="AF313" s="1"/>
  <c r="W249"/>
  <c r="AF249" s="1"/>
  <c r="W298"/>
  <c r="AF298" s="1"/>
  <c r="W225"/>
  <c r="AF225" s="1"/>
  <c r="W184"/>
  <c r="AF184" s="1"/>
  <c r="W205"/>
  <c r="AF205" s="1"/>
  <c r="W134"/>
  <c r="AF134" s="1"/>
  <c r="W97"/>
  <c r="AF97" s="1"/>
  <c r="W90"/>
  <c r="AF90" s="1"/>
  <c r="W32"/>
  <c r="AF32" s="1"/>
  <c r="W13"/>
  <c r="AF13" s="1"/>
  <c r="Z333"/>
  <c r="AI333" s="1"/>
  <c r="Z24"/>
  <c r="AI24" s="1"/>
  <c r="Z40"/>
  <c r="AI40" s="1"/>
  <c r="Z11"/>
  <c r="AI11" s="1"/>
  <c r="Z27"/>
  <c r="AI27" s="1"/>
  <c r="Z43"/>
  <c r="AI43" s="1"/>
  <c r="Z59"/>
  <c r="AI59" s="1"/>
  <c r="Z69"/>
  <c r="AI69" s="1"/>
  <c r="Z85"/>
  <c r="AI85" s="1"/>
  <c r="Z101"/>
  <c r="AI101" s="1"/>
  <c r="Z58"/>
  <c r="AI58" s="1"/>
  <c r="Z76"/>
  <c r="AI76" s="1"/>
  <c r="Z92"/>
  <c r="AI92" s="1"/>
  <c r="Z116"/>
  <c r="AI116" s="1"/>
  <c r="Z136"/>
  <c r="AI136" s="1"/>
  <c r="Z123"/>
  <c r="AI123" s="1"/>
  <c r="Z162"/>
  <c r="AI162" s="1"/>
  <c r="Z182"/>
  <c r="AI182" s="1"/>
  <c r="Z202"/>
  <c r="AI202" s="1"/>
  <c r="Z129"/>
  <c r="AI129" s="1"/>
  <c r="Z159"/>
  <c r="AI159" s="1"/>
  <c r="Z179"/>
  <c r="AI179" s="1"/>
  <c r="Z203"/>
  <c r="AI203" s="1"/>
  <c r="Z223"/>
  <c r="AI223" s="1"/>
  <c r="Z243"/>
  <c r="AI243" s="1"/>
  <c r="AB22"/>
  <c r="AK22" s="1"/>
  <c r="AB41"/>
  <c r="AK41" s="1"/>
  <c r="AB99"/>
  <c r="AK99" s="1"/>
  <c r="AB106"/>
  <c r="AK106" s="1"/>
  <c r="AB149"/>
  <c r="AK149" s="1"/>
  <c r="AB161"/>
  <c r="AK161" s="1"/>
  <c r="AB275"/>
  <c r="AK275" s="1"/>
  <c r="AB290"/>
  <c r="AK290" s="1"/>
  <c r="AB409"/>
  <c r="AK409" s="1"/>
  <c r="Z18"/>
  <c r="AI18" s="1"/>
  <c r="Z37"/>
  <c r="AI37" s="1"/>
  <c r="Z95"/>
  <c r="AI95" s="1"/>
  <c r="Z102"/>
  <c r="AI102" s="1"/>
  <c r="Z143"/>
  <c r="AI143" s="1"/>
  <c r="Z212"/>
  <c r="AI212" s="1"/>
  <c r="Z189"/>
  <c r="AI189" s="1"/>
  <c r="Z234"/>
  <c r="AI234" s="1"/>
  <c r="Z303"/>
  <c r="AI303" s="1"/>
  <c r="Z252"/>
  <c r="AI252" s="1"/>
  <c r="Z316"/>
  <c r="AI316" s="1"/>
  <c r="Z371"/>
  <c r="AI371" s="1"/>
  <c r="Z351"/>
  <c r="AI351" s="1"/>
  <c r="Z422"/>
  <c r="AI422" s="1"/>
  <c r="AB59"/>
  <c r="AK59" s="1"/>
  <c r="AB124"/>
  <c r="AK124" s="1"/>
  <c r="AB143"/>
  <c r="AK143" s="1"/>
  <c r="AB261"/>
  <c r="AK261" s="1"/>
  <c r="AB276"/>
  <c r="AK276" s="1"/>
  <c r="AB395"/>
  <c r="AK395" s="1"/>
  <c r="Z417"/>
  <c r="AI417" s="1"/>
  <c r="Z389"/>
  <c r="AI389" s="1"/>
  <c r="Z20"/>
  <c r="AI20" s="1"/>
  <c r="Z36"/>
  <c r="AI36" s="1"/>
  <c r="Z7"/>
  <c r="AI7" s="1"/>
  <c r="Z23"/>
  <c r="AI23" s="1"/>
  <c r="Z39"/>
  <c r="AI39" s="1"/>
  <c r="Z55"/>
  <c r="AI55" s="1"/>
  <c r="Z65"/>
  <c r="AI65" s="1"/>
  <c r="Z81"/>
  <c r="AI81" s="1"/>
  <c r="Z97"/>
  <c r="AI97" s="1"/>
  <c r="Z50"/>
  <c r="AI50" s="1"/>
  <c r="Z72"/>
  <c r="AI72" s="1"/>
  <c r="Z88"/>
  <c r="AI88" s="1"/>
  <c r="Z108"/>
  <c r="AI108" s="1"/>
  <c r="Z132"/>
  <c r="AI132" s="1"/>
  <c r="Z115"/>
  <c r="AI115" s="1"/>
  <c r="Z154"/>
  <c r="AI154" s="1"/>
  <c r="Z178"/>
  <c r="AI178" s="1"/>
  <c r="Z198"/>
  <c r="AI198" s="1"/>
  <c r="Z113"/>
  <c r="AI113" s="1"/>
  <c r="Z155"/>
  <c r="AI155" s="1"/>
  <c r="Z175"/>
  <c r="AI175" s="1"/>
  <c r="Z195"/>
  <c r="AI195" s="1"/>
  <c r="Z219"/>
  <c r="AI219" s="1"/>
  <c r="Z239"/>
  <c r="AI239" s="1"/>
  <c r="Z245"/>
  <c r="AI245" s="1"/>
  <c r="AB25"/>
  <c r="AK25" s="1"/>
  <c r="AB83"/>
  <c r="AK83" s="1"/>
  <c r="AB90"/>
  <c r="AK90" s="1"/>
  <c r="AB117"/>
  <c r="AK117" s="1"/>
  <c r="AB214"/>
  <c r="AK214" s="1"/>
  <c r="AB244"/>
  <c r="AK244" s="1"/>
  <c r="AB258"/>
  <c r="AK258" s="1"/>
  <c r="AB377"/>
  <c r="AK377" s="1"/>
  <c r="AB424"/>
  <c r="AK424" s="1"/>
  <c r="Z17"/>
  <c r="AI17" s="1"/>
  <c r="Z75"/>
  <c r="AI75" s="1"/>
  <c r="Z82"/>
  <c r="AI82" s="1"/>
  <c r="Z146"/>
  <c r="AI146" s="1"/>
  <c r="Z192"/>
  <c r="AI192" s="1"/>
  <c r="Z169"/>
  <c r="AI169" s="1"/>
  <c r="Z233"/>
  <c r="AI233" s="1"/>
  <c r="Z283"/>
  <c r="AI283" s="1"/>
  <c r="Z220"/>
  <c r="AI220" s="1"/>
  <c r="Z296"/>
  <c r="AI296" s="1"/>
  <c r="Z360"/>
  <c r="AI360" s="1"/>
  <c r="Z415"/>
  <c r="AI415" s="1"/>
  <c r="Z402"/>
  <c r="AI402" s="1"/>
  <c r="AB27"/>
  <c r="AK27" s="1"/>
  <c r="AB92"/>
  <c r="AK92" s="1"/>
  <c r="AB200"/>
  <c r="AK200" s="1"/>
  <c r="AB243"/>
  <c r="AK243" s="1"/>
  <c r="AB242"/>
  <c r="AK242" s="1"/>
  <c r="AB363"/>
  <c r="AK363" s="1"/>
  <c r="U377"/>
  <c r="AD377" s="1"/>
  <c r="Z362"/>
  <c r="AI362" s="1"/>
  <c r="AB6"/>
  <c r="AK6" s="1"/>
  <c r="AB418"/>
  <c r="AK418" s="1"/>
  <c r="AB402"/>
  <c r="AK402" s="1"/>
  <c r="AB386"/>
  <c r="AK386" s="1"/>
  <c r="AB370"/>
  <c r="AK370" s="1"/>
  <c r="AB345"/>
  <c r="AK345" s="1"/>
  <c r="AB419"/>
  <c r="AK419" s="1"/>
  <c r="AB403"/>
  <c r="AK403" s="1"/>
  <c r="AB387"/>
  <c r="AK387" s="1"/>
  <c r="AB371"/>
  <c r="AK371" s="1"/>
  <c r="AB347"/>
  <c r="AK347" s="1"/>
  <c r="AB348"/>
  <c r="AK348" s="1"/>
  <c r="AB332"/>
  <c r="AK332" s="1"/>
  <c r="AB316"/>
  <c r="AK316" s="1"/>
  <c r="AB300"/>
  <c r="AK300" s="1"/>
  <c r="AB284"/>
  <c r="AK284" s="1"/>
  <c r="AB268"/>
  <c r="AK268" s="1"/>
  <c r="AB252"/>
  <c r="AK252" s="1"/>
  <c r="AB226"/>
  <c r="AK226" s="1"/>
  <c r="AB333"/>
  <c r="AK333" s="1"/>
  <c r="AB317"/>
  <c r="AK317" s="1"/>
  <c r="AB301"/>
  <c r="AK301" s="1"/>
  <c r="AB285"/>
  <c r="AK285" s="1"/>
  <c r="AB269"/>
  <c r="AK269" s="1"/>
  <c r="AB253"/>
  <c r="AK253" s="1"/>
  <c r="AB232"/>
  <c r="AK232" s="1"/>
  <c r="AB235"/>
  <c r="AK235" s="1"/>
  <c r="AB219"/>
  <c r="AK219" s="1"/>
  <c r="AB203"/>
  <c r="AK203" s="1"/>
  <c r="AB187"/>
  <c r="AK187" s="1"/>
  <c r="AB171"/>
  <c r="AK171" s="1"/>
  <c r="AB155"/>
  <c r="AK155" s="1"/>
  <c r="AB127"/>
  <c r="AK127" s="1"/>
  <c r="AB208"/>
  <c r="AK208" s="1"/>
  <c r="AB192"/>
  <c r="AK192" s="1"/>
  <c r="AB176"/>
  <c r="AK176" s="1"/>
  <c r="AB160"/>
  <c r="AK160" s="1"/>
  <c r="AB137"/>
  <c r="AK137" s="1"/>
  <c r="AB148"/>
  <c r="AK148" s="1"/>
  <c r="AB132"/>
  <c r="AK132" s="1"/>
  <c r="AB116"/>
  <c r="AK116" s="1"/>
  <c r="AB100"/>
  <c r="AK100" s="1"/>
  <c r="AB84"/>
  <c r="AK84" s="1"/>
  <c r="AB68"/>
  <c r="AK68" s="1"/>
  <c r="AB109"/>
  <c r="AK109" s="1"/>
  <c r="AB93"/>
  <c r="AK93" s="1"/>
  <c r="AB77"/>
  <c r="AK77" s="1"/>
  <c r="AB61"/>
  <c r="AK61" s="1"/>
  <c r="AB51"/>
  <c r="AK51" s="1"/>
  <c r="AB35"/>
  <c r="AK35" s="1"/>
  <c r="AB19"/>
  <c r="AK19" s="1"/>
  <c r="AB48"/>
  <c r="AK48" s="1"/>
  <c r="AB32"/>
  <c r="AK32" s="1"/>
  <c r="AB16"/>
  <c r="AK16" s="1"/>
  <c r="AB416"/>
  <c r="AK416" s="1"/>
  <c r="AB400"/>
  <c r="AK400" s="1"/>
  <c r="AB384"/>
  <c r="AK384" s="1"/>
  <c r="AB368"/>
  <c r="AK368" s="1"/>
  <c r="AB4"/>
  <c r="AK4" s="1"/>
  <c r="AB417"/>
  <c r="AK417" s="1"/>
  <c r="AB401"/>
  <c r="AK401" s="1"/>
  <c r="AB385"/>
  <c r="AK385" s="1"/>
  <c r="AB369"/>
  <c r="AK369" s="1"/>
  <c r="AB362"/>
  <c r="AK362" s="1"/>
  <c r="AB346"/>
  <c r="AK346" s="1"/>
  <c r="AB330"/>
  <c r="AK330" s="1"/>
  <c r="AB314"/>
  <c r="AK314" s="1"/>
  <c r="AB298"/>
  <c r="AK298" s="1"/>
  <c r="AB282"/>
  <c r="AK282" s="1"/>
  <c r="AB266"/>
  <c r="AK266" s="1"/>
  <c r="AB250"/>
  <c r="AK250" s="1"/>
  <c r="AB222"/>
  <c r="AK222" s="1"/>
  <c r="AB331"/>
  <c r="AK331" s="1"/>
  <c r="AB315"/>
  <c r="AK315" s="1"/>
  <c r="AB299"/>
  <c r="AK299" s="1"/>
  <c r="AB283"/>
  <c r="AK283" s="1"/>
  <c r="AB267"/>
  <c r="AK267" s="1"/>
  <c r="AB251"/>
  <c r="AK251" s="1"/>
  <c r="AB228"/>
  <c r="AK228" s="1"/>
  <c r="AB233"/>
  <c r="AK233" s="1"/>
  <c r="AB217"/>
  <c r="AK217" s="1"/>
  <c r="AB201"/>
  <c r="AK201" s="1"/>
  <c r="AB185"/>
  <c r="AK185" s="1"/>
  <c r="AB169"/>
  <c r="AK169" s="1"/>
  <c r="AB153"/>
  <c r="AK153" s="1"/>
  <c r="AB123"/>
  <c r="AK123" s="1"/>
  <c r="AB206"/>
  <c r="AK206" s="1"/>
  <c r="AB190"/>
  <c r="AK190" s="1"/>
  <c r="AB422"/>
  <c r="AK422" s="1"/>
  <c r="AB406"/>
  <c r="AK406" s="1"/>
  <c r="AB390"/>
  <c r="AK390" s="1"/>
  <c r="AB374"/>
  <c r="AK374" s="1"/>
  <c r="AB353"/>
  <c r="AK353" s="1"/>
  <c r="AB423"/>
  <c r="AK423" s="1"/>
  <c r="AB407"/>
  <c r="AK407" s="1"/>
  <c r="AB391"/>
  <c r="AK391" s="1"/>
  <c r="AB375"/>
  <c r="AK375" s="1"/>
  <c r="AB355"/>
  <c r="AK355" s="1"/>
  <c r="AB352"/>
  <c r="AK352" s="1"/>
  <c r="AB336"/>
  <c r="AK336" s="1"/>
  <c r="AB320"/>
  <c r="AK320" s="1"/>
  <c r="AB304"/>
  <c r="AK304" s="1"/>
  <c r="AB288"/>
  <c r="AK288" s="1"/>
  <c r="AB272"/>
  <c r="AK272" s="1"/>
  <c r="AB256"/>
  <c r="AK256" s="1"/>
  <c r="AB234"/>
  <c r="AK234" s="1"/>
  <c r="AB337"/>
  <c r="AK337" s="1"/>
  <c r="AB321"/>
  <c r="AK321" s="1"/>
  <c r="AB305"/>
  <c r="AK305" s="1"/>
  <c r="AB289"/>
  <c r="AK289" s="1"/>
  <c r="AB273"/>
  <c r="AK273" s="1"/>
  <c r="AB257"/>
  <c r="AK257" s="1"/>
  <c r="AB240"/>
  <c r="AK240" s="1"/>
  <c r="AB239"/>
  <c r="AK239" s="1"/>
  <c r="AB223"/>
  <c r="AK223" s="1"/>
  <c r="AB207"/>
  <c r="AK207" s="1"/>
  <c r="AB191"/>
  <c r="AK191" s="1"/>
  <c r="AB175"/>
  <c r="AK175" s="1"/>
  <c r="AB159"/>
  <c r="AK159" s="1"/>
  <c r="AB135"/>
  <c r="AK135" s="1"/>
  <c r="AB212"/>
  <c r="AK212" s="1"/>
  <c r="AB196"/>
  <c r="AK196" s="1"/>
  <c r="AB180"/>
  <c r="AK180" s="1"/>
  <c r="AB164"/>
  <c r="AK164" s="1"/>
  <c r="AB145"/>
  <c r="AK145" s="1"/>
  <c r="AB113"/>
  <c r="AK113" s="1"/>
  <c r="AB136"/>
  <c r="AK136" s="1"/>
  <c r="AB120"/>
  <c r="AK120" s="1"/>
  <c r="AB104"/>
  <c r="AK104" s="1"/>
  <c r="AB88"/>
  <c r="AK88" s="1"/>
  <c r="AB72"/>
  <c r="AK72" s="1"/>
  <c r="AB52"/>
  <c r="AK52" s="1"/>
  <c r="AB97"/>
  <c r="AK97" s="1"/>
  <c r="AB81"/>
  <c r="AK81" s="1"/>
  <c r="AB65"/>
  <c r="AK65" s="1"/>
  <c r="AB55"/>
  <c r="AK55" s="1"/>
  <c r="AB39"/>
  <c r="AK39" s="1"/>
  <c r="AB23"/>
  <c r="AK23" s="1"/>
  <c r="AB7"/>
  <c r="AK7" s="1"/>
  <c r="AB36"/>
  <c r="AK36" s="1"/>
  <c r="AB20"/>
  <c r="AK20" s="1"/>
  <c r="AB420"/>
  <c r="AK420" s="1"/>
  <c r="AB404"/>
  <c r="AK404" s="1"/>
  <c r="AB388"/>
  <c r="AK388" s="1"/>
  <c r="AB372"/>
  <c r="AK372" s="1"/>
  <c r="AB349"/>
  <c r="AK349" s="1"/>
  <c r="AB421"/>
  <c r="AK421" s="1"/>
  <c r="AB405"/>
  <c r="AK405" s="1"/>
  <c r="AB389"/>
  <c r="AK389" s="1"/>
  <c r="AB373"/>
  <c r="AK373" s="1"/>
  <c r="AB351"/>
  <c r="AK351" s="1"/>
  <c r="AB350"/>
  <c r="AK350" s="1"/>
  <c r="AB334"/>
  <c r="AK334" s="1"/>
  <c r="AB318"/>
  <c r="AK318" s="1"/>
  <c r="AB302"/>
  <c r="AK302" s="1"/>
  <c r="AB286"/>
  <c r="AK286" s="1"/>
  <c r="AB270"/>
  <c r="AK270" s="1"/>
  <c r="AB254"/>
  <c r="AK254" s="1"/>
  <c r="AB230"/>
  <c r="AK230" s="1"/>
  <c r="AB335"/>
  <c r="AK335" s="1"/>
  <c r="AB319"/>
  <c r="AK319" s="1"/>
  <c r="AB303"/>
  <c r="AK303" s="1"/>
  <c r="AB287"/>
  <c r="AK287" s="1"/>
  <c r="AB271"/>
  <c r="AK271" s="1"/>
  <c r="AB255"/>
  <c r="AK255" s="1"/>
  <c r="AB236"/>
  <c r="AK236" s="1"/>
  <c r="AB237"/>
  <c r="AK237" s="1"/>
  <c r="AB221"/>
  <c r="AK221" s="1"/>
  <c r="AB205"/>
  <c r="AK205" s="1"/>
  <c r="AB189"/>
  <c r="AK189" s="1"/>
  <c r="AB173"/>
  <c r="AK173" s="1"/>
  <c r="AB157"/>
  <c r="AK157" s="1"/>
  <c r="AB131"/>
  <c r="AK131" s="1"/>
  <c r="AB210"/>
  <c r="AK210" s="1"/>
  <c r="AB194"/>
  <c r="AK194" s="1"/>
  <c r="W5"/>
  <c r="AF5" s="1"/>
  <c r="W21"/>
  <c r="AF21" s="1"/>
  <c r="W37"/>
  <c r="AF37" s="1"/>
  <c r="W8"/>
  <c r="AF8" s="1"/>
  <c r="W24"/>
  <c r="AF24" s="1"/>
  <c r="W40"/>
  <c r="AF40" s="1"/>
  <c r="W56"/>
  <c r="AF56" s="1"/>
  <c r="W66"/>
  <c r="AF66" s="1"/>
  <c r="W82"/>
  <c r="AF82" s="1"/>
  <c r="W98"/>
  <c r="AF98" s="1"/>
  <c r="W53"/>
  <c r="AF53" s="1"/>
  <c r="W73"/>
  <c r="AF73" s="1"/>
  <c r="W89"/>
  <c r="AF89" s="1"/>
  <c r="W105"/>
  <c r="AF105" s="1"/>
  <c r="W121"/>
  <c r="AF121" s="1"/>
  <c r="W137"/>
  <c r="AF137" s="1"/>
  <c r="W118"/>
  <c r="AF118" s="1"/>
  <c r="W150"/>
  <c r="AF150" s="1"/>
  <c r="W165"/>
  <c r="AF165" s="1"/>
  <c r="W181"/>
  <c r="AF181" s="1"/>
  <c r="W197"/>
  <c r="AF197" s="1"/>
  <c r="W213"/>
  <c r="AF213" s="1"/>
  <c r="W136"/>
  <c r="AF136" s="1"/>
  <c r="W160"/>
  <c r="AF160" s="1"/>
  <c r="W176"/>
  <c r="AF176" s="1"/>
  <c r="W192"/>
  <c r="AF192" s="1"/>
  <c r="W208"/>
  <c r="AF208" s="1"/>
  <c r="W224"/>
  <c r="AF224" s="1"/>
  <c r="W240"/>
  <c r="AF240" s="1"/>
  <c r="W241"/>
  <c r="AF241" s="1"/>
  <c r="W258"/>
  <c r="AF258" s="1"/>
  <c r="W274"/>
  <c r="AF274" s="1"/>
  <c r="W290"/>
  <c r="AF290" s="1"/>
  <c r="W306"/>
  <c r="AF306" s="1"/>
  <c r="W322"/>
  <c r="AF322" s="1"/>
  <c r="W338"/>
  <c r="AF338" s="1"/>
  <c r="W235"/>
  <c r="AF235" s="1"/>
  <c r="W257"/>
  <c r="AF257" s="1"/>
  <c r="W273"/>
  <c r="AF273" s="1"/>
  <c r="W289"/>
  <c r="AF289" s="1"/>
  <c r="W305"/>
  <c r="AF305" s="1"/>
  <c r="W321"/>
  <c r="AF321" s="1"/>
  <c r="W337"/>
  <c r="AF337" s="1"/>
  <c r="W353"/>
  <c r="AF353" s="1"/>
  <c r="W356"/>
  <c r="AF356" s="1"/>
  <c r="W376"/>
  <c r="AF376" s="1"/>
  <c r="W392"/>
  <c r="AF392" s="1"/>
  <c r="W408"/>
  <c r="AF408" s="1"/>
  <c r="W424"/>
  <c r="AF424" s="1"/>
  <c r="W365"/>
  <c r="AF365" s="1"/>
  <c r="W381"/>
  <c r="AF381" s="1"/>
  <c r="W397"/>
  <c r="AF397" s="1"/>
  <c r="W413"/>
  <c r="AF413" s="1"/>
  <c r="W429"/>
  <c r="AF429" s="1"/>
  <c r="W15"/>
  <c r="AF15" s="1"/>
  <c r="W31"/>
  <c r="AF31" s="1"/>
  <c r="W47"/>
  <c r="AF47" s="1"/>
  <c r="W18"/>
  <c r="AF18" s="1"/>
  <c r="W34"/>
  <c r="AF34" s="1"/>
  <c r="W50"/>
  <c r="AF50" s="1"/>
  <c r="W59"/>
  <c r="AF59" s="1"/>
  <c r="W76"/>
  <c r="AF76" s="1"/>
  <c r="W92"/>
  <c r="AF92" s="1"/>
  <c r="W108"/>
  <c r="AF108" s="1"/>
  <c r="W67"/>
  <c r="AF67" s="1"/>
  <c r="W83"/>
  <c r="AF83" s="1"/>
  <c r="W99"/>
  <c r="AF99" s="1"/>
  <c r="W115"/>
  <c r="AF115" s="1"/>
  <c r="W131"/>
  <c r="AF131" s="1"/>
  <c r="W147"/>
  <c r="AF147" s="1"/>
  <c r="W138"/>
  <c r="AF138" s="1"/>
  <c r="W159"/>
  <c r="AF159" s="1"/>
  <c r="W175"/>
  <c r="AF175" s="1"/>
  <c r="W191"/>
  <c r="AF191" s="1"/>
  <c r="W207"/>
  <c r="AF207" s="1"/>
  <c r="W124"/>
  <c r="AF124" s="1"/>
  <c r="W154"/>
  <c r="AF154" s="1"/>
  <c r="W170"/>
  <c r="AF170" s="1"/>
  <c r="W186"/>
  <c r="AF186" s="1"/>
  <c r="W202"/>
  <c r="AF202" s="1"/>
  <c r="W218"/>
  <c r="AF218" s="1"/>
  <c r="W234"/>
  <c r="AF234" s="1"/>
  <c r="W229"/>
  <c r="AF229" s="1"/>
  <c r="W252"/>
  <c r="AF252" s="1"/>
  <c r="W268"/>
  <c r="AF268" s="1"/>
  <c r="W284"/>
  <c r="AF284" s="1"/>
  <c r="W300"/>
  <c r="AF300" s="1"/>
  <c r="W316"/>
  <c r="AF316" s="1"/>
  <c r="W332"/>
  <c r="AF332" s="1"/>
  <c r="W223"/>
  <c r="AF223" s="1"/>
  <c r="W251"/>
  <c r="AF251" s="1"/>
  <c r="W267"/>
  <c r="AF267" s="1"/>
  <c r="W283"/>
  <c r="AF283" s="1"/>
  <c r="W299"/>
  <c r="AF299" s="1"/>
  <c r="W315"/>
  <c r="AF315" s="1"/>
  <c r="W331"/>
  <c r="AF331" s="1"/>
  <c r="W347"/>
  <c r="AF347" s="1"/>
  <c r="W363"/>
  <c r="AF363" s="1"/>
  <c r="W370"/>
  <c r="AF370" s="1"/>
  <c r="W386"/>
  <c r="AF386" s="1"/>
  <c r="W402"/>
  <c r="AF402" s="1"/>
  <c r="W418"/>
  <c r="AF418" s="1"/>
  <c r="W346"/>
  <c r="AF346" s="1"/>
  <c r="W371"/>
  <c r="AF371" s="1"/>
  <c r="W387"/>
  <c r="AF387" s="1"/>
  <c r="W403"/>
  <c r="AF403" s="1"/>
  <c r="W419"/>
  <c r="AF419" s="1"/>
  <c r="W17"/>
  <c r="AF17" s="1"/>
  <c r="W33"/>
  <c r="AF33" s="1"/>
  <c r="W49"/>
  <c r="AF49" s="1"/>
  <c r="W20"/>
  <c r="AF20" s="1"/>
  <c r="W36"/>
  <c r="AF36" s="1"/>
  <c r="W52"/>
  <c r="AF52" s="1"/>
  <c r="W62"/>
  <c r="AF62" s="1"/>
  <c r="W78"/>
  <c r="AF78" s="1"/>
  <c r="W94"/>
  <c r="AF94" s="1"/>
  <c r="W110"/>
  <c r="AF110" s="1"/>
  <c r="W69"/>
  <c r="AF69" s="1"/>
  <c r="W85"/>
  <c r="AF85" s="1"/>
  <c r="W101"/>
  <c r="AF101" s="1"/>
  <c r="W117"/>
  <c r="AF117" s="1"/>
  <c r="W133"/>
  <c r="AF133" s="1"/>
  <c r="W149"/>
  <c r="AF149" s="1"/>
  <c r="W142"/>
  <c r="AF142" s="1"/>
  <c r="W161"/>
  <c r="AF161" s="1"/>
  <c r="W177"/>
  <c r="AF177" s="1"/>
  <c r="W193"/>
  <c r="AF193" s="1"/>
  <c r="W209"/>
  <c r="AF209" s="1"/>
  <c r="W128"/>
  <c r="AF128" s="1"/>
  <c r="W156"/>
  <c r="AF156" s="1"/>
  <c r="W172"/>
  <c r="AF172" s="1"/>
  <c r="W188"/>
  <c r="AF188" s="1"/>
  <c r="W204"/>
  <c r="AF204" s="1"/>
  <c r="W220"/>
  <c r="AF220" s="1"/>
  <c r="W236"/>
  <c r="AF236" s="1"/>
  <c r="W233"/>
  <c r="AF233" s="1"/>
  <c r="W254"/>
  <c r="AF254" s="1"/>
  <c r="W270"/>
  <c r="AF270" s="1"/>
  <c r="W286"/>
  <c r="AF286" s="1"/>
  <c r="W302"/>
  <c r="AF302" s="1"/>
  <c r="W318"/>
  <c r="AF318" s="1"/>
  <c r="W334"/>
  <c r="AF334" s="1"/>
  <c r="W227"/>
  <c r="AF227" s="1"/>
  <c r="W253"/>
  <c r="AF253" s="1"/>
  <c r="W269"/>
  <c r="AF269" s="1"/>
  <c r="W285"/>
  <c r="AF285" s="1"/>
  <c r="W301"/>
  <c r="AF301" s="1"/>
  <c r="W317"/>
  <c r="AF317" s="1"/>
  <c r="W333"/>
  <c r="AF333" s="1"/>
  <c r="W349"/>
  <c r="AF349" s="1"/>
  <c r="W348"/>
  <c r="AF348" s="1"/>
  <c r="W372"/>
  <c r="AF372" s="1"/>
  <c r="W388"/>
  <c r="AF388" s="1"/>
  <c r="W404"/>
  <c r="AF404" s="1"/>
  <c r="W420"/>
  <c r="AF420" s="1"/>
  <c r="W358"/>
  <c r="AF358" s="1"/>
  <c r="W377"/>
  <c r="AF377" s="1"/>
  <c r="W393"/>
  <c r="AF393" s="1"/>
  <c r="W409"/>
  <c r="AF409" s="1"/>
  <c r="W425"/>
  <c r="AF425" s="1"/>
  <c r="W11"/>
  <c r="AF11" s="1"/>
  <c r="W27"/>
  <c r="AF27" s="1"/>
  <c r="W43"/>
  <c r="AF43" s="1"/>
  <c r="W14"/>
  <c r="AF14" s="1"/>
  <c r="W30"/>
  <c r="AF30" s="1"/>
  <c r="W46"/>
  <c r="AF46" s="1"/>
  <c r="W51"/>
  <c r="AF51" s="1"/>
  <c r="W72"/>
  <c r="AF72" s="1"/>
  <c r="W88"/>
  <c r="AF88" s="1"/>
  <c r="W104"/>
  <c r="AF104" s="1"/>
  <c r="W63"/>
  <c r="AF63" s="1"/>
  <c r="W79"/>
  <c r="AF79" s="1"/>
  <c r="W95"/>
  <c r="AF95" s="1"/>
  <c r="W111"/>
  <c r="AF111" s="1"/>
  <c r="W127"/>
  <c r="AF127" s="1"/>
  <c r="W143"/>
  <c r="AF143" s="1"/>
  <c r="W130"/>
  <c r="AF130" s="1"/>
  <c r="W155"/>
  <c r="AF155" s="1"/>
  <c r="W171"/>
  <c r="AF171" s="1"/>
  <c r="W187"/>
  <c r="AF187" s="1"/>
  <c r="W203"/>
  <c r="AF203" s="1"/>
  <c r="W116"/>
  <c r="AF116" s="1"/>
  <c r="W148"/>
  <c r="AF148" s="1"/>
  <c r="W166"/>
  <c r="AF166" s="1"/>
  <c r="W182"/>
  <c r="AF182" s="1"/>
  <c r="W198"/>
  <c r="AF198" s="1"/>
  <c r="W214"/>
  <c r="AF214" s="1"/>
  <c r="W230"/>
  <c r="AF230" s="1"/>
  <c r="W221"/>
  <c r="AF221" s="1"/>
  <c r="W248"/>
  <c r="AF248" s="1"/>
  <c r="W264"/>
  <c r="AF264" s="1"/>
  <c r="W280"/>
  <c r="AF280" s="1"/>
  <c r="W296"/>
  <c r="AF296" s="1"/>
  <c r="W312"/>
  <c r="AF312" s="1"/>
  <c r="W328"/>
  <c r="AF328" s="1"/>
  <c r="W344"/>
  <c r="AF344" s="1"/>
  <c r="W247"/>
  <c r="AF247" s="1"/>
  <c r="W263"/>
  <c r="AF263" s="1"/>
  <c r="W279"/>
  <c r="AF279" s="1"/>
  <c r="W295"/>
  <c r="AF295" s="1"/>
  <c r="W311"/>
  <c r="AF311" s="1"/>
  <c r="W327"/>
  <c r="AF327" s="1"/>
  <c r="W343"/>
  <c r="AF343" s="1"/>
  <c r="W359"/>
  <c r="AF359" s="1"/>
  <c r="W366"/>
  <c r="AF366" s="1"/>
  <c r="W382"/>
  <c r="AF382" s="1"/>
  <c r="W398"/>
  <c r="AF398" s="1"/>
  <c r="W414"/>
  <c r="AF414" s="1"/>
  <c r="W430"/>
  <c r="AF430" s="1"/>
  <c r="W367"/>
  <c r="AF367" s="1"/>
  <c r="W383"/>
  <c r="AF383" s="1"/>
  <c r="W399"/>
  <c r="AF399" s="1"/>
  <c r="W415"/>
  <c r="AF415" s="1"/>
  <c r="W431"/>
  <c r="AF431" s="1"/>
  <c r="AB5"/>
  <c r="AK5" s="1"/>
  <c r="AB53"/>
  <c r="AK53" s="1"/>
  <c r="AB111"/>
  <c r="AK111" s="1"/>
  <c r="AB102"/>
  <c r="AK102" s="1"/>
  <c r="AB141"/>
  <c r="AK141" s="1"/>
  <c r="AB202"/>
  <c r="AK202" s="1"/>
  <c r="AB181"/>
  <c r="AK181" s="1"/>
  <c r="AB263"/>
  <c r="AK263" s="1"/>
  <c r="AB327"/>
  <c r="AK327" s="1"/>
  <c r="AB310"/>
  <c r="AK310" s="1"/>
  <c r="AB397"/>
  <c r="AK397" s="1"/>
  <c r="AB28"/>
  <c r="AK28" s="1"/>
  <c r="AB73"/>
  <c r="AK73" s="1"/>
  <c r="AB112"/>
  <c r="AK112" s="1"/>
  <c r="AB188"/>
  <c r="AK188" s="1"/>
  <c r="AB249"/>
  <c r="AK249" s="1"/>
  <c r="AB218"/>
  <c r="AK218" s="1"/>
  <c r="AB328"/>
  <c r="AK328" s="1"/>
  <c r="AB398"/>
  <c r="AK398" s="1"/>
  <c r="Z96"/>
  <c r="AI96" s="1"/>
  <c r="Z112"/>
  <c r="AI112" s="1"/>
  <c r="Z128"/>
  <c r="AI128" s="1"/>
  <c r="Z144"/>
  <c r="AI144" s="1"/>
  <c r="Z131"/>
  <c r="AI131" s="1"/>
  <c r="Z158"/>
  <c r="AI158" s="1"/>
  <c r="Z174"/>
  <c r="AI174" s="1"/>
  <c r="Z190"/>
  <c r="AI190" s="1"/>
  <c r="Z206"/>
  <c r="AI206" s="1"/>
  <c r="Z121"/>
  <c r="AI121" s="1"/>
  <c r="Z151"/>
  <c r="AI151" s="1"/>
  <c r="Z167"/>
  <c r="AI167" s="1"/>
  <c r="Z183"/>
  <c r="AI183" s="1"/>
  <c r="Z199"/>
  <c r="AI199" s="1"/>
  <c r="Z215"/>
  <c r="AI215" s="1"/>
  <c r="Z231"/>
  <c r="AI231" s="1"/>
  <c r="Z222"/>
  <c r="AI222" s="1"/>
  <c r="AB10"/>
  <c r="AK10" s="1"/>
  <c r="AB26"/>
  <c r="AK26" s="1"/>
  <c r="AB42"/>
  <c r="AK42" s="1"/>
  <c r="AB13"/>
  <c r="AK13" s="1"/>
  <c r="AB29"/>
  <c r="AK29" s="1"/>
  <c r="AB45"/>
  <c r="AK45" s="1"/>
  <c r="AB50"/>
  <c r="AK50" s="1"/>
  <c r="AB71"/>
  <c r="AK71" s="1"/>
  <c r="AB87"/>
  <c r="AK87" s="1"/>
  <c r="AB103"/>
  <c r="AK103" s="1"/>
  <c r="AB62"/>
  <c r="AK62" s="1"/>
  <c r="AB78"/>
  <c r="AK78" s="1"/>
  <c r="AB94"/>
  <c r="AK94" s="1"/>
  <c r="AB110"/>
  <c r="AK110" s="1"/>
  <c r="AB126"/>
  <c r="AK126" s="1"/>
  <c r="AB142"/>
  <c r="AK142" s="1"/>
  <c r="AB125"/>
  <c r="AK125" s="1"/>
  <c r="AB154"/>
  <c r="AK154" s="1"/>
  <c r="AB170"/>
  <c r="AK170" s="1"/>
  <c r="AB186"/>
  <c r="AK186" s="1"/>
  <c r="AB115"/>
  <c r="AK115" s="1"/>
  <c r="AB165"/>
  <c r="AK165" s="1"/>
  <c r="AB197"/>
  <c r="AK197" s="1"/>
  <c r="AB229"/>
  <c r="AK229" s="1"/>
  <c r="AB247"/>
  <c r="AK247" s="1"/>
  <c r="AB279"/>
  <c r="AK279" s="1"/>
  <c r="AB311"/>
  <c r="AK311" s="1"/>
  <c r="AB343"/>
  <c r="AK343" s="1"/>
  <c r="AB262"/>
  <c r="AK262" s="1"/>
  <c r="AB294"/>
  <c r="AK294" s="1"/>
  <c r="AB326"/>
  <c r="AK326" s="1"/>
  <c r="AB358"/>
  <c r="AK358" s="1"/>
  <c r="AB381"/>
  <c r="AK381" s="1"/>
  <c r="AB413"/>
  <c r="AK413" s="1"/>
  <c r="AB364"/>
  <c r="AK364" s="1"/>
  <c r="AB396"/>
  <c r="AK396" s="1"/>
  <c r="AB428"/>
  <c r="AK428" s="1"/>
  <c r="Z34"/>
  <c r="AI34" s="1"/>
  <c r="Z21"/>
  <c r="AI21" s="1"/>
  <c r="Z53"/>
  <c r="AI53" s="1"/>
  <c r="Z79"/>
  <c r="AI79" s="1"/>
  <c r="Z111"/>
  <c r="AI111" s="1"/>
  <c r="Z86"/>
  <c r="AI86" s="1"/>
  <c r="Z118"/>
  <c r="AI118" s="1"/>
  <c r="Z150"/>
  <c r="AI150" s="1"/>
  <c r="Z164"/>
  <c r="AI164" s="1"/>
  <c r="Z196"/>
  <c r="AI196" s="1"/>
  <c r="Z133"/>
  <c r="AI133" s="1"/>
  <c r="Z173"/>
  <c r="AI173" s="1"/>
  <c r="Z205"/>
  <c r="AI205" s="1"/>
  <c r="Z237"/>
  <c r="AI237" s="1"/>
  <c r="Z255"/>
  <c r="AI255" s="1"/>
  <c r="Z287"/>
  <c r="AI287" s="1"/>
  <c r="Z319"/>
  <c r="AI319" s="1"/>
  <c r="Z228"/>
  <c r="AI228" s="1"/>
  <c r="Z268"/>
  <c r="AI268" s="1"/>
  <c r="Z300"/>
  <c r="AI300" s="1"/>
  <c r="Z332"/>
  <c r="AI332" s="1"/>
  <c r="Z349"/>
  <c r="AI349" s="1"/>
  <c r="Z387"/>
  <c r="AI387" s="1"/>
  <c r="Z419"/>
  <c r="AI419" s="1"/>
  <c r="Z374"/>
  <c r="AI374" s="1"/>
  <c r="Z406"/>
  <c r="AI406" s="1"/>
  <c r="AB12"/>
  <c r="AK12" s="1"/>
  <c r="AB44"/>
  <c r="AK44" s="1"/>
  <c r="AB31"/>
  <c r="AK31" s="1"/>
  <c r="AB54"/>
  <c r="AK54" s="1"/>
  <c r="AB89"/>
  <c r="AK89" s="1"/>
  <c r="AB64"/>
  <c r="AK64" s="1"/>
  <c r="AB96"/>
  <c r="AK96" s="1"/>
  <c r="AB128"/>
  <c r="AK128" s="1"/>
  <c r="AB129"/>
  <c r="AK129" s="1"/>
  <c r="AB172"/>
  <c r="AK172" s="1"/>
  <c r="AB204"/>
  <c r="AK204" s="1"/>
  <c r="AB151"/>
  <c r="AK151" s="1"/>
  <c r="AB183"/>
  <c r="AK183" s="1"/>
  <c r="AB215"/>
  <c r="AK215" s="1"/>
  <c r="AB224"/>
  <c r="AK224" s="1"/>
  <c r="AB265"/>
  <c r="AK265" s="1"/>
  <c r="AB297"/>
  <c r="AK297" s="1"/>
  <c r="AB329"/>
  <c r="AK329" s="1"/>
  <c r="AB248"/>
  <c r="AK248" s="1"/>
  <c r="AB280"/>
  <c r="AK280" s="1"/>
  <c r="AB312"/>
  <c r="AK312" s="1"/>
  <c r="AB344"/>
  <c r="AK344" s="1"/>
  <c r="AB367"/>
  <c r="AK367" s="1"/>
  <c r="AB399"/>
  <c r="AK399" s="1"/>
  <c r="AB431"/>
  <c r="AK431" s="1"/>
  <c r="AB382"/>
  <c r="AK382" s="1"/>
  <c r="AB414"/>
  <c r="AK414" s="1"/>
  <c r="Z269"/>
  <c r="AI269" s="1"/>
  <c r="Z282"/>
  <c r="AI282" s="1"/>
  <c r="Z347"/>
  <c r="AI347" s="1"/>
  <c r="Z429"/>
  <c r="AI429" s="1"/>
  <c r="Z381"/>
  <c r="AI381" s="1"/>
  <c r="Z249"/>
  <c r="AI249" s="1"/>
  <c r="Z270"/>
  <c r="AI270" s="1"/>
  <c r="Z372"/>
  <c r="AI372" s="1"/>
  <c r="Z369"/>
  <c r="AI369" s="1"/>
  <c r="Z298"/>
  <c r="AI298" s="1"/>
  <c r="Z224"/>
  <c r="AI224" s="1"/>
  <c r="Z285"/>
  <c r="AI285" s="1"/>
  <c r="Z426"/>
  <c r="AI426" s="1"/>
  <c r="Z410"/>
  <c r="AI410" s="1"/>
  <c r="Z394"/>
  <c r="AI394" s="1"/>
  <c r="Z378"/>
  <c r="AI378" s="1"/>
  <c r="Z359"/>
  <c r="AI359" s="1"/>
  <c r="Z423"/>
  <c r="AI423" s="1"/>
  <c r="Z407"/>
  <c r="AI407" s="1"/>
  <c r="Z391"/>
  <c r="AI391" s="1"/>
  <c r="Z375"/>
  <c r="AI375" s="1"/>
  <c r="Z357"/>
  <c r="AI357" s="1"/>
  <c r="Z352"/>
  <c r="AI352" s="1"/>
  <c r="Z336"/>
  <c r="AI336" s="1"/>
  <c r="Z320"/>
  <c r="AI320" s="1"/>
  <c r="Z304"/>
  <c r="AI304" s="1"/>
  <c r="Z288"/>
  <c r="AI288" s="1"/>
  <c r="Z272"/>
  <c r="AI272" s="1"/>
  <c r="Z256"/>
  <c r="AI256" s="1"/>
  <c r="Z236"/>
  <c r="AI236" s="1"/>
  <c r="Z339"/>
  <c r="AI339" s="1"/>
  <c r="Z323"/>
  <c r="AI323" s="1"/>
  <c r="Z307"/>
  <c r="AI307" s="1"/>
  <c r="Z291"/>
  <c r="AI291" s="1"/>
  <c r="Z275"/>
  <c r="AI275" s="1"/>
  <c r="Z259"/>
  <c r="AI259" s="1"/>
  <c r="Z242"/>
  <c r="AI242" s="1"/>
  <c r="Z241"/>
  <c r="AI241" s="1"/>
  <c r="Z225"/>
  <c r="AI225" s="1"/>
  <c r="Z209"/>
  <c r="AI209" s="1"/>
  <c r="Z193"/>
  <c r="AI193" s="1"/>
  <c r="Z177"/>
  <c r="AI177" s="1"/>
  <c r="Z161"/>
  <c r="AI161" s="1"/>
  <c r="Z141"/>
  <c r="AI141" s="1"/>
  <c r="Z216"/>
  <c r="AI216" s="1"/>
  <c r="Z200"/>
  <c r="AI200" s="1"/>
  <c r="Z184"/>
  <c r="AI184" s="1"/>
  <c r="Z168"/>
  <c r="AI168" s="1"/>
  <c r="Z152"/>
  <c r="AI152" s="1"/>
  <c r="Z119"/>
  <c r="AI119" s="1"/>
  <c r="Z138"/>
  <c r="AI138" s="1"/>
  <c r="Z122"/>
  <c r="AI122" s="1"/>
  <c r="Z106"/>
  <c r="AI106" s="1"/>
  <c r="Z90"/>
  <c r="AI90" s="1"/>
  <c r="Z74"/>
  <c r="AI74" s="1"/>
  <c r="Z54"/>
  <c r="AI54" s="1"/>
  <c r="Z99"/>
  <c r="AI99" s="1"/>
  <c r="Z83"/>
  <c r="AI83" s="1"/>
  <c r="Z67"/>
  <c r="AI67" s="1"/>
  <c r="Z57"/>
  <c r="AI57" s="1"/>
  <c r="Z41"/>
  <c r="AI41" s="1"/>
  <c r="Z25"/>
  <c r="AI25" s="1"/>
  <c r="Z9"/>
  <c r="AI9" s="1"/>
  <c r="Z38"/>
  <c r="AI38" s="1"/>
  <c r="Z22"/>
  <c r="AI22" s="1"/>
  <c r="Z6"/>
  <c r="AI6" s="1"/>
  <c r="Z4"/>
  <c r="AI4" s="1"/>
  <c r="Z246"/>
  <c r="AI246" s="1"/>
  <c r="Z373"/>
  <c r="AI373" s="1"/>
  <c r="Z404"/>
  <c r="AI404" s="1"/>
  <c r="Z385"/>
  <c r="AI385" s="1"/>
  <c r="Z314"/>
  <c r="AI314" s="1"/>
  <c r="Z250"/>
  <c r="AI250" s="1"/>
  <c r="Z301"/>
  <c r="AI301" s="1"/>
  <c r="Z430"/>
  <c r="AI430" s="1"/>
  <c r="Z414"/>
  <c r="AI414" s="1"/>
  <c r="Z398"/>
  <c r="AI398" s="1"/>
  <c r="Z382"/>
  <c r="AI382" s="1"/>
  <c r="Z366"/>
  <c r="AI366" s="1"/>
  <c r="Z427"/>
  <c r="AI427" s="1"/>
  <c r="Z411"/>
  <c r="AI411" s="1"/>
  <c r="Z395"/>
  <c r="AI395" s="1"/>
  <c r="Z379"/>
  <c r="AI379" s="1"/>
  <c r="Z363"/>
  <c r="AI363" s="1"/>
  <c r="Z356"/>
  <c r="AI356" s="1"/>
  <c r="Z340"/>
  <c r="AI340" s="1"/>
  <c r="Z324"/>
  <c r="AI324" s="1"/>
  <c r="Z308"/>
  <c r="AI308" s="1"/>
  <c r="Z292"/>
  <c r="AI292" s="1"/>
  <c r="Z276"/>
  <c r="AI276" s="1"/>
  <c r="Z260"/>
  <c r="AI260" s="1"/>
  <c r="Z244"/>
  <c r="AI244" s="1"/>
  <c r="Z343"/>
  <c r="AI343" s="1"/>
  <c r="Z327"/>
  <c r="AI327" s="1"/>
  <c r="Z311"/>
  <c r="AI311" s="1"/>
  <c r="Z295"/>
  <c r="AI295" s="1"/>
  <c r="Z279"/>
  <c r="AI279" s="1"/>
  <c r="Z263"/>
  <c r="AI263" s="1"/>
  <c r="Z247"/>
  <c r="AI247" s="1"/>
  <c r="Z218"/>
  <c r="AI218" s="1"/>
  <c r="Z229"/>
  <c r="AI229" s="1"/>
  <c r="Z213"/>
  <c r="AI213" s="1"/>
  <c r="Z197"/>
  <c r="AI197" s="1"/>
  <c r="Z181"/>
  <c r="AI181" s="1"/>
  <c r="Z165"/>
  <c r="AI165" s="1"/>
  <c r="Z149"/>
  <c r="AI149" s="1"/>
  <c r="Z117"/>
  <c r="AI117" s="1"/>
  <c r="Z204"/>
  <c r="AI204" s="1"/>
  <c r="Z188"/>
  <c r="AI188" s="1"/>
  <c r="Z172"/>
  <c r="AI172" s="1"/>
  <c r="Z156"/>
  <c r="AI156" s="1"/>
  <c r="Z127"/>
  <c r="AI127" s="1"/>
  <c r="Z142"/>
  <c r="AI142" s="1"/>
  <c r="Z126"/>
  <c r="AI126" s="1"/>
  <c r="Z110"/>
  <c r="AI110" s="1"/>
  <c r="Z94"/>
  <c r="AI94" s="1"/>
  <c r="Z78"/>
  <c r="AI78" s="1"/>
  <c r="Z62"/>
  <c r="AI62" s="1"/>
  <c r="Z103"/>
  <c r="AI103" s="1"/>
  <c r="Z87"/>
  <c r="AI87" s="1"/>
  <c r="Z71"/>
  <c r="AI71" s="1"/>
  <c r="Z61"/>
  <c r="AI61" s="1"/>
  <c r="Z45"/>
  <c r="AI45" s="1"/>
  <c r="Z29"/>
  <c r="AI29" s="1"/>
  <c r="Z13"/>
  <c r="AI13" s="1"/>
  <c r="Z42"/>
  <c r="AI42" s="1"/>
  <c r="Z26"/>
  <c r="AI26" s="1"/>
  <c r="Z10"/>
  <c r="AI10" s="1"/>
  <c r="AB34"/>
  <c r="AK34" s="1"/>
  <c r="AB37"/>
  <c r="AK37" s="1"/>
  <c r="AB79"/>
  <c r="AK79" s="1"/>
  <c r="AB70"/>
  <c r="AK70" s="1"/>
  <c r="AB118"/>
  <c r="AK118" s="1"/>
  <c r="AB150"/>
  <c r="AK150" s="1"/>
  <c r="AB178"/>
  <c r="AK178" s="1"/>
  <c r="AB220"/>
  <c r="AK220" s="1"/>
  <c r="AB246"/>
  <c r="AK246" s="1"/>
  <c r="AB365"/>
  <c r="AK365" s="1"/>
  <c r="AB380"/>
  <c r="AK380" s="1"/>
  <c r="AB15"/>
  <c r="AK15" s="1"/>
  <c r="AB105"/>
  <c r="AK105" s="1"/>
  <c r="AB156"/>
  <c r="AK156" s="1"/>
  <c r="AB167"/>
  <c r="AK167" s="1"/>
  <c r="AB231"/>
  <c r="AK231" s="1"/>
  <c r="AB281"/>
  <c r="AK281" s="1"/>
  <c r="AB313"/>
  <c r="AK313" s="1"/>
  <c r="AB296"/>
  <c r="AK296" s="1"/>
  <c r="AB383"/>
  <c r="AK383" s="1"/>
  <c r="AB415"/>
  <c r="AK415" s="1"/>
  <c r="AB430"/>
  <c r="AK430" s="1"/>
  <c r="Z254"/>
  <c r="AI254" s="1"/>
  <c r="Z365"/>
  <c r="AI365" s="1"/>
  <c r="AB18"/>
  <c r="AK18" s="1"/>
  <c r="AB21"/>
  <c r="AK21" s="1"/>
  <c r="AB63"/>
  <c r="AK63" s="1"/>
  <c r="AB95"/>
  <c r="AK95" s="1"/>
  <c r="AB86"/>
  <c r="AK86" s="1"/>
  <c r="AB134"/>
  <c r="AK134" s="1"/>
  <c r="AB162"/>
  <c r="AK162" s="1"/>
  <c r="AB147"/>
  <c r="AK147" s="1"/>
  <c r="AB213"/>
  <c r="AK213" s="1"/>
  <c r="AB295"/>
  <c r="AK295" s="1"/>
  <c r="AB278"/>
  <c r="AK278" s="1"/>
  <c r="AB342"/>
  <c r="AK342" s="1"/>
  <c r="AB429"/>
  <c r="AK429" s="1"/>
  <c r="AB412"/>
  <c r="AK412" s="1"/>
  <c r="AB47"/>
  <c r="AK47" s="1"/>
  <c r="AB80"/>
  <c r="AK80" s="1"/>
  <c r="AB144"/>
  <c r="AK144" s="1"/>
  <c r="AB119"/>
  <c r="AK119" s="1"/>
  <c r="AB199"/>
  <c r="AK199" s="1"/>
  <c r="AB264"/>
  <c r="AK264" s="1"/>
  <c r="AB360"/>
  <c r="AK360" s="1"/>
  <c r="AB366"/>
  <c r="AK366" s="1"/>
  <c r="AB14"/>
  <c r="AK14" s="1"/>
  <c r="AB30"/>
  <c r="AK30" s="1"/>
  <c r="AB46"/>
  <c r="AK46" s="1"/>
  <c r="AB17"/>
  <c r="AK17" s="1"/>
  <c r="AB33"/>
  <c r="AK33" s="1"/>
  <c r="AB49"/>
  <c r="AK49" s="1"/>
  <c r="AB58"/>
  <c r="AK58" s="1"/>
  <c r="AB75"/>
  <c r="AK75" s="1"/>
  <c r="AB91"/>
  <c r="AK91" s="1"/>
  <c r="AB107"/>
  <c r="AK107" s="1"/>
  <c r="AB66"/>
  <c r="AK66" s="1"/>
  <c r="AB82"/>
  <c r="AK82" s="1"/>
  <c r="AB98"/>
  <c r="AK98" s="1"/>
  <c r="AB114"/>
  <c r="AK114" s="1"/>
  <c r="AB130"/>
  <c r="AK130" s="1"/>
  <c r="AB146"/>
  <c r="AK146" s="1"/>
  <c r="AB133"/>
  <c r="AK133" s="1"/>
  <c r="AB158"/>
  <c r="AK158" s="1"/>
  <c r="AB174"/>
  <c r="AK174" s="1"/>
  <c r="AB198"/>
  <c r="AK198" s="1"/>
  <c r="AB139"/>
  <c r="AK139" s="1"/>
  <c r="AB177"/>
  <c r="AK177" s="1"/>
  <c r="AB209"/>
  <c r="AK209" s="1"/>
  <c r="AB241"/>
  <c r="AK241" s="1"/>
  <c r="AB259"/>
  <c r="AK259" s="1"/>
  <c r="AB291"/>
  <c r="AK291" s="1"/>
  <c r="AB323"/>
  <c r="AK323" s="1"/>
  <c r="AB238"/>
  <c r="AK238" s="1"/>
  <c r="AB274"/>
  <c r="AK274" s="1"/>
  <c r="AB306"/>
  <c r="AK306" s="1"/>
  <c r="AB338"/>
  <c r="AK338" s="1"/>
  <c r="AB359"/>
  <c r="AK359" s="1"/>
  <c r="AB393"/>
  <c r="AK393" s="1"/>
  <c r="AB425"/>
  <c r="AK425" s="1"/>
  <c r="AB376"/>
  <c r="AK376" s="1"/>
  <c r="AB408"/>
  <c r="AK408" s="1"/>
  <c r="Z14"/>
  <c r="AI14" s="1"/>
  <c r="Z46"/>
  <c r="AI46" s="1"/>
  <c r="Z33"/>
  <c r="AI33" s="1"/>
  <c r="Z56"/>
  <c r="AI56" s="1"/>
  <c r="Z91"/>
  <c r="AI91" s="1"/>
  <c r="Z66"/>
  <c r="AI66" s="1"/>
  <c r="Z98"/>
  <c r="AI98" s="1"/>
  <c r="Z130"/>
  <c r="AI130" s="1"/>
  <c r="Z135"/>
  <c r="AI135" s="1"/>
  <c r="Z176"/>
  <c r="AI176" s="1"/>
  <c r="Z208"/>
  <c r="AI208" s="1"/>
  <c r="Z153"/>
  <c r="AI153" s="1"/>
  <c r="Z185"/>
  <c r="AI185" s="1"/>
  <c r="Z217"/>
  <c r="AI217" s="1"/>
  <c r="Z226"/>
  <c r="AI226" s="1"/>
  <c r="Z267"/>
  <c r="AI267" s="1"/>
  <c r="Z299"/>
  <c r="AI299" s="1"/>
  <c r="Z331"/>
  <c r="AI331" s="1"/>
  <c r="Z248"/>
  <c r="AI248" s="1"/>
  <c r="Z280"/>
  <c r="AI280" s="1"/>
  <c r="Z312"/>
  <c r="AI312" s="1"/>
  <c r="Z344"/>
  <c r="AI344" s="1"/>
  <c r="Z367"/>
  <c r="AI367" s="1"/>
  <c r="Z399"/>
  <c r="AI399" s="1"/>
  <c r="Z431"/>
  <c r="AI431" s="1"/>
  <c r="Z386"/>
  <c r="AI386" s="1"/>
  <c r="Z418"/>
  <c r="AI418" s="1"/>
  <c r="AB24"/>
  <c r="AK24" s="1"/>
  <c r="AB11"/>
  <c r="AK11" s="1"/>
  <c r="AB43"/>
  <c r="AK43" s="1"/>
  <c r="AB69"/>
  <c r="AK69" s="1"/>
  <c r="AB101"/>
  <c r="AK101" s="1"/>
  <c r="AB76"/>
  <c r="AK76" s="1"/>
  <c r="AB108"/>
  <c r="AK108" s="1"/>
  <c r="AB140"/>
  <c r="AK140" s="1"/>
  <c r="AB152"/>
  <c r="AK152" s="1"/>
  <c r="AB184"/>
  <c r="AK184" s="1"/>
  <c r="AB216"/>
  <c r="AK216" s="1"/>
  <c r="AB163"/>
  <c r="AK163" s="1"/>
  <c r="AB195"/>
  <c r="AK195" s="1"/>
  <c r="AB227"/>
  <c r="AK227" s="1"/>
  <c r="AB245"/>
  <c r="AK245" s="1"/>
  <c r="AB277"/>
  <c r="AK277" s="1"/>
  <c r="AB309"/>
  <c r="AK309" s="1"/>
  <c r="AB341"/>
  <c r="AK341" s="1"/>
  <c r="AB260"/>
  <c r="AK260" s="1"/>
  <c r="AB292"/>
  <c r="AK292" s="1"/>
  <c r="AB324"/>
  <c r="AK324" s="1"/>
  <c r="AB356"/>
  <c r="AK356" s="1"/>
  <c r="AB379"/>
  <c r="AK379" s="1"/>
  <c r="AB411"/>
  <c r="AK411" s="1"/>
  <c r="AB361"/>
  <c r="AK361" s="1"/>
  <c r="AB394"/>
  <c r="AK394" s="1"/>
  <c r="AB426"/>
  <c r="AK426" s="1"/>
  <c r="Z317"/>
  <c r="AI317" s="1"/>
  <c r="Z330"/>
  <c r="AI330" s="1"/>
  <c r="Z420"/>
  <c r="AI420" s="1"/>
  <c r="Z257"/>
  <c r="AI257" s="1"/>
  <c r="Z262"/>
  <c r="AI262" s="1"/>
  <c r="U367"/>
  <c r="AD367" s="1"/>
  <c r="U412"/>
  <c r="AD412" s="1"/>
  <c r="U327"/>
  <c r="AD327" s="1"/>
  <c r="U263"/>
  <c r="AD263" s="1"/>
  <c r="U280"/>
  <c r="AD280" s="1"/>
  <c r="U230"/>
  <c r="AD230" s="1"/>
  <c r="U166"/>
  <c r="AD166" s="1"/>
  <c r="U189"/>
  <c r="AD189" s="1"/>
  <c r="U111"/>
  <c r="AD111" s="1"/>
  <c r="U104"/>
  <c r="AD104" s="1"/>
  <c r="U46"/>
  <c r="AD46" s="1"/>
  <c r="U27"/>
  <c r="AD27" s="1"/>
  <c r="U427"/>
  <c r="AD427" s="1"/>
  <c r="U419"/>
  <c r="AD419" s="1"/>
  <c r="U411"/>
  <c r="AD411" s="1"/>
  <c r="U403"/>
  <c r="AD403" s="1"/>
  <c r="U395"/>
  <c r="AD395" s="1"/>
  <c r="U387"/>
  <c r="AD387" s="1"/>
  <c r="U379"/>
  <c r="AD379" s="1"/>
  <c r="U369"/>
  <c r="AD369" s="1"/>
  <c r="U352"/>
  <c r="AD352" s="1"/>
  <c r="U416"/>
  <c r="AD416" s="1"/>
  <c r="U384"/>
  <c r="AD384" s="1"/>
  <c r="U363"/>
  <c r="AD363" s="1"/>
  <c r="U331"/>
  <c r="AD331" s="1"/>
  <c r="U299"/>
  <c r="AD299" s="1"/>
  <c r="U267"/>
  <c r="AD267" s="1"/>
  <c r="U225"/>
  <c r="AD225" s="1"/>
  <c r="U316"/>
  <c r="AD316" s="1"/>
  <c r="U284"/>
  <c r="AD284" s="1"/>
  <c r="U252"/>
  <c r="AD252" s="1"/>
  <c r="U234"/>
  <c r="AD234" s="1"/>
  <c r="U202"/>
  <c r="AD202" s="1"/>
  <c r="U170"/>
  <c r="AD170" s="1"/>
  <c r="U126"/>
  <c r="AD126" s="1"/>
  <c r="U193"/>
  <c r="AD193" s="1"/>
  <c r="U161"/>
  <c r="AD161" s="1"/>
  <c r="U147"/>
  <c r="AD147" s="1"/>
  <c r="U115"/>
  <c r="AD115" s="1"/>
  <c r="U83"/>
  <c r="AD83" s="1"/>
  <c r="U108"/>
  <c r="AD108" s="1"/>
  <c r="U76"/>
  <c r="AD76" s="1"/>
  <c r="U50"/>
  <c r="AD50" s="1"/>
  <c r="U18"/>
  <c r="AD18" s="1"/>
  <c r="U31"/>
  <c r="AD31" s="1"/>
  <c r="Z416"/>
  <c r="AI416" s="1"/>
  <c r="U380"/>
  <c r="AD380" s="1"/>
  <c r="U295"/>
  <c r="AD295" s="1"/>
  <c r="U312"/>
  <c r="AD312" s="1"/>
  <c r="U198"/>
  <c r="AD198" s="1"/>
  <c r="U157"/>
  <c r="AD157" s="1"/>
  <c r="U79"/>
  <c r="AD79" s="1"/>
  <c r="U14"/>
  <c r="AD14" s="1"/>
  <c r="U429"/>
  <c r="AD429" s="1"/>
  <c r="U421"/>
  <c r="AD421" s="1"/>
  <c r="U413"/>
  <c r="AD413" s="1"/>
  <c r="U405"/>
  <c r="AD405" s="1"/>
  <c r="U397"/>
  <c r="AD397" s="1"/>
  <c r="U389"/>
  <c r="AD389" s="1"/>
  <c r="U381"/>
  <c r="AD381" s="1"/>
  <c r="U371"/>
  <c r="AD371" s="1"/>
  <c r="U356"/>
  <c r="AD356" s="1"/>
  <c r="U428"/>
  <c r="AD428" s="1"/>
  <c r="U396"/>
  <c r="AD396" s="1"/>
  <c r="U364"/>
  <c r="AD364" s="1"/>
  <c r="U343"/>
  <c r="AD343" s="1"/>
  <c r="U311"/>
  <c r="AD311" s="1"/>
  <c r="U279"/>
  <c r="AD279" s="1"/>
  <c r="U247"/>
  <c r="AD247" s="1"/>
  <c r="U328"/>
  <c r="AD328" s="1"/>
  <c r="U296"/>
  <c r="AD296" s="1"/>
  <c r="U264"/>
  <c r="AD264" s="1"/>
  <c r="U219"/>
  <c r="AD219" s="1"/>
  <c r="U214"/>
  <c r="AD214" s="1"/>
  <c r="U182"/>
  <c r="AD182" s="1"/>
  <c r="U150"/>
  <c r="AD150" s="1"/>
  <c r="U205"/>
  <c r="AD205" s="1"/>
  <c r="U173"/>
  <c r="AD173" s="1"/>
  <c r="U132"/>
  <c r="AD132" s="1"/>
  <c r="U127"/>
  <c r="AD127" s="1"/>
  <c r="U95"/>
  <c r="AD95" s="1"/>
  <c r="U63"/>
  <c r="AD63" s="1"/>
  <c r="U88"/>
  <c r="AD88" s="1"/>
  <c r="U53"/>
  <c r="AD53" s="1"/>
  <c r="U30"/>
  <c r="AD30" s="1"/>
  <c r="U43"/>
  <c r="AD43" s="1"/>
  <c r="U11"/>
  <c r="AD11" s="1"/>
  <c r="X80"/>
  <c r="AG80" s="1"/>
  <c r="X105"/>
  <c r="AG105" s="1"/>
  <c r="X73"/>
  <c r="AG73" s="1"/>
  <c r="X47"/>
  <c r="AG47" s="1"/>
  <c r="X15"/>
  <c r="AG15" s="1"/>
  <c r="X28"/>
  <c r="AG28" s="1"/>
  <c r="Z321"/>
  <c r="AI321" s="1"/>
  <c r="Z334"/>
  <c r="AI334" s="1"/>
  <c r="Z376"/>
  <c r="AI376" s="1"/>
  <c r="Z313"/>
  <c r="AI313" s="1"/>
  <c r="Z326"/>
  <c r="AI326" s="1"/>
  <c r="Z368"/>
  <c r="AI368" s="1"/>
  <c r="U359"/>
  <c r="AD359" s="1"/>
  <c r="U344"/>
  <c r="AD344" s="1"/>
  <c r="U248"/>
  <c r="AD248" s="1"/>
  <c r="U118"/>
  <c r="AD118" s="1"/>
  <c r="U143"/>
  <c r="AD143" s="1"/>
  <c r="U72"/>
  <c r="AD72" s="1"/>
  <c r="U431"/>
  <c r="AD431" s="1"/>
  <c r="U423"/>
  <c r="AD423" s="1"/>
  <c r="U415"/>
  <c r="AD415" s="1"/>
  <c r="U407"/>
  <c r="AD407" s="1"/>
  <c r="U399"/>
  <c r="AD399" s="1"/>
  <c r="U391"/>
  <c r="AD391" s="1"/>
  <c r="U383"/>
  <c r="AD383" s="1"/>
  <c r="U375"/>
  <c r="AD375" s="1"/>
  <c r="U360"/>
  <c r="AD360" s="1"/>
  <c r="U4"/>
  <c r="AD4" s="1"/>
  <c r="U400"/>
  <c r="AD400" s="1"/>
  <c r="U368"/>
  <c r="AD368" s="1"/>
  <c r="U347"/>
  <c r="AD347" s="1"/>
  <c r="U315"/>
  <c r="AD315" s="1"/>
  <c r="U283"/>
  <c r="AD283" s="1"/>
  <c r="U251"/>
  <c r="AD251" s="1"/>
  <c r="U332"/>
  <c r="AD332" s="1"/>
  <c r="U300"/>
  <c r="AD300" s="1"/>
  <c r="U268"/>
  <c r="AD268" s="1"/>
  <c r="U227"/>
  <c r="AD227" s="1"/>
  <c r="U218"/>
  <c r="AD218" s="1"/>
  <c r="U186"/>
  <c r="AD186" s="1"/>
  <c r="U154"/>
  <c r="AD154" s="1"/>
  <c r="U209"/>
  <c r="AD209" s="1"/>
  <c r="U177"/>
  <c r="AD177" s="1"/>
  <c r="U140"/>
  <c r="AD140" s="1"/>
  <c r="U131"/>
  <c r="AD131" s="1"/>
  <c r="U99"/>
  <c r="AD99" s="1"/>
  <c r="U67"/>
  <c r="AD67" s="1"/>
  <c r="U92"/>
  <c r="AD92" s="1"/>
  <c r="U61"/>
  <c r="AD61" s="1"/>
  <c r="U34"/>
  <c r="AD34" s="1"/>
  <c r="U47"/>
  <c r="AD47" s="1"/>
  <c r="U15"/>
  <c r="AD15" s="1"/>
  <c r="X84"/>
  <c r="AG84" s="1"/>
  <c r="X109"/>
  <c r="AG109" s="1"/>
  <c r="X77"/>
  <c r="AG77" s="1"/>
  <c r="X51"/>
  <c r="AG51" s="1"/>
  <c r="X19"/>
  <c r="AG19" s="1"/>
  <c r="X32"/>
  <c r="AG32" s="1"/>
  <c r="Z305"/>
  <c r="AI305" s="1"/>
  <c r="Z318"/>
  <c r="AI318" s="1"/>
  <c r="Z355"/>
  <c r="AI355" s="1"/>
  <c r="Z297"/>
  <c r="AI297" s="1"/>
  <c r="Z310"/>
  <c r="AI310" s="1"/>
  <c r="Z8"/>
  <c r="AI8" s="1"/>
  <c r="Z261"/>
  <c r="AI261" s="1"/>
  <c r="Z277"/>
  <c r="AI277" s="1"/>
  <c r="Z293"/>
  <c r="AI293" s="1"/>
  <c r="Z309"/>
  <c r="AI309" s="1"/>
  <c r="Z325"/>
  <c r="AI325" s="1"/>
  <c r="Z341"/>
  <c r="AI341" s="1"/>
  <c r="Z240"/>
  <c r="AI240" s="1"/>
  <c r="Z258"/>
  <c r="AI258" s="1"/>
  <c r="Z274"/>
  <c r="AI274" s="1"/>
  <c r="Z290"/>
  <c r="AI290" s="1"/>
  <c r="Z306"/>
  <c r="AI306" s="1"/>
  <c r="Z322"/>
  <c r="AI322" s="1"/>
  <c r="Z338"/>
  <c r="AI338" s="1"/>
  <c r="Z354"/>
  <c r="AI354" s="1"/>
  <c r="Z361"/>
  <c r="AI361" s="1"/>
  <c r="Z377"/>
  <c r="AI377" s="1"/>
  <c r="Z393"/>
  <c r="AI393" s="1"/>
  <c r="Z409"/>
  <c r="AI409" s="1"/>
  <c r="Z425"/>
  <c r="AI425" s="1"/>
  <c r="Z364"/>
  <c r="AI364" s="1"/>
  <c r="Z380"/>
  <c r="AI380" s="1"/>
  <c r="Z396"/>
  <c r="AI396" s="1"/>
  <c r="Z412"/>
  <c r="AI412" s="1"/>
  <c r="Z428"/>
  <c r="AI428" s="1"/>
  <c r="U373"/>
  <c r="AD373" s="1"/>
  <c r="U365"/>
  <c r="AD365" s="1"/>
  <c r="U348"/>
  <c r="AD348" s="1"/>
  <c r="U424"/>
  <c r="AD424" s="1"/>
  <c r="U408"/>
  <c r="AD408" s="1"/>
  <c r="U392"/>
  <c r="AD392" s="1"/>
  <c r="U376"/>
  <c r="AD376" s="1"/>
  <c r="U358"/>
  <c r="AD358" s="1"/>
  <c r="U355"/>
  <c r="AD355" s="1"/>
  <c r="U339"/>
  <c r="AD339" s="1"/>
  <c r="U323"/>
  <c r="AD323" s="1"/>
  <c r="U307"/>
  <c r="AD307" s="1"/>
  <c r="U291"/>
  <c r="AD291" s="1"/>
  <c r="U275"/>
  <c r="AD275" s="1"/>
  <c r="U259"/>
  <c r="AD259" s="1"/>
  <c r="U241"/>
  <c r="AD241" s="1"/>
  <c r="U340"/>
  <c r="AD340" s="1"/>
  <c r="U324"/>
  <c r="AD324" s="1"/>
  <c r="U308"/>
  <c r="AD308" s="1"/>
  <c r="U292"/>
  <c r="AD292" s="1"/>
  <c r="U276"/>
  <c r="AD276" s="1"/>
  <c r="U260"/>
  <c r="AD260" s="1"/>
  <c r="U243"/>
  <c r="AD243" s="1"/>
  <c r="U242"/>
  <c r="AD242" s="1"/>
  <c r="U226"/>
  <c r="AD226" s="1"/>
  <c r="U210"/>
  <c r="AD210" s="1"/>
  <c r="U194"/>
  <c r="AD194" s="1"/>
  <c r="U178"/>
  <c r="AD178" s="1"/>
  <c r="U162"/>
  <c r="AD162" s="1"/>
  <c r="U142"/>
  <c r="AD142" s="1"/>
  <c r="U217"/>
  <c r="AD217" s="1"/>
  <c r="U201"/>
  <c r="AD201" s="1"/>
  <c r="U185"/>
  <c r="AD185" s="1"/>
  <c r="U169"/>
  <c r="AD169" s="1"/>
  <c r="U153"/>
  <c r="AD153" s="1"/>
  <c r="U124"/>
  <c r="AD124" s="1"/>
  <c r="U139"/>
  <c r="AD139" s="1"/>
  <c r="U123"/>
  <c r="AD123" s="1"/>
  <c r="U107"/>
  <c r="AD107" s="1"/>
  <c r="U91"/>
  <c r="AD91" s="1"/>
  <c r="U75"/>
  <c r="AD75" s="1"/>
  <c r="U55"/>
  <c r="AD55" s="1"/>
  <c r="U100"/>
  <c r="AD100" s="1"/>
  <c r="U84"/>
  <c r="AD84" s="1"/>
  <c r="U68"/>
  <c r="AD68" s="1"/>
  <c r="U58"/>
  <c r="AD58" s="1"/>
  <c r="U42"/>
  <c r="AD42" s="1"/>
  <c r="U26"/>
  <c r="AD26" s="1"/>
  <c r="U10"/>
  <c r="AD10" s="1"/>
  <c r="U39"/>
  <c r="AD39" s="1"/>
  <c r="U23"/>
  <c r="AD23" s="1"/>
  <c r="U7"/>
  <c r="AD7" s="1"/>
  <c r="X416"/>
  <c r="AG416" s="1"/>
  <c r="X400"/>
  <c r="AG400" s="1"/>
  <c r="X384"/>
  <c r="AG384" s="1"/>
  <c r="X368"/>
  <c r="AG368" s="1"/>
  <c r="X431"/>
  <c r="AG431" s="1"/>
  <c r="X415"/>
  <c r="AG415" s="1"/>
  <c r="X399"/>
  <c r="AG399" s="1"/>
  <c r="X383"/>
  <c r="AG383" s="1"/>
  <c r="X367"/>
  <c r="AG367" s="1"/>
  <c r="X360"/>
  <c r="AG360" s="1"/>
  <c r="X344"/>
  <c r="AG344" s="1"/>
  <c r="X328"/>
  <c r="AG328" s="1"/>
  <c r="X312"/>
  <c r="AG312" s="1"/>
  <c r="X296"/>
  <c r="AG296" s="1"/>
  <c r="X280"/>
  <c r="AG280" s="1"/>
  <c r="X264"/>
  <c r="AG264" s="1"/>
  <c r="X248"/>
  <c r="AG248" s="1"/>
  <c r="X218"/>
  <c r="AG218" s="1"/>
  <c r="X331"/>
  <c r="AG331" s="1"/>
  <c r="X315"/>
  <c r="AG315" s="1"/>
  <c r="X299"/>
  <c r="AG299" s="1"/>
  <c r="X283"/>
  <c r="AG283" s="1"/>
  <c r="X267"/>
  <c r="AG267" s="1"/>
  <c r="X251"/>
  <c r="AG251" s="1"/>
  <c r="X224"/>
  <c r="AG224" s="1"/>
  <c r="X233"/>
  <c r="AG233" s="1"/>
  <c r="X217"/>
  <c r="AG217" s="1"/>
  <c r="X201"/>
  <c r="AG201" s="1"/>
  <c r="X185"/>
  <c r="AG185" s="1"/>
  <c r="X169"/>
  <c r="AG169" s="1"/>
  <c r="X153"/>
  <c r="AG153" s="1"/>
  <c r="X123"/>
  <c r="AG123" s="1"/>
  <c r="X206"/>
  <c r="AG206" s="1"/>
  <c r="X190"/>
  <c r="AG190" s="1"/>
  <c r="X174"/>
  <c r="AG174" s="1"/>
  <c r="X158"/>
  <c r="AG158" s="1"/>
  <c r="X133"/>
  <c r="AG133" s="1"/>
  <c r="X146"/>
  <c r="AG146" s="1"/>
  <c r="X130"/>
  <c r="AG130" s="1"/>
  <c r="X114"/>
  <c r="AG114" s="1"/>
  <c r="X98"/>
  <c r="AG98" s="1"/>
  <c r="X82"/>
  <c r="AG82" s="1"/>
  <c r="X66"/>
  <c r="AG66" s="1"/>
  <c r="X107"/>
  <c r="AG107" s="1"/>
  <c r="X91"/>
  <c r="AG91" s="1"/>
  <c r="X75"/>
  <c r="AG75" s="1"/>
  <c r="X54"/>
  <c r="AG54" s="1"/>
  <c r="X49"/>
  <c r="AG49" s="1"/>
  <c r="X33"/>
  <c r="AG33" s="1"/>
  <c r="X17"/>
  <c r="AG17" s="1"/>
  <c r="X46"/>
  <c r="AG46" s="1"/>
  <c r="X30"/>
  <c r="AG30" s="1"/>
  <c r="X14"/>
  <c r="AG14" s="1"/>
  <c r="X426"/>
  <c r="AG426" s="1"/>
  <c r="X410"/>
  <c r="AG410" s="1"/>
  <c r="X394"/>
  <c r="AG394" s="1"/>
  <c r="X378"/>
  <c r="AG378" s="1"/>
  <c r="X361"/>
  <c r="AG361" s="1"/>
  <c r="X425"/>
  <c r="AG425" s="1"/>
  <c r="X409"/>
  <c r="AG409" s="1"/>
  <c r="X393"/>
  <c r="AG393" s="1"/>
  <c r="X377"/>
  <c r="AG377" s="1"/>
  <c r="X359"/>
  <c r="AG359" s="1"/>
  <c r="X354"/>
  <c r="AG354" s="1"/>
  <c r="X338"/>
  <c r="AG338" s="1"/>
  <c r="X322"/>
  <c r="AG322" s="1"/>
  <c r="X306"/>
  <c r="AG306" s="1"/>
  <c r="X290"/>
  <c r="AG290" s="1"/>
  <c r="X274"/>
  <c r="AG274" s="1"/>
  <c r="X258"/>
  <c r="AG258" s="1"/>
  <c r="X238"/>
  <c r="AG238" s="1"/>
  <c r="X341"/>
  <c r="AG341" s="1"/>
  <c r="X325"/>
  <c r="AG325" s="1"/>
  <c r="X309"/>
  <c r="AG309" s="1"/>
  <c r="X293"/>
  <c r="AG293" s="1"/>
  <c r="X277"/>
  <c r="AG277" s="1"/>
  <c r="X261"/>
  <c r="AG261" s="1"/>
  <c r="X244"/>
  <c r="AG244" s="1"/>
  <c r="X243"/>
  <c r="AG243" s="1"/>
  <c r="X227"/>
  <c r="AG227" s="1"/>
  <c r="X211"/>
  <c r="AG211" s="1"/>
  <c r="X195"/>
  <c r="AG195" s="1"/>
  <c r="X179"/>
  <c r="AG179" s="1"/>
  <c r="X163"/>
  <c r="AG163" s="1"/>
  <c r="X143"/>
  <c r="AG143" s="1"/>
  <c r="X216"/>
  <c r="AG216" s="1"/>
  <c r="X200"/>
  <c r="AG200" s="1"/>
  <c r="X184"/>
  <c r="AG184" s="1"/>
  <c r="X168"/>
  <c r="AG168" s="1"/>
  <c r="X152"/>
  <c r="AG152" s="1"/>
  <c r="X121"/>
  <c r="AG121" s="1"/>
  <c r="X140"/>
  <c r="AG140" s="1"/>
  <c r="X124"/>
  <c r="AG124" s="1"/>
  <c r="X108"/>
  <c r="AG108" s="1"/>
  <c r="X92"/>
  <c r="AG92" s="1"/>
  <c r="X76"/>
  <c r="AG76" s="1"/>
  <c r="X60"/>
  <c r="AG60" s="1"/>
  <c r="X101"/>
  <c r="AG101" s="1"/>
  <c r="X85"/>
  <c r="AG85" s="1"/>
  <c r="X69"/>
  <c r="AG69" s="1"/>
  <c r="X59"/>
  <c r="AG59" s="1"/>
  <c r="X43"/>
  <c r="AG43" s="1"/>
  <c r="X27"/>
  <c r="AG27" s="1"/>
  <c r="X11"/>
  <c r="AG11" s="1"/>
  <c r="X40"/>
  <c r="AG40" s="1"/>
  <c r="X24"/>
  <c r="AG24" s="1"/>
  <c r="X8"/>
  <c r="AG8" s="1"/>
  <c r="Z273"/>
  <c r="AI273" s="1"/>
  <c r="Z337"/>
  <c r="AI337" s="1"/>
  <c r="Z286"/>
  <c r="AI286" s="1"/>
  <c r="Z350"/>
  <c r="AI350" s="1"/>
  <c r="Z405"/>
  <c r="AI405" s="1"/>
  <c r="Z392"/>
  <c r="AI392" s="1"/>
  <c r="Z265"/>
  <c r="AI265" s="1"/>
  <c r="Z329"/>
  <c r="AI329" s="1"/>
  <c r="Z278"/>
  <c r="AI278" s="1"/>
  <c r="Z342"/>
  <c r="AI342" s="1"/>
  <c r="Z397"/>
  <c r="AI397" s="1"/>
  <c r="Z384"/>
  <c r="AI384" s="1"/>
  <c r="Z253"/>
  <c r="AI253" s="1"/>
  <c r="U420"/>
  <c r="AD420" s="1"/>
  <c r="U404"/>
  <c r="AD404" s="1"/>
  <c r="U388"/>
  <c r="AD388" s="1"/>
  <c r="U372"/>
  <c r="AD372" s="1"/>
  <c r="U350"/>
  <c r="AD350" s="1"/>
  <c r="U351"/>
  <c r="AD351" s="1"/>
  <c r="U335"/>
  <c r="AD335" s="1"/>
  <c r="U319"/>
  <c r="AD319" s="1"/>
  <c r="U303"/>
  <c r="AD303" s="1"/>
  <c r="U287"/>
  <c r="AD287" s="1"/>
  <c r="U271"/>
  <c r="AD271" s="1"/>
  <c r="U255"/>
  <c r="AD255" s="1"/>
  <c r="U233"/>
  <c r="AD233" s="1"/>
  <c r="U336"/>
  <c r="AD336" s="1"/>
  <c r="U320"/>
  <c r="AD320" s="1"/>
  <c r="U304"/>
  <c r="AD304" s="1"/>
  <c r="U288"/>
  <c r="AD288" s="1"/>
  <c r="U272"/>
  <c r="AD272" s="1"/>
  <c r="U256"/>
  <c r="AD256" s="1"/>
  <c r="U235"/>
  <c r="AD235" s="1"/>
  <c r="U238"/>
  <c r="AD238" s="1"/>
  <c r="U222"/>
  <c r="AD222" s="1"/>
  <c r="U206"/>
  <c r="AD206" s="1"/>
  <c r="U190"/>
  <c r="AD190" s="1"/>
  <c r="U174"/>
  <c r="AD174" s="1"/>
  <c r="U158"/>
  <c r="AD158" s="1"/>
  <c r="U134"/>
  <c r="AD134" s="1"/>
  <c r="U213"/>
  <c r="AD213" s="1"/>
  <c r="U197"/>
  <c r="AD197" s="1"/>
  <c r="U181"/>
  <c r="AD181" s="1"/>
  <c r="U165"/>
  <c r="AD165" s="1"/>
  <c r="U148"/>
  <c r="AD148" s="1"/>
  <c r="U116"/>
  <c r="AD116" s="1"/>
  <c r="U135"/>
  <c r="AD135" s="1"/>
  <c r="U119"/>
  <c r="AD119" s="1"/>
  <c r="U103"/>
  <c r="AD103" s="1"/>
  <c r="U87"/>
  <c r="AD87" s="1"/>
  <c r="U71"/>
  <c r="AD71" s="1"/>
  <c r="U112"/>
  <c r="AD112" s="1"/>
  <c r="U96"/>
  <c r="AD96" s="1"/>
  <c r="U80"/>
  <c r="AD80" s="1"/>
  <c r="U64"/>
  <c r="AD64" s="1"/>
  <c r="U54"/>
  <c r="AD54" s="1"/>
  <c r="U38"/>
  <c r="AD38" s="1"/>
  <c r="U22"/>
  <c r="AD22" s="1"/>
  <c r="U6"/>
  <c r="AD6" s="1"/>
  <c r="U35"/>
  <c r="AD35" s="1"/>
  <c r="U19"/>
  <c r="AD19" s="1"/>
  <c r="X428"/>
  <c r="AG428" s="1"/>
  <c r="X412"/>
  <c r="AG412" s="1"/>
  <c r="X396"/>
  <c r="AG396" s="1"/>
  <c r="X380"/>
  <c r="AG380" s="1"/>
  <c r="X364"/>
  <c r="AG364" s="1"/>
  <c r="X427"/>
  <c r="AG427" s="1"/>
  <c r="X411"/>
  <c r="AG411" s="1"/>
  <c r="X395"/>
  <c r="AG395" s="1"/>
  <c r="X379"/>
  <c r="AG379" s="1"/>
  <c r="X363"/>
  <c r="AG363" s="1"/>
  <c r="X356"/>
  <c r="AG356" s="1"/>
  <c r="X340"/>
  <c r="AG340" s="1"/>
  <c r="X324"/>
  <c r="AG324" s="1"/>
  <c r="X308"/>
  <c r="AG308" s="1"/>
  <c r="X292"/>
  <c r="AG292" s="1"/>
  <c r="X276"/>
  <c r="AG276" s="1"/>
  <c r="X260"/>
  <c r="AG260" s="1"/>
  <c r="X242"/>
  <c r="AG242" s="1"/>
  <c r="X343"/>
  <c r="AG343" s="1"/>
  <c r="X327"/>
  <c r="AG327" s="1"/>
  <c r="X311"/>
  <c r="AG311" s="1"/>
  <c r="X295"/>
  <c r="AG295" s="1"/>
  <c r="X279"/>
  <c r="AG279" s="1"/>
  <c r="X263"/>
  <c r="AG263" s="1"/>
  <c r="X247"/>
  <c r="AG247" s="1"/>
  <c r="X245"/>
  <c r="AG245" s="1"/>
  <c r="X229"/>
  <c r="AG229" s="1"/>
  <c r="X213"/>
  <c r="AG213" s="1"/>
  <c r="X197"/>
  <c r="AG197" s="1"/>
  <c r="X181"/>
  <c r="AG181" s="1"/>
  <c r="X165"/>
  <c r="AG165" s="1"/>
  <c r="X147"/>
  <c r="AG147" s="1"/>
  <c r="X115"/>
  <c r="AG115" s="1"/>
  <c r="X202"/>
  <c r="AG202" s="1"/>
  <c r="X186"/>
  <c r="AG186" s="1"/>
  <c r="X170"/>
  <c r="AG170" s="1"/>
  <c r="X154"/>
  <c r="AG154" s="1"/>
  <c r="X125"/>
  <c r="AG125" s="1"/>
  <c r="X142"/>
  <c r="AG142" s="1"/>
  <c r="X126"/>
  <c r="AG126" s="1"/>
  <c r="X110"/>
  <c r="AG110" s="1"/>
  <c r="X94"/>
  <c r="AG94" s="1"/>
  <c r="X78"/>
  <c r="AG78" s="1"/>
  <c r="X62"/>
  <c r="AG62" s="1"/>
  <c r="X103"/>
  <c r="AG103" s="1"/>
  <c r="X87"/>
  <c r="AG87" s="1"/>
  <c r="X71"/>
  <c r="AG71" s="1"/>
  <c r="X61"/>
  <c r="AG61" s="1"/>
  <c r="X45"/>
  <c r="AG45" s="1"/>
  <c r="X29"/>
  <c r="AG29" s="1"/>
  <c r="X13"/>
  <c r="AG13" s="1"/>
  <c r="X42"/>
  <c r="AG42" s="1"/>
  <c r="X26"/>
  <c r="AG26" s="1"/>
  <c r="X10"/>
  <c r="AG10" s="1"/>
  <c r="X422"/>
  <c r="AG422" s="1"/>
  <c r="X406"/>
  <c r="AG406" s="1"/>
  <c r="X390"/>
  <c r="AG390" s="1"/>
  <c r="X374"/>
  <c r="AG374" s="1"/>
  <c r="X353"/>
  <c r="AG353" s="1"/>
  <c r="X421"/>
  <c r="AG421" s="1"/>
  <c r="X405"/>
  <c r="AG405" s="1"/>
  <c r="X389"/>
  <c r="AG389" s="1"/>
  <c r="X373"/>
  <c r="AG373" s="1"/>
  <c r="X351"/>
  <c r="AG351" s="1"/>
  <c r="X350"/>
  <c r="AG350" s="1"/>
  <c r="X334"/>
  <c r="AG334" s="1"/>
  <c r="X318"/>
  <c r="AG318" s="1"/>
  <c r="X302"/>
  <c r="AG302" s="1"/>
  <c r="X286"/>
  <c r="AG286" s="1"/>
  <c r="X270"/>
  <c r="AG270" s="1"/>
  <c r="X254"/>
  <c r="AG254" s="1"/>
  <c r="X230"/>
  <c r="AG230" s="1"/>
  <c r="X337"/>
  <c r="AG337" s="1"/>
  <c r="X321"/>
  <c r="AG321" s="1"/>
  <c r="X305"/>
  <c r="AG305" s="1"/>
  <c r="X289"/>
  <c r="AG289" s="1"/>
  <c r="X273"/>
  <c r="AG273" s="1"/>
  <c r="X257"/>
  <c r="AG257" s="1"/>
  <c r="X236"/>
  <c r="AG236" s="1"/>
  <c r="X239"/>
  <c r="AG239" s="1"/>
  <c r="X223"/>
  <c r="AG223" s="1"/>
  <c r="X207"/>
  <c r="AG207" s="1"/>
  <c r="X191"/>
  <c r="AG191" s="1"/>
  <c r="X175"/>
  <c r="AG175" s="1"/>
  <c r="X159"/>
  <c r="AG159" s="1"/>
  <c r="X135"/>
  <c r="AG135" s="1"/>
  <c r="X212"/>
  <c r="AG212" s="1"/>
  <c r="X196"/>
  <c r="AG196" s="1"/>
  <c r="X180"/>
  <c r="AG180" s="1"/>
  <c r="X164"/>
  <c r="AG164" s="1"/>
  <c r="X145"/>
  <c r="AG145" s="1"/>
  <c r="X113"/>
  <c r="AG113" s="1"/>
  <c r="X136"/>
  <c r="AG136" s="1"/>
  <c r="X120"/>
  <c r="AG120" s="1"/>
  <c r="X104"/>
  <c r="AG104" s="1"/>
  <c r="X88"/>
  <c r="AG88" s="1"/>
  <c r="X72"/>
  <c r="AG72" s="1"/>
  <c r="X52"/>
  <c r="AG52" s="1"/>
  <c r="X97"/>
  <c r="AG97" s="1"/>
  <c r="X81"/>
  <c r="AG81" s="1"/>
  <c r="X65"/>
  <c r="AG65" s="1"/>
  <c r="X55"/>
  <c r="AG55" s="1"/>
  <c r="X39"/>
  <c r="AG39" s="1"/>
  <c r="X23"/>
  <c r="AG23" s="1"/>
  <c r="X7"/>
  <c r="AG7" s="1"/>
  <c r="X36"/>
  <c r="AG36" s="1"/>
  <c r="Z346"/>
  <c r="AI346" s="1"/>
  <c r="Z401"/>
  <c r="AI401" s="1"/>
  <c r="Z388"/>
  <c r="AI388" s="1"/>
  <c r="Z289"/>
  <c r="AI289" s="1"/>
  <c r="Z232"/>
  <c r="AI232" s="1"/>
  <c r="Z302"/>
  <c r="AI302" s="1"/>
  <c r="Z353"/>
  <c r="AI353" s="1"/>
  <c r="Z421"/>
  <c r="AI421" s="1"/>
  <c r="Z408"/>
  <c r="AI408" s="1"/>
  <c r="Z281"/>
  <c r="AI281" s="1"/>
  <c r="Z345"/>
  <c r="AI345" s="1"/>
  <c r="Z294"/>
  <c r="AI294" s="1"/>
  <c r="Z358"/>
  <c r="AI358" s="1"/>
  <c r="Z413"/>
  <c r="AI413" s="1"/>
  <c r="Z400"/>
  <c r="AI400" s="1"/>
  <c r="U430"/>
  <c r="AD430" s="1"/>
  <c r="U426"/>
  <c r="AD426" s="1"/>
  <c r="U422"/>
  <c r="AD422" s="1"/>
  <c r="U418"/>
  <c r="AD418" s="1"/>
  <c r="U414"/>
  <c r="AD414" s="1"/>
  <c r="U410"/>
  <c r="AD410" s="1"/>
  <c r="U406"/>
  <c r="AD406" s="1"/>
  <c r="U402"/>
  <c r="AD402" s="1"/>
  <c r="U398"/>
  <c r="AD398" s="1"/>
  <c r="U394"/>
  <c r="AD394" s="1"/>
  <c r="U390"/>
  <c r="AD390" s="1"/>
  <c r="U386"/>
  <c r="AD386" s="1"/>
  <c r="U382"/>
  <c r="AD382" s="1"/>
  <c r="U378"/>
  <c r="AD378" s="1"/>
  <c r="U374"/>
  <c r="AD374" s="1"/>
  <c r="U370"/>
  <c r="AD370" s="1"/>
  <c r="U366"/>
  <c r="AD366" s="1"/>
  <c r="U362"/>
  <c r="AD362" s="1"/>
  <c r="U354"/>
  <c r="AD354" s="1"/>
  <c r="U346"/>
  <c r="AD346" s="1"/>
  <c r="U361"/>
  <c r="AD361" s="1"/>
  <c r="U357"/>
  <c r="AD357" s="1"/>
  <c r="U353"/>
  <c r="AD353" s="1"/>
  <c r="U349"/>
  <c r="AD349" s="1"/>
  <c r="U345"/>
  <c r="AD345" s="1"/>
  <c r="U341"/>
  <c r="AD341" s="1"/>
  <c r="U337"/>
  <c r="AD337" s="1"/>
  <c r="U333"/>
  <c r="AD333" s="1"/>
  <c r="U329"/>
  <c r="AD329" s="1"/>
  <c r="U325"/>
  <c r="AD325" s="1"/>
  <c r="U321"/>
  <c r="AD321" s="1"/>
  <c r="U317"/>
  <c r="AD317" s="1"/>
  <c r="U313"/>
  <c r="AD313" s="1"/>
  <c r="U309"/>
  <c r="AD309" s="1"/>
  <c r="U305"/>
  <c r="AD305" s="1"/>
  <c r="U301"/>
  <c r="AD301" s="1"/>
  <c r="U297"/>
  <c r="AD297" s="1"/>
  <c r="U293"/>
  <c r="AD293" s="1"/>
  <c r="U289"/>
  <c r="AD289" s="1"/>
  <c r="U285"/>
  <c r="AD285" s="1"/>
  <c r="U281"/>
  <c r="AD281" s="1"/>
  <c r="U277"/>
  <c r="AD277" s="1"/>
  <c r="U273"/>
  <c r="AD273" s="1"/>
  <c r="U269"/>
  <c r="AD269" s="1"/>
  <c r="U265"/>
  <c r="AD265" s="1"/>
  <c r="U261"/>
  <c r="AD261" s="1"/>
  <c r="U257"/>
  <c r="AD257" s="1"/>
  <c r="U253"/>
  <c r="AD253" s="1"/>
  <c r="U249"/>
  <c r="AD249" s="1"/>
  <c r="U245"/>
  <c r="AD245" s="1"/>
  <c r="U237"/>
  <c r="AD237" s="1"/>
  <c r="U229"/>
  <c r="AD229" s="1"/>
  <c r="U221"/>
  <c r="AD221" s="1"/>
  <c r="U342"/>
  <c r="AD342" s="1"/>
  <c r="U338"/>
  <c r="AD338" s="1"/>
  <c r="U334"/>
  <c r="AD334" s="1"/>
  <c r="U330"/>
  <c r="AD330" s="1"/>
  <c r="U326"/>
  <c r="AD326" s="1"/>
  <c r="U322"/>
  <c r="AD322" s="1"/>
  <c r="U318"/>
  <c r="AD318" s="1"/>
  <c r="U314"/>
  <c r="AD314" s="1"/>
  <c r="U310"/>
  <c r="AD310" s="1"/>
  <c r="U306"/>
  <c r="AD306" s="1"/>
  <c r="U302"/>
  <c r="AD302" s="1"/>
  <c r="U298"/>
  <c r="AD298" s="1"/>
  <c r="U294"/>
  <c r="AD294" s="1"/>
  <c r="U290"/>
  <c r="AD290" s="1"/>
  <c r="U286"/>
  <c r="AD286" s="1"/>
  <c r="U282"/>
  <c r="AD282" s="1"/>
  <c r="U278"/>
  <c r="AD278" s="1"/>
  <c r="U274"/>
  <c r="AD274" s="1"/>
  <c r="U270"/>
  <c r="AD270" s="1"/>
  <c r="U266"/>
  <c r="AD266" s="1"/>
  <c r="U262"/>
  <c r="AD262" s="1"/>
  <c r="U258"/>
  <c r="AD258" s="1"/>
  <c r="U254"/>
  <c r="AD254" s="1"/>
  <c r="U250"/>
  <c r="AD250" s="1"/>
  <c r="U246"/>
  <c r="AD246" s="1"/>
  <c r="U239"/>
  <c r="AD239" s="1"/>
  <c r="U231"/>
  <c r="AD231" s="1"/>
  <c r="U223"/>
  <c r="AD223" s="1"/>
  <c r="U244"/>
  <c r="AD244" s="1"/>
  <c r="U240"/>
  <c r="AD240" s="1"/>
  <c r="U236"/>
  <c r="AD236" s="1"/>
  <c r="U232"/>
  <c r="AD232" s="1"/>
  <c r="U228"/>
  <c r="AD228" s="1"/>
  <c r="U224"/>
  <c r="AD224" s="1"/>
  <c r="U220"/>
  <c r="AD220" s="1"/>
  <c r="U216"/>
  <c r="AD216" s="1"/>
  <c r="U212"/>
  <c r="AD212" s="1"/>
  <c r="U208"/>
  <c r="AD208" s="1"/>
  <c r="U204"/>
  <c r="AD204" s="1"/>
  <c r="U200"/>
  <c r="AD200" s="1"/>
  <c r="U196"/>
  <c r="AD196" s="1"/>
  <c r="U192"/>
  <c r="AD192" s="1"/>
  <c r="U188"/>
  <c r="AD188" s="1"/>
  <c r="U184"/>
  <c r="AD184" s="1"/>
  <c r="U180"/>
  <c r="AD180" s="1"/>
  <c r="U176"/>
  <c r="AD176" s="1"/>
  <c r="U172"/>
  <c r="AD172" s="1"/>
  <c r="U168"/>
  <c r="AD168" s="1"/>
  <c r="U164"/>
  <c r="AD164" s="1"/>
  <c r="U160"/>
  <c r="AD160" s="1"/>
  <c r="U156"/>
  <c r="AD156" s="1"/>
  <c r="U152"/>
  <c r="AD152" s="1"/>
  <c r="U146"/>
  <c r="AD146" s="1"/>
  <c r="U138"/>
  <c r="AD138" s="1"/>
  <c r="U130"/>
  <c r="AD130" s="1"/>
  <c r="U122"/>
  <c r="AD122" s="1"/>
  <c r="U114"/>
  <c r="AD114" s="1"/>
  <c r="U215"/>
  <c r="AD215" s="1"/>
  <c r="U211"/>
  <c r="AD211" s="1"/>
  <c r="U207"/>
  <c r="AD207" s="1"/>
  <c r="U203"/>
  <c r="AD203" s="1"/>
  <c r="U199"/>
  <c r="AD199" s="1"/>
  <c r="U195"/>
  <c r="AD195" s="1"/>
  <c r="U191"/>
  <c r="AD191" s="1"/>
  <c r="U187"/>
  <c r="AD187" s="1"/>
  <c r="U183"/>
  <c r="AD183" s="1"/>
  <c r="U179"/>
  <c r="AD179" s="1"/>
  <c r="U175"/>
  <c r="AD175" s="1"/>
  <c r="U171"/>
  <c r="AD171" s="1"/>
  <c r="U167"/>
  <c r="AD167" s="1"/>
  <c r="U163"/>
  <c r="AD163" s="1"/>
  <c r="U159"/>
  <c r="AD159" s="1"/>
  <c r="U155"/>
  <c r="AD155" s="1"/>
  <c r="U151"/>
  <c r="AD151" s="1"/>
  <c r="U144"/>
  <c r="AD144" s="1"/>
  <c r="U136"/>
  <c r="AD136" s="1"/>
  <c r="U128"/>
  <c r="AD128" s="1"/>
  <c r="U120"/>
  <c r="AD120" s="1"/>
  <c r="U149"/>
  <c r="AD149" s="1"/>
  <c r="U145"/>
  <c r="AD145" s="1"/>
  <c r="U141"/>
  <c r="AD141" s="1"/>
  <c r="U137"/>
  <c r="AD137" s="1"/>
  <c r="U133"/>
  <c r="AD133" s="1"/>
  <c r="U129"/>
  <c r="AD129" s="1"/>
  <c r="U125"/>
  <c r="AD125" s="1"/>
  <c r="U121"/>
  <c r="AD121" s="1"/>
  <c r="U117"/>
  <c r="AD117" s="1"/>
  <c r="U113"/>
  <c r="AD113" s="1"/>
  <c r="U109"/>
  <c r="AD109" s="1"/>
  <c r="U105"/>
  <c r="AD105" s="1"/>
  <c r="U101"/>
  <c r="AD101" s="1"/>
  <c r="U97"/>
  <c r="AD97" s="1"/>
  <c r="U93"/>
  <c r="AD93" s="1"/>
  <c r="U89"/>
  <c r="AD89" s="1"/>
  <c r="U85"/>
  <c r="AD85" s="1"/>
  <c r="U81"/>
  <c r="AD81" s="1"/>
  <c r="U77"/>
  <c r="AD77" s="1"/>
  <c r="U73"/>
  <c r="AD73" s="1"/>
  <c r="U69"/>
  <c r="AD69" s="1"/>
  <c r="U65"/>
  <c r="AD65" s="1"/>
  <c r="U59"/>
  <c r="AD59" s="1"/>
  <c r="U51"/>
  <c r="AD51" s="1"/>
  <c r="U110"/>
  <c r="AD110" s="1"/>
  <c r="U106"/>
  <c r="AD106" s="1"/>
  <c r="U102"/>
  <c r="AD102" s="1"/>
  <c r="U98"/>
  <c r="AD98" s="1"/>
  <c r="U94"/>
  <c r="AD94" s="1"/>
  <c r="U90"/>
  <c r="AD90" s="1"/>
  <c r="U86"/>
  <c r="AD86" s="1"/>
  <c r="U82"/>
  <c r="AD82" s="1"/>
  <c r="U78"/>
  <c r="AD78" s="1"/>
  <c r="U74"/>
  <c r="AD74" s="1"/>
  <c r="U70"/>
  <c r="AD70" s="1"/>
  <c r="U66"/>
  <c r="AD66" s="1"/>
  <c r="U62"/>
  <c r="AD62" s="1"/>
  <c r="U57"/>
  <c r="AD57" s="1"/>
  <c r="U60"/>
  <c r="AD60" s="1"/>
  <c r="U56"/>
  <c r="AD56" s="1"/>
  <c r="U52"/>
  <c r="AD52" s="1"/>
  <c r="U48"/>
  <c r="AD48" s="1"/>
  <c r="U44"/>
  <c r="AD44" s="1"/>
  <c r="U40"/>
  <c r="AD40" s="1"/>
  <c r="U36"/>
  <c r="AD36" s="1"/>
  <c r="U32"/>
  <c r="AD32" s="1"/>
  <c r="U28"/>
  <c r="AD28" s="1"/>
  <c r="U24"/>
  <c r="AD24" s="1"/>
  <c r="U20"/>
  <c r="AD20" s="1"/>
  <c r="U16"/>
  <c r="AD16" s="1"/>
  <c r="U12"/>
  <c r="AD12" s="1"/>
  <c r="U8"/>
  <c r="AD8" s="1"/>
  <c r="U49"/>
  <c r="AD49" s="1"/>
  <c r="U45"/>
  <c r="AD45" s="1"/>
  <c r="U41"/>
  <c r="AD41" s="1"/>
  <c r="U37"/>
  <c r="AD37" s="1"/>
  <c r="U33"/>
  <c r="AD33" s="1"/>
  <c r="U29"/>
  <c r="AD29" s="1"/>
  <c r="U25"/>
  <c r="AD25" s="1"/>
  <c r="U21"/>
  <c r="AD21" s="1"/>
  <c r="U17"/>
  <c r="AD17" s="1"/>
  <c r="U13"/>
  <c r="AD13" s="1"/>
  <c r="U9"/>
  <c r="AD9" s="1"/>
  <c r="AL96" l="1"/>
  <c r="AL372"/>
  <c r="AL157"/>
  <c r="AL122"/>
  <c r="AL314"/>
  <c r="AL414"/>
  <c r="AL109"/>
  <c r="AL172"/>
  <c r="AL12"/>
  <c r="AL86"/>
  <c r="AL146"/>
  <c r="AL180"/>
  <c r="AL246"/>
  <c r="AL294"/>
  <c r="AL261"/>
  <c r="AL116"/>
  <c r="AL18"/>
  <c r="AL403"/>
  <c r="AL21"/>
  <c r="AL24"/>
  <c r="AL40"/>
  <c r="AL89"/>
  <c r="AL105"/>
  <c r="AL120"/>
  <c r="AL183"/>
  <c r="AL237"/>
  <c r="AL257"/>
  <c r="AL354"/>
  <c r="AL390"/>
  <c r="AL272"/>
  <c r="AL365"/>
  <c r="AL209"/>
  <c r="AL111"/>
  <c r="AL28"/>
  <c r="AL203"/>
  <c r="AL164"/>
  <c r="AL277"/>
  <c r="AL426"/>
  <c r="AL17"/>
  <c r="AL33"/>
  <c r="AL49"/>
  <c r="AL20"/>
  <c r="AL36"/>
  <c r="AL52"/>
  <c r="AL62"/>
  <c r="AL78"/>
  <c r="AL94"/>
  <c r="AL110"/>
  <c r="AL69"/>
  <c r="AL85"/>
  <c r="AL101"/>
  <c r="AL117"/>
  <c r="AL133"/>
  <c r="AL149"/>
  <c r="AL144"/>
  <c r="AL163"/>
  <c r="AL179"/>
  <c r="AL195"/>
  <c r="AL211"/>
  <c r="AL130"/>
  <c r="AL156"/>
  <c r="AL188"/>
  <c r="AL204"/>
  <c r="AL220"/>
  <c r="AL236"/>
  <c r="AL231"/>
  <c r="AL254"/>
  <c r="AL270"/>
  <c r="AL286"/>
  <c r="AL302"/>
  <c r="AL318"/>
  <c r="AL334"/>
  <c r="AL229"/>
  <c r="AL253"/>
  <c r="AL269"/>
  <c r="AL285"/>
  <c r="AL301"/>
  <c r="AL317"/>
  <c r="AL333"/>
  <c r="AL349"/>
  <c r="AL346"/>
  <c r="AL370"/>
  <c r="AL386"/>
  <c r="AL402"/>
  <c r="AL418"/>
  <c r="AL35"/>
  <c r="AL54"/>
  <c r="AL112"/>
  <c r="AL119"/>
  <c r="AL134"/>
  <c r="AL206"/>
  <c r="AL256"/>
  <c r="AL320"/>
  <c r="AL271"/>
  <c r="AL335"/>
  <c r="AL388"/>
  <c r="AL23"/>
  <c r="AL42"/>
  <c r="AL100"/>
  <c r="AL107"/>
  <c r="AL194"/>
  <c r="AL308"/>
  <c r="AL259"/>
  <c r="AL323"/>
  <c r="AL376"/>
  <c r="AL348"/>
  <c r="AL47"/>
  <c r="AL67"/>
  <c r="AL177"/>
  <c r="AL218"/>
  <c r="AL332"/>
  <c r="AL347"/>
  <c r="AL360"/>
  <c r="AL431"/>
  <c r="AL248"/>
  <c r="AL43"/>
  <c r="AL63"/>
  <c r="AL173"/>
  <c r="AL214"/>
  <c r="AL328"/>
  <c r="AL397"/>
  <c r="AL429"/>
  <c r="AL198"/>
  <c r="AL76"/>
  <c r="AL147"/>
  <c r="AL170"/>
  <c r="AL284"/>
  <c r="AL299"/>
  <c r="AL387"/>
  <c r="AL419"/>
  <c r="AL230"/>
  <c r="AL401"/>
  <c r="AL5"/>
  <c r="AL217"/>
  <c r="AL399"/>
  <c r="AL356"/>
  <c r="AL416"/>
  <c r="AL393"/>
  <c r="AL417"/>
  <c r="AL13"/>
  <c r="AL29"/>
  <c r="AL45"/>
  <c r="AL16"/>
  <c r="AL32"/>
  <c r="AL48"/>
  <c r="AL57"/>
  <c r="AL74"/>
  <c r="AL90"/>
  <c r="AL106"/>
  <c r="AL65"/>
  <c r="AL81"/>
  <c r="AL97"/>
  <c r="AL113"/>
  <c r="AL129"/>
  <c r="AL145"/>
  <c r="AL136"/>
  <c r="AL159"/>
  <c r="AL175"/>
  <c r="AL191"/>
  <c r="AL207"/>
  <c r="AL152"/>
  <c r="AL168"/>
  <c r="AL184"/>
  <c r="AL200"/>
  <c r="AL216"/>
  <c r="AL232"/>
  <c r="AL223"/>
  <c r="AL250"/>
  <c r="AL266"/>
  <c r="AL282"/>
  <c r="AL298"/>
  <c r="AL330"/>
  <c r="AL221"/>
  <c r="AL249"/>
  <c r="AL265"/>
  <c r="AL281"/>
  <c r="AL297"/>
  <c r="AL313"/>
  <c r="AL329"/>
  <c r="AL345"/>
  <c r="AL361"/>
  <c r="AL366"/>
  <c r="AL382"/>
  <c r="AL398"/>
  <c r="AL430"/>
  <c r="AL19"/>
  <c r="AL38"/>
  <c r="AL103"/>
  <c r="AL148"/>
  <c r="AL213"/>
  <c r="AL190"/>
  <c r="AL235"/>
  <c r="AL304"/>
  <c r="AL255"/>
  <c r="AL319"/>
  <c r="AL7"/>
  <c r="AL26"/>
  <c r="AL84"/>
  <c r="AL91"/>
  <c r="AL124"/>
  <c r="AL201"/>
  <c r="AL178"/>
  <c r="AL242"/>
  <c r="AL292"/>
  <c r="AL241"/>
  <c r="AL307"/>
  <c r="AL358"/>
  <c r="AL424"/>
  <c r="AL15"/>
  <c r="AL92"/>
  <c r="AL140"/>
  <c r="AL186"/>
  <c r="AL300"/>
  <c r="AL315"/>
  <c r="AL4"/>
  <c r="AL391"/>
  <c r="AL423"/>
  <c r="AL118"/>
  <c r="AL11"/>
  <c r="AL88"/>
  <c r="AL132"/>
  <c r="AL182"/>
  <c r="AL296"/>
  <c r="AL311"/>
  <c r="AL428"/>
  <c r="AL389"/>
  <c r="AL421"/>
  <c r="AL380"/>
  <c r="AL50"/>
  <c r="AL115"/>
  <c r="AL126"/>
  <c r="AL252"/>
  <c r="AL267"/>
  <c r="AL384"/>
  <c r="AL379"/>
  <c r="AL411"/>
  <c r="AL46"/>
  <c r="AL166"/>
  <c r="AL327"/>
  <c r="AL377"/>
  <c r="AL165"/>
  <c r="AL243"/>
  <c r="AL343"/>
  <c r="AL104"/>
  <c r="AL9"/>
  <c r="AL25"/>
  <c r="AL41"/>
  <c r="AL44"/>
  <c r="AL60"/>
  <c r="AL70"/>
  <c r="AL102"/>
  <c r="AL59"/>
  <c r="AL77"/>
  <c r="AL93"/>
  <c r="AL125"/>
  <c r="AL141"/>
  <c r="AL128"/>
  <c r="AL155"/>
  <c r="AL171"/>
  <c r="AL187"/>
  <c r="AL114"/>
  <c r="AL196"/>
  <c r="AL212"/>
  <c r="AL228"/>
  <c r="AL244"/>
  <c r="AL262"/>
  <c r="AL278"/>
  <c r="AL310"/>
  <c r="AL326"/>
  <c r="AL342"/>
  <c r="AL245"/>
  <c r="AL293"/>
  <c r="AL309"/>
  <c r="AL325"/>
  <c r="AL341"/>
  <c r="AL357"/>
  <c r="AL362"/>
  <c r="AL378"/>
  <c r="AL394"/>
  <c r="AL410"/>
  <c r="AL22"/>
  <c r="AL80"/>
  <c r="AL87"/>
  <c r="AL197"/>
  <c r="AL174"/>
  <c r="AL238"/>
  <c r="AL288"/>
  <c r="AL233"/>
  <c r="AL303"/>
  <c r="AL350"/>
  <c r="AL420"/>
  <c r="AL10"/>
  <c r="AL68"/>
  <c r="AL75"/>
  <c r="AL139"/>
  <c r="AL185"/>
  <c r="AL162"/>
  <c r="AL226"/>
  <c r="AL276"/>
  <c r="AL340"/>
  <c r="AL291"/>
  <c r="AL355"/>
  <c r="AL408"/>
  <c r="AL373"/>
  <c r="AL61"/>
  <c r="AL131"/>
  <c r="AL154"/>
  <c r="AL268"/>
  <c r="AL283"/>
  <c r="AL400"/>
  <c r="AL383"/>
  <c r="AL415"/>
  <c r="AL143"/>
  <c r="AL359"/>
  <c r="AL53"/>
  <c r="AL127"/>
  <c r="AL150"/>
  <c r="AL264"/>
  <c r="AL279"/>
  <c r="AL396"/>
  <c r="AL381"/>
  <c r="AL413"/>
  <c r="AL79"/>
  <c r="AL295"/>
  <c r="AL83"/>
  <c r="AL193"/>
  <c r="AL234"/>
  <c r="AL225"/>
  <c r="AL363"/>
  <c r="AL369"/>
  <c r="AL27"/>
  <c r="AL189"/>
  <c r="AL263"/>
  <c r="AL153"/>
  <c r="AL412"/>
  <c r="AL37"/>
  <c r="AL8"/>
  <c r="AL56"/>
  <c r="AL66"/>
  <c r="AL82"/>
  <c r="AL98"/>
  <c r="AL51"/>
  <c r="AL73"/>
  <c r="AL121"/>
  <c r="AL137"/>
  <c r="AL151"/>
  <c r="AL167"/>
  <c r="AL199"/>
  <c r="AL215"/>
  <c r="AL138"/>
  <c r="AL160"/>
  <c r="AL176"/>
  <c r="AL192"/>
  <c r="AL208"/>
  <c r="AL224"/>
  <c r="AL240"/>
  <c r="AL239"/>
  <c r="AL258"/>
  <c r="AL274"/>
  <c r="AL290"/>
  <c r="AL306"/>
  <c r="AL322"/>
  <c r="AL338"/>
  <c r="AL273"/>
  <c r="AL289"/>
  <c r="AL305"/>
  <c r="AL321"/>
  <c r="AL337"/>
  <c r="AL353"/>
  <c r="AL374"/>
  <c r="AL406"/>
  <c r="AL422"/>
  <c r="AL6"/>
  <c r="AL64"/>
  <c r="AL71"/>
  <c r="AL135"/>
  <c r="AL181"/>
  <c r="AL158"/>
  <c r="AL222"/>
  <c r="AL336"/>
  <c r="AL287"/>
  <c r="AL351"/>
  <c r="AL404"/>
  <c r="AL39"/>
  <c r="AL58"/>
  <c r="AL55"/>
  <c r="AL123"/>
  <c r="AL169"/>
  <c r="AL142"/>
  <c r="AL210"/>
  <c r="AL260"/>
  <c r="AL324"/>
  <c r="AL275"/>
  <c r="AL339"/>
  <c r="AL392"/>
  <c r="AL34"/>
  <c r="AL99"/>
  <c r="AL227"/>
  <c r="AL251"/>
  <c r="AL368"/>
  <c r="AL375"/>
  <c r="AL407"/>
  <c r="AL72"/>
  <c r="AL344"/>
  <c r="AL30"/>
  <c r="AL95"/>
  <c r="AL205"/>
  <c r="AL219"/>
  <c r="AL247"/>
  <c r="AL364"/>
  <c r="AL371"/>
  <c r="AL405"/>
  <c r="AL14"/>
  <c r="AL312"/>
  <c r="AL31"/>
  <c r="AL108"/>
  <c r="AL161"/>
  <c r="AL202"/>
  <c r="AL316"/>
  <c r="AL331"/>
  <c r="AL352"/>
  <c r="AL395"/>
  <c r="AL427"/>
  <c r="AL280"/>
  <c r="AL367"/>
  <c r="AL425"/>
  <c r="AL385"/>
  <c r="AL409"/>
</calcChain>
</file>

<file path=xl/sharedStrings.xml><?xml version="1.0" encoding="utf-8"?>
<sst xmlns="http://schemas.openxmlformats.org/spreadsheetml/2006/main" count="963" uniqueCount="507">
  <si>
    <t>Kommunenavn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</si>
  <si>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</si>
  <si>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</si>
  <si>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</si>
  <si>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</si>
  <si>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</si>
  <si>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</si>
  <si>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</si>
  <si>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</si>
  <si>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</si>
  <si>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</si>
  <si>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</si>
  <si>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</si>
  <si>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</si>
  <si>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</si>
  <si>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</si>
  <si>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</si>
  <si>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</si>
  <si>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</si>
  <si>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</si>
  <si>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</si>
  <si>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</si>
  <si>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</si>
  <si>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</si>
  <si>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</si>
  <si>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</si>
  <si>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</si>
  <si>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</si>
  <si>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</si>
  <si>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</si>
  <si>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</si>
  <si>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</si>
  <si>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</si>
  <si>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</si>
  <si>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</si>
  <si>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</si>
  <si>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</si>
  <si>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</si>
  <si>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</si>
  <si>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</si>
  <si>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</si>
  <si>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</si>
  <si>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</si>
  <si>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</si>
  <si>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</si>
  <si>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</si>
  <si>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</si>
  <si>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</si>
  <si>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</si>
  <si>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</si>
  <si>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</si>
  <si>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</si>
  <si>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</si>
  <si>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</si>
  <si>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</si>
  <si>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</si>
  <si>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</si>
  <si>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</si>
  <si>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</si>
  <si>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</si>
  <si>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</si>
  <si>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</si>
  <si>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</si>
  <si>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</si>
  <si>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</si>
  <si>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</si>
  <si>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</si>
  <si>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</si>
  <si>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</si>
  <si>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</si>
  <si>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</si>
  <si>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</si>
  <si>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</si>
  <si>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</si>
  <si>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</si>
  <si>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</si>
  <si>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</si>
  <si>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</si>
  <si>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</si>
  <si>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</si>
  <si>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</si>
  <si>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</si>
  <si>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</si>
  <si>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</si>
  <si>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</si>
  <si>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</si>
  <si>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</si>
  <si>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</si>
  <si>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</si>
  <si>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</si>
  <si>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</si>
  <si>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</si>
  <si>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</si>
  <si>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</si>
  <si>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</si>
  <si>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</si>
  <si>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</si>
  <si>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</si>
  <si>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</si>
  <si>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</si>
  <si>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</si>
  <si>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</si>
  <si>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</si>
  <si>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</si>
  <si>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</si>
  <si>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</si>
  <si>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</si>
  <si>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</si>
  <si>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</si>
  <si>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</si>
  <si>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</si>
  <si>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</si>
  <si>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</si>
  <si>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</si>
  <si>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</si>
  <si>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</si>
  <si>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</si>
  <si>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</si>
  <si>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</si>
  <si>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</si>
  <si>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</si>
  <si>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</si>
  <si>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</si>
  <si>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</si>
  <si>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</si>
  <si>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</si>
  <si>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</si>
  <si>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</si>
  <si>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</si>
  <si>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</si>
  <si>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</si>
  <si>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</si>
  <si>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</si>
  <si>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</si>
  <si>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</si>
  <si>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</si>
  <si>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</si>
  <si>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</si>
  <si>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</si>
  <si>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</si>
  <si>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</si>
  <si>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</si>
  <si>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</si>
  <si>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</si>
  <si>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</si>
  <si>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</si>
  <si>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</si>
  <si>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</si>
  <si>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</si>
  <si>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</si>
  <si>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</si>
  <si>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</si>
  <si>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</si>
  <si>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</si>
  <si>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</si>
  <si>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</si>
  <si>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</si>
  <si>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</si>
  <si>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</si>
  <si>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</si>
  <si>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</si>
  <si>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</si>
  <si>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</si>
  <si>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</si>
  <si>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</si>
  <si>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</si>
  <si>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</si>
  <si>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</si>
  <si>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</si>
  <si>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</si>
  <si>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</si>
  <si>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</si>
  <si>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</si>
  <si>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</si>
  <si>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</si>
  <si>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</si>
  <si>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</si>
  <si>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</si>
  <si>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</si>
  <si>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</si>
  <si>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</si>
  <si>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</si>
  <si>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</si>
  <si>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</si>
  <si>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</si>
  <si>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</si>
  <si>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</si>
  <si>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</si>
  <si>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</si>
  <si>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</si>
  <si>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</si>
  <si>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</si>
  <si>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</si>
  <si>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</si>
  <si>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</si>
  <si>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</si>
  <si>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</si>
  <si>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</si>
  <si>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</si>
  <si>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</si>
  <si>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</si>
  <si>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</si>
  <si>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</si>
  <si>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</si>
  <si>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</si>
  <si>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</si>
  <si>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</si>
  <si>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</si>
  <si>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</si>
  <si>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</si>
  <si>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</si>
  <si>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</si>
  <si>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</si>
  <si>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</si>
  <si>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</si>
  <si>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</si>
  <si>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</si>
  <si>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</si>
  <si>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</si>
  <si>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</si>
  <si>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</si>
  <si>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</si>
  <si>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</si>
  <si>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</si>
  <si>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</si>
  <si>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</si>
  <si>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</si>
  <si>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</si>
  <si>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</si>
  <si>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</si>
  <si>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</si>
  <si>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</si>
  <si>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</si>
  <si>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</si>
  <si>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</si>
  <si>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</si>
  <si>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</si>
  <si>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</si>
  <si>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</si>
  <si>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</si>
  <si>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</si>
  <si>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</si>
  <si>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</si>
  <si>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</si>
  <si>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</si>
  <si>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</si>
  <si>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</si>
  <si>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</si>
  <si>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</si>
  <si>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</si>
  <si>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</si>
  <si>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</si>
  <si>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</si>
  <si>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</si>
  <si>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</si>
  <si>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</si>
  <si>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</si>
  <si>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</si>
  <si>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</si>
  <si>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</si>
  <si>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</si>
  <si>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</si>
  <si>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</si>
  <si>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</si>
  <si>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</si>
  <si>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</si>
  <si>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</si>
  <si>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</si>
  <si>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</si>
  <si>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</si>
  <si>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</si>
  <si>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</si>
  <si>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</si>
  <si>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</si>
  <si>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</si>
  <si>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</si>
  <si>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</si>
  <si>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</si>
  <si>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</si>
  <si>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</si>
  <si>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</si>
  <si>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</si>
  <si>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</si>
  <si>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</si>
  <si>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</si>
  <si>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</si>
  <si>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</si>
  <si>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</si>
  <si>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</si>
  <si>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</si>
  <si>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</si>
  <si>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</si>
  <si>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</si>
  <si>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</si>
  <si>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</si>
  <si>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</si>
  <si>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</si>
  <si>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</si>
  <si>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</si>
  <si>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</si>
  <si>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</si>
  <si>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</si>
  <si>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</si>
  <si>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</si>
  <si>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</si>
  <si>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</si>
  <si>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</si>
  <si>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</si>
  <si>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</si>
  <si>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</si>
  <si>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</si>
  <si>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</si>
  <si>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</si>
  <si>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</si>
  <si>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</si>
  <si>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</si>
  <si>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</si>
  <si>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</si>
  <si>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</si>
  <si>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</si>
  <si>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</si>
  <si>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</si>
  <si>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</si>
  <si>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</si>
  <si>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</si>
  <si>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</si>
  <si>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</si>
  <si>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</si>
  <si>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</si>
  <si>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</si>
  <si>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</si>
  <si>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</si>
  <si>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</si>
  <si>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</si>
  <si>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</si>
  <si>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</si>
  <si>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</si>
  <si>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</si>
  <si>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</si>
  <si>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</si>
  <si>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</si>
  <si>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</si>
  <si>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</si>
  <si>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</si>
  <si>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</si>
  <si>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</si>
  <si>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</si>
  <si>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</si>
  <si>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</si>
  <si>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</si>
  <si>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</si>
  <si>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</si>
  <si>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</si>
  <si>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</si>
  <si>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</si>
  <si>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</si>
  <si>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</si>
  <si>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</si>
  <si>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</si>
  <si>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</si>
  <si>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</si>
  <si>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</si>
  <si>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</si>
  <si>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</si>
  <si>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</si>
  <si>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</si>
  <si>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</si>
  <si>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</si>
  <si>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</si>
  <si>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</si>
  <si>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</si>
  <si>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</si>
  <si>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</si>
  <si>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</si>
  <si>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</si>
  <si>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</si>
  <si>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</si>
  <si>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</si>
  <si>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</si>
  <si>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</si>
  <si>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</si>
  <si>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</si>
  <si>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</si>
  <si>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</si>
  <si>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</si>
  <si>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</si>
  <si>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</si>
  <si>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</si>
  <si>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</si>
  <si>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</si>
  <si>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</si>
  <si>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</si>
  <si>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</si>
  <si>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</si>
  <si>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</si>
  <si>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</si>
  <si>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</si>
  <si>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</si>
  <si>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</si>
  <si>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</si>
  <si>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</si>
  <si>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</si>
  <si>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</si>
  <si>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</si>
  <si>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</si>
  <si>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</si>
  <si>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Gaivuotna -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</si>
  <si>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</si>
  <si>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</si>
  <si>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</si>
  <si>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</si>
  <si>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</si>
  <si>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</si>
  <si>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Guovdageaidnu -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</si>
  <si>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</si>
  <si>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</si>
  <si>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</si>
  <si>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</si>
  <si>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</si>
  <si>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</si>
  <si>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</si>
  <si>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Karasjohka - Karasjok</t>
  </si>
  <si>
    <t>2022 Lebesby</t>
  </si>
  <si>
    <t>2023 Gamvik</t>
  </si>
  <si>
    <t>2024 Berlevåg</t>
  </si>
  <si>
    <t>2025 Deatnu - Tana</t>
  </si>
  <si>
    <t>2027 Unjarga - Nesseby</t>
  </si>
  <si>
    <t>2028 Båtsfjord</t>
  </si>
  <si>
    <t>2030 Sør-Varanger</t>
  </si>
  <si>
    <t>Kvinner20-39</t>
  </si>
  <si>
    <t>Eldre67+</t>
  </si>
  <si>
    <t>Folk20-64</t>
  </si>
  <si>
    <t>Totalareal</t>
  </si>
  <si>
    <t>ReisetidOslo</t>
  </si>
  <si>
    <t>NIBR 11</t>
  </si>
  <si>
    <t>Vektingssett</t>
  </si>
  <si>
    <t>Reisetid</t>
  </si>
  <si>
    <t>Inntekt</t>
  </si>
  <si>
    <t>Sum vekt</t>
  </si>
  <si>
    <t>Geografi</t>
  </si>
  <si>
    <t>beftettotal</t>
  </si>
  <si>
    <t>Beftetthettotal</t>
  </si>
  <si>
    <t>Befvekst10</t>
  </si>
  <si>
    <t>Kvinneandel</t>
  </si>
  <si>
    <t>Eldreandel</t>
  </si>
  <si>
    <t>Sysselsettingsvekst10</t>
  </si>
  <si>
    <t>Yrkesaktivandel</t>
  </si>
  <si>
    <t>Syssvekst5</t>
  </si>
  <si>
    <t>Syssandel</t>
  </si>
  <si>
    <t>Demografi</t>
  </si>
  <si>
    <t>Arbeidsmarked</t>
  </si>
  <si>
    <t>Levekår</t>
  </si>
  <si>
    <t>Emneområde</t>
  </si>
  <si>
    <t>Trunkerte verdier</t>
  </si>
  <si>
    <t>befvekst10</t>
  </si>
  <si>
    <t>Syssvekst10</t>
  </si>
  <si>
    <t>Yrkesaktiveandel</t>
  </si>
  <si>
    <t>Persentil 0,1</t>
  </si>
  <si>
    <t>Persentil 0,9</t>
  </si>
  <si>
    <t>Maks</t>
  </si>
  <si>
    <t>Min</t>
  </si>
  <si>
    <t>Snitt</t>
  </si>
  <si>
    <t>Indekserte (og trunkerte) verdier</t>
  </si>
  <si>
    <t>ReisetidOslo-T</t>
  </si>
  <si>
    <t>Befvekst10-T</t>
  </si>
  <si>
    <t>Kvinneandel-T</t>
  </si>
  <si>
    <t>Eldreandel-T</t>
  </si>
  <si>
    <t>Sysselsettingsvekst10-T</t>
  </si>
  <si>
    <t>Yrkesaktivandel-T</t>
  </si>
  <si>
    <t>Inntekt-T</t>
  </si>
  <si>
    <t>ReisetidOslo-I</t>
  </si>
  <si>
    <t>Befvekst10-I</t>
  </si>
  <si>
    <t>Kvinneandel-I</t>
  </si>
  <si>
    <t>Eldreandel-I</t>
  </si>
  <si>
    <t>Sysselsettingsvekst10-I</t>
  </si>
  <si>
    <t>Yrkesaktivandel-I</t>
  </si>
  <si>
    <t>Inntekt-I</t>
  </si>
  <si>
    <t>Bredde</t>
  </si>
  <si>
    <t>Beftettotal-I</t>
  </si>
  <si>
    <t>Beftettotal</t>
  </si>
  <si>
    <t>Beftettotal-T</t>
  </si>
  <si>
    <t>NIBR11</t>
  </si>
  <si>
    <t>NIBR11-T</t>
  </si>
  <si>
    <t>NIBR11-I</t>
  </si>
  <si>
    <t>B04</t>
  </si>
  <si>
    <t>B14</t>
  </si>
  <si>
    <t>Y13</t>
  </si>
  <si>
    <t>S03</t>
  </si>
  <si>
    <t>S13</t>
  </si>
  <si>
    <t>Bruttoinntekt2012</t>
  </si>
  <si>
    <t>DI2014 - Totalareal</t>
  </si>
  <si>
    <t>Vektede verdier</t>
  </si>
  <si>
    <t>NIBR11-v</t>
  </si>
  <si>
    <t>ReisetidOslo-v</t>
  </si>
  <si>
    <t>Beftettotal-v</t>
  </si>
  <si>
    <t>Befvekst10-v</t>
  </si>
  <si>
    <t>Kvinneandel-v</t>
  </si>
  <si>
    <t>Eldreandel-v</t>
  </si>
  <si>
    <t>Sysselsettingsvekst10-v</t>
  </si>
  <si>
    <t>Yrkesaktivandel-v</t>
  </si>
  <si>
    <t>Inntekt-v</t>
  </si>
  <si>
    <t xml:space="preserve"> </t>
  </si>
  <si>
    <t>Distriktsindeksen 2014</t>
  </si>
  <si>
    <t>Faktiske verdier (Hentet fra arket rådata)</t>
  </si>
  <si>
    <t>Grunnlagsdata</t>
  </si>
  <si>
    <t>Data som brukes direkte</t>
  </si>
  <si>
    <t>Utregninger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</si>
</sst>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  <numFmt numFmtId="167" formatCode="_ * #,##0.000000000_ ;_ * \-#,##0.000000000_ ;_ * &quot;-&quot;??_ ;_ @_ "/>
    <numFmt numFmtId="168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theme="1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0" xfId="0" applyNumberFormat="1"/>
    <xf numFmtId="165" fontId="0" fillId="2" borderId="0" xfId="1" applyNumberFormat="1" applyFont="1" applyFill="1"/>
    <xf numFmtId="2" fontId="0" fillId="2" borderId="0" xfId="0" applyNumberFormat="1" applyFill="1"/>
    <xf numFmtId="166" fontId="0" fillId="2" borderId="0" xfId="1" applyNumberFormat="1" applyFont="1" applyFill="1"/>
    <xf numFmtId="164" fontId="0" fillId="2" borderId="0" xfId="0" applyNumberFormat="1" applyFill="1"/>
    <xf numFmtId="0" fontId="0" fillId="0" borderId="5" xfId="0" applyFill="1" applyBorder="1"/>
    <xf numFmtId="167" fontId="0" fillId="2" borderId="0" xfId="1" applyNumberFormat="1" applyFont="1" applyFill="1"/>
    <xf numFmtId="0" fontId="0" fillId="0" borderId="6" xfId="0" applyFill="1" applyBorder="1"/>
    <xf numFmtId="166" fontId="0" fillId="0" borderId="0" xfId="1" applyNumberFormat="1" applyFont="1" applyFill="1"/>
    <xf numFmtId="0" fontId="7" fillId="0" borderId="0" xfId="0" applyFont="1" applyFill="1" applyAlignment="1">
      <alignment horizontal="left"/>
    </xf>
    <xf numFmtId="0" fontId="2" fillId="0" borderId="5" xfId="0" applyFont="1" applyFill="1" applyBorder="1"/>
    <xf numFmtId="164" fontId="0" fillId="0" borderId="0" xfId="0" applyNumberFormat="1"/>
    <xf numFmtId="0" fontId="0" fillId="0" borderId="0" xfId="0" applyFill="1" applyProtection="1"/>
    <xf numFmtId="2" fontId="0" fillId="0" borderId="0" xfId="0" applyNumberFormat="1"/>
    <xf numFmtId="0" fontId="8" fillId="0" borderId="0" xfId="0" applyFont="1"/>
    <xf numFmtId="168" fontId="0" fillId="0" borderId="0" xfId="0" applyNumberFormat="1"/>
    <xf numFmtId="0" fontId="0" fillId="3" borderId="7" xfId="0" applyFill="1" applyBorder="1" applyAlignment="1">
      <alignment horizontal="center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Fill="1" applyBorder="1"/>
    <xf numFmtId="1" fontId="5" fillId="0" borderId="0" xfId="0" applyNumberFormat="1" applyFont="1"/>
    <xf numFmtId="0" fontId="0" fillId="0" borderId="0" xfId="0" applyFill="1"/>
    <xf numFmtId="0" fontId="0" fillId="0" borderId="0" xfId="0"/>
    <xf numFmtId="43" fontId="0" fillId="0" borderId="0" xfId="1" applyFont="1"/>
    <xf numFmtId="166" fontId="0" fillId="0" borderId="0" xfId="1" applyNumberFormat="1" applyFont="1"/>
    <xf numFmtId="0" fontId="0" fillId="3" borderId="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Fill="1" applyBorder="1"/>
    <xf numFmtId="0" fontId="0" fillId="10" borderId="10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9" xfId="0" applyFill="1" applyBorder="1"/>
    <xf numFmtId="0" fontId="0" fillId="9" borderId="12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9" xfId="0" applyFill="1" applyBorder="1"/>
    <xf numFmtId="0" fontId="0" fillId="11" borderId="12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2">
    <cellStyle name="Normal" xfId="0" builtinId="0"/>
    <cellStyle name="Tusenskille" xfId="1" builtinId="3"/>
  </cellStyles>
  <dxfs count="46">
    <dxf>
      <numFmt numFmtId="164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_ * #,##0_ ;_ * \-#,##0_ ;_ * &quot;-&quot;??_ ;_ @_ "/>
    </dxf>
    <dxf>
      <numFmt numFmtId="166" formatCode="_ * #,##0_ ;_ * \-#,##0_ ;_ * &quot;-&quot;??_ ;_ @_ "/>
    </dxf>
    <dxf>
      <numFmt numFmtId="0" formatCode="General"/>
    </dxf>
    <dxf>
      <numFmt numFmtId="166" formatCode="_ * #,##0_ ;_ * \-#,##0_ ;_ * &quot;-&quot;??_ ;_ @_ 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numFmt numFmtId="1" formatCode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protection locked="1" hidden="0"/>
    </dxf>
    <dxf>
      <alignment horizontal="right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  <protection locked="0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Rådatakommune" displayName="Rådatakommune" ref="A2:S430" totalsRowShown="0" headerRowDxfId="45">
  <autoFilter ref="A2:S430">
    <filterColumn colId="14"/>
    <filterColumn colId="15"/>
    <filterColumn colId="16"/>
    <filterColumn colId="17"/>
    <filterColumn colId="18"/>
  </autoFilter>
  <sortState ref="A2:AE429">
    <sortCondition ref="A1:A429"/>
  </sortState>
  <tableColumns count="19">
    <tableColumn id="1" name="Kommunenavn" dataDxfId="44"/>
    <tableColumn id="6" name="B04" dataDxfId="43"/>
    <tableColumn id="7" name="B14" dataDxfId="42"/>
    <tableColumn id="11" name="Y13" dataDxfId="41"/>
    <tableColumn id="12" name="Eldre67+" dataDxfId="40"/>
    <tableColumn id="13" name="Kvinner20-39" dataDxfId="39"/>
    <tableColumn id="15" name="Folk20-64" dataDxfId="38"/>
    <tableColumn id="16" name="S03" dataDxfId="37"/>
    <tableColumn id="17" name="S13" dataDxfId="36"/>
    <tableColumn id="19" name="Totalareal" dataDxfId="35"/>
    <tableColumn id="20" name="Bruttoinntekt2012" dataDxfId="34"/>
    <tableColumn id="21" name="ReisetidOslo" dataDxfId="33"/>
    <tableColumn id="22" name="NIBR11" dataDxfId="32"/>
    <tableColumn id="24" name="beftettotal" dataDxfId="31">
      <calculatedColumnFormula>Rådatakommune[[#This Row],[B14]]/Rådatakommune[[#This Row],[Totalareal]]</calculatedColumnFormula>
    </tableColumn>
    <tableColumn id="25" name="befvekst10" dataDxfId="30">
      <calculatedColumnFormula>Rådatakommune[[#This Row],[B14]]/Rådatakommune[[#This Row],[B04]]-1</calculatedColumnFormula>
    </tableColumn>
    <tableColumn id="26" name="Kvinneandel" dataDxfId="29">
      <calculatedColumnFormula>Rådatakommune[[#This Row],[Kvinner20-39]]/Rådatakommune[[#This Row],[B14]]</calculatedColumnFormula>
    </tableColumn>
    <tableColumn id="27" name="Eldreandel" dataDxfId="28">
      <calculatedColumnFormula>Rådatakommune[[#This Row],[Eldre67+]]/Rådatakommune[[#This Row],[B14]]</calculatedColumnFormula>
    </tableColumn>
    <tableColumn id="28" name="Syssvekst10" dataDxfId="27">
      <calculatedColumnFormula>Rådatakommune[[#This Row],[S13]]/Rådatakommune[[#This Row],[S03]]-1</calculatedColumnFormula>
    </tableColumn>
    <tableColumn id="29" name="Yrkesaktiveandel" dataDxfId="26">
      <calculatedColumnFormula>Rådatakommune[[#This Row],[Y13]]/Rådatakommune[[#This Row],[Folk20-64]]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2" displayName="Tabell2" ref="A3:AL431" totalsRowShown="0" headerRowDxfId="25">
  <autoFilter ref="A3:AL431">
    <filterColumn colId="3"/>
    <filterColumn colId="12"/>
    <filterColumn colId="21"/>
    <filterColumn colId="28"/>
    <filterColumn colId="29"/>
    <filterColumn colId="30"/>
    <filterColumn colId="31"/>
    <filterColumn colId="32"/>
    <filterColumn colId="33"/>
    <filterColumn colId="34"/>
    <filterColumn colId="35"/>
    <filterColumn colId="36"/>
    <filterColumn colId="37"/>
  </autoFilter>
  <sortState ref="A3:AC430">
    <sortCondition ref="A2:A430"/>
  </sortState>
  <tableColumns count="38">
    <tableColumn id="1" name="Kommunenavn" dataDxfId="24"/>
    <tableColumn id="2" name="NIBR11">
      <calculatedColumnFormula>'Rådata-K'!M3</calculatedColumnFormula>
    </tableColumn>
    <tableColumn id="3" name="ReisetidOslo" dataDxfId="23">
      <calculatedColumnFormula>'Rådata-K'!L3</calculatedColumnFormula>
    </tableColumn>
    <tableColumn id="33" name="Beftettotal" dataCellStyle="Tusenskille">
      <calculatedColumnFormula>'Rådata-K'!N3</calculatedColumnFormula>
    </tableColumn>
    <tableColumn id="5" name="Befvekst10" dataCellStyle="Tusenskille">
      <calculatedColumnFormula>'Rådata-K'!O3</calculatedColumnFormula>
    </tableColumn>
    <tableColumn id="6" name="Kvinneandel" dataCellStyle="Tusenskille">
      <calculatedColumnFormula>'Rådata-K'!P3</calculatedColumnFormula>
    </tableColumn>
    <tableColumn id="7" name="Eldreandel" dataCellStyle="Tusenskille">
      <calculatedColumnFormula>'Rådata-K'!Q3</calculatedColumnFormula>
    </tableColumn>
    <tableColumn id="8" name="Sysselsettingsvekst10" dataCellStyle="Tusenskille">
      <calculatedColumnFormula>'Rådata-K'!R3</calculatedColumnFormula>
    </tableColumn>
    <tableColumn id="9" name="Yrkesaktivandel" dataCellStyle="Tusenskille">
      <calculatedColumnFormula>'Rådata-K'!S3</calculatedColumnFormula>
    </tableColumn>
    <tableColumn id="10" name="Inntekt" dataDxfId="22" dataCellStyle="Tusenskille">
      <calculatedColumnFormula>'Rådata-K'!K3</calculatedColumnFormula>
    </tableColumn>
    <tableColumn id="11" name="NIBR11-T" dataDxfId="21">
      <calculatedColumnFormula>Tabell2[[#This Row],[NIBR11]]</calculatedColumnFormula>
    </tableColumn>
    <tableColumn id="12" name="ReisetidOslo-T" dataDxfId="20" dataCellStyle="Tusenskille">
      <calculatedColumnFormula>IF(Tabell2[[#This Row],[ReisetidOslo]]&lt;=C$434,C$434,IF(Tabell2[[#This Row],[ReisetidOslo]]&gt;=C$435,C$435,Tabell2[[#This Row],[ReisetidOslo]]))</calculatedColumnFormula>
    </tableColumn>
    <tableColumn id="32" name="Beftettotal-T" dataCellStyle="Tusenskille">
      <calculatedColumnFormula>IF(Tabell2[[#This Row],[Beftettotal]]&lt;=D$434,D$434,IF(Tabell2[[#This Row],[Beftettotal]]&gt;=D$435,D$435,Tabell2[[#This Row],[Beftettotal]]))</calculatedColumnFormula>
    </tableColumn>
    <tableColumn id="14" name="Befvekst10-T" dataCellStyle="Tusenskille">
      <calculatedColumnFormula>IF(Tabell2[[#This Row],[Befvekst10]]&lt;=E$434,E$434,IF(Tabell2[[#This Row],[Befvekst10]]&gt;=E$435,E$435,Tabell2[[#This Row],[Befvekst10]]))</calculatedColumnFormula>
    </tableColumn>
    <tableColumn id="15" name="Kvinneandel-T" dataCellStyle="Tusenskille">
      <calculatedColumnFormula>IF(Tabell2[[#This Row],[Kvinneandel]]&lt;=F$434,F$434,IF(Tabell2[[#This Row],[Kvinneandel]]&gt;=F$435,F$435,Tabell2[[#This Row],[Kvinneandel]]))</calculatedColumnFormula>
    </tableColumn>
    <tableColumn id="16" name="Eldreandel-T" dataCellStyle="Tusenskille">
      <calculatedColumnFormula>IF(Tabell2[[#This Row],[Eldreandel]]&lt;=G$434,G$434,IF(Tabell2[[#This Row],[Eldreandel]]&gt;=G$435,G$435,Tabell2[[#This Row],[Eldreandel]]))</calculatedColumnFormula>
    </tableColumn>
    <tableColumn id="17" name="Sysselsettingsvekst10-T" dataCellStyle="Tusenskille">
      <calculatedColumnFormula>IF(Tabell2[[#This Row],[Sysselsettingsvekst10]]&lt;=H$434,H$434,IF(Tabell2[[#This Row],[Sysselsettingsvekst10]]&gt;=H$435,H$435,Tabell2[[#This Row],[Sysselsettingsvekst10]]))</calculatedColumnFormula>
    </tableColumn>
    <tableColumn id="18" name="Yrkesaktivandel-T" dataCellStyle="Tusenskille">
      <calculatedColumnFormula>IF(Tabell2[[#This Row],[Yrkesaktivandel]]&lt;=I$434,I$434,IF(Tabell2[[#This Row],[Yrkesaktivandel]]&gt;=I$435,I$435,Tabell2[[#This Row],[Yrkesaktivandel]]))</calculatedColumnFormula>
    </tableColumn>
    <tableColumn id="19" name="Inntekt-T" dataDxfId="19" dataCellStyle="Tusenskille">
      <calculatedColumnFormula>IF(Tabell2[[#This Row],[Inntekt]]&lt;=J$434,J$434,IF(Tabell2[[#This Row],[Inntekt]]&gt;=J$435,J$435,Tabell2[[#This Row],[Inntekt]]))</calculatedColumnFormula>
    </tableColumn>
    <tableColumn id="20" name="NIBR11-I" dataDxfId="18">
      <calculatedColumnFormula>IF(Tabell2[[#This Row],[NIBR11-T]]&lt;=K$437,100,IF(Tabell2[[#This Row],[NIBR11-T]]&gt;=K$436,0,100*(K$436-Tabell2[[#This Row],[NIBR11-T]])/K$439))</calculatedColumnFormula>
    </tableColumn>
    <tableColumn id="21" name="ReisetidOslo-I" dataDxfId="17">
      <calculatedColumnFormula>(L$436-Tabell2[[#This Row],[ReisetidOslo-T]])*100/L$439</calculatedColumnFormula>
    </tableColumn>
    <tableColumn id="31" name="Beftettotal-I" dataDxfId="16">
      <calculatedColumnFormula>100-(M$436-Tabell2[[#This Row],[Beftettotal-T]])*100/M$439</calculatedColumnFormula>
    </tableColumn>
    <tableColumn id="23" name="Befvekst10-I" dataDxfId="15">
      <calculatedColumnFormula>100-(N$436-Tabell2[[#This Row],[Befvekst10-T]])*100/N$439</calculatedColumnFormula>
    </tableColumn>
    <tableColumn id="24" name="Kvinneandel-I" dataDxfId="14">
      <calculatedColumnFormula>100-(O$436-Tabell2[[#This Row],[Kvinneandel-T]])*100/O$439</calculatedColumnFormula>
    </tableColumn>
    <tableColumn id="25" name="Eldreandel-I" dataDxfId="13">
      <calculatedColumnFormula>(P$436-Tabell2[[#This Row],[Eldreandel-T]])*100/P$439</calculatedColumnFormula>
    </tableColumn>
    <tableColumn id="26" name="Sysselsettingsvekst10-I" dataDxfId="12">
      <calculatedColumnFormula>100-(Q$436-Tabell2[[#This Row],[Sysselsettingsvekst10-T]])*100/Q$439</calculatedColumnFormula>
    </tableColumn>
    <tableColumn id="27" name="Yrkesaktivandel-I" dataDxfId="11">
      <calculatedColumnFormula>100-(R$436-Tabell2[[#This Row],[Yrkesaktivandel-T]])*100/R$439</calculatedColumnFormula>
    </tableColumn>
    <tableColumn id="28" name="Inntekt-I" dataDxfId="10">
      <calculatedColumnFormula>100-(S$436-Tabell2[[#This Row],[Inntekt-T]])*100/S$439</calculatedColumnFormula>
    </tableColumn>
    <tableColumn id="40" name="NIBR11-v" dataDxfId="9">
      <calculatedColumnFormula>Tabell2[[#This Row],[NIBR11-I]]*Vekter!$B$3</calculatedColumnFormula>
    </tableColumn>
    <tableColumn id="39" name="ReisetidOslo-v" dataDxfId="8">
      <calculatedColumnFormula>Tabell2[[#This Row],[ReisetidOslo-I]]*Vekter!$C$3</calculatedColumnFormula>
    </tableColumn>
    <tableColumn id="38" name="Beftettotal-v" dataDxfId="7">
      <calculatedColumnFormula>Tabell2[[#This Row],[Beftettotal-I]]*Vekter!$D$3</calculatedColumnFormula>
    </tableColumn>
    <tableColumn id="37" name="Befvekst10-v" dataDxfId="6">
      <calculatedColumnFormula>Tabell2[[#This Row],[Befvekst10-I]]*Vekter!$E$3</calculatedColumnFormula>
    </tableColumn>
    <tableColumn id="36" name="Kvinneandel-v" dataDxfId="5">
      <calculatedColumnFormula>Tabell2[[#This Row],[Kvinneandel-I]]*Vekter!$F$3</calculatedColumnFormula>
    </tableColumn>
    <tableColumn id="43" name="Eldreandel-v" dataDxfId="4">
      <calculatedColumnFormula>Tabell2[[#This Row],[Eldreandel-I]]*Vekter!$G$3</calculatedColumnFormula>
    </tableColumn>
    <tableColumn id="42" name="Sysselsettingsvekst10-v" dataDxfId="3">
      <calculatedColumnFormula>Tabell2[[#This Row],[Sysselsettingsvekst10-I]]*Vekter!$H$3</calculatedColumnFormula>
    </tableColumn>
    <tableColumn id="41" name="Yrkesaktivandel-v" dataDxfId="2">
      <calculatedColumnFormula>Tabell2[[#This Row],[Yrkesaktivandel-I]]*Vekter!$J$3</calculatedColumnFormula>
    </tableColumn>
    <tableColumn id="35" name="Inntekt-v" dataDxfId="1">
      <calculatedColumnFormula>Tabell2[[#This Row],[Inntekt-I]]*Vekter!$L$3</calculatedColumnFormula>
    </tableColumn>
    <tableColumn id="29" name="Distriktsindeksen 2014" dataDxfId="0">
      <calculatedColumnFormula>SUM(Tabell2[[#This Row],[NIBR11-v]:[Inntekt-v]])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0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S161" sqref="S161"/>
    </sheetView>
  </sheetViews>
  <sheetFormatPr baseColWidth="10" defaultColWidth="25" defaultRowHeight="15"/>
  <cols>
    <col min="2" max="4" width="7" bestFit="1" customWidth="1"/>
    <col min="5" max="5" width="10" customWidth="1"/>
    <col min="6" max="6" width="13.7109375" customWidth="1"/>
    <col min="7" max="7" width="10.85546875" customWidth="1"/>
    <col min="8" max="9" width="7" bestFit="1" customWidth="1"/>
    <col min="10" max="10" width="12" customWidth="1"/>
    <col min="11" max="11" width="19.28515625" bestFit="1" customWidth="1"/>
    <col min="12" max="12" width="14.42578125" customWidth="1"/>
    <col min="13" max="13" width="8.28515625" bestFit="1" customWidth="1"/>
    <col min="14" max="15" width="12.85546875" bestFit="1" customWidth="1"/>
    <col min="16" max="16" width="14.28515625" bestFit="1" customWidth="1"/>
    <col min="17" max="17" width="12.7109375" bestFit="1" customWidth="1"/>
    <col min="18" max="18" width="13.5703125" bestFit="1" customWidth="1"/>
    <col min="19" max="19" width="18.5703125" bestFit="1" customWidth="1"/>
  </cols>
  <sheetData>
    <row r="1" spans="1:19" s="50" customFormat="1">
      <c r="B1" s="62" t="s">
        <v>504</v>
      </c>
      <c r="C1" s="62"/>
      <c r="D1" s="62"/>
      <c r="E1" s="62"/>
      <c r="F1" s="62"/>
      <c r="G1" s="62"/>
      <c r="H1" s="62"/>
      <c r="I1" s="62"/>
      <c r="J1" s="62"/>
      <c r="K1" s="63" t="s">
        <v>505</v>
      </c>
      <c r="L1" s="63"/>
      <c r="M1" s="63"/>
      <c r="N1" s="64" t="s">
        <v>506</v>
      </c>
      <c r="O1" s="64"/>
      <c r="P1" s="64"/>
      <c r="Q1" s="64"/>
      <c r="R1" s="64"/>
      <c r="S1" s="64"/>
    </row>
    <row r="2" spans="1:19">
      <c r="A2" s="6" t="s">
        <v>0</v>
      </c>
      <c r="B2" s="5" t="s">
        <v>484</v>
      </c>
      <c r="C2" s="5" t="s">
        <v>485</v>
      </c>
      <c r="D2" s="5" t="s">
        <v>486</v>
      </c>
      <c r="E2" s="5" t="s">
        <v>430</v>
      </c>
      <c r="F2" s="5" t="s">
        <v>429</v>
      </c>
      <c r="G2" s="5" t="s">
        <v>431</v>
      </c>
      <c r="H2" s="5" t="s">
        <v>487</v>
      </c>
      <c r="I2" s="5" t="s">
        <v>488</v>
      </c>
      <c r="J2" s="8" t="s">
        <v>432</v>
      </c>
      <c r="K2" s="8" t="s">
        <v>489</v>
      </c>
      <c r="L2" s="3" t="s">
        <v>433</v>
      </c>
      <c r="M2" s="35" t="s">
        <v>481</v>
      </c>
      <c r="N2" s="8" t="s">
        <v>440</v>
      </c>
      <c r="O2" s="8" t="s">
        <v>454</v>
      </c>
      <c r="P2" s="8" t="s">
        <v>443</v>
      </c>
      <c r="Q2" s="8" t="s">
        <v>444</v>
      </c>
      <c r="R2" s="8" t="s">
        <v>455</v>
      </c>
      <c r="S2" s="8" t="s">
        <v>456</v>
      </c>
    </row>
    <row r="3" spans="1:19">
      <c r="A3" s="1" t="s">
        <v>1</v>
      </c>
      <c r="B3" s="38">
        <v>27464</v>
      </c>
      <c r="C3" s="38">
        <v>30132</v>
      </c>
      <c r="D3" s="38">
        <v>13726</v>
      </c>
      <c r="E3" s="38">
        <v>4744</v>
      </c>
      <c r="F3" s="4">
        <v>3623</v>
      </c>
      <c r="G3" s="4">
        <v>17399</v>
      </c>
      <c r="H3" s="38">
        <v>12017</v>
      </c>
      <c r="I3" s="38">
        <v>12631</v>
      </c>
      <c r="J3" s="7">
        <v>642.23</v>
      </c>
      <c r="K3" s="38">
        <v>339700</v>
      </c>
      <c r="L3">
        <v>78.917773448399998</v>
      </c>
      <c r="M3">
        <v>5</v>
      </c>
      <c r="N3" s="37">
        <f>Rådatakommune[[#This Row],[B14]]/Rådatakommune[[#This Row],[Totalareal]]</f>
        <v>46.917770892048019</v>
      </c>
      <c r="O3" s="39">
        <f>Rådatakommune[[#This Row],[B14]]/Rådatakommune[[#This Row],[B04]]-1</f>
        <v>9.714535391785617E-2</v>
      </c>
      <c r="P3" s="26">
        <f>Rådatakommune[[#This Row],[Kvinner20-39]]/Rådatakommune[[#This Row],[B14]]</f>
        <v>0.12023762113367849</v>
      </c>
      <c r="Q3" s="26">
        <f>Rådatakommune[[#This Row],[Eldre67+]]/Rådatakommune[[#This Row],[B14]]</f>
        <v>0.15744059471658037</v>
      </c>
      <c r="R3" s="26">
        <f>Rådatakommune[[#This Row],[S13]]/Rådatakommune[[#This Row],[S03]]-1</f>
        <v>5.109428309894315E-2</v>
      </c>
      <c r="S3" s="26">
        <f>Rådatakommune[[#This Row],[Y13]]/Rådatakommune[[#This Row],[Folk20-64]]</f>
        <v>0.78889591355825051</v>
      </c>
    </row>
    <row r="4" spans="1:19">
      <c r="A4" s="1" t="s">
        <v>2</v>
      </c>
      <c r="B4" s="38">
        <v>27732</v>
      </c>
      <c r="C4" s="38">
        <v>31308</v>
      </c>
      <c r="D4" s="38">
        <v>14576</v>
      </c>
      <c r="E4" s="38">
        <v>4931</v>
      </c>
      <c r="F4" s="4">
        <v>3639</v>
      </c>
      <c r="G4" s="4">
        <v>18216</v>
      </c>
      <c r="H4" s="38">
        <v>13966</v>
      </c>
      <c r="I4" s="38">
        <v>13889</v>
      </c>
      <c r="J4" s="7">
        <v>63.569999999999993</v>
      </c>
      <c r="K4" s="38">
        <v>360900</v>
      </c>
      <c r="L4">
        <v>43.352067609999999</v>
      </c>
      <c r="M4">
        <v>4</v>
      </c>
      <c r="N4" s="37">
        <f>Rådatakommune[[#This Row],[B14]]/Rådatakommune[[#This Row],[Totalareal]]</f>
        <v>492.49646059462015</v>
      </c>
      <c r="O4" s="39">
        <f>Rådatakommune[[#This Row],[B14]]/Rådatakommune[[#This Row],[B04]]-1</f>
        <v>0.12894850713976624</v>
      </c>
      <c r="P4" s="26">
        <f>Rådatakommune[[#This Row],[Kvinner20-39]]/Rådatakommune[[#This Row],[B14]]</f>
        <v>0.11623227290149482</v>
      </c>
      <c r="Q4" s="26">
        <f>Rådatakommune[[#This Row],[Eldre67+]]/Rådatakommune[[#This Row],[B14]]</f>
        <v>0.15749968059281971</v>
      </c>
      <c r="R4" s="26">
        <f>Rådatakommune[[#This Row],[S13]]/Rådatakommune[[#This Row],[S03]]-1</f>
        <v>-5.5133896606043287E-3</v>
      </c>
      <c r="S4" s="26">
        <f>Rådatakommune[[#This Row],[Y13]]/Rådatakommune[[#This Row],[Folk20-64]]</f>
        <v>0.80017566974088716</v>
      </c>
    </row>
    <row r="5" spans="1:19">
      <c r="A5" s="1" t="s">
        <v>3</v>
      </c>
      <c r="B5" s="38">
        <v>49423</v>
      </c>
      <c r="C5" s="38">
        <v>54059</v>
      </c>
      <c r="D5" s="38">
        <v>24857</v>
      </c>
      <c r="E5" s="38">
        <v>8205</v>
      </c>
      <c r="F5" s="4">
        <v>6496</v>
      </c>
      <c r="G5" s="4">
        <v>31345</v>
      </c>
      <c r="H5" s="38">
        <v>21409</v>
      </c>
      <c r="I5" s="38">
        <v>23388</v>
      </c>
      <c r="J5" s="7">
        <v>404.98</v>
      </c>
      <c r="K5" s="38">
        <v>338800</v>
      </c>
      <c r="L5">
        <v>61.282189696099998</v>
      </c>
      <c r="M5">
        <v>2</v>
      </c>
      <c r="N5" s="37">
        <f>Rådatakommune[[#This Row],[B14]]/Rådatakommune[[#This Row],[Totalareal]]</f>
        <v>133.48560422736924</v>
      </c>
      <c r="O5" s="39">
        <f>Rådatakommune[[#This Row],[B14]]/Rådatakommune[[#This Row],[B04]]-1</f>
        <v>9.3802480626429041E-2</v>
      </c>
      <c r="P5" s="26">
        <f>Rådatakommune[[#This Row],[Kvinner20-39]]/Rådatakommune[[#This Row],[B14]]</f>
        <v>0.12016500490205147</v>
      </c>
      <c r="Q5" s="26">
        <f>Rådatakommune[[#This Row],[Eldre67+]]/Rådatakommune[[#This Row],[B14]]</f>
        <v>0.15177861225697847</v>
      </c>
      <c r="R5" s="26">
        <f>Rådatakommune[[#This Row],[S13]]/Rådatakommune[[#This Row],[S03]]-1</f>
        <v>9.2437759820636289E-2</v>
      </c>
      <c r="S5" s="26">
        <f>Rådatakommune[[#This Row],[Y13]]/Rådatakommune[[#This Row],[Folk20-64]]</f>
        <v>0.79301323975115645</v>
      </c>
    </row>
    <row r="6" spans="1:19">
      <c r="A6" s="1" t="s">
        <v>4</v>
      </c>
      <c r="B6" s="38">
        <v>69867</v>
      </c>
      <c r="C6" s="38">
        <v>77591</v>
      </c>
      <c r="D6" s="38">
        <v>36563</v>
      </c>
      <c r="E6" s="38">
        <v>11657</v>
      </c>
      <c r="F6" s="4">
        <v>9194</v>
      </c>
      <c r="G6" s="4">
        <v>45497</v>
      </c>
      <c r="H6" s="38">
        <v>33013</v>
      </c>
      <c r="I6" s="38">
        <v>35494</v>
      </c>
      <c r="J6" s="7">
        <v>286.71999999999997</v>
      </c>
      <c r="K6" s="38">
        <v>353200</v>
      </c>
      <c r="L6">
        <v>65.471503438900001</v>
      </c>
      <c r="M6">
        <v>2</v>
      </c>
      <c r="N6" s="37">
        <f>Rådatakommune[[#This Row],[B14]]/Rådatakommune[[#This Row],[Totalareal]]</f>
        <v>270.61593191964289</v>
      </c>
      <c r="O6" s="39">
        <f>Rådatakommune[[#This Row],[B14]]/Rådatakommune[[#This Row],[B04]]-1</f>
        <v>0.1105529076674252</v>
      </c>
      <c r="P6" s="26">
        <f>Rådatakommune[[#This Row],[Kvinner20-39]]/Rådatakommune[[#This Row],[B14]]</f>
        <v>0.11849312420254926</v>
      </c>
      <c r="Q6" s="26">
        <f>Rådatakommune[[#This Row],[Eldre67+]]/Rådatakommune[[#This Row],[B14]]</f>
        <v>0.15023649650088283</v>
      </c>
      <c r="R6" s="26">
        <f>Rådatakommune[[#This Row],[S13]]/Rådatakommune[[#This Row],[S03]]-1</f>
        <v>7.5152212764668436E-2</v>
      </c>
      <c r="S6" s="26">
        <f>Rådatakommune[[#This Row],[Y13]]/Rådatakommune[[#This Row],[Folk20-64]]</f>
        <v>0.80363540453216697</v>
      </c>
    </row>
    <row r="7" spans="1:19">
      <c r="A7" s="1" t="s">
        <v>5</v>
      </c>
      <c r="B7" s="38">
        <v>3694</v>
      </c>
      <c r="C7" s="38">
        <v>4386</v>
      </c>
      <c r="D7" s="38">
        <v>2158</v>
      </c>
      <c r="E7" s="38">
        <v>760</v>
      </c>
      <c r="F7" s="4">
        <v>417</v>
      </c>
      <c r="G7" s="4">
        <v>2540</v>
      </c>
      <c r="H7" s="38">
        <v>973</v>
      </c>
      <c r="I7" s="38">
        <v>1235</v>
      </c>
      <c r="J7" s="7">
        <v>90.12</v>
      </c>
      <c r="K7" s="38">
        <v>384800</v>
      </c>
      <c r="L7">
        <v>91.602707731899997</v>
      </c>
      <c r="M7">
        <v>3</v>
      </c>
      <c r="N7" s="37">
        <f>Rådatakommune[[#This Row],[B14]]/Rådatakommune[[#This Row],[Totalareal]]</f>
        <v>48.66844207723036</v>
      </c>
      <c r="O7" s="39">
        <f>Rådatakommune[[#This Row],[B14]]/Rådatakommune[[#This Row],[B04]]-1</f>
        <v>0.1873308067135897</v>
      </c>
      <c r="P7" s="26">
        <f>Rådatakommune[[#This Row],[Kvinner20-39]]/Rådatakommune[[#This Row],[B14]]</f>
        <v>9.5075239398084821E-2</v>
      </c>
      <c r="Q7" s="26">
        <f>Rådatakommune[[#This Row],[Eldre67+]]/Rådatakommune[[#This Row],[B14]]</f>
        <v>0.17327861377108983</v>
      </c>
      <c r="R7" s="26">
        <f>Rådatakommune[[#This Row],[S13]]/Rådatakommune[[#This Row],[S03]]-1</f>
        <v>0.26927029804727654</v>
      </c>
      <c r="S7" s="26">
        <f>Rådatakommune[[#This Row],[Y13]]/Rådatakommune[[#This Row],[Folk20-64]]</f>
        <v>0.84960629921259845</v>
      </c>
    </row>
    <row r="8" spans="1:19">
      <c r="A8" s="1" t="s">
        <v>6</v>
      </c>
      <c r="B8" s="38">
        <v>1437</v>
      </c>
      <c r="C8" s="38">
        <v>1408</v>
      </c>
      <c r="D8" s="38">
        <v>682</v>
      </c>
      <c r="E8" s="38">
        <v>266</v>
      </c>
      <c r="F8" s="4">
        <v>123</v>
      </c>
      <c r="G8" s="4">
        <v>778</v>
      </c>
      <c r="H8" s="38">
        <v>361</v>
      </c>
      <c r="I8" s="38">
        <v>367</v>
      </c>
      <c r="J8" s="7">
        <v>319.27</v>
      </c>
      <c r="K8" s="38">
        <v>344600</v>
      </c>
      <c r="L8">
        <v>91.914837187499998</v>
      </c>
      <c r="M8">
        <v>5</v>
      </c>
      <c r="N8" s="37">
        <f>Rådatakommune[[#This Row],[B14]]/Rådatakommune[[#This Row],[Totalareal]]</f>
        <v>4.4100604504024812</v>
      </c>
      <c r="O8" s="39">
        <f>Rådatakommune[[#This Row],[B14]]/Rådatakommune[[#This Row],[B04]]-1</f>
        <v>-2.0180932498260251E-2</v>
      </c>
      <c r="P8" s="26">
        <f>Rådatakommune[[#This Row],[Kvinner20-39]]/Rådatakommune[[#This Row],[B14]]</f>
        <v>8.7357954545454544E-2</v>
      </c>
      <c r="Q8" s="26">
        <f>Rådatakommune[[#This Row],[Eldre67+]]/Rådatakommune[[#This Row],[B14]]</f>
        <v>0.18892045454545456</v>
      </c>
      <c r="R8" s="26">
        <f>Rådatakommune[[#This Row],[S13]]/Rådatakommune[[#This Row],[S03]]-1</f>
        <v>1.6620498614958512E-2</v>
      </c>
      <c r="S8" s="26">
        <f>Rådatakommune[[#This Row],[Y13]]/Rådatakommune[[#This Row],[Folk20-64]]</f>
        <v>0.87660668380462725</v>
      </c>
    </row>
    <row r="9" spans="1:19">
      <c r="A9" s="1" t="s">
        <v>7</v>
      </c>
      <c r="B9" s="38">
        <v>3409</v>
      </c>
      <c r="C9" s="38">
        <v>3596</v>
      </c>
      <c r="D9" s="38">
        <v>1706</v>
      </c>
      <c r="E9" s="38">
        <v>687</v>
      </c>
      <c r="F9" s="4">
        <v>364</v>
      </c>
      <c r="G9" s="4">
        <v>1995</v>
      </c>
      <c r="H9" s="38">
        <v>1208</v>
      </c>
      <c r="I9" s="38">
        <v>1214</v>
      </c>
      <c r="J9" s="7">
        <v>412.89</v>
      </c>
      <c r="K9" s="38">
        <v>331100</v>
      </c>
      <c r="L9">
        <v>68.578013070300003</v>
      </c>
      <c r="M9">
        <v>5</v>
      </c>
      <c r="N9" s="37">
        <f>Rådatakommune[[#This Row],[B14]]/Rådatakommune[[#This Row],[Totalareal]]</f>
        <v>8.709341471093996</v>
      </c>
      <c r="O9" s="39">
        <f>Rådatakommune[[#This Row],[B14]]/Rådatakommune[[#This Row],[B04]]-1</f>
        <v>5.4854796127896677E-2</v>
      </c>
      <c r="P9" s="26">
        <f>Rådatakommune[[#This Row],[Kvinner20-39]]/Rådatakommune[[#This Row],[B14]]</f>
        <v>0.10122358175750834</v>
      </c>
      <c r="Q9" s="26">
        <f>Rådatakommune[[#This Row],[Eldre67+]]/Rådatakommune[[#This Row],[B14]]</f>
        <v>0.19104560622914349</v>
      </c>
      <c r="R9" s="26">
        <f>Rådatakommune[[#This Row],[S13]]/Rådatakommune[[#This Row],[S03]]-1</f>
        <v>4.9668874172186239E-3</v>
      </c>
      <c r="S9" s="26">
        <f>Rådatakommune[[#This Row],[Y13]]/Rådatakommune[[#This Row],[Folk20-64]]</f>
        <v>0.85513784461152886</v>
      </c>
    </row>
    <row r="10" spans="1:19">
      <c r="A10" s="1" t="s">
        <v>8</v>
      </c>
      <c r="B10" s="38">
        <v>668</v>
      </c>
      <c r="C10" s="38">
        <v>672</v>
      </c>
      <c r="D10" s="38">
        <v>327</v>
      </c>
      <c r="E10" s="38">
        <v>144</v>
      </c>
      <c r="F10" s="4">
        <v>55</v>
      </c>
      <c r="G10" s="4">
        <v>360</v>
      </c>
      <c r="H10" s="38">
        <v>164</v>
      </c>
      <c r="I10" s="38">
        <v>219</v>
      </c>
      <c r="J10" s="7">
        <v>183.14</v>
      </c>
      <c r="K10" s="38">
        <v>354900</v>
      </c>
      <c r="L10">
        <v>68.026200476699998</v>
      </c>
      <c r="M10">
        <v>1</v>
      </c>
      <c r="N10" s="37">
        <f>Rådatakommune[[#This Row],[B14]]/Rådatakommune[[#This Row],[Totalareal]]</f>
        <v>3.669324014415202</v>
      </c>
      <c r="O10" s="39">
        <f>Rådatakommune[[#This Row],[B14]]/Rådatakommune[[#This Row],[B04]]-1</f>
        <v>5.9880239520957446E-3</v>
      </c>
      <c r="P10" s="26">
        <f>Rådatakommune[[#This Row],[Kvinner20-39]]/Rådatakommune[[#This Row],[B14]]</f>
        <v>8.1845238095238096E-2</v>
      </c>
      <c r="Q10" s="26">
        <f>Rådatakommune[[#This Row],[Eldre67+]]/Rådatakommune[[#This Row],[B14]]</f>
        <v>0.21428571428571427</v>
      </c>
      <c r="R10" s="26">
        <f>Rådatakommune[[#This Row],[S13]]/Rådatakommune[[#This Row],[S03]]-1</f>
        <v>0.33536585365853666</v>
      </c>
      <c r="S10" s="26">
        <f>Rådatakommune[[#This Row],[Y13]]/Rådatakommune[[#This Row],[Folk20-64]]</f>
        <v>0.90833333333333333</v>
      </c>
    </row>
    <row r="11" spans="1:19">
      <c r="A11" s="1" t="s">
        <v>9</v>
      </c>
      <c r="B11" s="38">
        <v>4953</v>
      </c>
      <c r="C11" s="38">
        <v>5366</v>
      </c>
      <c r="D11" s="38">
        <v>2684</v>
      </c>
      <c r="E11" s="38">
        <v>836</v>
      </c>
      <c r="F11" s="4">
        <v>584</v>
      </c>
      <c r="G11" s="4">
        <v>3109</v>
      </c>
      <c r="H11" s="38">
        <v>1383</v>
      </c>
      <c r="I11" s="38">
        <v>1544</v>
      </c>
      <c r="J11" s="7">
        <v>204.45000000000002</v>
      </c>
      <c r="K11" s="38">
        <v>350900</v>
      </c>
      <c r="L11">
        <v>55.735764319200001</v>
      </c>
      <c r="M11">
        <v>5</v>
      </c>
      <c r="N11" s="37">
        <f>Rådatakommune[[#This Row],[B14]]/Rådatakommune[[#This Row],[Totalareal]]</f>
        <v>26.246025923208606</v>
      </c>
      <c r="O11" s="39">
        <f>Rådatakommune[[#This Row],[B14]]/Rådatakommune[[#This Row],[B04]]-1</f>
        <v>8.3383807793256715E-2</v>
      </c>
      <c r="P11" s="26">
        <f>Rådatakommune[[#This Row],[Kvinner20-39]]/Rådatakommune[[#This Row],[B14]]</f>
        <v>0.10883339545285128</v>
      </c>
      <c r="Q11" s="26">
        <f>Rådatakommune[[#This Row],[Eldre67+]]/Rådatakommune[[#This Row],[B14]]</f>
        <v>0.15579575102497203</v>
      </c>
      <c r="R11" s="26">
        <f>Rådatakommune[[#This Row],[S13]]/Rådatakommune[[#This Row],[S03]]-1</f>
        <v>0.11641359363702097</v>
      </c>
      <c r="S11" s="26">
        <f>Rådatakommune[[#This Row],[Y13]]/Rådatakommune[[#This Row],[Folk20-64]]</f>
        <v>0.86330009649404948</v>
      </c>
    </row>
    <row r="12" spans="1:19">
      <c r="A12" s="1" t="s">
        <v>10</v>
      </c>
      <c r="B12" s="38">
        <v>4706</v>
      </c>
      <c r="C12" s="38">
        <v>5620</v>
      </c>
      <c r="D12" s="38">
        <v>2805</v>
      </c>
      <c r="E12" s="38">
        <v>826</v>
      </c>
      <c r="F12" s="4">
        <v>666</v>
      </c>
      <c r="G12" s="4">
        <v>3231</v>
      </c>
      <c r="H12" s="38">
        <v>1641</v>
      </c>
      <c r="I12" s="38">
        <v>2072</v>
      </c>
      <c r="J12" s="7">
        <v>142.03</v>
      </c>
      <c r="K12" s="38">
        <v>372800</v>
      </c>
      <c r="L12">
        <v>39.7032359146</v>
      </c>
      <c r="M12">
        <v>1</v>
      </c>
      <c r="N12" s="37">
        <f>Rådatakommune[[#This Row],[B14]]/Rådatakommune[[#This Row],[Totalareal]]</f>
        <v>39.569105118636905</v>
      </c>
      <c r="O12" s="39">
        <f>Rådatakommune[[#This Row],[B14]]/Rådatakommune[[#This Row],[B04]]-1</f>
        <v>0.19422014449638758</v>
      </c>
      <c r="P12" s="26">
        <f>Rådatakommune[[#This Row],[Kvinner20-39]]/Rådatakommune[[#This Row],[B14]]</f>
        <v>0.11850533807829182</v>
      </c>
      <c r="Q12" s="26">
        <f>Rådatakommune[[#This Row],[Eldre67+]]/Rådatakommune[[#This Row],[B14]]</f>
        <v>0.14697508896797154</v>
      </c>
      <c r="R12" s="26">
        <f>Rådatakommune[[#This Row],[S13]]/Rådatakommune[[#This Row],[S03]]-1</f>
        <v>0.26264472882388779</v>
      </c>
      <c r="S12" s="26">
        <f>Rådatakommune[[#This Row],[Y13]]/Rådatakommune[[#This Row],[Folk20-64]]</f>
        <v>0.86815227483751156</v>
      </c>
    </row>
    <row r="13" spans="1:19">
      <c r="A13" s="1" t="s">
        <v>11</v>
      </c>
      <c r="B13" s="38">
        <v>13986</v>
      </c>
      <c r="C13" s="38">
        <v>15430</v>
      </c>
      <c r="D13" s="38">
        <v>7316</v>
      </c>
      <c r="E13" s="38">
        <v>2161</v>
      </c>
      <c r="F13" s="4">
        <v>1827</v>
      </c>
      <c r="G13" s="4">
        <v>9098</v>
      </c>
      <c r="H13" s="38">
        <v>5555</v>
      </c>
      <c r="I13" s="38">
        <v>5851</v>
      </c>
      <c r="J13" s="7">
        <v>69.16</v>
      </c>
      <c r="K13" s="38">
        <v>347200</v>
      </c>
      <c r="L13">
        <v>43.567340327499998</v>
      </c>
      <c r="M13">
        <v>5</v>
      </c>
      <c r="N13" s="37">
        <f>Rådatakommune[[#This Row],[B14]]/Rådatakommune[[#This Row],[Totalareal]]</f>
        <v>223.10584152689418</v>
      </c>
      <c r="O13" s="39">
        <f>Rådatakommune[[#This Row],[B14]]/Rådatakommune[[#This Row],[B04]]-1</f>
        <v>0.10324610324610317</v>
      </c>
      <c r="P13" s="26">
        <f>Rådatakommune[[#This Row],[Kvinner20-39]]/Rådatakommune[[#This Row],[B14]]</f>
        <v>0.11840570317563189</v>
      </c>
      <c r="Q13" s="26">
        <f>Rådatakommune[[#This Row],[Eldre67+]]/Rådatakommune[[#This Row],[B14]]</f>
        <v>0.14005184705119897</v>
      </c>
      <c r="R13" s="26">
        <f>Rådatakommune[[#This Row],[S13]]/Rådatakommune[[#This Row],[S03]]-1</f>
        <v>5.3285328532853393E-2</v>
      </c>
      <c r="S13" s="26">
        <f>Rådatakommune[[#This Row],[Y13]]/Rådatakommune[[#This Row],[Folk20-64]]</f>
        <v>0.80413277643438119</v>
      </c>
    </row>
    <row r="14" spans="1:19">
      <c r="A14" s="1" t="s">
        <v>12</v>
      </c>
      <c r="B14" s="38">
        <v>10121</v>
      </c>
      <c r="C14" s="38">
        <v>11323</v>
      </c>
      <c r="D14" s="38">
        <v>5436</v>
      </c>
      <c r="E14" s="38">
        <v>1751</v>
      </c>
      <c r="F14" s="4">
        <v>1322</v>
      </c>
      <c r="G14" s="4">
        <v>6548</v>
      </c>
      <c r="H14" s="38">
        <v>4592</v>
      </c>
      <c r="I14" s="38">
        <v>4863</v>
      </c>
      <c r="J14" s="7">
        <v>235.91</v>
      </c>
      <c r="K14" s="38">
        <v>334800</v>
      </c>
      <c r="L14">
        <v>53.954692457199997</v>
      </c>
      <c r="M14">
        <v>5</v>
      </c>
      <c r="N14" s="37">
        <f>Rådatakommune[[#This Row],[B14]]/Rådatakommune[[#This Row],[Totalareal]]</f>
        <v>47.997117544826416</v>
      </c>
      <c r="O14" s="39">
        <f>Rådatakommune[[#This Row],[B14]]/Rådatakommune[[#This Row],[B04]]-1</f>
        <v>0.11876296808615749</v>
      </c>
      <c r="P14" s="26">
        <f>Rådatakommune[[#This Row],[Kvinner20-39]]/Rådatakommune[[#This Row],[B14]]</f>
        <v>0.11675351055374017</v>
      </c>
      <c r="Q14" s="26">
        <f>Rådatakommune[[#This Row],[Eldre67+]]/Rådatakommune[[#This Row],[B14]]</f>
        <v>0.15464099620241986</v>
      </c>
      <c r="R14" s="26">
        <f>Rådatakommune[[#This Row],[S13]]/Rådatakommune[[#This Row],[S03]]-1</f>
        <v>5.9015679442508739E-2</v>
      </c>
      <c r="S14" s="26">
        <f>Rådatakommune[[#This Row],[Y13]]/Rådatakommune[[#This Row],[Folk20-64]]</f>
        <v>0.8301771533292609</v>
      </c>
    </row>
    <row r="15" spans="1:19">
      <c r="A15" s="1" t="s">
        <v>13</v>
      </c>
      <c r="B15" s="38">
        <v>3336</v>
      </c>
      <c r="C15" s="38">
        <v>3727</v>
      </c>
      <c r="D15" s="38">
        <v>1899</v>
      </c>
      <c r="E15" s="38">
        <v>487</v>
      </c>
      <c r="F15" s="4">
        <v>449</v>
      </c>
      <c r="G15" s="4">
        <v>2148</v>
      </c>
      <c r="H15" s="38">
        <v>860</v>
      </c>
      <c r="I15" s="38">
        <v>976</v>
      </c>
      <c r="J15" s="7">
        <v>101.21000000000001</v>
      </c>
      <c r="K15" s="38">
        <v>349100</v>
      </c>
      <c r="L15">
        <v>52.956932457199997</v>
      </c>
      <c r="M15">
        <v>5</v>
      </c>
      <c r="N15" s="37">
        <f>Rådatakommune[[#This Row],[B14]]/Rådatakommune[[#This Row],[Totalareal]]</f>
        <v>36.824424463985771</v>
      </c>
      <c r="O15" s="39">
        <f>Rådatakommune[[#This Row],[B14]]/Rådatakommune[[#This Row],[B04]]-1</f>
        <v>0.11720623501199046</v>
      </c>
      <c r="P15" s="26">
        <f>Rådatakommune[[#This Row],[Kvinner20-39]]/Rådatakommune[[#This Row],[B14]]</f>
        <v>0.1204722296753421</v>
      </c>
      <c r="Q15" s="26">
        <f>Rådatakommune[[#This Row],[Eldre67+]]/Rådatakommune[[#This Row],[B14]]</f>
        <v>0.13066809766568285</v>
      </c>
      <c r="R15" s="26">
        <f>Rådatakommune[[#This Row],[S13]]/Rådatakommune[[#This Row],[S03]]-1</f>
        <v>0.13488372093023249</v>
      </c>
      <c r="S15" s="26">
        <f>Rådatakommune[[#This Row],[Y13]]/Rådatakommune[[#This Row],[Folk20-64]]</f>
        <v>0.88407821229050276</v>
      </c>
    </row>
    <row r="16" spans="1:19">
      <c r="A16" s="1" t="s">
        <v>14</v>
      </c>
      <c r="B16" s="38">
        <v>7232</v>
      </c>
      <c r="C16" s="38">
        <v>7974</v>
      </c>
      <c r="D16" s="38">
        <v>3919</v>
      </c>
      <c r="E16" s="38">
        <v>1208</v>
      </c>
      <c r="F16" s="4">
        <v>919</v>
      </c>
      <c r="G16" s="4">
        <v>4632</v>
      </c>
      <c r="H16" s="38">
        <v>2922</v>
      </c>
      <c r="I16" s="38">
        <v>3369</v>
      </c>
      <c r="J16" s="7">
        <v>434.71</v>
      </c>
      <c r="K16" s="38">
        <v>350400</v>
      </c>
      <c r="L16">
        <v>61.598186693599999</v>
      </c>
      <c r="M16">
        <v>2</v>
      </c>
      <c r="N16" s="37">
        <f>Rådatakommune[[#This Row],[B14]]/Rådatakommune[[#This Row],[Totalareal]]</f>
        <v>18.343263324975272</v>
      </c>
      <c r="O16" s="39">
        <f>Rådatakommune[[#This Row],[B14]]/Rådatakommune[[#This Row],[B04]]-1</f>
        <v>0.10259955752212391</v>
      </c>
      <c r="P16" s="26">
        <f>Rådatakommune[[#This Row],[Kvinner20-39]]/Rådatakommune[[#This Row],[B14]]</f>
        <v>0.11524956107348884</v>
      </c>
      <c r="Q16" s="26">
        <f>Rådatakommune[[#This Row],[Eldre67+]]/Rådatakommune[[#This Row],[B14]]</f>
        <v>0.15149235013794835</v>
      </c>
      <c r="R16" s="26">
        <f>Rådatakommune[[#This Row],[S13]]/Rådatakommune[[#This Row],[S03]]-1</f>
        <v>0.15297741273100618</v>
      </c>
      <c r="S16" s="26">
        <f>Rådatakommune[[#This Row],[Y13]]/Rådatakommune[[#This Row],[Folk20-64]]</f>
        <v>0.84607081174438692</v>
      </c>
    </row>
    <row r="17" spans="1:19">
      <c r="A17" s="1" t="s">
        <v>15</v>
      </c>
      <c r="B17" s="38">
        <v>6380</v>
      </c>
      <c r="C17" s="38">
        <v>7104</v>
      </c>
      <c r="D17" s="38">
        <v>3577</v>
      </c>
      <c r="E17" s="38">
        <v>1160</v>
      </c>
      <c r="F17" s="4">
        <v>763</v>
      </c>
      <c r="G17" s="4">
        <v>4097</v>
      </c>
      <c r="H17" s="38">
        <v>2094</v>
      </c>
      <c r="I17" s="38">
        <v>2729</v>
      </c>
      <c r="J17" s="7">
        <v>118.77</v>
      </c>
      <c r="K17" s="38">
        <v>373500</v>
      </c>
      <c r="L17">
        <v>50.793962371500001</v>
      </c>
      <c r="M17">
        <v>2</v>
      </c>
      <c r="N17" s="37">
        <f>Rådatakommune[[#This Row],[B14]]/Rådatakommune[[#This Row],[Totalareal]]</f>
        <v>59.813084112149532</v>
      </c>
      <c r="O17" s="39">
        <f>Rådatakommune[[#This Row],[B14]]/Rådatakommune[[#This Row],[B04]]-1</f>
        <v>0.11347962382445131</v>
      </c>
      <c r="P17" s="26">
        <f>Rådatakommune[[#This Row],[Kvinner20-39]]/Rådatakommune[[#This Row],[B14]]</f>
        <v>0.10740427927927929</v>
      </c>
      <c r="Q17" s="26">
        <f>Rådatakommune[[#This Row],[Eldre67+]]/Rådatakommune[[#This Row],[B14]]</f>
        <v>0.16328828828828829</v>
      </c>
      <c r="R17" s="26">
        <f>Rådatakommune[[#This Row],[S13]]/Rådatakommune[[#This Row],[S03]]-1</f>
        <v>0.30324737344794661</v>
      </c>
      <c r="S17" s="26">
        <f>Rådatakommune[[#This Row],[Y13]]/Rådatakommune[[#This Row],[Folk20-64]]</f>
        <v>0.87307786185013425</v>
      </c>
    </row>
    <row r="18" spans="1:19">
      <c r="A18" s="1" t="s">
        <v>16</v>
      </c>
      <c r="B18" s="38">
        <v>13753</v>
      </c>
      <c r="C18" s="38">
        <v>15101</v>
      </c>
      <c r="D18" s="38">
        <v>7323</v>
      </c>
      <c r="E18" s="38">
        <v>2287</v>
      </c>
      <c r="F18" s="4">
        <v>1589</v>
      </c>
      <c r="G18" s="4">
        <v>8664</v>
      </c>
      <c r="H18" s="38">
        <v>4789</v>
      </c>
      <c r="I18" s="38">
        <v>5985</v>
      </c>
      <c r="J18" s="7">
        <v>74.19</v>
      </c>
      <c r="K18" s="38">
        <v>379300</v>
      </c>
      <c r="L18">
        <v>45.623984997800001</v>
      </c>
      <c r="M18">
        <v>4</v>
      </c>
      <c r="N18" s="37">
        <f>Rådatakommune[[#This Row],[B14]]/Rådatakommune[[#This Row],[Totalareal]]</f>
        <v>203.54495214988543</v>
      </c>
      <c r="O18" s="39">
        <f>Rådatakommune[[#This Row],[B14]]/Rådatakommune[[#This Row],[B04]]-1</f>
        <v>9.8014978550134524E-2</v>
      </c>
      <c r="P18" s="26">
        <f>Rådatakommune[[#This Row],[Kvinner20-39]]/Rådatakommune[[#This Row],[B14]]</f>
        <v>0.10522481954837427</v>
      </c>
      <c r="Q18" s="26">
        <f>Rådatakommune[[#This Row],[Eldre67+]]/Rådatakommune[[#This Row],[B14]]</f>
        <v>0.15144692404476526</v>
      </c>
      <c r="R18" s="26">
        <f>Rådatakommune[[#This Row],[S13]]/Rådatakommune[[#This Row],[S03]]-1</f>
        <v>0.24973898517435789</v>
      </c>
      <c r="S18" s="26">
        <f>Rådatakommune[[#This Row],[Y13]]/Rådatakommune[[#This Row],[Folk20-64]]</f>
        <v>0.84522160664819945</v>
      </c>
    </row>
    <row r="19" spans="1:19">
      <c r="A19" s="1" t="s">
        <v>17</v>
      </c>
      <c r="B19" s="38">
        <v>4003</v>
      </c>
      <c r="C19" s="38">
        <v>4978</v>
      </c>
      <c r="D19" s="38">
        <v>2619</v>
      </c>
      <c r="E19" s="38">
        <v>585</v>
      </c>
      <c r="F19" s="4">
        <v>600</v>
      </c>
      <c r="G19" s="4">
        <v>2967</v>
      </c>
      <c r="H19" s="38">
        <v>1059</v>
      </c>
      <c r="I19" s="38">
        <v>1338</v>
      </c>
      <c r="J19" s="7">
        <v>256.95999999999998</v>
      </c>
      <c r="K19" s="38">
        <v>375000</v>
      </c>
      <c r="L19">
        <v>43.602192132200003</v>
      </c>
      <c r="M19">
        <v>4</v>
      </c>
      <c r="N19" s="37">
        <f>Rådatakommune[[#This Row],[B14]]/Rådatakommune[[#This Row],[Totalareal]]</f>
        <v>19.372665006226651</v>
      </c>
      <c r="O19" s="39">
        <f>Rådatakommune[[#This Row],[B14]]/Rådatakommune[[#This Row],[B04]]-1</f>
        <v>0.24356732450662011</v>
      </c>
      <c r="P19" s="26">
        <f>Rådatakommune[[#This Row],[Kvinner20-39]]/Rådatakommune[[#This Row],[B14]]</f>
        <v>0.12053033346725593</v>
      </c>
      <c r="Q19" s="26">
        <f>Rådatakommune[[#This Row],[Eldre67+]]/Rådatakommune[[#This Row],[B14]]</f>
        <v>0.11751707513057452</v>
      </c>
      <c r="R19" s="26">
        <f>Rådatakommune[[#This Row],[S13]]/Rådatakommune[[#This Row],[S03]]-1</f>
        <v>0.26345609065155817</v>
      </c>
      <c r="S19" s="26">
        <f>Rådatakommune[[#This Row],[Y13]]/Rådatakommune[[#This Row],[Folk20-64]]</f>
        <v>0.88270980788675435</v>
      </c>
    </row>
    <row r="20" spans="1:19">
      <c r="A20" s="1" t="s">
        <v>18</v>
      </c>
      <c r="B20" s="38">
        <v>4504</v>
      </c>
      <c r="C20" s="38">
        <v>5187</v>
      </c>
      <c r="D20" s="38">
        <v>2710</v>
      </c>
      <c r="E20" s="38">
        <v>629</v>
      </c>
      <c r="F20" s="4">
        <v>640</v>
      </c>
      <c r="G20" s="4">
        <v>3159</v>
      </c>
      <c r="H20" s="38">
        <v>955</v>
      </c>
      <c r="I20" s="38">
        <v>1126</v>
      </c>
      <c r="J20" s="7">
        <v>140.38999999999999</v>
      </c>
      <c r="K20" s="38">
        <v>365600</v>
      </c>
      <c r="L20">
        <v>32.984666064899997</v>
      </c>
      <c r="M20">
        <v>1</v>
      </c>
      <c r="N20" s="37">
        <f>Rådatakommune[[#This Row],[B14]]/Rådatakommune[[#This Row],[Totalareal]]</f>
        <v>36.947076002564287</v>
      </c>
      <c r="O20" s="39">
        <f>Rådatakommune[[#This Row],[B14]]/Rådatakommune[[#This Row],[B04]]-1</f>
        <v>0.1516429840142095</v>
      </c>
      <c r="P20" s="26">
        <f>Rådatakommune[[#This Row],[Kvinner20-39]]/Rådatakommune[[#This Row],[B14]]</f>
        <v>0.12338538654328128</v>
      </c>
      <c r="Q20" s="26">
        <f>Rådatakommune[[#This Row],[Eldre67+]]/Rådatakommune[[#This Row],[B14]]</f>
        <v>0.12126470021206863</v>
      </c>
      <c r="R20" s="26">
        <f>Rådatakommune[[#This Row],[S13]]/Rådatakommune[[#This Row],[S03]]-1</f>
        <v>0.17905759162303658</v>
      </c>
      <c r="S20" s="26">
        <f>Rådatakommune[[#This Row],[Y13]]/Rådatakommune[[#This Row],[Folk20-64]]</f>
        <v>0.85786641342196901</v>
      </c>
    </row>
    <row r="21" spans="1:19">
      <c r="A21" s="2" t="s">
        <v>19</v>
      </c>
      <c r="B21" s="38">
        <v>12834</v>
      </c>
      <c r="C21" s="38">
        <v>15944</v>
      </c>
      <c r="D21" s="38">
        <v>8186</v>
      </c>
      <c r="E21" s="38">
        <v>1941</v>
      </c>
      <c r="F21" s="4">
        <v>1862</v>
      </c>
      <c r="G21" s="4">
        <v>9222</v>
      </c>
      <c r="H21" s="38">
        <v>4108</v>
      </c>
      <c r="I21" s="38">
        <v>6784</v>
      </c>
      <c r="J21" s="7">
        <v>133.97</v>
      </c>
      <c r="K21" s="38">
        <v>405300</v>
      </c>
      <c r="L21">
        <v>28.645814424499999</v>
      </c>
      <c r="M21">
        <v>1</v>
      </c>
      <c r="N21" s="37">
        <f>Rådatakommune[[#This Row],[B14]]/Rådatakommune[[#This Row],[Totalareal]]</f>
        <v>119.01171904157647</v>
      </c>
      <c r="O21" s="39">
        <f>Rådatakommune[[#This Row],[B14]]/Rådatakommune[[#This Row],[B04]]-1</f>
        <v>0.24232507402212877</v>
      </c>
      <c r="P21" s="26">
        <f>Rådatakommune[[#This Row],[Kvinner20-39]]/Rådatakommune[[#This Row],[B14]]</f>
        <v>0.11678374310085299</v>
      </c>
      <c r="Q21" s="26">
        <f>Rådatakommune[[#This Row],[Eldre67+]]/Rådatakommune[[#This Row],[B14]]</f>
        <v>0.12173858504766684</v>
      </c>
      <c r="R21" s="26">
        <f>Rådatakommune[[#This Row],[S13]]/Rådatakommune[[#This Row],[S03]]-1</f>
        <v>0.65141187925998056</v>
      </c>
      <c r="S21" s="26">
        <f>Rådatakommune[[#This Row],[Y13]]/Rådatakommune[[#This Row],[Folk20-64]]</f>
        <v>0.88765994361309908</v>
      </c>
    </row>
    <row r="22" spans="1:19">
      <c r="A22" s="2" t="s">
        <v>20</v>
      </c>
      <c r="B22" s="38">
        <v>26588</v>
      </c>
      <c r="C22" s="38">
        <v>29542</v>
      </c>
      <c r="D22" s="38">
        <v>15090</v>
      </c>
      <c r="E22" s="38">
        <v>3821</v>
      </c>
      <c r="F22" s="4">
        <v>3479</v>
      </c>
      <c r="G22" s="4">
        <v>16980</v>
      </c>
      <c r="H22" s="38">
        <v>11063</v>
      </c>
      <c r="I22" s="38">
        <v>13954</v>
      </c>
      <c r="J22" s="7">
        <v>165.53</v>
      </c>
      <c r="K22" s="38">
        <v>421000</v>
      </c>
      <c r="L22">
        <v>22.093889002600001</v>
      </c>
      <c r="M22">
        <v>1</v>
      </c>
      <c r="N22" s="37">
        <f>Rådatakommune[[#This Row],[B14]]/Rådatakommune[[#This Row],[Totalareal]]</f>
        <v>178.46915966894218</v>
      </c>
      <c r="O22" s="39">
        <f>Rådatakommune[[#This Row],[B14]]/Rådatakommune[[#This Row],[B04]]-1</f>
        <v>0.11110275312170903</v>
      </c>
      <c r="P22" s="26">
        <f>Rådatakommune[[#This Row],[Kvinner20-39]]/Rådatakommune[[#This Row],[B14]]</f>
        <v>0.11776453862297745</v>
      </c>
      <c r="Q22" s="26">
        <f>Rådatakommune[[#This Row],[Eldre67+]]/Rådatakommune[[#This Row],[B14]]</f>
        <v>0.12934127682621352</v>
      </c>
      <c r="R22" s="26">
        <f>Rådatakommune[[#This Row],[S13]]/Rådatakommune[[#This Row],[S03]]-1</f>
        <v>0.2613215221910874</v>
      </c>
      <c r="S22" s="26">
        <f>Rådatakommune[[#This Row],[Y13]]/Rådatakommune[[#This Row],[Folk20-64]]</f>
        <v>0.88869257950530034</v>
      </c>
    </row>
    <row r="23" spans="1:19">
      <c r="A23" s="2" t="s">
        <v>21</v>
      </c>
      <c r="B23" s="38">
        <v>14323</v>
      </c>
      <c r="C23" s="38">
        <v>17969</v>
      </c>
      <c r="D23" s="38">
        <v>9302</v>
      </c>
      <c r="E23" s="38">
        <v>2158</v>
      </c>
      <c r="F23" s="4">
        <v>2434</v>
      </c>
      <c r="G23" s="4">
        <v>10789</v>
      </c>
      <c r="H23" s="38">
        <v>7027</v>
      </c>
      <c r="I23" s="38">
        <v>8726</v>
      </c>
      <c r="J23" s="7">
        <v>103.1</v>
      </c>
      <c r="K23" s="38">
        <v>384000</v>
      </c>
      <c r="L23">
        <v>27.831666064899999</v>
      </c>
      <c r="M23">
        <v>1</v>
      </c>
      <c r="N23" s="37">
        <f>Rådatakommune[[#This Row],[B14]]/Rådatakommune[[#This Row],[Totalareal]]</f>
        <v>174.2870999030068</v>
      </c>
      <c r="O23" s="39">
        <f>Rådatakommune[[#This Row],[B14]]/Rådatakommune[[#This Row],[B04]]-1</f>
        <v>0.25455560985826997</v>
      </c>
      <c r="P23" s="26">
        <f>Rådatakommune[[#This Row],[Kvinner20-39]]/Rådatakommune[[#This Row],[B14]]</f>
        <v>0.13545550670599366</v>
      </c>
      <c r="Q23" s="26">
        <f>Rådatakommune[[#This Row],[Eldre67+]]/Rådatakommune[[#This Row],[B14]]</f>
        <v>0.12009572040736824</v>
      </c>
      <c r="R23" s="26">
        <f>Rådatakommune[[#This Row],[S13]]/Rådatakommune[[#This Row],[S03]]-1</f>
        <v>0.24178169916038139</v>
      </c>
      <c r="S23" s="26">
        <f>Rådatakommune[[#This Row],[Y13]]/Rådatakommune[[#This Row],[Folk20-64]]</f>
        <v>0.8621744369264992</v>
      </c>
    </row>
    <row r="24" spans="1:19">
      <c r="A24" s="2" t="s">
        <v>22</v>
      </c>
      <c r="B24" s="38">
        <v>13153</v>
      </c>
      <c r="C24" s="38">
        <v>15671</v>
      </c>
      <c r="D24" s="38">
        <v>8095</v>
      </c>
      <c r="E24" s="38">
        <v>2309</v>
      </c>
      <c r="F24" s="4">
        <v>1610</v>
      </c>
      <c r="G24" s="4">
        <v>8973</v>
      </c>
      <c r="H24" s="38">
        <v>3685</v>
      </c>
      <c r="I24" s="38">
        <v>4410</v>
      </c>
      <c r="J24" s="7">
        <v>85.7</v>
      </c>
      <c r="K24" s="38">
        <v>448000</v>
      </c>
      <c r="L24">
        <v>30.311343656599998</v>
      </c>
      <c r="M24">
        <v>1</v>
      </c>
      <c r="N24" s="37">
        <f>Rådatakommune[[#This Row],[B14]]/Rådatakommune[[#This Row],[Totalareal]]</f>
        <v>182.85880980163361</v>
      </c>
      <c r="O24" s="39">
        <f>Rådatakommune[[#This Row],[B14]]/Rådatakommune[[#This Row],[B04]]-1</f>
        <v>0.19143921538812436</v>
      </c>
      <c r="P24" s="26">
        <f>Rådatakommune[[#This Row],[Kvinner20-39]]/Rådatakommune[[#This Row],[B14]]</f>
        <v>0.10273754068023738</v>
      </c>
      <c r="Q24" s="26">
        <f>Rådatakommune[[#This Row],[Eldre67+]]/Rådatakommune[[#This Row],[B14]]</f>
        <v>0.14734222449109821</v>
      </c>
      <c r="R24" s="26">
        <f>Rådatakommune[[#This Row],[S13]]/Rådatakommune[[#This Row],[S03]]-1</f>
        <v>0.19674355495251028</v>
      </c>
      <c r="S24" s="26">
        <f>Rådatakommune[[#This Row],[Y13]]/Rådatakommune[[#This Row],[Folk20-64]]</f>
        <v>0.90215089713585195</v>
      </c>
    </row>
    <row r="25" spans="1:19">
      <c r="A25" s="2" t="s">
        <v>23</v>
      </c>
      <c r="B25" s="38">
        <v>16074</v>
      </c>
      <c r="C25" s="38">
        <v>18297</v>
      </c>
      <c r="D25" s="38">
        <v>9287</v>
      </c>
      <c r="E25" s="38">
        <v>2147</v>
      </c>
      <c r="F25" s="4">
        <v>2035</v>
      </c>
      <c r="G25" s="4">
        <v>10722</v>
      </c>
      <c r="H25" s="38">
        <v>3957</v>
      </c>
      <c r="I25" s="38">
        <v>4502</v>
      </c>
      <c r="J25" s="7">
        <v>61.46</v>
      </c>
      <c r="K25" s="38">
        <v>419100</v>
      </c>
      <c r="L25">
        <v>41.235457695400001</v>
      </c>
      <c r="M25">
        <v>1</v>
      </c>
      <c r="N25" s="37">
        <f>Rådatakommune[[#This Row],[B14]]/Rådatakommune[[#This Row],[Totalareal]]</f>
        <v>297.70582492678164</v>
      </c>
      <c r="O25" s="39">
        <f>Rådatakommune[[#This Row],[B14]]/Rådatakommune[[#This Row],[B04]]-1</f>
        <v>0.13829787234042556</v>
      </c>
      <c r="P25" s="26">
        <f>Rådatakommune[[#This Row],[Kvinner20-39]]/Rådatakommune[[#This Row],[B14]]</f>
        <v>0.11122041864786578</v>
      </c>
      <c r="Q25" s="26">
        <f>Rådatakommune[[#This Row],[Eldre67+]]/Rådatakommune[[#This Row],[B14]]</f>
        <v>0.11734164070612668</v>
      </c>
      <c r="R25" s="26">
        <f>Rådatakommune[[#This Row],[S13]]/Rådatakommune[[#This Row],[S03]]-1</f>
        <v>0.13773060399292403</v>
      </c>
      <c r="S25" s="26">
        <f>Rådatakommune[[#This Row],[Y13]]/Rådatakommune[[#This Row],[Folk20-64]]</f>
        <v>0.86616302928558109</v>
      </c>
    </row>
    <row r="26" spans="1:19">
      <c r="A26" s="2" t="s">
        <v>24</v>
      </c>
      <c r="B26" s="38">
        <v>23343</v>
      </c>
      <c r="C26" s="38">
        <v>26255</v>
      </c>
      <c r="D26" s="38">
        <v>13384</v>
      </c>
      <c r="E26" s="38">
        <v>3695</v>
      </c>
      <c r="F26" s="4">
        <v>2815</v>
      </c>
      <c r="G26" s="4">
        <v>14916</v>
      </c>
      <c r="H26" s="38">
        <v>9256</v>
      </c>
      <c r="I26" s="38">
        <v>9435</v>
      </c>
      <c r="J26" s="7">
        <v>37.040000000000006</v>
      </c>
      <c r="K26" s="38">
        <v>471700</v>
      </c>
      <c r="L26">
        <v>13.6336217919</v>
      </c>
      <c r="M26">
        <v>1</v>
      </c>
      <c r="N26" s="37">
        <f>Rådatakommune[[#This Row],[B14]]/Rådatakommune[[#This Row],[Totalareal]]</f>
        <v>708.828293736501</v>
      </c>
      <c r="O26" s="39">
        <f>Rådatakommune[[#This Row],[B14]]/Rådatakommune[[#This Row],[B04]]-1</f>
        <v>0.12474831855374191</v>
      </c>
      <c r="P26" s="26">
        <f>Rådatakommune[[#This Row],[Kvinner20-39]]/Rådatakommune[[#This Row],[B14]]</f>
        <v>0.10721767282422395</v>
      </c>
      <c r="Q26" s="26">
        <f>Rådatakommune[[#This Row],[Eldre67+]]/Rådatakommune[[#This Row],[B14]]</f>
        <v>0.14073509807655685</v>
      </c>
      <c r="R26" s="26">
        <f>Rådatakommune[[#This Row],[S13]]/Rådatakommune[[#This Row],[S03]]-1</f>
        <v>1.9338807260155466E-2</v>
      </c>
      <c r="S26" s="26">
        <f>Rådatakommune[[#This Row],[Y13]]/Rådatakommune[[#This Row],[Folk20-64]]</f>
        <v>0.89729149906141059</v>
      </c>
    </row>
    <row r="27" spans="1:19">
      <c r="A27" s="2" t="s">
        <v>25</v>
      </c>
      <c r="B27" s="38">
        <v>103313</v>
      </c>
      <c r="C27" s="38">
        <v>118588</v>
      </c>
      <c r="D27" s="38">
        <v>60609</v>
      </c>
      <c r="E27" s="38">
        <v>16107</v>
      </c>
      <c r="F27" s="4">
        <v>14046</v>
      </c>
      <c r="G27" s="4">
        <v>68199</v>
      </c>
      <c r="H27" s="38">
        <v>59062</v>
      </c>
      <c r="I27" s="38">
        <v>70816</v>
      </c>
      <c r="J27" s="7">
        <v>192.26000000000002</v>
      </c>
      <c r="K27" s="38">
        <v>528500</v>
      </c>
      <c r="L27">
        <v>12.6966354384</v>
      </c>
      <c r="M27">
        <v>1</v>
      </c>
      <c r="N27" s="37">
        <f>Rådatakommune[[#This Row],[B14]]/Rådatakommune[[#This Row],[Totalareal]]</f>
        <v>616.8105690211172</v>
      </c>
      <c r="O27" s="39">
        <f>Rådatakommune[[#This Row],[B14]]/Rådatakommune[[#This Row],[B04]]-1</f>
        <v>0.14785167403908517</v>
      </c>
      <c r="P27" s="26">
        <f>Rådatakommune[[#This Row],[Kvinner20-39]]/Rådatakommune[[#This Row],[B14]]</f>
        <v>0.11844368738826863</v>
      </c>
      <c r="Q27" s="26">
        <f>Rådatakommune[[#This Row],[Eldre67+]]/Rådatakommune[[#This Row],[B14]]</f>
        <v>0.13582318615711539</v>
      </c>
      <c r="R27" s="26">
        <f>Rådatakommune[[#This Row],[S13]]/Rådatakommune[[#This Row],[S03]]-1</f>
        <v>0.19901120856049581</v>
      </c>
      <c r="S27" s="26">
        <f>Rådatakommune[[#This Row],[Y13]]/Rådatakommune[[#This Row],[Folk20-64]]</f>
        <v>0.8887080455725157</v>
      </c>
    </row>
    <row r="28" spans="1:19">
      <c r="A28" s="2" t="s">
        <v>26</v>
      </c>
      <c r="B28" s="38">
        <v>50651</v>
      </c>
      <c r="C28" s="38">
        <v>58338</v>
      </c>
      <c r="D28" s="38">
        <v>29808</v>
      </c>
      <c r="E28" s="38">
        <v>7618</v>
      </c>
      <c r="F28" s="4">
        <v>6664</v>
      </c>
      <c r="G28" s="4">
        <v>33484</v>
      </c>
      <c r="H28" s="38">
        <v>22933</v>
      </c>
      <c r="I28" s="38">
        <v>26695</v>
      </c>
      <c r="J28" s="7">
        <v>100.72</v>
      </c>
      <c r="K28" s="38">
        <v>501900</v>
      </c>
      <c r="L28">
        <v>18.212478322500001</v>
      </c>
      <c r="M28">
        <v>1</v>
      </c>
      <c r="N28" s="37">
        <f>Rådatakommune[[#This Row],[B14]]/Rådatakommune[[#This Row],[Totalareal]]</f>
        <v>579.20969023034149</v>
      </c>
      <c r="O28" s="39">
        <f>Rådatakommune[[#This Row],[B14]]/Rådatakommune[[#This Row],[B04]]-1</f>
        <v>0.15176403229946112</v>
      </c>
      <c r="P28" s="26">
        <f>Rådatakommune[[#This Row],[Kvinner20-39]]/Rådatakommune[[#This Row],[B14]]</f>
        <v>0.11423086153107752</v>
      </c>
      <c r="Q28" s="26">
        <f>Rådatakommune[[#This Row],[Eldre67+]]/Rådatakommune[[#This Row],[B14]]</f>
        <v>0.13058383900716514</v>
      </c>
      <c r="R28" s="26">
        <f>Rådatakommune[[#This Row],[S13]]/Rådatakommune[[#This Row],[S03]]-1</f>
        <v>0.16404308202154105</v>
      </c>
      <c r="S28" s="26">
        <f>Rådatakommune[[#This Row],[Y13]]/Rådatakommune[[#This Row],[Folk20-64]]</f>
        <v>0.89021622267351574</v>
      </c>
    </row>
    <row r="29" spans="1:19">
      <c r="A29" s="2" t="s">
        <v>27</v>
      </c>
      <c r="B29" s="38">
        <v>13199</v>
      </c>
      <c r="C29" s="38">
        <v>15500</v>
      </c>
      <c r="D29" s="38">
        <v>7897</v>
      </c>
      <c r="E29" s="38">
        <v>2350</v>
      </c>
      <c r="F29" s="4">
        <v>1737</v>
      </c>
      <c r="G29" s="4">
        <v>8995</v>
      </c>
      <c r="H29" s="38">
        <v>4308</v>
      </c>
      <c r="I29" s="38">
        <v>4984</v>
      </c>
      <c r="J29" s="7">
        <v>961.66</v>
      </c>
      <c r="K29" s="38">
        <v>352600</v>
      </c>
      <c r="L29">
        <v>46.009666064900003</v>
      </c>
      <c r="M29">
        <v>1</v>
      </c>
      <c r="N29" s="37">
        <f>Rådatakommune[[#This Row],[B14]]/Rådatakommune[[#This Row],[Totalareal]]</f>
        <v>16.117962689516045</v>
      </c>
      <c r="O29" s="39">
        <f>Rådatakommune[[#This Row],[B14]]/Rådatakommune[[#This Row],[B04]]-1</f>
        <v>0.17433138874157139</v>
      </c>
      <c r="P29" s="26">
        <f>Rådatakommune[[#This Row],[Kvinner20-39]]/Rådatakommune[[#This Row],[B14]]</f>
        <v>0.11206451612903226</v>
      </c>
      <c r="Q29" s="26">
        <f>Rådatakommune[[#This Row],[Eldre67+]]/Rådatakommune[[#This Row],[B14]]</f>
        <v>0.15161290322580645</v>
      </c>
      <c r="R29" s="26">
        <f>Rådatakommune[[#This Row],[S13]]/Rådatakommune[[#This Row],[S03]]-1</f>
        <v>0.15691736304549675</v>
      </c>
      <c r="S29" s="26">
        <f>Rådatakommune[[#This Row],[Y13]]/Rådatakommune[[#This Row],[Folk20-64]]</f>
        <v>0.87793218454697053</v>
      </c>
    </row>
    <row r="30" spans="1:19">
      <c r="A30" s="2" t="s">
        <v>28</v>
      </c>
      <c r="B30" s="38">
        <v>12768</v>
      </c>
      <c r="C30" s="38">
        <v>16918</v>
      </c>
      <c r="D30" s="38">
        <v>8818</v>
      </c>
      <c r="E30" s="38">
        <v>1842</v>
      </c>
      <c r="F30" s="4">
        <v>2164</v>
      </c>
      <c r="G30" s="4">
        <v>10071</v>
      </c>
      <c r="H30" s="38">
        <v>3372</v>
      </c>
      <c r="I30" s="38">
        <v>4804</v>
      </c>
      <c r="J30" s="7">
        <v>206.61999999999998</v>
      </c>
      <c r="K30" s="38">
        <v>411600</v>
      </c>
      <c r="L30">
        <v>32.437829160100002</v>
      </c>
      <c r="M30">
        <v>1</v>
      </c>
      <c r="N30" s="37">
        <f>Rådatakommune[[#This Row],[B14]]/Rådatakommune[[#This Row],[Totalareal]]</f>
        <v>81.879779305004362</v>
      </c>
      <c r="O30" s="39">
        <f>Rådatakommune[[#This Row],[B14]]/Rådatakommune[[#This Row],[B04]]-1</f>
        <v>0.32503132832080195</v>
      </c>
      <c r="P30" s="26">
        <f>Rådatakommune[[#This Row],[Kvinner20-39]]/Rådatakommune[[#This Row],[B14]]</f>
        <v>0.12791110060290814</v>
      </c>
      <c r="Q30" s="26">
        <f>Rådatakommune[[#This Row],[Eldre67+]]/Rådatakommune[[#This Row],[B14]]</f>
        <v>0.1088781179808488</v>
      </c>
      <c r="R30" s="26">
        <f>Rådatakommune[[#This Row],[S13]]/Rådatakommune[[#This Row],[S03]]-1</f>
        <v>0.42467378410438905</v>
      </c>
      <c r="S30" s="26">
        <f>Rådatakommune[[#This Row],[Y13]]/Rådatakommune[[#This Row],[Folk20-64]]</f>
        <v>0.87558335815708466</v>
      </c>
    </row>
    <row r="31" spans="1:19">
      <c r="A31" s="2" t="s">
        <v>29</v>
      </c>
      <c r="B31" s="38">
        <v>9485</v>
      </c>
      <c r="C31" s="38">
        <v>11048</v>
      </c>
      <c r="D31" s="38">
        <v>5887</v>
      </c>
      <c r="E31" s="38">
        <v>1392</v>
      </c>
      <c r="F31" s="4">
        <v>1310</v>
      </c>
      <c r="G31" s="4">
        <v>6603</v>
      </c>
      <c r="H31" s="38">
        <v>2192</v>
      </c>
      <c r="I31" s="38">
        <v>2664</v>
      </c>
      <c r="J31" s="7">
        <v>176.35</v>
      </c>
      <c r="K31" s="38">
        <v>409000</v>
      </c>
      <c r="L31">
        <v>23.2213798308</v>
      </c>
      <c r="M31">
        <v>1</v>
      </c>
      <c r="N31" s="37">
        <f>Rådatakommune[[#This Row],[B14]]/Rådatakommune[[#This Row],[Totalareal]]</f>
        <v>62.648142897646728</v>
      </c>
      <c r="O31" s="39">
        <f>Rådatakommune[[#This Row],[B14]]/Rådatakommune[[#This Row],[B04]]-1</f>
        <v>0.16478650500790715</v>
      </c>
      <c r="P31" s="26">
        <f>Rådatakommune[[#This Row],[Kvinner20-39]]/Rådatakommune[[#This Row],[B14]]</f>
        <v>0.11857349746560464</v>
      </c>
      <c r="Q31" s="26">
        <f>Rådatakommune[[#This Row],[Eldre67+]]/Rådatakommune[[#This Row],[B14]]</f>
        <v>0.12599565532223025</v>
      </c>
      <c r="R31" s="26">
        <f>Rådatakommune[[#This Row],[S13]]/Rådatakommune[[#This Row],[S03]]-1</f>
        <v>0.21532846715328469</v>
      </c>
      <c r="S31" s="26">
        <f>Rådatakommune[[#This Row],[Y13]]/Rådatakommune[[#This Row],[Folk20-64]]</f>
        <v>0.89156444040587612</v>
      </c>
    </row>
    <row r="32" spans="1:19">
      <c r="A32" s="2" t="s">
        <v>30</v>
      </c>
      <c r="B32" s="38">
        <v>14720</v>
      </c>
      <c r="C32" s="38">
        <v>16806</v>
      </c>
      <c r="D32" s="38">
        <v>9034</v>
      </c>
      <c r="E32" s="38">
        <v>1856</v>
      </c>
      <c r="F32" s="4">
        <v>2302</v>
      </c>
      <c r="G32" s="4">
        <v>10243</v>
      </c>
      <c r="H32" s="38">
        <v>2382</v>
      </c>
      <c r="I32" s="38">
        <v>2927</v>
      </c>
      <c r="J32" s="7">
        <v>71.680000000000007</v>
      </c>
      <c r="K32" s="38">
        <v>410200</v>
      </c>
      <c r="L32">
        <v>18.475864692399998</v>
      </c>
      <c r="M32">
        <v>1</v>
      </c>
      <c r="N32" s="37">
        <f>Rådatakommune[[#This Row],[B14]]/Rådatakommune[[#This Row],[Totalareal]]</f>
        <v>234.45870535714283</v>
      </c>
      <c r="O32" s="39">
        <f>Rådatakommune[[#This Row],[B14]]/Rådatakommune[[#This Row],[B04]]-1</f>
        <v>0.14171195652173907</v>
      </c>
      <c r="P32" s="26">
        <f>Rådatakommune[[#This Row],[Kvinner20-39]]/Rådatakommune[[#This Row],[B14]]</f>
        <v>0.13697488992026657</v>
      </c>
      <c r="Q32" s="26">
        <f>Rådatakommune[[#This Row],[Eldre67+]]/Rådatakommune[[#This Row],[B14]]</f>
        <v>0.11043674878019755</v>
      </c>
      <c r="R32" s="26">
        <f>Rådatakommune[[#This Row],[S13]]/Rådatakommune[[#This Row],[S03]]-1</f>
        <v>0.22879932829555005</v>
      </c>
      <c r="S32" s="26">
        <f>Rådatakommune[[#This Row],[Y13]]/Rådatakommune[[#This Row],[Folk20-64]]</f>
        <v>0.88196817338670308</v>
      </c>
    </row>
    <row r="33" spans="1:19">
      <c r="A33" s="2" t="s">
        <v>31</v>
      </c>
      <c r="B33" s="38">
        <v>9233</v>
      </c>
      <c r="C33" s="38">
        <v>10626</v>
      </c>
      <c r="D33" s="38">
        <v>5559</v>
      </c>
      <c r="E33" s="38">
        <v>1141</v>
      </c>
      <c r="F33" s="4">
        <v>1320</v>
      </c>
      <c r="G33" s="4">
        <v>6306</v>
      </c>
      <c r="H33" s="38">
        <v>2222</v>
      </c>
      <c r="I33" s="38">
        <v>2735</v>
      </c>
      <c r="J33" s="7">
        <v>232.57999999999998</v>
      </c>
      <c r="K33" s="38">
        <v>389500</v>
      </c>
      <c r="L33">
        <v>35.480513446300002</v>
      </c>
      <c r="M33">
        <v>1</v>
      </c>
      <c r="N33" s="37">
        <f>Rådatakommune[[#This Row],[B14]]/Rådatakommune[[#This Row],[Totalareal]]</f>
        <v>45.687505374494798</v>
      </c>
      <c r="O33" s="39">
        <f>Rådatakommune[[#This Row],[B14]]/Rådatakommune[[#This Row],[B04]]-1</f>
        <v>0.15087187263078095</v>
      </c>
      <c r="P33" s="26">
        <f>Rådatakommune[[#This Row],[Kvinner20-39]]/Rådatakommune[[#This Row],[B14]]</f>
        <v>0.12422360248447205</v>
      </c>
      <c r="Q33" s="26">
        <f>Rådatakommune[[#This Row],[Eldre67+]]/Rådatakommune[[#This Row],[B14]]</f>
        <v>0.10737812911725955</v>
      </c>
      <c r="R33" s="26">
        <f>Rådatakommune[[#This Row],[S13]]/Rådatakommune[[#This Row],[S03]]-1</f>
        <v>0.2308730873087308</v>
      </c>
      <c r="S33" s="26">
        <f>Rådatakommune[[#This Row],[Y13]]/Rådatakommune[[#This Row],[Folk20-64]]</f>
        <v>0.88154138915318747</v>
      </c>
    </row>
    <row r="34" spans="1:19">
      <c r="A34" s="2" t="s">
        <v>32</v>
      </c>
      <c r="B34" s="38">
        <v>30496</v>
      </c>
      <c r="C34" s="38">
        <v>34697</v>
      </c>
      <c r="D34" s="38">
        <v>17973</v>
      </c>
      <c r="E34" s="38">
        <v>4262</v>
      </c>
      <c r="F34" s="4">
        <v>4106</v>
      </c>
      <c r="G34" s="4">
        <v>20665</v>
      </c>
      <c r="H34" s="38">
        <v>15054</v>
      </c>
      <c r="I34" s="38">
        <v>19896</v>
      </c>
      <c r="J34" s="7">
        <v>70.55</v>
      </c>
      <c r="K34" s="38">
        <v>421800</v>
      </c>
      <c r="L34">
        <v>11.684167222799999</v>
      </c>
      <c r="M34">
        <v>1</v>
      </c>
      <c r="N34" s="37">
        <f>Rådatakommune[[#This Row],[B14]]/Rådatakommune[[#This Row],[Totalareal]]</f>
        <v>491.80722891566268</v>
      </c>
      <c r="O34" s="39">
        <f>Rådatakommune[[#This Row],[B14]]/Rådatakommune[[#This Row],[B04]]-1</f>
        <v>0.13775577124868832</v>
      </c>
      <c r="P34" s="26">
        <f>Rådatakommune[[#This Row],[Kvinner20-39]]/Rådatakommune[[#This Row],[B14]]</f>
        <v>0.11833876127619103</v>
      </c>
      <c r="Q34" s="26">
        <f>Rådatakommune[[#This Row],[Eldre67+]]/Rådatakommune[[#This Row],[B14]]</f>
        <v>0.12283482721849151</v>
      </c>
      <c r="R34" s="26">
        <f>Rådatakommune[[#This Row],[S13]]/Rådatakommune[[#This Row],[S03]]-1</f>
        <v>0.3216420884814668</v>
      </c>
      <c r="S34" s="26">
        <f>Rådatakommune[[#This Row],[Y13]]/Rådatakommune[[#This Row],[Folk20-64]]</f>
        <v>0.86973142995402852</v>
      </c>
    </row>
    <row r="35" spans="1:19">
      <c r="A35" s="2" t="s">
        <v>33</v>
      </c>
      <c r="B35" s="38">
        <v>41359</v>
      </c>
      <c r="C35" s="38">
        <v>51188</v>
      </c>
      <c r="D35" s="38">
        <v>26406</v>
      </c>
      <c r="E35" s="38">
        <v>6614</v>
      </c>
      <c r="F35" s="4">
        <v>6670</v>
      </c>
      <c r="G35" s="4">
        <v>30605</v>
      </c>
      <c r="H35" s="38">
        <v>22134</v>
      </c>
      <c r="I35" s="38">
        <v>27826</v>
      </c>
      <c r="J35" s="7">
        <v>77.03</v>
      </c>
      <c r="K35" s="38">
        <v>409900</v>
      </c>
      <c r="L35">
        <v>16.249666064900001</v>
      </c>
      <c r="M35">
        <v>1</v>
      </c>
      <c r="N35" s="37">
        <f>Rådatakommune[[#This Row],[B14]]/Rådatakommune[[#This Row],[Totalareal]]</f>
        <v>664.52031675970397</v>
      </c>
      <c r="O35" s="39">
        <f>Rådatakommune[[#This Row],[B14]]/Rådatakommune[[#This Row],[B04]]-1</f>
        <v>0.23765081360767915</v>
      </c>
      <c r="P35" s="26">
        <f>Rådatakommune[[#This Row],[Kvinner20-39]]/Rådatakommune[[#This Row],[B14]]</f>
        <v>0.13030397749472533</v>
      </c>
      <c r="Q35" s="26">
        <f>Rådatakommune[[#This Row],[Eldre67+]]/Rådatakommune[[#This Row],[B14]]</f>
        <v>0.12920997108697352</v>
      </c>
      <c r="R35" s="26">
        <f>Rådatakommune[[#This Row],[S13]]/Rådatakommune[[#This Row],[S03]]-1</f>
        <v>0.25716092888768416</v>
      </c>
      <c r="S35" s="26">
        <f>Rådatakommune[[#This Row],[Y13]]/Rådatakommune[[#This Row],[Folk20-64]]</f>
        <v>0.86280019604639768</v>
      </c>
    </row>
    <row r="36" spans="1:19">
      <c r="A36" s="2" t="s">
        <v>34</v>
      </c>
      <c r="B36" s="38">
        <v>19440</v>
      </c>
      <c r="C36" s="38">
        <v>22385</v>
      </c>
      <c r="D36" s="38">
        <v>11830</v>
      </c>
      <c r="E36" s="38">
        <v>2573</v>
      </c>
      <c r="F36" s="4">
        <v>2516</v>
      </c>
      <c r="G36" s="4">
        <v>13100</v>
      </c>
      <c r="H36" s="38">
        <v>6937</v>
      </c>
      <c r="I36" s="38">
        <v>8382</v>
      </c>
      <c r="J36" s="7">
        <v>186.23</v>
      </c>
      <c r="K36" s="38">
        <v>429300</v>
      </c>
      <c r="L36">
        <v>24.854360699699999</v>
      </c>
      <c r="M36">
        <v>1</v>
      </c>
      <c r="N36" s="37">
        <f>Rådatakommune[[#This Row],[B14]]/Rådatakommune[[#This Row],[Totalareal]]</f>
        <v>120.20082693443592</v>
      </c>
      <c r="O36" s="39">
        <f>Rådatakommune[[#This Row],[B14]]/Rådatakommune[[#This Row],[B04]]-1</f>
        <v>0.15149176954732502</v>
      </c>
      <c r="P36" s="26">
        <f>Rådatakommune[[#This Row],[Kvinner20-39]]/Rådatakommune[[#This Row],[B14]]</f>
        <v>0.11239669421487604</v>
      </c>
      <c r="Q36" s="26">
        <f>Rådatakommune[[#This Row],[Eldre67+]]/Rådatakommune[[#This Row],[B14]]</f>
        <v>0.11494304221576949</v>
      </c>
      <c r="R36" s="26">
        <f>Rådatakommune[[#This Row],[S13]]/Rådatakommune[[#This Row],[S03]]-1</f>
        <v>0.2083033011388209</v>
      </c>
      <c r="S36" s="26">
        <f>Rådatakommune[[#This Row],[Y13]]/Rådatakommune[[#This Row],[Folk20-64]]</f>
        <v>0.90305343511450387</v>
      </c>
    </row>
    <row r="37" spans="1:19">
      <c r="A37" s="2" t="s">
        <v>35</v>
      </c>
      <c r="B37" s="38">
        <v>4964</v>
      </c>
      <c r="C37" s="38">
        <v>6292</v>
      </c>
      <c r="D37" s="38">
        <v>3410</v>
      </c>
      <c r="E37" s="38">
        <v>722</v>
      </c>
      <c r="F37" s="4">
        <v>672</v>
      </c>
      <c r="G37" s="4">
        <v>3702</v>
      </c>
      <c r="H37" s="38">
        <v>1216</v>
      </c>
      <c r="I37" s="38">
        <v>1508</v>
      </c>
      <c r="J37" s="7">
        <v>83.19</v>
      </c>
      <c r="K37" s="38">
        <v>431900</v>
      </c>
      <c r="L37">
        <v>23.6326498886</v>
      </c>
      <c r="M37">
        <v>1</v>
      </c>
      <c r="N37" s="37">
        <f>Rådatakommune[[#This Row],[B14]]/Rådatakommune[[#This Row],[Totalareal]]</f>
        <v>75.634090635893742</v>
      </c>
      <c r="O37" s="39">
        <f>Rådatakommune[[#This Row],[B14]]/Rådatakommune[[#This Row],[B04]]-1</f>
        <v>0.26752618855761479</v>
      </c>
      <c r="P37" s="26">
        <f>Rådatakommune[[#This Row],[Kvinner20-39]]/Rådatakommune[[#This Row],[B14]]</f>
        <v>0.10680228862047043</v>
      </c>
      <c r="Q37" s="26">
        <f>Rådatakommune[[#This Row],[Eldre67+]]/Rådatakommune[[#This Row],[B14]]</f>
        <v>0.1147488874761602</v>
      </c>
      <c r="R37" s="26">
        <f>Rådatakommune[[#This Row],[S13]]/Rådatakommune[[#This Row],[S03]]-1</f>
        <v>0.24013157894736836</v>
      </c>
      <c r="S37" s="26">
        <f>Rådatakommune[[#This Row],[Y13]]/Rådatakommune[[#This Row],[Folk20-64]]</f>
        <v>0.92112371690977846</v>
      </c>
    </row>
    <row r="38" spans="1:19">
      <c r="A38" s="2" t="s">
        <v>36</v>
      </c>
      <c r="B38" s="38">
        <v>23784</v>
      </c>
      <c r="C38" s="38">
        <v>32438</v>
      </c>
      <c r="D38" s="38">
        <v>16867</v>
      </c>
      <c r="E38" s="38">
        <v>3510</v>
      </c>
      <c r="F38" s="4">
        <v>4368</v>
      </c>
      <c r="G38" s="4">
        <v>19345</v>
      </c>
      <c r="H38" s="38">
        <v>18736</v>
      </c>
      <c r="I38" s="38">
        <v>23770</v>
      </c>
      <c r="J38" s="7">
        <v>252.47</v>
      </c>
      <c r="K38" s="38">
        <v>401700</v>
      </c>
      <c r="L38">
        <v>28.008664007299998</v>
      </c>
      <c r="M38">
        <v>1</v>
      </c>
      <c r="N38" s="37">
        <f>Rådatakommune[[#This Row],[B14]]/Rådatakommune[[#This Row],[Totalareal]]</f>
        <v>128.48259199112766</v>
      </c>
      <c r="O38" s="39">
        <f>Rådatakommune[[#This Row],[B14]]/Rådatakommune[[#This Row],[B04]]-1</f>
        <v>0.36385805583585595</v>
      </c>
      <c r="P38" s="26">
        <f>Rådatakommune[[#This Row],[Kvinner20-39]]/Rådatakommune[[#This Row],[B14]]</f>
        <v>0.13465688390159689</v>
      </c>
      <c r="Q38" s="26">
        <f>Rådatakommune[[#This Row],[Eldre67+]]/Rådatakommune[[#This Row],[B14]]</f>
        <v>0.10820642456378322</v>
      </c>
      <c r="R38" s="26">
        <f>Rådatakommune[[#This Row],[S13]]/Rådatakommune[[#This Row],[S03]]-1</f>
        <v>0.26868061485909478</v>
      </c>
      <c r="S38" s="26">
        <f>Rådatakommune[[#This Row],[Y13]]/Rådatakommune[[#This Row],[Folk20-64]]</f>
        <v>0.87190488498319985</v>
      </c>
    </row>
    <row r="39" spans="1:19">
      <c r="A39" s="2" t="s">
        <v>37</v>
      </c>
      <c r="B39" s="38">
        <v>17931</v>
      </c>
      <c r="C39" s="38">
        <v>20164</v>
      </c>
      <c r="D39" s="38">
        <v>10435</v>
      </c>
      <c r="E39" s="38">
        <v>2609</v>
      </c>
      <c r="F39" s="4">
        <v>2355</v>
      </c>
      <c r="G39" s="4">
        <v>12120</v>
      </c>
      <c r="H39" s="38">
        <v>4752</v>
      </c>
      <c r="I39" s="38">
        <v>5480</v>
      </c>
      <c r="J39" s="7">
        <v>637.36</v>
      </c>
      <c r="K39" s="38">
        <v>368500</v>
      </c>
      <c r="L39">
        <v>38.977310509699997</v>
      </c>
      <c r="M39">
        <v>1</v>
      </c>
      <c r="N39" s="37">
        <f>Rådatakommune[[#This Row],[B14]]/Rådatakommune[[#This Row],[Totalareal]]</f>
        <v>31.636751600351449</v>
      </c>
      <c r="O39" s="39">
        <f>Rådatakommune[[#This Row],[B14]]/Rådatakommune[[#This Row],[B04]]-1</f>
        <v>0.12453293179409952</v>
      </c>
      <c r="P39" s="26">
        <f>Rådatakommune[[#This Row],[Kvinner20-39]]/Rådatakommune[[#This Row],[B14]]</f>
        <v>0.11679230311446141</v>
      </c>
      <c r="Q39" s="26">
        <f>Rådatakommune[[#This Row],[Eldre67+]]/Rådatakommune[[#This Row],[B14]]</f>
        <v>0.12938901011704027</v>
      </c>
      <c r="R39" s="26">
        <f>Rådatakommune[[#This Row],[S13]]/Rådatakommune[[#This Row],[S03]]-1</f>
        <v>0.15319865319865311</v>
      </c>
      <c r="S39" s="26">
        <f>Rådatakommune[[#This Row],[Y13]]/Rådatakommune[[#This Row],[Folk20-64]]</f>
        <v>0.860973597359736</v>
      </c>
    </row>
    <row r="40" spans="1:19">
      <c r="A40" s="2" t="s">
        <v>38</v>
      </c>
      <c r="B40" s="38">
        <v>18338</v>
      </c>
      <c r="C40" s="38">
        <v>22689</v>
      </c>
      <c r="D40" s="38">
        <v>11502</v>
      </c>
      <c r="E40" s="38">
        <v>2823</v>
      </c>
      <c r="F40" s="4">
        <v>2843</v>
      </c>
      <c r="G40" s="4">
        <v>13539</v>
      </c>
      <c r="H40" s="38">
        <v>6161</v>
      </c>
      <c r="I40" s="38">
        <v>6614</v>
      </c>
      <c r="J40" s="7">
        <v>456.5</v>
      </c>
      <c r="K40" s="38">
        <v>368400</v>
      </c>
      <c r="L40">
        <v>47.637274110600003</v>
      </c>
      <c r="M40">
        <v>1</v>
      </c>
      <c r="N40" s="37">
        <f>Rådatakommune[[#This Row],[B14]]/Rådatakommune[[#This Row],[Totalareal]]</f>
        <v>49.702081051478643</v>
      </c>
      <c r="O40" s="39">
        <f>Rådatakommune[[#This Row],[B14]]/Rådatakommune[[#This Row],[B04]]-1</f>
        <v>0.2372668775220852</v>
      </c>
      <c r="P40" s="26">
        <f>Rådatakommune[[#This Row],[Kvinner20-39]]/Rådatakommune[[#This Row],[B14]]</f>
        <v>0.1253030102692935</v>
      </c>
      <c r="Q40" s="26">
        <f>Rådatakommune[[#This Row],[Eldre67+]]/Rådatakommune[[#This Row],[B14]]</f>
        <v>0.1244215258495306</v>
      </c>
      <c r="R40" s="26">
        <f>Rådatakommune[[#This Row],[S13]]/Rådatakommune[[#This Row],[S03]]-1</f>
        <v>7.3527024833630827E-2</v>
      </c>
      <c r="S40" s="26">
        <f>Rådatakommune[[#This Row],[Y13]]/Rådatakommune[[#This Row],[Folk20-64]]</f>
        <v>0.84954575670285837</v>
      </c>
    </row>
    <row r="41" spans="1:19">
      <c r="A41" s="2" t="s">
        <v>39</v>
      </c>
      <c r="B41" s="38">
        <v>9943</v>
      </c>
      <c r="C41" s="38">
        <v>11707</v>
      </c>
      <c r="D41" s="38">
        <v>6188</v>
      </c>
      <c r="E41" s="38">
        <v>1323</v>
      </c>
      <c r="F41" s="4">
        <v>1437</v>
      </c>
      <c r="G41" s="4">
        <v>7016</v>
      </c>
      <c r="H41" s="38">
        <v>2074</v>
      </c>
      <c r="I41" s="38">
        <v>2901</v>
      </c>
      <c r="J41" s="7">
        <v>340.99</v>
      </c>
      <c r="K41" s="38">
        <v>380300</v>
      </c>
      <c r="L41">
        <v>37.991412563899999</v>
      </c>
      <c r="M41">
        <v>1</v>
      </c>
      <c r="N41" s="37">
        <f>Rådatakommune[[#This Row],[B14]]/Rådatakommune[[#This Row],[Totalareal]]</f>
        <v>34.332385113932958</v>
      </c>
      <c r="O41" s="39">
        <f>Rådatakommune[[#This Row],[B14]]/Rådatakommune[[#This Row],[B04]]-1</f>
        <v>0.17741124409132047</v>
      </c>
      <c r="P41" s="26">
        <f>Rådatakommune[[#This Row],[Kvinner20-39]]/Rådatakommune[[#This Row],[B14]]</f>
        <v>0.12274707439993167</v>
      </c>
      <c r="Q41" s="26">
        <f>Rådatakommune[[#This Row],[Eldre67+]]/Rådatakommune[[#This Row],[B14]]</f>
        <v>0.11300931066883062</v>
      </c>
      <c r="R41" s="26">
        <f>Rådatakommune[[#This Row],[S13]]/Rådatakommune[[#This Row],[S03]]-1</f>
        <v>0.3987463837994214</v>
      </c>
      <c r="S41" s="26">
        <f>Rådatakommune[[#This Row],[Y13]]/Rådatakommune[[#This Row],[Folk20-64]]</f>
        <v>0.88198403648802737</v>
      </c>
    </row>
    <row r="42" spans="1:19">
      <c r="A42" s="2" t="s">
        <v>40</v>
      </c>
      <c r="B42" s="38">
        <v>2679</v>
      </c>
      <c r="C42" s="38">
        <v>2695</v>
      </c>
      <c r="D42" s="38">
        <v>1320</v>
      </c>
      <c r="E42" s="38">
        <v>459</v>
      </c>
      <c r="F42" s="4">
        <v>273</v>
      </c>
      <c r="G42" s="4">
        <v>1534</v>
      </c>
      <c r="H42" s="38">
        <v>863</v>
      </c>
      <c r="I42" s="38">
        <v>839</v>
      </c>
      <c r="J42" s="7">
        <v>284.96000000000004</v>
      </c>
      <c r="K42" s="38">
        <v>335900</v>
      </c>
      <c r="L42">
        <v>53.456666064899999</v>
      </c>
      <c r="M42">
        <v>1</v>
      </c>
      <c r="N42" s="37">
        <f>Rådatakommune[[#This Row],[B14]]/Rådatakommune[[#This Row],[Totalareal]]</f>
        <v>9.4574677147669828</v>
      </c>
      <c r="O42" s="39">
        <f>Rådatakommune[[#This Row],[B14]]/Rådatakommune[[#This Row],[B04]]-1</f>
        <v>5.9723777528928323E-3</v>
      </c>
      <c r="P42" s="26">
        <f>Rådatakommune[[#This Row],[Kvinner20-39]]/Rådatakommune[[#This Row],[B14]]</f>
        <v>0.1012987012987013</v>
      </c>
      <c r="Q42" s="26">
        <f>Rådatakommune[[#This Row],[Eldre67+]]/Rådatakommune[[#This Row],[B14]]</f>
        <v>0.17031539888682745</v>
      </c>
      <c r="R42" s="26">
        <f>Rådatakommune[[#This Row],[S13]]/Rådatakommune[[#This Row],[S03]]-1</f>
        <v>-2.7809965237543421E-2</v>
      </c>
      <c r="S42" s="26">
        <f>Rådatakommune[[#This Row],[Y13]]/Rådatakommune[[#This Row],[Folk20-64]]</f>
        <v>0.86049543676662321</v>
      </c>
    </row>
    <row r="43" spans="1:19">
      <c r="A43" s="2" t="s">
        <v>41</v>
      </c>
      <c r="B43" s="38">
        <v>521886</v>
      </c>
      <c r="C43" s="38">
        <v>634463</v>
      </c>
      <c r="D43" s="38">
        <v>341523</v>
      </c>
      <c r="E43" s="38">
        <v>66059</v>
      </c>
      <c r="F43" s="4">
        <v>116759</v>
      </c>
      <c r="G43" s="4">
        <v>419838</v>
      </c>
      <c r="H43" s="38">
        <v>383367</v>
      </c>
      <c r="I43" s="38">
        <v>448452</v>
      </c>
      <c r="J43" s="7">
        <v>454.08</v>
      </c>
      <c r="K43" s="38">
        <v>437400</v>
      </c>
      <c r="L43">
        <v>1.4215456179399999</v>
      </c>
      <c r="M43">
        <v>1</v>
      </c>
      <c r="N43" s="37">
        <f>Rådatakommune[[#This Row],[B14]]/Rådatakommune[[#This Row],[Totalareal]]</f>
        <v>1397.2493833685694</v>
      </c>
      <c r="O43" s="39">
        <f>Rådatakommune[[#This Row],[B14]]/Rådatakommune[[#This Row],[B04]]-1</f>
        <v>0.21571186044461821</v>
      </c>
      <c r="P43" s="26">
        <f>Rådatakommune[[#This Row],[Kvinner20-39]]/Rådatakommune[[#This Row],[B14]]</f>
        <v>0.18402806783059059</v>
      </c>
      <c r="Q43" s="26">
        <f>Rådatakommune[[#This Row],[Eldre67+]]/Rådatakommune[[#This Row],[B14]]</f>
        <v>0.10411797063028104</v>
      </c>
      <c r="R43" s="26">
        <f>Rådatakommune[[#This Row],[S13]]/Rådatakommune[[#This Row],[S03]]-1</f>
        <v>0.16977204610725494</v>
      </c>
      <c r="S43" s="26">
        <f>Rådatakommune[[#This Row],[Y13]]/Rådatakommune[[#This Row],[Folk20-64]]</f>
        <v>0.81346376459491521</v>
      </c>
    </row>
    <row r="44" spans="1:19">
      <c r="A44" s="2" t="s">
        <v>42</v>
      </c>
      <c r="B44" s="38">
        <v>17380</v>
      </c>
      <c r="C44" s="38">
        <v>17825</v>
      </c>
      <c r="D44" s="38">
        <v>7836</v>
      </c>
      <c r="E44" s="38">
        <v>3125</v>
      </c>
      <c r="F44" s="4">
        <v>1840</v>
      </c>
      <c r="G44" s="4">
        <v>10214</v>
      </c>
      <c r="H44" s="38">
        <v>8064</v>
      </c>
      <c r="I44" s="38">
        <v>8214</v>
      </c>
      <c r="J44" s="7">
        <v>1036.45</v>
      </c>
      <c r="K44" s="38">
        <v>336500</v>
      </c>
      <c r="L44">
        <v>71.894646143399996</v>
      </c>
      <c r="M44">
        <v>5</v>
      </c>
      <c r="N44" s="37">
        <f>Rådatakommune[[#This Row],[B14]]/Rådatakommune[[#This Row],[Totalareal]]</f>
        <v>17.198128226156591</v>
      </c>
      <c r="O44" s="39">
        <f>Rådatakommune[[#This Row],[B14]]/Rådatakommune[[#This Row],[B04]]-1</f>
        <v>2.5604142692750242E-2</v>
      </c>
      <c r="P44" s="26">
        <f>Rådatakommune[[#This Row],[Kvinner20-39]]/Rådatakommune[[#This Row],[B14]]</f>
        <v>0.1032258064516129</v>
      </c>
      <c r="Q44" s="26">
        <f>Rådatakommune[[#This Row],[Eldre67+]]/Rådatakommune[[#This Row],[B14]]</f>
        <v>0.17531556802244039</v>
      </c>
      <c r="R44" s="26">
        <f>Rådatakommune[[#This Row],[S13]]/Rådatakommune[[#This Row],[S03]]-1</f>
        <v>1.8601190476190466E-2</v>
      </c>
      <c r="S44" s="26">
        <f>Rådatakommune[[#This Row],[Y13]]/Rådatakommune[[#This Row],[Folk20-64]]</f>
        <v>0.76718229880556099</v>
      </c>
    </row>
    <row r="45" spans="1:19">
      <c r="A45" s="2" t="s">
        <v>43</v>
      </c>
      <c r="B45" s="38">
        <v>27245</v>
      </c>
      <c r="C45" s="38">
        <v>29520</v>
      </c>
      <c r="D45" s="38">
        <v>14425</v>
      </c>
      <c r="E45" s="38">
        <v>5164</v>
      </c>
      <c r="F45" s="4">
        <v>3455</v>
      </c>
      <c r="G45" s="4">
        <v>17043</v>
      </c>
      <c r="H45" s="38">
        <v>16838</v>
      </c>
      <c r="I45" s="38">
        <v>19387</v>
      </c>
      <c r="J45" s="7">
        <v>350.94</v>
      </c>
      <c r="K45" s="38">
        <v>371700</v>
      </c>
      <c r="L45">
        <v>85.858693424400002</v>
      </c>
      <c r="M45">
        <v>4</v>
      </c>
      <c r="N45" s="37">
        <f>Rådatakommune[[#This Row],[B14]]/Rådatakommune[[#This Row],[Totalareal]]</f>
        <v>84.116943067190974</v>
      </c>
      <c r="O45" s="39">
        <f>Rådatakommune[[#This Row],[B14]]/Rådatakommune[[#This Row],[B04]]-1</f>
        <v>8.3501559919251234E-2</v>
      </c>
      <c r="P45" s="26">
        <f>Rådatakommune[[#This Row],[Kvinner20-39]]/Rådatakommune[[#This Row],[B14]]</f>
        <v>0.11703929539295393</v>
      </c>
      <c r="Q45" s="26">
        <f>Rådatakommune[[#This Row],[Eldre67+]]/Rådatakommune[[#This Row],[B14]]</f>
        <v>0.17493224932249324</v>
      </c>
      <c r="R45" s="26">
        <f>Rådatakommune[[#This Row],[S13]]/Rådatakommune[[#This Row],[S03]]-1</f>
        <v>0.15138377479510634</v>
      </c>
      <c r="S45" s="26">
        <f>Rådatakommune[[#This Row],[Y13]]/Rådatakommune[[#This Row],[Folk20-64]]</f>
        <v>0.84638854661737961</v>
      </c>
    </row>
    <row r="46" spans="1:19">
      <c r="A46" s="2" t="s">
        <v>44</v>
      </c>
      <c r="B46" s="38">
        <v>31732</v>
      </c>
      <c r="C46" s="38">
        <v>33463</v>
      </c>
      <c r="D46" s="38">
        <v>16562</v>
      </c>
      <c r="E46" s="38">
        <v>5271</v>
      </c>
      <c r="F46" s="4">
        <v>3742</v>
      </c>
      <c r="G46" s="4">
        <v>19263</v>
      </c>
      <c r="H46" s="38">
        <v>13263</v>
      </c>
      <c r="I46" s="38">
        <v>14133</v>
      </c>
      <c r="J46" s="7">
        <v>1280.0900000000001</v>
      </c>
      <c r="K46" s="38">
        <v>342200</v>
      </c>
      <c r="L46">
        <v>94.007093189000003</v>
      </c>
      <c r="M46">
        <v>4</v>
      </c>
      <c r="N46" s="37">
        <f>Rådatakommune[[#This Row],[B14]]/Rådatakommune[[#This Row],[Totalareal]]</f>
        <v>26.141130701747532</v>
      </c>
      <c r="O46" s="39">
        <f>Rådatakommune[[#This Row],[B14]]/Rådatakommune[[#This Row],[B04]]-1</f>
        <v>5.4550611370225655E-2</v>
      </c>
      <c r="P46" s="26">
        <f>Rådatakommune[[#This Row],[Kvinner20-39]]/Rådatakommune[[#This Row],[B14]]</f>
        <v>0.11182500074709381</v>
      </c>
      <c r="Q46" s="26">
        <f>Rådatakommune[[#This Row],[Eldre67+]]/Rådatakommune[[#This Row],[B14]]</f>
        <v>0.15751725786689777</v>
      </c>
      <c r="R46" s="26">
        <f>Rådatakommune[[#This Row],[S13]]/Rådatakommune[[#This Row],[S03]]-1</f>
        <v>6.5596019000226269E-2</v>
      </c>
      <c r="S46" s="26">
        <f>Rådatakommune[[#This Row],[Y13]]/Rådatakommune[[#This Row],[Folk20-64]]</f>
        <v>0.85978300368582261</v>
      </c>
    </row>
    <row r="47" spans="1:19">
      <c r="A47" s="2" t="s">
        <v>45</v>
      </c>
      <c r="B47" s="38">
        <v>7282</v>
      </c>
      <c r="C47" s="38">
        <v>7546</v>
      </c>
      <c r="D47" s="38">
        <v>3710</v>
      </c>
      <c r="E47" s="38">
        <v>1219</v>
      </c>
      <c r="F47" s="4">
        <v>871</v>
      </c>
      <c r="G47" s="4">
        <v>4419</v>
      </c>
      <c r="H47" s="38">
        <v>1812</v>
      </c>
      <c r="I47" s="38">
        <v>1859</v>
      </c>
      <c r="J47" s="7">
        <v>369.44</v>
      </c>
      <c r="K47" s="38">
        <v>333100</v>
      </c>
      <c r="L47">
        <v>83.563753144200007</v>
      </c>
      <c r="M47">
        <v>4</v>
      </c>
      <c r="N47" s="37">
        <f>Rådatakommune[[#This Row],[B14]]/Rådatakommune[[#This Row],[Totalareal]]</f>
        <v>20.425508878302296</v>
      </c>
      <c r="O47" s="39">
        <f>Rådatakommune[[#This Row],[B14]]/Rådatakommune[[#This Row],[B04]]-1</f>
        <v>3.6253776435045237E-2</v>
      </c>
      <c r="P47" s="26">
        <f>Rådatakommune[[#This Row],[Kvinner20-39]]/Rådatakommune[[#This Row],[B14]]</f>
        <v>0.11542539093559502</v>
      </c>
      <c r="Q47" s="26">
        <f>Rådatakommune[[#This Row],[Eldre67+]]/Rådatakommune[[#This Row],[B14]]</f>
        <v>0.16154253909355951</v>
      </c>
      <c r="R47" s="26">
        <f>Rådatakommune[[#This Row],[S13]]/Rådatakommune[[#This Row],[S03]]-1</f>
        <v>2.5938189845474691E-2</v>
      </c>
      <c r="S47" s="26">
        <f>Rådatakommune[[#This Row],[Y13]]/Rådatakommune[[#This Row],[Folk20-64]]</f>
        <v>0.8395564607377235</v>
      </c>
    </row>
    <row r="48" spans="1:19">
      <c r="A48" s="2" t="s">
        <v>46</v>
      </c>
      <c r="B48" s="38">
        <v>18288</v>
      </c>
      <c r="C48" s="38">
        <v>19737</v>
      </c>
      <c r="D48" s="38">
        <v>9604</v>
      </c>
      <c r="E48" s="38">
        <v>3152</v>
      </c>
      <c r="F48" s="4">
        <v>2191</v>
      </c>
      <c r="G48" s="4">
        <v>11359</v>
      </c>
      <c r="H48" s="38">
        <v>6012</v>
      </c>
      <c r="I48" s="38">
        <v>6882</v>
      </c>
      <c r="J48" s="7">
        <v>724.28</v>
      </c>
      <c r="K48" s="38">
        <v>344700</v>
      </c>
      <c r="L48">
        <v>75.839419938399999</v>
      </c>
      <c r="M48">
        <v>4</v>
      </c>
      <c r="N48" s="37">
        <f>Rådatakommune[[#This Row],[B14]]/Rådatakommune[[#This Row],[Totalareal]]</f>
        <v>27.250510852156626</v>
      </c>
      <c r="O48" s="39">
        <f>Rådatakommune[[#This Row],[B14]]/Rådatakommune[[#This Row],[B04]]-1</f>
        <v>7.9232283464566899E-2</v>
      </c>
      <c r="P48" s="26">
        <f>Rådatakommune[[#This Row],[Kvinner20-39]]/Rådatakommune[[#This Row],[B14]]</f>
        <v>0.11100977858843795</v>
      </c>
      <c r="Q48" s="26">
        <f>Rådatakommune[[#This Row],[Eldre67+]]/Rådatakommune[[#This Row],[B14]]</f>
        <v>0.15970005573288748</v>
      </c>
      <c r="R48" s="26">
        <f>Rådatakommune[[#This Row],[S13]]/Rådatakommune[[#This Row],[S03]]-1</f>
        <v>0.14471057884231531</v>
      </c>
      <c r="S48" s="26">
        <f>Rådatakommune[[#This Row],[Y13]]/Rådatakommune[[#This Row],[Folk20-64]]</f>
        <v>0.84549696276080644</v>
      </c>
    </row>
    <row r="49" spans="1:19">
      <c r="A49" s="2" t="s">
        <v>47</v>
      </c>
      <c r="B49" s="38">
        <v>5064</v>
      </c>
      <c r="C49" s="38">
        <v>5118</v>
      </c>
      <c r="D49" s="38">
        <v>2328</v>
      </c>
      <c r="E49" s="38">
        <v>973</v>
      </c>
      <c r="F49" s="4">
        <v>473</v>
      </c>
      <c r="G49" s="4">
        <v>2868</v>
      </c>
      <c r="H49" s="38">
        <v>1483</v>
      </c>
      <c r="I49" s="38">
        <v>1561</v>
      </c>
      <c r="J49" s="7">
        <v>508.14</v>
      </c>
      <c r="K49" s="38">
        <v>324700</v>
      </c>
      <c r="L49">
        <v>67.4462787752</v>
      </c>
      <c r="M49">
        <v>5</v>
      </c>
      <c r="N49" s="37">
        <f>Rådatakommune[[#This Row],[B14]]/Rådatakommune[[#This Row],[Totalareal]]</f>
        <v>10.07202739402527</v>
      </c>
      <c r="O49" s="39">
        <f>Rådatakommune[[#This Row],[B14]]/Rådatakommune[[#This Row],[B04]]-1</f>
        <v>1.0663507109004655E-2</v>
      </c>
      <c r="P49" s="26">
        <f>Rådatakommune[[#This Row],[Kvinner20-39]]/Rådatakommune[[#This Row],[B14]]</f>
        <v>9.2418913638139893E-2</v>
      </c>
      <c r="Q49" s="26">
        <f>Rådatakommune[[#This Row],[Eldre67+]]/Rådatakommune[[#This Row],[B14]]</f>
        <v>0.19011332551778037</v>
      </c>
      <c r="R49" s="26">
        <f>Rådatakommune[[#This Row],[S13]]/Rådatakommune[[#This Row],[S03]]-1</f>
        <v>5.2596089008766E-2</v>
      </c>
      <c r="S49" s="26">
        <f>Rådatakommune[[#This Row],[Y13]]/Rådatakommune[[#This Row],[Folk20-64]]</f>
        <v>0.81171548117154813</v>
      </c>
    </row>
    <row r="50" spans="1:19">
      <c r="A50" s="2" t="s">
        <v>48</v>
      </c>
      <c r="B50" s="38">
        <v>7589</v>
      </c>
      <c r="C50" s="38">
        <v>7847</v>
      </c>
      <c r="D50" s="38">
        <v>3841</v>
      </c>
      <c r="E50" s="38">
        <v>1276</v>
      </c>
      <c r="F50" s="4">
        <v>843</v>
      </c>
      <c r="G50" s="4">
        <v>4596</v>
      </c>
      <c r="H50" s="38">
        <v>2519</v>
      </c>
      <c r="I50" s="38">
        <v>2416</v>
      </c>
      <c r="J50" s="7">
        <v>516.75</v>
      </c>
      <c r="K50" s="38">
        <v>339300</v>
      </c>
      <c r="L50">
        <v>55.4003094698</v>
      </c>
      <c r="M50">
        <v>5</v>
      </c>
      <c r="N50" s="37">
        <f>Rådatakommune[[#This Row],[B14]]/Rådatakommune[[#This Row],[Totalareal]]</f>
        <v>15.185292694726657</v>
      </c>
      <c r="O50" s="39">
        <f>Rådatakommune[[#This Row],[B14]]/Rådatakommune[[#This Row],[B04]]-1</f>
        <v>3.3996573988667844E-2</v>
      </c>
      <c r="P50" s="26">
        <f>Rådatakommune[[#This Row],[Kvinner20-39]]/Rådatakommune[[#This Row],[B14]]</f>
        <v>0.10742959092646871</v>
      </c>
      <c r="Q50" s="26">
        <f>Rådatakommune[[#This Row],[Eldre67+]]/Rådatakommune[[#This Row],[B14]]</f>
        <v>0.1626099146170511</v>
      </c>
      <c r="R50" s="26">
        <f>Rådatakommune[[#This Row],[S13]]/Rådatakommune[[#This Row],[S03]]-1</f>
        <v>-4.0889241762604223E-2</v>
      </c>
      <c r="S50" s="26">
        <f>Rådatakommune[[#This Row],[Y13]]/Rådatakommune[[#This Row],[Folk20-64]]</f>
        <v>0.83572671888598782</v>
      </c>
    </row>
    <row r="51" spans="1:19">
      <c r="A51" s="2" t="s">
        <v>49</v>
      </c>
      <c r="B51" s="38">
        <v>6431</v>
      </c>
      <c r="C51" s="38">
        <v>6253</v>
      </c>
      <c r="D51" s="38">
        <v>2821</v>
      </c>
      <c r="E51" s="38">
        <v>1192</v>
      </c>
      <c r="F51" s="4">
        <v>579</v>
      </c>
      <c r="G51" s="4">
        <v>3520</v>
      </c>
      <c r="H51" s="38">
        <v>1908</v>
      </c>
      <c r="I51" s="38">
        <v>1938</v>
      </c>
      <c r="J51" s="7">
        <v>640.39</v>
      </c>
      <c r="K51" s="38">
        <v>310200</v>
      </c>
      <c r="L51">
        <v>78.382385675799995</v>
      </c>
      <c r="M51">
        <v>5</v>
      </c>
      <c r="N51" s="37">
        <f>Rådatakommune[[#This Row],[B14]]/Rådatakommune[[#This Row],[Totalareal]]</f>
        <v>9.7643623416980283</v>
      </c>
      <c r="O51" s="39">
        <f>Rådatakommune[[#This Row],[B14]]/Rådatakommune[[#This Row],[B04]]-1</f>
        <v>-2.7678432592131874E-2</v>
      </c>
      <c r="P51" s="26">
        <f>Rådatakommune[[#This Row],[Kvinner20-39]]/Rådatakommune[[#This Row],[B14]]</f>
        <v>9.259555413401567E-2</v>
      </c>
      <c r="Q51" s="26">
        <f>Rådatakommune[[#This Row],[Eldre67+]]/Rådatakommune[[#This Row],[B14]]</f>
        <v>0.190628498320806</v>
      </c>
      <c r="R51" s="26">
        <f>Rådatakommune[[#This Row],[S13]]/Rådatakommune[[#This Row],[S03]]-1</f>
        <v>1.572327044025168E-2</v>
      </c>
      <c r="S51" s="26">
        <f>Rådatakommune[[#This Row],[Y13]]/Rådatakommune[[#This Row],[Folk20-64]]</f>
        <v>0.80142045454545452</v>
      </c>
    </row>
    <row r="52" spans="1:19">
      <c r="A52" s="2" t="s">
        <v>50</v>
      </c>
      <c r="B52" s="38">
        <v>5312</v>
      </c>
      <c r="C52" s="38">
        <v>4948</v>
      </c>
      <c r="D52" s="38">
        <v>2243</v>
      </c>
      <c r="E52" s="38">
        <v>1080</v>
      </c>
      <c r="F52" s="4">
        <v>409</v>
      </c>
      <c r="G52" s="4">
        <v>2712</v>
      </c>
      <c r="H52" s="38">
        <v>2093</v>
      </c>
      <c r="I52" s="38">
        <v>1898</v>
      </c>
      <c r="J52" s="7">
        <v>837.17000000000007</v>
      </c>
      <c r="K52" s="38">
        <v>322800</v>
      </c>
      <c r="L52">
        <v>98.638474468799998</v>
      </c>
      <c r="M52">
        <v>6</v>
      </c>
      <c r="N52" s="37">
        <f>Rådatakommune[[#This Row],[B14]]/Rådatakommune[[#This Row],[Totalareal]]</f>
        <v>5.9103885710190278</v>
      </c>
      <c r="O52" s="39">
        <f>Rådatakommune[[#This Row],[B14]]/Rådatakommune[[#This Row],[B04]]-1</f>
        <v>-6.8524096385542133E-2</v>
      </c>
      <c r="P52" s="26">
        <f>Rådatakommune[[#This Row],[Kvinner20-39]]/Rådatakommune[[#This Row],[B14]]</f>
        <v>8.2659660468876309E-2</v>
      </c>
      <c r="Q52" s="26">
        <f>Rådatakommune[[#This Row],[Eldre67+]]/Rådatakommune[[#This Row],[B14]]</f>
        <v>0.21827000808407437</v>
      </c>
      <c r="R52" s="26">
        <f>Rådatakommune[[#This Row],[S13]]/Rådatakommune[[#This Row],[S03]]-1</f>
        <v>-9.3167701863353991E-2</v>
      </c>
      <c r="S52" s="26">
        <f>Rådatakommune[[#This Row],[Y13]]/Rådatakommune[[#This Row],[Folk20-64]]</f>
        <v>0.82706489675516226</v>
      </c>
    </row>
    <row r="53" spans="1:19">
      <c r="A53" s="2" t="s">
        <v>51</v>
      </c>
      <c r="B53" s="38">
        <v>7924</v>
      </c>
      <c r="C53" s="38">
        <v>7544</v>
      </c>
      <c r="D53" s="38">
        <v>3353</v>
      </c>
      <c r="E53" s="38">
        <v>1650</v>
      </c>
      <c r="F53" s="4">
        <v>699</v>
      </c>
      <c r="G53" s="4">
        <v>4178</v>
      </c>
      <c r="H53" s="38">
        <v>2971</v>
      </c>
      <c r="I53" s="38">
        <v>2963</v>
      </c>
      <c r="J53" s="7">
        <v>1040.94</v>
      </c>
      <c r="K53" s="38">
        <v>314300</v>
      </c>
      <c r="L53">
        <v>114.27435344600001</v>
      </c>
      <c r="M53">
        <v>5</v>
      </c>
      <c r="N53" s="37">
        <f>Rådatakommune[[#This Row],[B14]]/Rådatakommune[[#This Row],[Totalareal]]</f>
        <v>7.2472957134897298</v>
      </c>
      <c r="O53" s="39">
        <f>Rådatakommune[[#This Row],[B14]]/Rådatakommune[[#This Row],[B04]]-1</f>
        <v>-4.7955577990913656E-2</v>
      </c>
      <c r="P53" s="26">
        <f>Rådatakommune[[#This Row],[Kvinner20-39]]/Rådatakommune[[#This Row],[B14]]</f>
        <v>9.2656415694591723E-2</v>
      </c>
      <c r="Q53" s="26">
        <f>Rådatakommune[[#This Row],[Eldre67+]]/Rådatakommune[[#This Row],[B14]]</f>
        <v>0.21871686108165431</v>
      </c>
      <c r="R53" s="26">
        <f>Rådatakommune[[#This Row],[S13]]/Rådatakommune[[#This Row],[S03]]-1</f>
        <v>-2.6926960619320095E-3</v>
      </c>
      <c r="S53" s="26">
        <f>Rådatakommune[[#This Row],[Y13]]/Rådatakommune[[#This Row],[Folk20-64]]</f>
        <v>0.80253709909047388</v>
      </c>
    </row>
    <row r="54" spans="1:19">
      <c r="A54" s="2" t="s">
        <v>52</v>
      </c>
      <c r="B54" s="38">
        <v>3906</v>
      </c>
      <c r="C54" s="38">
        <v>3783</v>
      </c>
      <c r="D54" s="38">
        <v>1756</v>
      </c>
      <c r="E54" s="38">
        <v>800</v>
      </c>
      <c r="F54" s="4">
        <v>337</v>
      </c>
      <c r="G54" s="4">
        <v>2168</v>
      </c>
      <c r="H54" s="38">
        <v>1534</v>
      </c>
      <c r="I54" s="38">
        <v>1475</v>
      </c>
      <c r="J54" s="7">
        <v>705.27</v>
      </c>
      <c r="K54" s="38">
        <v>320900</v>
      </c>
      <c r="L54">
        <v>121.93083443800001</v>
      </c>
      <c r="M54">
        <v>5</v>
      </c>
      <c r="N54" s="37">
        <f>Rådatakommune[[#This Row],[B14]]/Rådatakommune[[#This Row],[Totalareal]]</f>
        <v>5.3639031860138671</v>
      </c>
      <c r="O54" s="39">
        <f>Rådatakommune[[#This Row],[B14]]/Rådatakommune[[#This Row],[B04]]-1</f>
        <v>-3.1490015360983059E-2</v>
      </c>
      <c r="P54" s="26">
        <f>Rådatakommune[[#This Row],[Kvinner20-39]]/Rådatakommune[[#This Row],[B14]]</f>
        <v>8.9082738567274652E-2</v>
      </c>
      <c r="Q54" s="26">
        <f>Rådatakommune[[#This Row],[Eldre67+]]/Rådatakommune[[#This Row],[B14]]</f>
        <v>0.21147237642083003</v>
      </c>
      <c r="R54" s="26">
        <f>Rådatakommune[[#This Row],[S13]]/Rådatakommune[[#This Row],[S03]]-1</f>
        <v>-3.8461538461538436E-2</v>
      </c>
      <c r="S54" s="26">
        <f>Rådatakommune[[#This Row],[Y13]]/Rådatakommune[[#This Row],[Folk20-64]]</f>
        <v>0.80996309963099633</v>
      </c>
    </row>
    <row r="55" spans="1:19">
      <c r="A55" s="2" t="s">
        <v>53</v>
      </c>
      <c r="B55" s="38">
        <v>18805</v>
      </c>
      <c r="C55" s="38">
        <v>20563</v>
      </c>
      <c r="D55" s="38">
        <v>10208</v>
      </c>
      <c r="E55" s="38">
        <v>3258</v>
      </c>
      <c r="F55" s="4">
        <v>2572</v>
      </c>
      <c r="G55" s="4">
        <v>11834</v>
      </c>
      <c r="H55" s="38">
        <v>8643</v>
      </c>
      <c r="I55" s="38">
        <v>10146</v>
      </c>
      <c r="J55" s="7">
        <v>1229.28</v>
      </c>
      <c r="K55" s="38">
        <v>351600</v>
      </c>
      <c r="L55">
        <v>97.186424978100007</v>
      </c>
      <c r="M55">
        <v>5</v>
      </c>
      <c r="N55" s="37">
        <f>Rådatakommune[[#This Row],[B14]]/Rådatakommune[[#This Row],[Totalareal]]</f>
        <v>16.727677990368345</v>
      </c>
      <c r="O55" s="39">
        <f>Rådatakommune[[#This Row],[B14]]/Rådatakommune[[#This Row],[B04]]-1</f>
        <v>9.3485775059824583E-2</v>
      </c>
      <c r="P55" s="26">
        <f>Rådatakommune[[#This Row],[Kvinner20-39]]/Rådatakommune[[#This Row],[B14]]</f>
        <v>0.12507902543403199</v>
      </c>
      <c r="Q55" s="26">
        <f>Rådatakommune[[#This Row],[Eldre67+]]/Rådatakommune[[#This Row],[B14]]</f>
        <v>0.15843991635461752</v>
      </c>
      <c r="R55" s="26">
        <f>Rådatakommune[[#This Row],[S13]]/Rådatakommune[[#This Row],[S03]]-1</f>
        <v>0.17389795209996528</v>
      </c>
      <c r="S55" s="26">
        <f>Rådatakommune[[#This Row],[Y13]]/Rådatakommune[[#This Row],[Folk20-64]]</f>
        <v>0.86259929018083492</v>
      </c>
    </row>
    <row r="56" spans="1:19">
      <c r="A56" s="2" t="s">
        <v>54</v>
      </c>
      <c r="B56" s="38">
        <v>6955</v>
      </c>
      <c r="C56" s="38">
        <v>6621</v>
      </c>
      <c r="D56" s="38">
        <v>3051</v>
      </c>
      <c r="E56" s="38">
        <v>1366</v>
      </c>
      <c r="F56" s="4">
        <v>653</v>
      </c>
      <c r="G56" s="4">
        <v>3693</v>
      </c>
      <c r="H56" s="38">
        <v>2850</v>
      </c>
      <c r="I56" s="38">
        <v>2731</v>
      </c>
      <c r="J56" s="7">
        <v>3014.36</v>
      </c>
      <c r="K56" s="38">
        <v>304300</v>
      </c>
      <c r="L56">
        <v>150.541190755</v>
      </c>
      <c r="M56">
        <v>9</v>
      </c>
      <c r="N56" s="37">
        <f>Rådatakommune[[#This Row],[B14]]/Rådatakommune[[#This Row],[Totalareal]]</f>
        <v>2.1964861529478892</v>
      </c>
      <c r="O56" s="39">
        <f>Rådatakommune[[#This Row],[B14]]/Rådatakommune[[#This Row],[B04]]-1</f>
        <v>-4.8023005032350796E-2</v>
      </c>
      <c r="P56" s="26">
        <f>Rådatakommune[[#This Row],[Kvinner20-39]]/Rådatakommune[[#This Row],[B14]]</f>
        <v>9.8625585259024318E-2</v>
      </c>
      <c r="Q56" s="26">
        <f>Rådatakommune[[#This Row],[Eldre67+]]/Rådatakommune[[#This Row],[B14]]</f>
        <v>0.20631324573327292</v>
      </c>
      <c r="R56" s="26">
        <f>Rådatakommune[[#This Row],[S13]]/Rådatakommune[[#This Row],[S03]]-1</f>
        <v>-4.1754385964912322E-2</v>
      </c>
      <c r="S56" s="26">
        <f>Rådatakommune[[#This Row],[Y13]]/Rådatakommune[[#This Row],[Folk20-64]]</f>
        <v>0.82615759545085299</v>
      </c>
    </row>
    <row r="57" spans="1:19">
      <c r="A57" s="2" t="s">
        <v>55</v>
      </c>
      <c r="B57" s="38">
        <v>4425</v>
      </c>
      <c r="C57" s="38">
        <v>4455</v>
      </c>
      <c r="D57" s="38">
        <v>2134</v>
      </c>
      <c r="E57" s="38">
        <v>767</v>
      </c>
      <c r="F57" s="4">
        <v>504</v>
      </c>
      <c r="G57" s="4">
        <v>2554</v>
      </c>
      <c r="H57" s="38">
        <v>1833</v>
      </c>
      <c r="I57" s="38">
        <v>1940</v>
      </c>
      <c r="J57" s="7">
        <v>1339.92</v>
      </c>
      <c r="K57" s="38">
        <v>345500</v>
      </c>
      <c r="L57">
        <v>121.702497657</v>
      </c>
      <c r="M57">
        <v>5</v>
      </c>
      <c r="N57" s="37">
        <f>Rådatakommune[[#This Row],[B14]]/Rådatakommune[[#This Row],[Totalareal]]</f>
        <v>3.3248253627082214</v>
      </c>
      <c r="O57" s="39">
        <f>Rådatakommune[[#This Row],[B14]]/Rådatakommune[[#This Row],[B04]]-1</f>
        <v>6.7796610169490457E-3</v>
      </c>
      <c r="P57" s="26">
        <f>Rådatakommune[[#This Row],[Kvinner20-39]]/Rådatakommune[[#This Row],[B14]]</f>
        <v>0.11313131313131314</v>
      </c>
      <c r="Q57" s="26">
        <f>Rådatakommune[[#This Row],[Eldre67+]]/Rådatakommune[[#This Row],[B14]]</f>
        <v>0.17216610549943884</v>
      </c>
      <c r="R57" s="26">
        <f>Rådatakommune[[#This Row],[S13]]/Rådatakommune[[#This Row],[S03]]-1</f>
        <v>5.8374249863611505E-2</v>
      </c>
      <c r="S57" s="26">
        <f>Rådatakommune[[#This Row],[Y13]]/Rådatakommune[[#This Row],[Folk20-64]]</f>
        <v>0.83555207517619423</v>
      </c>
    </row>
    <row r="58" spans="1:19">
      <c r="A58" s="2" t="s">
        <v>56</v>
      </c>
      <c r="B58" s="38">
        <v>2819</v>
      </c>
      <c r="C58" s="38">
        <v>2699</v>
      </c>
      <c r="D58" s="38">
        <v>1165</v>
      </c>
      <c r="E58" s="38">
        <v>546</v>
      </c>
      <c r="F58" s="4">
        <v>255</v>
      </c>
      <c r="G58" s="4">
        <v>1569</v>
      </c>
      <c r="H58" s="38">
        <v>1046</v>
      </c>
      <c r="I58" s="38">
        <v>1046</v>
      </c>
      <c r="J58" s="7">
        <v>2165.79</v>
      </c>
      <c r="K58" s="38">
        <v>302400</v>
      </c>
      <c r="L58">
        <v>165.90602107999999</v>
      </c>
      <c r="M58">
        <v>11</v>
      </c>
      <c r="N58" s="37">
        <f>Rådatakommune[[#This Row],[B14]]/Rådatakommune[[#This Row],[Totalareal]]</f>
        <v>1.2461965379838305</v>
      </c>
      <c r="O58" s="39">
        <f>Rådatakommune[[#This Row],[B14]]/Rådatakommune[[#This Row],[B04]]-1</f>
        <v>-4.2568286626463281E-2</v>
      </c>
      <c r="P58" s="26">
        <f>Rådatakommune[[#This Row],[Kvinner20-39]]/Rådatakommune[[#This Row],[B14]]</f>
        <v>9.4479436828454985E-2</v>
      </c>
      <c r="Q58" s="26">
        <f>Rådatakommune[[#This Row],[Eldre67+]]/Rådatakommune[[#This Row],[B14]]</f>
        <v>0.20229714709151539</v>
      </c>
      <c r="R58" s="26">
        <f>Rådatakommune[[#This Row],[S13]]/Rådatakommune[[#This Row],[S03]]-1</f>
        <v>0</v>
      </c>
      <c r="S58" s="26">
        <f>Rådatakommune[[#This Row],[Y13]]/Rådatakommune[[#This Row],[Folk20-64]]</f>
        <v>0.74251115360101971</v>
      </c>
    </row>
    <row r="59" spans="1:19">
      <c r="A59" s="2" t="s">
        <v>57</v>
      </c>
      <c r="B59" s="38">
        <v>2146</v>
      </c>
      <c r="C59" s="38">
        <v>1883</v>
      </c>
      <c r="D59" s="38">
        <v>940</v>
      </c>
      <c r="E59" s="38">
        <v>466</v>
      </c>
      <c r="F59" s="4">
        <v>144</v>
      </c>
      <c r="G59" s="4">
        <v>993</v>
      </c>
      <c r="H59" s="38">
        <v>770</v>
      </c>
      <c r="I59" s="38">
        <v>734</v>
      </c>
      <c r="J59" s="7">
        <v>3179.52</v>
      </c>
      <c r="K59" s="38">
        <v>313300</v>
      </c>
      <c r="L59">
        <v>196.93811735700001</v>
      </c>
      <c r="M59">
        <v>8</v>
      </c>
      <c r="N59" s="37">
        <f>Rådatakommune[[#This Row],[B14]]/Rådatakommune[[#This Row],[Totalareal]]</f>
        <v>0.5922277576489533</v>
      </c>
      <c r="O59" s="39">
        <f>Rådatakommune[[#This Row],[B14]]/Rådatakommune[[#This Row],[B04]]-1</f>
        <v>-0.1225535880708295</v>
      </c>
      <c r="P59" s="26">
        <f>Rådatakommune[[#This Row],[Kvinner20-39]]/Rådatakommune[[#This Row],[B14]]</f>
        <v>7.647371216144451E-2</v>
      </c>
      <c r="Q59" s="26">
        <f>Rådatakommune[[#This Row],[Eldre67+]]/Rådatakommune[[#This Row],[B14]]</f>
        <v>0.24747742963356345</v>
      </c>
      <c r="R59" s="26">
        <f>Rådatakommune[[#This Row],[S13]]/Rådatakommune[[#This Row],[S03]]-1</f>
        <v>-4.6753246753246769E-2</v>
      </c>
      <c r="S59" s="26">
        <f>Rådatakommune[[#This Row],[Y13]]/Rådatakommune[[#This Row],[Folk20-64]]</f>
        <v>0.94662638469284999</v>
      </c>
    </row>
    <row r="60" spans="1:19">
      <c r="A60" s="2" t="s">
        <v>58</v>
      </c>
      <c r="B60" s="38">
        <v>1503</v>
      </c>
      <c r="C60" s="38">
        <v>1345</v>
      </c>
      <c r="D60" s="38">
        <v>650</v>
      </c>
      <c r="E60" s="38">
        <v>319</v>
      </c>
      <c r="F60" s="4">
        <v>115</v>
      </c>
      <c r="G60" s="4">
        <v>715</v>
      </c>
      <c r="H60" s="38">
        <v>636</v>
      </c>
      <c r="I60" s="38">
        <v>532</v>
      </c>
      <c r="J60" s="7">
        <v>2196.54</v>
      </c>
      <c r="K60" s="38">
        <v>296300</v>
      </c>
      <c r="L60">
        <v>191.10905358400001</v>
      </c>
      <c r="M60">
        <v>9</v>
      </c>
      <c r="N60" s="37">
        <f>Rådatakommune[[#This Row],[B14]]/Rådatakommune[[#This Row],[Totalareal]]</f>
        <v>0.61232665920037876</v>
      </c>
      <c r="O60" s="39">
        <f>Rådatakommune[[#This Row],[B14]]/Rådatakommune[[#This Row],[B04]]-1</f>
        <v>-0.1051230871590153</v>
      </c>
      <c r="P60" s="26">
        <f>Rådatakommune[[#This Row],[Kvinner20-39]]/Rådatakommune[[#This Row],[B14]]</f>
        <v>8.5501858736059477E-2</v>
      </c>
      <c r="Q60" s="26">
        <f>Rådatakommune[[#This Row],[Eldre67+]]/Rådatakommune[[#This Row],[B14]]</f>
        <v>0.23717472118959107</v>
      </c>
      <c r="R60" s="26">
        <f>Rådatakommune[[#This Row],[S13]]/Rådatakommune[[#This Row],[S03]]-1</f>
        <v>-0.16352201257861632</v>
      </c>
      <c r="S60" s="26">
        <f>Rådatakommune[[#This Row],[Y13]]/Rådatakommune[[#This Row],[Folk20-64]]</f>
        <v>0.90909090909090906</v>
      </c>
    </row>
    <row r="61" spans="1:19">
      <c r="A61" s="2" t="s">
        <v>59</v>
      </c>
      <c r="B61" s="38">
        <v>1781</v>
      </c>
      <c r="C61" s="38">
        <v>1658</v>
      </c>
      <c r="D61" s="38">
        <v>878</v>
      </c>
      <c r="E61" s="38">
        <v>295</v>
      </c>
      <c r="F61" s="4">
        <v>160</v>
      </c>
      <c r="G61" s="4">
        <v>928</v>
      </c>
      <c r="H61" s="38">
        <v>704</v>
      </c>
      <c r="I61" s="38">
        <v>619</v>
      </c>
      <c r="J61" s="7">
        <v>1122.5900000000001</v>
      </c>
      <c r="K61" s="38">
        <v>309300</v>
      </c>
      <c r="L61">
        <v>179.9717179882</v>
      </c>
      <c r="M61">
        <v>8</v>
      </c>
      <c r="N61" s="37">
        <f>Rådatakommune[[#This Row],[B14]]/Rådatakommune[[#This Row],[Totalareal]]</f>
        <v>1.4769417151408795</v>
      </c>
      <c r="O61" s="39">
        <f>Rådatakommune[[#This Row],[B14]]/Rådatakommune[[#This Row],[B04]]-1</f>
        <v>-6.9062324536777076E-2</v>
      </c>
      <c r="P61" s="26">
        <f>Rådatakommune[[#This Row],[Kvinner20-39]]/Rådatakommune[[#This Row],[B14]]</f>
        <v>9.6501809408926414E-2</v>
      </c>
      <c r="Q61" s="26">
        <f>Rådatakommune[[#This Row],[Eldre67+]]/Rådatakommune[[#This Row],[B14]]</f>
        <v>0.17792521109770809</v>
      </c>
      <c r="R61" s="26">
        <f>Rådatakommune[[#This Row],[S13]]/Rådatakommune[[#This Row],[S03]]-1</f>
        <v>-0.12073863636363635</v>
      </c>
      <c r="S61" s="26">
        <f>Rådatakommune[[#This Row],[Y13]]/Rådatakommune[[#This Row],[Folk20-64]]</f>
        <v>0.94612068965517238</v>
      </c>
    </row>
    <row r="62" spans="1:19">
      <c r="A62" s="2" t="s">
        <v>60</v>
      </c>
      <c r="B62" s="38">
        <v>5463</v>
      </c>
      <c r="C62" s="38">
        <v>5549</v>
      </c>
      <c r="D62" s="38">
        <v>2908</v>
      </c>
      <c r="E62" s="38">
        <v>897</v>
      </c>
      <c r="F62" s="4">
        <v>583</v>
      </c>
      <c r="G62" s="4">
        <v>3111</v>
      </c>
      <c r="H62" s="38">
        <v>2956</v>
      </c>
      <c r="I62" s="38">
        <v>3301</v>
      </c>
      <c r="J62" s="7">
        <v>1880.51</v>
      </c>
      <c r="K62" s="38">
        <v>340400</v>
      </c>
      <c r="L62">
        <v>196.7671357575</v>
      </c>
      <c r="M62">
        <v>8</v>
      </c>
      <c r="N62" s="37">
        <f>Rådatakommune[[#This Row],[B14]]/Rådatakommune[[#This Row],[Totalareal]]</f>
        <v>2.9507952629871683</v>
      </c>
      <c r="O62" s="39">
        <f>Rådatakommune[[#This Row],[B14]]/Rådatakommune[[#This Row],[B04]]-1</f>
        <v>1.5742266154127771E-2</v>
      </c>
      <c r="P62" s="26">
        <f>Rådatakommune[[#This Row],[Kvinner20-39]]/Rådatakommune[[#This Row],[B14]]</f>
        <v>0.10506397549107947</v>
      </c>
      <c r="Q62" s="26">
        <f>Rådatakommune[[#This Row],[Eldre67+]]/Rådatakommune[[#This Row],[B14]]</f>
        <v>0.16165074788250136</v>
      </c>
      <c r="R62" s="26">
        <f>Rådatakommune[[#This Row],[S13]]/Rådatakommune[[#This Row],[S03]]-1</f>
        <v>0.11671177266576449</v>
      </c>
      <c r="S62" s="26">
        <f>Rådatakommune[[#This Row],[Y13]]/Rådatakommune[[#This Row],[Folk20-64]]</f>
        <v>0.93474766955962718</v>
      </c>
    </row>
    <row r="63" spans="1:19">
      <c r="A63" s="2" t="s">
        <v>61</v>
      </c>
      <c r="B63" s="38">
        <v>2406</v>
      </c>
      <c r="C63" s="38">
        <v>2432</v>
      </c>
      <c r="D63" s="38">
        <v>1297</v>
      </c>
      <c r="E63" s="38">
        <v>412</v>
      </c>
      <c r="F63" s="4">
        <v>261</v>
      </c>
      <c r="G63" s="4">
        <v>1342</v>
      </c>
      <c r="H63" s="38">
        <v>1017</v>
      </c>
      <c r="I63" s="38">
        <v>1230</v>
      </c>
      <c r="J63" s="7">
        <v>942.15</v>
      </c>
      <c r="K63" s="38">
        <v>339900</v>
      </c>
      <c r="L63">
        <v>215.45257689850001</v>
      </c>
      <c r="M63">
        <v>8</v>
      </c>
      <c r="N63" s="37">
        <f>Rådatakommune[[#This Row],[B14]]/Rådatakommune[[#This Row],[Totalareal]]</f>
        <v>2.5813299368465743</v>
      </c>
      <c r="O63" s="39">
        <f>Rådatakommune[[#This Row],[B14]]/Rådatakommune[[#This Row],[B04]]-1</f>
        <v>1.0806317539484578E-2</v>
      </c>
      <c r="P63" s="26">
        <f>Rådatakommune[[#This Row],[Kvinner20-39]]/Rådatakommune[[#This Row],[B14]]</f>
        <v>0.10731907894736842</v>
      </c>
      <c r="Q63" s="26">
        <f>Rådatakommune[[#This Row],[Eldre67+]]/Rådatakommune[[#This Row],[B14]]</f>
        <v>0.16940789473684212</v>
      </c>
      <c r="R63" s="26">
        <f>Rådatakommune[[#This Row],[S13]]/Rådatakommune[[#This Row],[S03]]-1</f>
        <v>0.20943952802359878</v>
      </c>
      <c r="S63" s="26">
        <f>Rådatakommune[[#This Row],[Y13]]/Rådatakommune[[#This Row],[Folk20-64]]</f>
        <v>0.96646795827123699</v>
      </c>
    </row>
    <row r="64" spans="1:19">
      <c r="A64" s="2" t="s">
        <v>62</v>
      </c>
      <c r="B64" s="38">
        <v>1739</v>
      </c>
      <c r="C64" s="38">
        <v>1631</v>
      </c>
      <c r="D64" s="38">
        <v>837</v>
      </c>
      <c r="E64" s="38">
        <v>347</v>
      </c>
      <c r="F64" s="4">
        <v>126</v>
      </c>
      <c r="G64" s="4">
        <v>840</v>
      </c>
      <c r="H64" s="38">
        <v>714</v>
      </c>
      <c r="I64" s="38">
        <v>650</v>
      </c>
      <c r="J64" s="7">
        <v>1276.8699999999999</v>
      </c>
      <c r="K64" s="38">
        <v>321800</v>
      </c>
      <c r="L64">
        <v>239.34808878300001</v>
      </c>
      <c r="M64">
        <v>8</v>
      </c>
      <c r="N64" s="37">
        <f>Rådatakommune[[#This Row],[B14]]/Rådatakommune[[#This Row],[Totalareal]]</f>
        <v>1.2773422509730827</v>
      </c>
      <c r="O64" s="39">
        <f>Rådatakommune[[#This Row],[B14]]/Rådatakommune[[#This Row],[B04]]-1</f>
        <v>-6.2104657849338718E-2</v>
      </c>
      <c r="P64" s="26">
        <f>Rådatakommune[[#This Row],[Kvinner20-39]]/Rådatakommune[[#This Row],[B14]]</f>
        <v>7.7253218884120178E-2</v>
      </c>
      <c r="Q64" s="26">
        <f>Rådatakommune[[#This Row],[Eldre67+]]/Rådatakommune[[#This Row],[B14]]</f>
        <v>0.21275291232372778</v>
      </c>
      <c r="R64" s="26">
        <f>Rådatakommune[[#This Row],[S13]]/Rådatakommune[[#This Row],[S03]]-1</f>
        <v>-8.9635854341736709E-2</v>
      </c>
      <c r="S64" s="26">
        <f>Rådatakommune[[#This Row],[Y13]]/Rådatakommune[[#This Row],[Folk20-64]]</f>
        <v>0.99642857142857144</v>
      </c>
    </row>
    <row r="65" spans="1:19">
      <c r="A65" s="2" t="s">
        <v>63</v>
      </c>
      <c r="B65" s="38">
        <v>2131</v>
      </c>
      <c r="C65" s="38">
        <v>2013</v>
      </c>
      <c r="D65" s="38">
        <v>1083</v>
      </c>
      <c r="E65" s="38">
        <v>375</v>
      </c>
      <c r="F65" s="4">
        <v>192</v>
      </c>
      <c r="G65" s="4">
        <v>1118</v>
      </c>
      <c r="H65" s="38">
        <v>783</v>
      </c>
      <c r="I65" s="38">
        <v>753</v>
      </c>
      <c r="J65" s="7">
        <v>1040.4100000000001</v>
      </c>
      <c r="K65" s="38">
        <v>316300</v>
      </c>
      <c r="L65">
        <v>165.28662693699999</v>
      </c>
      <c r="M65">
        <v>9</v>
      </c>
      <c r="N65" s="37">
        <f>Rådatakommune[[#This Row],[B14]]/Rådatakommune[[#This Row],[Totalareal]]</f>
        <v>1.9348141598023854</v>
      </c>
      <c r="O65" s="39">
        <f>Rådatakommune[[#This Row],[B14]]/Rådatakommune[[#This Row],[B04]]-1</f>
        <v>-5.5373064289066187E-2</v>
      </c>
      <c r="P65" s="26">
        <f>Rådatakommune[[#This Row],[Kvinner20-39]]/Rådatakommune[[#This Row],[B14]]</f>
        <v>9.5380029806259314E-2</v>
      </c>
      <c r="Q65" s="26">
        <f>Rådatakommune[[#This Row],[Eldre67+]]/Rådatakommune[[#This Row],[B14]]</f>
        <v>0.18628912071535023</v>
      </c>
      <c r="R65" s="26">
        <f>Rådatakommune[[#This Row],[S13]]/Rådatakommune[[#This Row],[S03]]-1</f>
        <v>-3.8314176245210718E-2</v>
      </c>
      <c r="S65" s="26">
        <f>Rådatakommune[[#This Row],[Y13]]/Rådatakommune[[#This Row],[Folk20-64]]</f>
        <v>0.96869409660107331</v>
      </c>
    </row>
    <row r="66" spans="1:19">
      <c r="A66" s="2" t="s">
        <v>64</v>
      </c>
      <c r="B66" s="38">
        <v>25070</v>
      </c>
      <c r="C66" s="38">
        <v>27028</v>
      </c>
      <c r="D66" s="38">
        <v>13972</v>
      </c>
      <c r="E66" s="38">
        <v>4437</v>
      </c>
      <c r="F66" s="4">
        <v>3439</v>
      </c>
      <c r="G66" s="4">
        <v>15822</v>
      </c>
      <c r="H66" s="38">
        <v>14791</v>
      </c>
      <c r="I66" s="38">
        <v>16224</v>
      </c>
      <c r="J66" s="7">
        <v>478.17</v>
      </c>
      <c r="K66" s="38">
        <v>368000</v>
      </c>
      <c r="L66">
        <v>128.65623524200001</v>
      </c>
      <c r="M66">
        <v>4</v>
      </c>
      <c r="N66" s="37">
        <f>Rådatakommune[[#This Row],[B14]]/Rådatakommune[[#This Row],[Totalareal]]</f>
        <v>56.523830436873915</v>
      </c>
      <c r="O66" s="39">
        <f>Rådatakommune[[#This Row],[B14]]/Rådatakommune[[#This Row],[B04]]-1</f>
        <v>7.8101316314319824E-2</v>
      </c>
      <c r="P66" s="26">
        <f>Rådatakommune[[#This Row],[Kvinner20-39]]/Rådatakommune[[#This Row],[B14]]</f>
        <v>0.12723841941690101</v>
      </c>
      <c r="Q66" s="26">
        <f>Rådatakommune[[#This Row],[Eldre67+]]/Rådatakommune[[#This Row],[B14]]</f>
        <v>0.16416309012875535</v>
      </c>
      <c r="R66" s="26">
        <f>Rådatakommune[[#This Row],[S13]]/Rådatakommune[[#This Row],[S03]]-1</f>
        <v>9.6883239807991295E-2</v>
      </c>
      <c r="S66" s="26">
        <f>Rådatakommune[[#This Row],[Y13]]/Rådatakommune[[#This Row],[Folk20-64]]</f>
        <v>0.8830742004803438</v>
      </c>
    </row>
    <row r="67" spans="1:19">
      <c r="A67" s="2" t="s">
        <v>65</v>
      </c>
      <c r="B67" s="38">
        <v>27526</v>
      </c>
      <c r="C67" s="38">
        <v>29668</v>
      </c>
      <c r="D67" s="38">
        <v>14666</v>
      </c>
      <c r="E67" s="38">
        <v>4725</v>
      </c>
      <c r="F67" s="4">
        <v>3630</v>
      </c>
      <c r="G67" s="4">
        <v>17452</v>
      </c>
      <c r="H67" s="38">
        <v>15217</v>
      </c>
      <c r="I67" s="38">
        <v>16449</v>
      </c>
      <c r="J67" s="7">
        <v>672.24</v>
      </c>
      <c r="K67" s="38">
        <v>351700</v>
      </c>
      <c r="L67">
        <v>104.677432987</v>
      </c>
      <c r="M67">
        <v>4</v>
      </c>
      <c r="N67" s="37">
        <f>Rådatakommune[[#This Row],[B14]]/Rådatakommune[[#This Row],[Totalareal]]</f>
        <v>44.133047721052002</v>
      </c>
      <c r="O67" s="39">
        <f>Rådatakommune[[#This Row],[B14]]/Rådatakommune[[#This Row],[B04]]-1</f>
        <v>7.7817336336554632E-2</v>
      </c>
      <c r="P67" s="26">
        <f>Rådatakommune[[#This Row],[Kvinner20-39]]/Rådatakommune[[#This Row],[B14]]</f>
        <v>0.12235405150330322</v>
      </c>
      <c r="Q67" s="26">
        <f>Rådatakommune[[#This Row],[Eldre67+]]/Rådatakommune[[#This Row],[B14]]</f>
        <v>0.15926250505595255</v>
      </c>
      <c r="R67" s="26">
        <f>Rådatakommune[[#This Row],[S13]]/Rådatakommune[[#This Row],[S03]]-1</f>
        <v>8.0962081882105519E-2</v>
      </c>
      <c r="S67" s="26">
        <f>Rådatakommune[[#This Row],[Y13]]/Rådatakommune[[#This Row],[Folk20-64]]</f>
        <v>0.84036213614485444</v>
      </c>
    </row>
    <row r="68" spans="1:19">
      <c r="A68" s="2" t="s">
        <v>66</v>
      </c>
      <c r="B68" s="38">
        <v>2883</v>
      </c>
      <c r="C68" s="38">
        <v>2704</v>
      </c>
      <c r="D68" s="38">
        <v>1344</v>
      </c>
      <c r="E68" s="38">
        <v>547</v>
      </c>
      <c r="F68" s="4">
        <v>235</v>
      </c>
      <c r="G68" s="4">
        <v>1499</v>
      </c>
      <c r="H68" s="38">
        <v>1357</v>
      </c>
      <c r="I68" s="38">
        <v>1341</v>
      </c>
      <c r="J68" s="7">
        <v>1364.39</v>
      </c>
      <c r="K68" s="38">
        <v>315800</v>
      </c>
      <c r="L68">
        <v>243.777629612</v>
      </c>
      <c r="M68">
        <v>10</v>
      </c>
      <c r="N68" s="37">
        <f>Rådatakommune[[#This Row],[B14]]/Rådatakommune[[#This Row],[Totalareal]]</f>
        <v>1.9818380375112685</v>
      </c>
      <c r="O68" s="39">
        <f>Rådatakommune[[#This Row],[B14]]/Rådatakommune[[#This Row],[B04]]-1</f>
        <v>-6.2088102670828982E-2</v>
      </c>
      <c r="P68" s="26">
        <f>Rådatakommune[[#This Row],[Kvinner20-39]]/Rådatakommune[[#This Row],[B14]]</f>
        <v>8.6908284023668639E-2</v>
      </c>
      <c r="Q68" s="26">
        <f>Rådatakommune[[#This Row],[Eldre67+]]/Rådatakommune[[#This Row],[B14]]</f>
        <v>0.20229289940828402</v>
      </c>
      <c r="R68" s="26">
        <f>Rådatakommune[[#This Row],[S13]]/Rådatakommune[[#This Row],[S03]]-1</f>
        <v>-1.179071481208549E-2</v>
      </c>
      <c r="S68" s="26">
        <f>Rådatakommune[[#This Row],[Y13]]/Rådatakommune[[#This Row],[Folk20-64]]</f>
        <v>0.89659773182121416</v>
      </c>
    </row>
    <row r="69" spans="1:19">
      <c r="A69" s="2" t="s">
        <v>67</v>
      </c>
      <c r="B69" s="38">
        <v>2209</v>
      </c>
      <c r="C69" s="38">
        <v>2076</v>
      </c>
      <c r="D69" s="38">
        <v>1106</v>
      </c>
      <c r="E69" s="38">
        <v>402</v>
      </c>
      <c r="F69" s="4">
        <v>203</v>
      </c>
      <c r="G69" s="4">
        <v>1147</v>
      </c>
      <c r="H69" s="38">
        <v>944</v>
      </c>
      <c r="I69" s="38">
        <v>882</v>
      </c>
      <c r="J69" s="7">
        <v>2259.4899999999998</v>
      </c>
      <c r="K69" s="38">
        <v>326200</v>
      </c>
      <c r="L69">
        <v>265.93880031100002</v>
      </c>
      <c r="M69">
        <v>10</v>
      </c>
      <c r="N69" s="37">
        <f>Rådatakommune[[#This Row],[B14]]/Rådatakommune[[#This Row],[Totalareal]]</f>
        <v>0.91879140868072007</v>
      </c>
      <c r="O69" s="39">
        <f>Rådatakommune[[#This Row],[B14]]/Rådatakommune[[#This Row],[B04]]-1</f>
        <v>-6.0208239022181975E-2</v>
      </c>
      <c r="P69" s="26">
        <f>Rådatakommune[[#This Row],[Kvinner20-39]]/Rådatakommune[[#This Row],[B14]]</f>
        <v>9.7784200385356457E-2</v>
      </c>
      <c r="Q69" s="26">
        <f>Rådatakommune[[#This Row],[Eldre67+]]/Rådatakommune[[#This Row],[B14]]</f>
        <v>0.19364161849710981</v>
      </c>
      <c r="R69" s="26">
        <f>Rådatakommune[[#This Row],[S13]]/Rådatakommune[[#This Row],[S03]]-1</f>
        <v>-6.5677966101694962E-2</v>
      </c>
      <c r="S69" s="26">
        <f>Rådatakommune[[#This Row],[Y13]]/Rådatakommune[[#This Row],[Folk20-64]]</f>
        <v>0.96425457715780294</v>
      </c>
    </row>
    <row r="70" spans="1:19">
      <c r="A70" s="2" t="s">
        <v>68</v>
      </c>
      <c r="B70" s="38">
        <v>2393</v>
      </c>
      <c r="C70" s="38">
        <v>2264</v>
      </c>
      <c r="D70" s="38">
        <v>1178</v>
      </c>
      <c r="E70" s="38">
        <v>459</v>
      </c>
      <c r="F70" s="4">
        <v>222</v>
      </c>
      <c r="G70" s="4">
        <v>1252</v>
      </c>
      <c r="H70" s="38">
        <v>1130</v>
      </c>
      <c r="I70" s="38">
        <v>1054</v>
      </c>
      <c r="J70" s="7">
        <v>2075.5299999999997</v>
      </c>
      <c r="K70" s="38">
        <v>321400</v>
      </c>
      <c r="L70">
        <v>267.83299999999997</v>
      </c>
      <c r="M70">
        <v>10</v>
      </c>
      <c r="N70" s="37">
        <f>Rådatakommune[[#This Row],[B14]]/Rådatakommune[[#This Row],[Totalareal]]</f>
        <v>1.0908057219119938</v>
      </c>
      <c r="O70" s="39">
        <f>Rådatakommune[[#This Row],[B14]]/Rådatakommune[[#This Row],[B04]]-1</f>
        <v>-5.3907229419139169E-2</v>
      </c>
      <c r="P70" s="26">
        <f>Rådatakommune[[#This Row],[Kvinner20-39]]/Rådatakommune[[#This Row],[B14]]</f>
        <v>9.8056537102473501E-2</v>
      </c>
      <c r="Q70" s="26">
        <f>Rådatakommune[[#This Row],[Eldre67+]]/Rådatakommune[[#This Row],[B14]]</f>
        <v>0.20273851590106007</v>
      </c>
      <c r="R70" s="26">
        <f>Rådatakommune[[#This Row],[S13]]/Rådatakommune[[#This Row],[S03]]-1</f>
        <v>-6.7256637168141564E-2</v>
      </c>
      <c r="S70" s="26">
        <f>Rådatakommune[[#This Row],[Y13]]/Rådatakommune[[#This Row],[Folk20-64]]</f>
        <v>0.9408945686900958</v>
      </c>
    </row>
    <row r="71" spans="1:19">
      <c r="A71" s="2" t="s">
        <v>69</v>
      </c>
      <c r="B71" s="38">
        <v>2496</v>
      </c>
      <c r="C71" s="38">
        <v>2361</v>
      </c>
      <c r="D71" s="38">
        <v>1254</v>
      </c>
      <c r="E71" s="38">
        <v>441</v>
      </c>
      <c r="F71" s="4">
        <v>233</v>
      </c>
      <c r="G71" s="4">
        <v>1354</v>
      </c>
      <c r="H71" s="38">
        <v>1281</v>
      </c>
      <c r="I71" s="38">
        <v>1156</v>
      </c>
      <c r="J71" s="7">
        <v>1968.55</v>
      </c>
      <c r="K71" s="38">
        <v>321200</v>
      </c>
      <c r="L71">
        <v>252.39537541000001</v>
      </c>
      <c r="M71">
        <v>10</v>
      </c>
      <c r="N71" s="37">
        <f>Rådatakommune[[#This Row],[B14]]/Rådatakommune[[#This Row],[Totalareal]]</f>
        <v>1.1993599349775215</v>
      </c>
      <c r="O71" s="39">
        <f>Rådatakommune[[#This Row],[B14]]/Rådatakommune[[#This Row],[B04]]-1</f>
        <v>-5.4086538461538436E-2</v>
      </c>
      <c r="P71" s="26">
        <f>Rådatakommune[[#This Row],[Kvinner20-39]]/Rådatakommune[[#This Row],[B14]]</f>
        <v>9.86869970351546E-2</v>
      </c>
      <c r="Q71" s="26">
        <f>Rådatakommune[[#This Row],[Eldre67+]]/Rådatakommune[[#This Row],[B14]]</f>
        <v>0.18678526048284624</v>
      </c>
      <c r="R71" s="26">
        <f>Rådatakommune[[#This Row],[S13]]/Rådatakommune[[#This Row],[S03]]-1</f>
        <v>-9.7580015612802495E-2</v>
      </c>
      <c r="S71" s="26">
        <f>Rådatakommune[[#This Row],[Y13]]/Rådatakommune[[#This Row],[Folk20-64]]</f>
        <v>0.92614475627769577</v>
      </c>
    </row>
    <row r="72" spans="1:19">
      <c r="A72" s="2" t="s">
        <v>70</v>
      </c>
      <c r="B72" s="38">
        <v>3800</v>
      </c>
      <c r="C72" s="38">
        <v>3686</v>
      </c>
      <c r="D72" s="38">
        <v>1867</v>
      </c>
      <c r="E72" s="38">
        <v>733</v>
      </c>
      <c r="F72" s="4">
        <v>373</v>
      </c>
      <c r="G72" s="4">
        <v>2009</v>
      </c>
      <c r="H72" s="38">
        <v>1500</v>
      </c>
      <c r="I72" s="38">
        <v>1603</v>
      </c>
      <c r="J72" s="7">
        <v>1330</v>
      </c>
      <c r="K72" s="38">
        <v>319400</v>
      </c>
      <c r="L72">
        <v>240.018348116</v>
      </c>
      <c r="M72">
        <v>10</v>
      </c>
      <c r="N72" s="37">
        <f>Rådatakommune[[#This Row],[B14]]/Rådatakommune[[#This Row],[Totalareal]]</f>
        <v>2.7714285714285714</v>
      </c>
      <c r="O72" s="39">
        <f>Rådatakommune[[#This Row],[B14]]/Rådatakommune[[#This Row],[B04]]-1</f>
        <v>-3.0000000000000027E-2</v>
      </c>
      <c r="P72" s="26">
        <f>Rådatakommune[[#This Row],[Kvinner20-39]]/Rådatakommune[[#This Row],[B14]]</f>
        <v>0.10119370591427021</v>
      </c>
      <c r="Q72" s="26">
        <f>Rådatakommune[[#This Row],[Eldre67+]]/Rådatakommune[[#This Row],[B14]]</f>
        <v>0.19886055344546935</v>
      </c>
      <c r="R72" s="26">
        <f>Rådatakommune[[#This Row],[S13]]/Rådatakommune[[#This Row],[S03]]-1</f>
        <v>6.8666666666666654E-2</v>
      </c>
      <c r="S72" s="26">
        <f>Rådatakommune[[#This Row],[Y13]]/Rådatakommune[[#This Row],[Folk20-64]]</f>
        <v>0.92931806869089095</v>
      </c>
    </row>
    <row r="73" spans="1:19">
      <c r="A73" s="2" t="s">
        <v>71</v>
      </c>
      <c r="B73" s="38">
        <v>5926</v>
      </c>
      <c r="C73" s="38">
        <v>5765</v>
      </c>
      <c r="D73" s="38">
        <v>2932</v>
      </c>
      <c r="E73" s="38">
        <v>1078</v>
      </c>
      <c r="F73" s="4">
        <v>546</v>
      </c>
      <c r="G73" s="4">
        <v>3213</v>
      </c>
      <c r="H73" s="38">
        <v>2595</v>
      </c>
      <c r="I73" s="38">
        <v>2714</v>
      </c>
      <c r="J73" s="7">
        <v>1141.48</v>
      </c>
      <c r="K73" s="38">
        <v>343500</v>
      </c>
      <c r="L73">
        <v>193.56002031400001</v>
      </c>
      <c r="M73">
        <v>8</v>
      </c>
      <c r="N73" s="37">
        <f>Rådatakommune[[#This Row],[B14]]/Rådatakommune[[#This Row],[Totalareal]]</f>
        <v>5.050460805270351</v>
      </c>
      <c r="O73" s="39">
        <f>Rådatakommune[[#This Row],[B14]]/Rådatakommune[[#This Row],[B04]]-1</f>
        <v>-2.7168410394870057E-2</v>
      </c>
      <c r="P73" s="26">
        <f>Rådatakommune[[#This Row],[Kvinner20-39]]/Rådatakommune[[#This Row],[B14]]</f>
        <v>9.4709453599306159E-2</v>
      </c>
      <c r="Q73" s="26">
        <f>Rådatakommune[[#This Row],[Eldre67+]]/Rådatakommune[[#This Row],[B14]]</f>
        <v>0.18699045967042499</v>
      </c>
      <c r="R73" s="26">
        <f>Rådatakommune[[#This Row],[S13]]/Rådatakommune[[#This Row],[S03]]-1</f>
        <v>4.5857418111753478E-2</v>
      </c>
      <c r="S73" s="26">
        <f>Rådatakommune[[#This Row],[Y13]]/Rådatakommune[[#This Row],[Folk20-64]]</f>
        <v>0.91254279489573609</v>
      </c>
    </row>
    <row r="74" spans="1:19">
      <c r="A74" s="2" t="s">
        <v>72</v>
      </c>
      <c r="B74" s="38">
        <v>6088</v>
      </c>
      <c r="C74" s="38">
        <v>5974</v>
      </c>
      <c r="D74" s="38">
        <v>2877</v>
      </c>
      <c r="E74" s="38">
        <v>1114</v>
      </c>
      <c r="F74" s="4">
        <v>597</v>
      </c>
      <c r="G74" s="4">
        <v>3359</v>
      </c>
      <c r="H74" s="38">
        <v>2907</v>
      </c>
      <c r="I74" s="38">
        <v>3026</v>
      </c>
      <c r="J74" s="7">
        <v>904.93</v>
      </c>
      <c r="K74" s="38">
        <v>310100</v>
      </c>
      <c r="L74">
        <v>218.890768568</v>
      </c>
      <c r="M74">
        <v>10</v>
      </c>
      <c r="N74" s="37">
        <f>Rådatakommune[[#This Row],[B14]]/Rådatakommune[[#This Row],[Totalareal]]</f>
        <v>6.6016155945763764</v>
      </c>
      <c r="O74" s="39">
        <f>Rådatakommune[[#This Row],[B14]]/Rådatakommune[[#This Row],[B04]]-1</f>
        <v>-1.8725361366622839E-2</v>
      </c>
      <c r="P74" s="26">
        <f>Rådatakommune[[#This Row],[Kvinner20-39]]/Rådatakommune[[#This Row],[B14]]</f>
        <v>9.9933043187144285E-2</v>
      </c>
      <c r="Q74" s="26">
        <f>Rådatakommune[[#This Row],[Eldre67+]]/Rådatakommune[[#This Row],[B14]]</f>
        <v>0.18647472380314697</v>
      </c>
      <c r="R74" s="26">
        <f>Rådatakommune[[#This Row],[S13]]/Rådatakommune[[#This Row],[S03]]-1</f>
        <v>4.0935672514619936E-2</v>
      </c>
      <c r="S74" s="26">
        <f>Rådatakommune[[#This Row],[Y13]]/Rådatakommune[[#This Row],[Folk20-64]]</f>
        <v>0.85650491217624292</v>
      </c>
    </row>
    <row r="75" spans="1:19">
      <c r="A75" s="2" t="s">
        <v>73</v>
      </c>
      <c r="B75" s="38">
        <v>3292</v>
      </c>
      <c r="C75" s="38">
        <v>3191</v>
      </c>
      <c r="D75" s="38">
        <v>1570</v>
      </c>
      <c r="E75" s="38">
        <v>592</v>
      </c>
      <c r="F75" s="4">
        <v>318</v>
      </c>
      <c r="G75" s="4">
        <v>1760</v>
      </c>
      <c r="H75" s="38">
        <v>1253</v>
      </c>
      <c r="I75" s="38">
        <v>1088</v>
      </c>
      <c r="J75" s="7">
        <v>742.18000000000006</v>
      </c>
      <c r="K75" s="38">
        <v>325000</v>
      </c>
      <c r="L75">
        <v>181.96299401799999</v>
      </c>
      <c r="M75">
        <v>5</v>
      </c>
      <c r="N75" s="37">
        <f>Rådatakommune[[#This Row],[B14]]/Rådatakommune[[#This Row],[Totalareal]]</f>
        <v>4.2994960791182733</v>
      </c>
      <c r="O75" s="39">
        <f>Rådatakommune[[#This Row],[B14]]/Rådatakommune[[#This Row],[B04]]-1</f>
        <v>-3.0680437424058349E-2</v>
      </c>
      <c r="P75" s="26">
        <f>Rådatakommune[[#This Row],[Kvinner20-39]]/Rådatakommune[[#This Row],[B14]]</f>
        <v>9.9655280476339703E-2</v>
      </c>
      <c r="Q75" s="26">
        <f>Rådatakommune[[#This Row],[Eldre67+]]/Rådatakommune[[#This Row],[B14]]</f>
        <v>0.18552178000626762</v>
      </c>
      <c r="R75" s="26">
        <f>Rådatakommune[[#This Row],[S13]]/Rådatakommune[[#This Row],[S03]]-1</f>
        <v>-0.13168395849960091</v>
      </c>
      <c r="S75" s="26">
        <f>Rådatakommune[[#This Row],[Y13]]/Rådatakommune[[#This Row],[Folk20-64]]</f>
        <v>0.89204545454545459</v>
      </c>
    </row>
    <row r="76" spans="1:19">
      <c r="A76" s="2" t="s">
        <v>74</v>
      </c>
      <c r="B76" s="38">
        <v>4611</v>
      </c>
      <c r="C76" s="38">
        <v>4495</v>
      </c>
      <c r="D76" s="38">
        <v>2289</v>
      </c>
      <c r="E76" s="38">
        <v>868</v>
      </c>
      <c r="F76" s="4">
        <v>460</v>
      </c>
      <c r="G76" s="4">
        <v>2517</v>
      </c>
      <c r="H76" s="38">
        <v>2214</v>
      </c>
      <c r="I76" s="38">
        <v>2197</v>
      </c>
      <c r="J76" s="7">
        <v>1247.58</v>
      </c>
      <c r="K76" s="38">
        <v>320500</v>
      </c>
      <c r="L76">
        <v>172.36893550299999</v>
      </c>
      <c r="M76">
        <v>5</v>
      </c>
      <c r="N76" s="37">
        <f>Rådatakommune[[#This Row],[B14]]/Rådatakommune[[#This Row],[Totalareal]]</f>
        <v>3.6029753602975361</v>
      </c>
      <c r="O76" s="39">
        <f>Rådatakommune[[#This Row],[B14]]/Rådatakommune[[#This Row],[B04]]-1</f>
        <v>-2.515723270440251E-2</v>
      </c>
      <c r="P76" s="26">
        <f>Rådatakommune[[#This Row],[Kvinner20-39]]/Rådatakommune[[#This Row],[B14]]</f>
        <v>0.10233592880978866</v>
      </c>
      <c r="Q76" s="26">
        <f>Rådatakommune[[#This Row],[Eldre67+]]/Rådatakommune[[#This Row],[B14]]</f>
        <v>0.19310344827586207</v>
      </c>
      <c r="R76" s="26">
        <f>Rådatakommune[[#This Row],[S13]]/Rådatakommune[[#This Row],[S03]]-1</f>
        <v>-7.6784101174345309E-3</v>
      </c>
      <c r="S76" s="26">
        <f>Rådatakommune[[#This Row],[Y13]]/Rådatakommune[[#This Row],[Folk20-64]]</f>
        <v>0.90941597139451724</v>
      </c>
    </row>
    <row r="77" spans="1:19">
      <c r="A77" s="2" t="s">
        <v>75</v>
      </c>
      <c r="B77" s="38">
        <v>4870</v>
      </c>
      <c r="C77" s="38">
        <v>5090</v>
      </c>
      <c r="D77" s="38">
        <v>2676</v>
      </c>
      <c r="E77" s="38">
        <v>799</v>
      </c>
      <c r="F77" s="4">
        <v>527</v>
      </c>
      <c r="G77" s="4">
        <v>2975</v>
      </c>
      <c r="H77" s="38">
        <v>1774</v>
      </c>
      <c r="I77" s="38">
        <v>1785</v>
      </c>
      <c r="J77" s="7">
        <v>639.9</v>
      </c>
      <c r="K77" s="38">
        <v>335800</v>
      </c>
      <c r="L77">
        <v>150.45563992300001</v>
      </c>
      <c r="M77">
        <v>4</v>
      </c>
      <c r="N77" s="37">
        <f>Rådatakommune[[#This Row],[B14]]/Rådatakommune[[#This Row],[Totalareal]]</f>
        <v>7.9543678699796843</v>
      </c>
      <c r="O77" s="39">
        <f>Rådatakommune[[#This Row],[B14]]/Rådatakommune[[#This Row],[B04]]-1</f>
        <v>4.5174537987679564E-2</v>
      </c>
      <c r="P77" s="26">
        <f>Rådatakommune[[#This Row],[Kvinner20-39]]/Rådatakommune[[#This Row],[B14]]</f>
        <v>0.10353634577603144</v>
      </c>
      <c r="Q77" s="26">
        <f>Rådatakommune[[#This Row],[Eldre67+]]/Rådatakommune[[#This Row],[B14]]</f>
        <v>0.15697445972495089</v>
      </c>
      <c r="R77" s="26">
        <f>Rådatakommune[[#This Row],[S13]]/Rådatakommune[[#This Row],[S03]]-1</f>
        <v>6.2006764374296086E-3</v>
      </c>
      <c r="S77" s="26">
        <f>Rådatakommune[[#This Row],[Y13]]/Rådatakommune[[#This Row],[Folk20-64]]</f>
        <v>0.89949579831932769</v>
      </c>
    </row>
    <row r="78" spans="1:19">
      <c r="A78" s="2" t="s">
        <v>76</v>
      </c>
      <c r="B78" s="38">
        <v>6186</v>
      </c>
      <c r="C78" s="38">
        <v>6237</v>
      </c>
      <c r="D78" s="38">
        <v>3271</v>
      </c>
      <c r="E78" s="38">
        <v>1158</v>
      </c>
      <c r="F78" s="4">
        <v>628</v>
      </c>
      <c r="G78" s="4">
        <v>3460</v>
      </c>
      <c r="H78" s="38">
        <v>2151</v>
      </c>
      <c r="I78" s="38">
        <v>2352</v>
      </c>
      <c r="J78" s="7">
        <v>1191.1600000000001</v>
      </c>
      <c r="K78" s="38">
        <v>335300</v>
      </c>
      <c r="L78">
        <v>144.21835527600001</v>
      </c>
      <c r="M78">
        <v>4</v>
      </c>
      <c r="N78" s="37">
        <f>Rådatakommune[[#This Row],[B14]]/Rådatakommune[[#This Row],[Totalareal]]</f>
        <v>5.2360724000134322</v>
      </c>
      <c r="O78" s="39">
        <f>Rådatakommune[[#This Row],[B14]]/Rådatakommune[[#This Row],[B04]]-1</f>
        <v>8.244422890397729E-3</v>
      </c>
      <c r="P78" s="26">
        <f>Rådatakommune[[#This Row],[Kvinner20-39]]/Rådatakommune[[#This Row],[B14]]</f>
        <v>0.10068943402276735</v>
      </c>
      <c r="Q78" s="26">
        <f>Rådatakommune[[#This Row],[Eldre67+]]/Rådatakommune[[#This Row],[B14]]</f>
        <v>0.18566618566618567</v>
      </c>
      <c r="R78" s="26">
        <f>Rådatakommune[[#This Row],[S13]]/Rådatakommune[[#This Row],[S03]]-1</f>
        <v>9.3444909344490901E-2</v>
      </c>
      <c r="S78" s="26">
        <f>Rådatakommune[[#This Row],[Y13]]/Rådatakommune[[#This Row],[Folk20-64]]</f>
        <v>0.94537572254335256</v>
      </c>
    </row>
    <row r="79" spans="1:19">
      <c r="A79" s="2" t="s">
        <v>77</v>
      </c>
      <c r="B79" s="38">
        <v>14657</v>
      </c>
      <c r="C79" s="38">
        <v>14777</v>
      </c>
      <c r="D79" s="38">
        <v>7394</v>
      </c>
      <c r="E79" s="38">
        <v>2588</v>
      </c>
      <c r="F79" s="4">
        <v>1546</v>
      </c>
      <c r="G79" s="4">
        <v>8442</v>
      </c>
      <c r="H79" s="38">
        <v>4798</v>
      </c>
      <c r="I79" s="38">
        <v>5401</v>
      </c>
      <c r="J79" s="7">
        <v>562.56999999999994</v>
      </c>
      <c r="K79" s="38">
        <v>344000</v>
      </c>
      <c r="L79">
        <v>90.802721918100005</v>
      </c>
      <c r="M79">
        <v>4</v>
      </c>
      <c r="N79" s="37">
        <f>Rådatakommune[[#This Row],[B14]]/Rådatakommune[[#This Row],[Totalareal]]</f>
        <v>26.266953445793416</v>
      </c>
      <c r="O79" s="39">
        <f>Rådatakommune[[#This Row],[B14]]/Rådatakommune[[#This Row],[B04]]-1</f>
        <v>8.1872143003343112E-3</v>
      </c>
      <c r="P79" s="26">
        <f>Rådatakommune[[#This Row],[Kvinner20-39]]/Rådatakommune[[#This Row],[B14]]</f>
        <v>0.10462204777695067</v>
      </c>
      <c r="Q79" s="26">
        <f>Rådatakommune[[#This Row],[Eldre67+]]/Rådatakommune[[#This Row],[B14]]</f>
        <v>0.17513703728767679</v>
      </c>
      <c r="R79" s="26">
        <f>Rådatakommune[[#This Row],[S13]]/Rådatakommune[[#This Row],[S03]]-1</f>
        <v>0.12567736556898712</v>
      </c>
      <c r="S79" s="26">
        <f>Rådatakommune[[#This Row],[Y13]]/Rådatakommune[[#This Row],[Folk20-64]]</f>
        <v>0.8758588012319356</v>
      </c>
    </row>
    <row r="80" spans="1:19">
      <c r="A80" s="2" t="s">
        <v>78</v>
      </c>
      <c r="B80" s="38">
        <v>12597</v>
      </c>
      <c r="C80" s="38">
        <v>13075</v>
      </c>
      <c r="D80" s="38">
        <v>6350</v>
      </c>
      <c r="E80" s="38">
        <v>2167</v>
      </c>
      <c r="F80" s="4">
        <v>1413</v>
      </c>
      <c r="G80" s="4">
        <v>7535</v>
      </c>
      <c r="H80" s="38">
        <v>6368</v>
      </c>
      <c r="I80" s="38">
        <v>6229</v>
      </c>
      <c r="J80" s="7">
        <v>249.51999999999998</v>
      </c>
      <c r="K80" s="38">
        <v>341500</v>
      </c>
      <c r="L80">
        <v>97.644881709299995</v>
      </c>
      <c r="M80">
        <v>4</v>
      </c>
      <c r="N80" s="37">
        <f>Rådatakommune[[#This Row],[B14]]/Rådatakommune[[#This Row],[Totalareal]]</f>
        <v>52.400609169605644</v>
      </c>
      <c r="O80" s="39">
        <f>Rådatakommune[[#This Row],[B14]]/Rådatakommune[[#This Row],[B04]]-1</f>
        <v>3.7945542589505443E-2</v>
      </c>
      <c r="P80" s="26">
        <f>Rådatakommune[[#This Row],[Kvinner20-39]]/Rådatakommune[[#This Row],[B14]]</f>
        <v>0.10806883365200765</v>
      </c>
      <c r="Q80" s="26">
        <f>Rådatakommune[[#This Row],[Eldre67+]]/Rådatakommune[[#This Row],[B14]]</f>
        <v>0.16573613766730402</v>
      </c>
      <c r="R80" s="26">
        <f>Rådatakommune[[#This Row],[S13]]/Rådatakommune[[#This Row],[S03]]-1</f>
        <v>-2.1827889447236126E-2</v>
      </c>
      <c r="S80" s="26">
        <f>Rådatakommune[[#This Row],[Y13]]/Rådatakommune[[#This Row],[Folk20-64]]</f>
        <v>0.84273390842733908</v>
      </c>
    </row>
    <row r="81" spans="1:19">
      <c r="A81" s="2" t="s">
        <v>79</v>
      </c>
      <c r="B81" s="38">
        <v>6334</v>
      </c>
      <c r="C81" s="38">
        <v>6516</v>
      </c>
      <c r="D81" s="38">
        <v>3225</v>
      </c>
      <c r="E81" s="38">
        <v>1062</v>
      </c>
      <c r="F81" s="4">
        <v>702</v>
      </c>
      <c r="G81" s="4">
        <v>3722</v>
      </c>
      <c r="H81" s="38">
        <v>2146</v>
      </c>
      <c r="I81" s="38">
        <v>2091</v>
      </c>
      <c r="J81" s="7">
        <v>225.72</v>
      </c>
      <c r="K81" s="38">
        <v>349400</v>
      </c>
      <c r="L81">
        <v>60.733118964900001</v>
      </c>
      <c r="M81">
        <v>5</v>
      </c>
      <c r="N81" s="37">
        <f>Rådatakommune[[#This Row],[B14]]/Rådatakommune[[#This Row],[Totalareal]]</f>
        <v>28.86762360446571</v>
      </c>
      <c r="O81" s="39">
        <f>Rådatakommune[[#This Row],[B14]]/Rådatakommune[[#This Row],[B04]]-1</f>
        <v>2.8733817492895497E-2</v>
      </c>
      <c r="P81" s="26">
        <f>Rådatakommune[[#This Row],[Kvinner20-39]]/Rådatakommune[[#This Row],[B14]]</f>
        <v>0.10773480662983426</v>
      </c>
      <c r="Q81" s="26">
        <f>Rådatakommune[[#This Row],[Eldre67+]]/Rådatakommune[[#This Row],[B14]]</f>
        <v>0.16298342541436464</v>
      </c>
      <c r="R81" s="26">
        <f>Rådatakommune[[#This Row],[S13]]/Rådatakommune[[#This Row],[S03]]-1</f>
        <v>-2.562907735321529E-2</v>
      </c>
      <c r="S81" s="26">
        <f>Rådatakommune[[#This Row],[Y13]]/Rådatakommune[[#This Row],[Folk20-64]]</f>
        <v>0.86646963997850623</v>
      </c>
    </row>
    <row r="82" spans="1:19">
      <c r="A82" s="2" t="s">
        <v>80</v>
      </c>
      <c r="B82" s="38">
        <v>8463</v>
      </c>
      <c r="C82" s="38">
        <v>8952</v>
      </c>
      <c r="D82" s="38">
        <v>4637</v>
      </c>
      <c r="E82" s="38">
        <v>1177</v>
      </c>
      <c r="F82" s="4">
        <v>1038</v>
      </c>
      <c r="G82" s="4">
        <v>5305</v>
      </c>
      <c r="H82" s="38">
        <v>2113</v>
      </c>
      <c r="I82" s="38">
        <v>2097</v>
      </c>
      <c r="J82" s="7">
        <v>291.84000000000003</v>
      </c>
      <c r="K82" s="38">
        <v>379600</v>
      </c>
      <c r="L82">
        <v>50.809693954799997</v>
      </c>
      <c r="M82">
        <v>1</v>
      </c>
      <c r="N82" s="37">
        <f>Rådatakommune[[#This Row],[B14]]/Rådatakommune[[#This Row],[Totalareal]]</f>
        <v>30.674342105263154</v>
      </c>
      <c r="O82" s="39">
        <f>Rådatakommune[[#This Row],[B14]]/Rådatakommune[[#This Row],[B04]]-1</f>
        <v>5.7780928748670579E-2</v>
      </c>
      <c r="P82" s="26">
        <f>Rådatakommune[[#This Row],[Kvinner20-39]]/Rådatakommune[[#This Row],[B14]]</f>
        <v>0.11595174262734584</v>
      </c>
      <c r="Q82" s="26">
        <f>Rådatakommune[[#This Row],[Eldre67+]]/Rådatakommune[[#This Row],[B14]]</f>
        <v>0.13147899910634495</v>
      </c>
      <c r="R82" s="26">
        <f>Rådatakommune[[#This Row],[S13]]/Rådatakommune[[#This Row],[S03]]-1</f>
        <v>-7.5721722669190861E-3</v>
      </c>
      <c r="S82" s="26">
        <f>Rådatakommune[[#This Row],[Y13]]/Rådatakommune[[#This Row],[Folk20-64]]</f>
        <v>0.87408105560791705</v>
      </c>
    </row>
    <row r="83" spans="1:19">
      <c r="A83" s="2" t="s">
        <v>81</v>
      </c>
      <c r="B83" s="38">
        <v>13095</v>
      </c>
      <c r="C83" s="38">
        <v>13607</v>
      </c>
      <c r="D83" s="38">
        <v>6774</v>
      </c>
      <c r="E83" s="38">
        <v>2227</v>
      </c>
      <c r="F83" s="4">
        <v>1468</v>
      </c>
      <c r="G83" s="4">
        <v>7818</v>
      </c>
      <c r="H83" s="38">
        <v>5511</v>
      </c>
      <c r="I83" s="38">
        <v>6309</v>
      </c>
      <c r="J83" s="7">
        <v>756.65</v>
      </c>
      <c r="K83" s="38">
        <v>354500</v>
      </c>
      <c r="L83">
        <v>62.294768634500002</v>
      </c>
      <c r="M83">
        <v>1</v>
      </c>
      <c r="N83" s="37">
        <f>Rådatakommune[[#This Row],[B14]]/Rådatakommune[[#This Row],[Totalareal]]</f>
        <v>17.983215489327961</v>
      </c>
      <c r="O83" s="39">
        <f>Rådatakommune[[#This Row],[B14]]/Rådatakommune[[#This Row],[B04]]-1</f>
        <v>3.9098892707140065E-2</v>
      </c>
      <c r="P83" s="26">
        <f>Rådatakommune[[#This Row],[Kvinner20-39]]/Rådatakommune[[#This Row],[B14]]</f>
        <v>0.10788564709340781</v>
      </c>
      <c r="Q83" s="26">
        <f>Rådatakommune[[#This Row],[Eldre67+]]/Rådatakommune[[#This Row],[B14]]</f>
        <v>0.16366576027044905</v>
      </c>
      <c r="R83" s="26">
        <f>Rådatakommune[[#This Row],[S13]]/Rådatakommune[[#This Row],[S03]]-1</f>
        <v>0.1448013064779532</v>
      </c>
      <c r="S83" s="26">
        <f>Rådatakommune[[#This Row],[Y13]]/Rådatakommune[[#This Row],[Folk20-64]]</f>
        <v>0.86646201074443596</v>
      </c>
    </row>
    <row r="84" spans="1:19">
      <c r="A84" s="2" t="s">
        <v>82</v>
      </c>
      <c r="B84" s="38">
        <v>6042</v>
      </c>
      <c r="C84" s="38">
        <v>5701</v>
      </c>
      <c r="D84" s="38">
        <v>2615</v>
      </c>
      <c r="E84" s="38">
        <v>998</v>
      </c>
      <c r="F84" s="4">
        <v>534</v>
      </c>
      <c r="G84" s="4">
        <v>3296</v>
      </c>
      <c r="H84" s="38">
        <v>1855</v>
      </c>
      <c r="I84" s="38">
        <v>1727</v>
      </c>
      <c r="J84" s="7">
        <v>728.3599999999999</v>
      </c>
      <c r="K84" s="38">
        <v>312600</v>
      </c>
      <c r="L84">
        <v>100.843245534</v>
      </c>
      <c r="M84">
        <v>4</v>
      </c>
      <c r="N84" s="37">
        <f>Rådatakommune[[#This Row],[B14]]/Rådatakommune[[#This Row],[Totalareal]]</f>
        <v>7.8271733758031754</v>
      </c>
      <c r="O84" s="39">
        <f>Rådatakommune[[#This Row],[B14]]/Rådatakommune[[#This Row],[B04]]-1</f>
        <v>-5.6438265475008298E-2</v>
      </c>
      <c r="P84" s="26">
        <f>Rådatakommune[[#This Row],[Kvinner20-39]]/Rådatakommune[[#This Row],[B14]]</f>
        <v>9.3667777582880196E-2</v>
      </c>
      <c r="Q84" s="26">
        <f>Rådatakommune[[#This Row],[Eldre67+]]/Rådatakommune[[#This Row],[B14]]</f>
        <v>0.17505700754253639</v>
      </c>
      <c r="R84" s="26">
        <f>Rådatakommune[[#This Row],[S13]]/Rådatakommune[[#This Row],[S03]]-1</f>
        <v>-6.9002695417789806E-2</v>
      </c>
      <c r="S84" s="26">
        <f>Rådatakommune[[#This Row],[Y13]]/Rådatakommune[[#This Row],[Folk20-64]]</f>
        <v>0.79338592233009708</v>
      </c>
    </row>
    <row r="85" spans="1:19">
      <c r="A85" s="2" t="s">
        <v>83</v>
      </c>
      <c r="B85" s="38">
        <v>6916</v>
      </c>
      <c r="C85" s="38">
        <v>6700</v>
      </c>
      <c r="D85" s="38">
        <v>3259</v>
      </c>
      <c r="E85" s="38">
        <v>1250</v>
      </c>
      <c r="F85" s="4">
        <v>653</v>
      </c>
      <c r="G85" s="4">
        <v>3793</v>
      </c>
      <c r="H85" s="38">
        <v>2753</v>
      </c>
      <c r="I85" s="38">
        <v>2981</v>
      </c>
      <c r="J85" s="7">
        <v>955.31000000000006</v>
      </c>
      <c r="K85" s="38">
        <v>315200</v>
      </c>
      <c r="L85">
        <v>124.109365427</v>
      </c>
      <c r="M85">
        <v>4</v>
      </c>
      <c r="N85" s="37">
        <f>Rådatakommune[[#This Row],[B14]]/Rådatakommune[[#This Row],[Totalareal]]</f>
        <v>7.0134301954339424</v>
      </c>
      <c r="O85" s="39">
        <f>Rådatakommune[[#This Row],[B14]]/Rådatakommune[[#This Row],[B04]]-1</f>
        <v>-3.1231925968768115E-2</v>
      </c>
      <c r="P85" s="26">
        <f>Rådatakommune[[#This Row],[Kvinner20-39]]/Rådatakommune[[#This Row],[B14]]</f>
        <v>9.7462686567164183E-2</v>
      </c>
      <c r="Q85" s="26">
        <f>Rådatakommune[[#This Row],[Eldre67+]]/Rådatakommune[[#This Row],[B14]]</f>
        <v>0.18656716417910449</v>
      </c>
      <c r="R85" s="26">
        <f>Rådatakommune[[#This Row],[S13]]/Rådatakommune[[#This Row],[S03]]-1</f>
        <v>8.2818743189248201E-2</v>
      </c>
      <c r="S85" s="26">
        <f>Rådatakommune[[#This Row],[Y13]]/Rådatakommune[[#This Row],[Folk20-64]]</f>
        <v>0.85921434220933302</v>
      </c>
    </row>
    <row r="86" spans="1:19">
      <c r="A86" s="2" t="s">
        <v>84</v>
      </c>
      <c r="B86" s="38">
        <v>3251</v>
      </c>
      <c r="C86" s="38">
        <v>3133</v>
      </c>
      <c r="D86" s="38">
        <v>1586</v>
      </c>
      <c r="E86" s="38">
        <v>626</v>
      </c>
      <c r="F86" s="4">
        <v>307</v>
      </c>
      <c r="G86" s="4">
        <v>1701</v>
      </c>
      <c r="H86" s="38">
        <v>1266</v>
      </c>
      <c r="I86" s="38">
        <v>1300</v>
      </c>
      <c r="J86" s="7">
        <v>1109.04</v>
      </c>
      <c r="K86" s="38">
        <v>322100</v>
      </c>
      <c r="L86">
        <v>125.56281269900001</v>
      </c>
      <c r="M86">
        <v>10</v>
      </c>
      <c r="N86" s="37">
        <f>Rådatakommune[[#This Row],[B14]]/Rådatakommune[[#This Row],[Totalareal]]</f>
        <v>2.8249657361321505</v>
      </c>
      <c r="O86" s="39">
        <f>Rådatakommune[[#This Row],[B14]]/Rådatakommune[[#This Row],[B04]]-1</f>
        <v>-3.6296524146416487E-2</v>
      </c>
      <c r="P86" s="26">
        <f>Rådatakommune[[#This Row],[Kvinner20-39]]/Rådatakommune[[#This Row],[B14]]</f>
        <v>9.7989147781678901E-2</v>
      </c>
      <c r="Q86" s="26">
        <f>Rådatakommune[[#This Row],[Eldre67+]]/Rådatakommune[[#This Row],[B14]]</f>
        <v>0.19980849026492181</v>
      </c>
      <c r="R86" s="26">
        <f>Rådatakommune[[#This Row],[S13]]/Rådatakommune[[#This Row],[S03]]-1</f>
        <v>2.6856240126382325E-2</v>
      </c>
      <c r="S86" s="26">
        <f>Rådatakommune[[#This Row],[Y13]]/Rådatakommune[[#This Row],[Folk20-64]]</f>
        <v>0.93239271017048797</v>
      </c>
    </row>
    <row r="87" spans="1:19">
      <c r="A87" s="2" t="s">
        <v>85</v>
      </c>
      <c r="B87" s="38">
        <v>1410</v>
      </c>
      <c r="C87" s="38">
        <v>1408</v>
      </c>
      <c r="D87" s="38">
        <v>657</v>
      </c>
      <c r="E87" s="38">
        <v>291</v>
      </c>
      <c r="F87" s="4">
        <v>124</v>
      </c>
      <c r="G87" s="4">
        <v>783</v>
      </c>
      <c r="H87" s="38">
        <v>563</v>
      </c>
      <c r="I87" s="38">
        <v>508</v>
      </c>
      <c r="J87" s="7">
        <v>459.14</v>
      </c>
      <c r="K87" s="38">
        <v>283200</v>
      </c>
      <c r="L87">
        <v>136.953239018</v>
      </c>
      <c r="M87">
        <v>5</v>
      </c>
      <c r="N87" s="37">
        <f>Rådatakommune[[#This Row],[B14]]/Rådatakommune[[#This Row],[Totalareal]]</f>
        <v>3.0666027791087687</v>
      </c>
      <c r="O87" s="39">
        <f>Rådatakommune[[#This Row],[B14]]/Rådatakommune[[#This Row],[B04]]-1</f>
        <v>-1.4184397163120588E-3</v>
      </c>
      <c r="P87" s="26">
        <f>Rådatakommune[[#This Row],[Kvinner20-39]]/Rådatakommune[[#This Row],[B14]]</f>
        <v>8.8068181818181823E-2</v>
      </c>
      <c r="Q87" s="26">
        <f>Rådatakommune[[#This Row],[Eldre67+]]/Rådatakommune[[#This Row],[B14]]</f>
        <v>0.20667613636363635</v>
      </c>
      <c r="R87" s="26">
        <f>Rådatakommune[[#This Row],[S13]]/Rådatakommune[[#This Row],[S03]]-1</f>
        <v>-9.7690941385435215E-2</v>
      </c>
      <c r="S87" s="26">
        <f>Rådatakommune[[#This Row],[Y13]]/Rådatakommune[[#This Row],[Folk20-64]]</f>
        <v>0.83908045977011492</v>
      </c>
    </row>
    <row r="88" spans="1:19">
      <c r="A88" s="2" t="s">
        <v>86</v>
      </c>
      <c r="B88" s="38">
        <v>6539</v>
      </c>
      <c r="C88" s="38">
        <v>6417</v>
      </c>
      <c r="D88" s="38">
        <v>3392</v>
      </c>
      <c r="E88" s="38">
        <v>1076</v>
      </c>
      <c r="F88" s="4">
        <v>713</v>
      </c>
      <c r="G88" s="4">
        <v>3739</v>
      </c>
      <c r="H88" s="38">
        <v>3970</v>
      </c>
      <c r="I88" s="38">
        <v>3928</v>
      </c>
      <c r="J88" s="7">
        <v>906.52</v>
      </c>
      <c r="K88" s="38">
        <v>338800</v>
      </c>
      <c r="L88">
        <v>138.63652492040001</v>
      </c>
      <c r="M88">
        <v>10</v>
      </c>
      <c r="N88" s="37">
        <f>Rådatakommune[[#This Row],[B14]]/Rådatakommune[[#This Row],[Totalareal]]</f>
        <v>7.0787186162467464</v>
      </c>
      <c r="O88" s="39">
        <f>Rådatakommune[[#This Row],[B14]]/Rådatakommune[[#This Row],[B04]]-1</f>
        <v>-1.8657287046949023E-2</v>
      </c>
      <c r="P88" s="26">
        <f>Rådatakommune[[#This Row],[Kvinner20-39]]/Rådatakommune[[#This Row],[B14]]</f>
        <v>0.1111111111111111</v>
      </c>
      <c r="Q88" s="26">
        <f>Rådatakommune[[#This Row],[Eldre67+]]/Rådatakommune[[#This Row],[B14]]</f>
        <v>0.16767960105968521</v>
      </c>
      <c r="R88" s="26">
        <f>Rådatakommune[[#This Row],[S13]]/Rådatakommune[[#This Row],[S03]]-1</f>
        <v>-1.0579345088161163E-2</v>
      </c>
      <c r="S88" s="26">
        <f>Rådatakommune[[#This Row],[Y13]]/Rådatakommune[[#This Row],[Folk20-64]]</f>
        <v>0.90719443701524471</v>
      </c>
    </row>
    <row r="89" spans="1:19">
      <c r="A89" s="2" t="s">
        <v>87</v>
      </c>
      <c r="B89" s="38">
        <v>2304</v>
      </c>
      <c r="C89" s="38">
        <v>2187</v>
      </c>
      <c r="D89" s="38">
        <v>1174</v>
      </c>
      <c r="E89" s="38">
        <v>376</v>
      </c>
      <c r="F89" s="4">
        <v>211</v>
      </c>
      <c r="G89" s="4">
        <v>1244</v>
      </c>
      <c r="H89" s="38">
        <v>955</v>
      </c>
      <c r="I89" s="38">
        <v>957</v>
      </c>
      <c r="J89" s="7">
        <v>463.25</v>
      </c>
      <c r="K89" s="38">
        <v>326900</v>
      </c>
      <c r="L89">
        <v>157.99251420979999</v>
      </c>
      <c r="M89">
        <v>10</v>
      </c>
      <c r="N89" s="37">
        <f>Rådatakommune[[#This Row],[B14]]/Rådatakommune[[#This Row],[Totalareal]]</f>
        <v>4.7209929843497029</v>
      </c>
      <c r="O89" s="39">
        <f>Rådatakommune[[#This Row],[B14]]/Rådatakommune[[#This Row],[B04]]-1</f>
        <v>-5.078125E-2</v>
      </c>
      <c r="P89" s="26">
        <f>Rådatakommune[[#This Row],[Kvinner20-39]]/Rådatakommune[[#This Row],[B14]]</f>
        <v>9.647919524462735E-2</v>
      </c>
      <c r="Q89" s="26">
        <f>Rådatakommune[[#This Row],[Eldre67+]]/Rådatakommune[[#This Row],[B14]]</f>
        <v>0.17192501143118427</v>
      </c>
      <c r="R89" s="26">
        <f>Rådatakommune[[#This Row],[S13]]/Rådatakommune[[#This Row],[S03]]-1</f>
        <v>2.0942408376962707E-3</v>
      </c>
      <c r="S89" s="26">
        <f>Rådatakommune[[#This Row],[Y13]]/Rådatakommune[[#This Row],[Folk20-64]]</f>
        <v>0.9437299035369775</v>
      </c>
    </row>
    <row r="90" spans="1:19">
      <c r="A90" s="2" t="s">
        <v>88</v>
      </c>
      <c r="B90" s="38">
        <v>3116</v>
      </c>
      <c r="C90" s="38">
        <v>3206</v>
      </c>
      <c r="D90" s="38">
        <v>1821</v>
      </c>
      <c r="E90" s="38">
        <v>558</v>
      </c>
      <c r="F90" s="4">
        <v>370</v>
      </c>
      <c r="G90" s="4">
        <v>1851</v>
      </c>
      <c r="H90" s="38">
        <v>1391</v>
      </c>
      <c r="I90" s="38">
        <v>1380</v>
      </c>
      <c r="J90" s="7">
        <v>963.11</v>
      </c>
      <c r="K90" s="38">
        <v>350300</v>
      </c>
      <c r="L90">
        <v>153.43543214070002</v>
      </c>
      <c r="M90">
        <v>10</v>
      </c>
      <c r="N90" s="37">
        <f>Rådatakommune[[#This Row],[B14]]/Rådatakommune[[#This Row],[Totalareal]]</f>
        <v>3.3287994102438971</v>
      </c>
      <c r="O90" s="39">
        <f>Rådatakommune[[#This Row],[B14]]/Rådatakommune[[#This Row],[B04]]-1</f>
        <v>2.8883183568677806E-2</v>
      </c>
      <c r="P90" s="26">
        <f>Rådatakommune[[#This Row],[Kvinner20-39]]/Rådatakommune[[#This Row],[B14]]</f>
        <v>0.11540860885839052</v>
      </c>
      <c r="Q90" s="26">
        <f>Rådatakommune[[#This Row],[Eldre67+]]/Rådatakommune[[#This Row],[B14]]</f>
        <v>0.17404865876481598</v>
      </c>
      <c r="R90" s="26">
        <f>Rådatakommune[[#This Row],[S13]]/Rådatakommune[[#This Row],[S03]]-1</f>
        <v>-7.9079798705966597E-3</v>
      </c>
      <c r="S90" s="26">
        <f>Rådatakommune[[#This Row],[Y13]]/Rådatakommune[[#This Row],[Folk20-64]]</f>
        <v>0.98379254457050247</v>
      </c>
    </row>
    <row r="91" spans="1:19">
      <c r="A91" s="2" t="s">
        <v>89</v>
      </c>
      <c r="B91" s="38">
        <v>1616</v>
      </c>
      <c r="C91" s="38">
        <v>1602</v>
      </c>
      <c r="D91" s="38">
        <v>883</v>
      </c>
      <c r="E91" s="38">
        <v>293</v>
      </c>
      <c r="F91" s="4">
        <v>164</v>
      </c>
      <c r="G91" s="4">
        <v>912</v>
      </c>
      <c r="H91" s="38">
        <v>707</v>
      </c>
      <c r="I91" s="38">
        <v>778</v>
      </c>
      <c r="J91" s="7">
        <v>1505.4499999999998</v>
      </c>
      <c r="K91" s="38">
        <v>304900</v>
      </c>
      <c r="L91">
        <v>181.49229088929999</v>
      </c>
      <c r="M91">
        <v>10</v>
      </c>
      <c r="N91" s="37">
        <f>Rådatakommune[[#This Row],[B14]]/Rådatakommune[[#This Row],[Totalareal]]</f>
        <v>1.0641336477465211</v>
      </c>
      <c r="O91" s="39">
        <f>Rådatakommune[[#This Row],[B14]]/Rådatakommune[[#This Row],[B04]]-1</f>
        <v>-8.6633663366336711E-3</v>
      </c>
      <c r="P91" s="26">
        <f>Rådatakommune[[#This Row],[Kvinner20-39]]/Rådatakommune[[#This Row],[B14]]</f>
        <v>0.10237203495630462</v>
      </c>
      <c r="Q91" s="26">
        <f>Rådatakommune[[#This Row],[Eldre67+]]/Rådatakommune[[#This Row],[B14]]</f>
        <v>0.18289637952559301</v>
      </c>
      <c r="R91" s="26">
        <f>Rådatakommune[[#This Row],[S13]]/Rådatakommune[[#This Row],[S03]]-1</f>
        <v>0.10042432814710045</v>
      </c>
      <c r="S91" s="26">
        <f>Rådatakommune[[#This Row],[Y13]]/Rådatakommune[[#This Row],[Folk20-64]]</f>
        <v>0.9682017543859649</v>
      </c>
    </row>
    <row r="92" spans="1:19">
      <c r="A92" s="2" t="s">
        <v>90</v>
      </c>
      <c r="B92" s="38">
        <v>56688</v>
      </c>
      <c r="C92" s="38">
        <v>66214</v>
      </c>
      <c r="D92" s="38">
        <v>32465</v>
      </c>
      <c r="E92" s="38">
        <v>9548</v>
      </c>
      <c r="F92" s="4">
        <v>9033</v>
      </c>
      <c r="G92" s="4">
        <v>39540</v>
      </c>
      <c r="H92" s="38">
        <v>31829</v>
      </c>
      <c r="I92" s="38">
        <v>35977</v>
      </c>
      <c r="J92" s="7">
        <v>137</v>
      </c>
      <c r="K92" s="38">
        <v>388000</v>
      </c>
      <c r="L92">
        <v>31.152421353600001</v>
      </c>
      <c r="M92">
        <v>2</v>
      </c>
      <c r="N92" s="37">
        <f>Rådatakommune[[#This Row],[B14]]/Rådatakommune[[#This Row],[Totalareal]]</f>
        <v>483.31386861313871</v>
      </c>
      <c r="O92" s="39">
        <f>Rådatakommune[[#This Row],[B14]]/Rådatakommune[[#This Row],[B04]]-1</f>
        <v>0.16804261924922392</v>
      </c>
      <c r="P92" s="26">
        <f>Rådatakommune[[#This Row],[Kvinner20-39]]/Rådatakommune[[#This Row],[B14]]</f>
        <v>0.13642130063128644</v>
      </c>
      <c r="Q92" s="26">
        <f>Rådatakommune[[#This Row],[Eldre67+]]/Rådatakommune[[#This Row],[B14]]</f>
        <v>0.14419911197027818</v>
      </c>
      <c r="R92" s="26">
        <f>Rådatakommune[[#This Row],[S13]]/Rådatakommune[[#This Row],[S03]]-1</f>
        <v>0.13032140500801148</v>
      </c>
      <c r="S92" s="26">
        <f>Rådatakommune[[#This Row],[Y13]]/Rådatakommune[[#This Row],[Folk20-64]]</f>
        <v>0.82106727364693977</v>
      </c>
    </row>
    <row r="93" spans="1:19">
      <c r="A93" s="2" t="s">
        <v>91</v>
      </c>
      <c r="B93" s="38">
        <v>23154</v>
      </c>
      <c r="C93" s="38">
        <v>26406</v>
      </c>
      <c r="D93" s="38">
        <v>13903</v>
      </c>
      <c r="E93" s="38">
        <v>3771</v>
      </c>
      <c r="F93" s="4">
        <v>3268</v>
      </c>
      <c r="G93" s="4">
        <v>15683</v>
      </c>
      <c r="H93" s="38">
        <v>13239</v>
      </c>
      <c r="I93" s="38">
        <v>16809</v>
      </c>
      <c r="J93" s="7">
        <v>793.09</v>
      </c>
      <c r="K93" s="38">
        <v>425100</v>
      </c>
      <c r="L93">
        <v>61.9301193895</v>
      </c>
      <c r="M93">
        <v>5</v>
      </c>
      <c r="N93" s="37">
        <f>Rådatakommune[[#This Row],[B14]]/Rådatakommune[[#This Row],[Totalareal]]</f>
        <v>33.295086307985223</v>
      </c>
      <c r="O93" s="39">
        <f>Rådatakommune[[#This Row],[B14]]/Rådatakommune[[#This Row],[B04]]-1</f>
        <v>0.14045089401399324</v>
      </c>
      <c r="P93" s="26">
        <f>Rådatakommune[[#This Row],[Kvinner20-39]]/Rådatakommune[[#This Row],[B14]]</f>
        <v>0.12375975157161251</v>
      </c>
      <c r="Q93" s="26">
        <f>Rådatakommune[[#This Row],[Eldre67+]]/Rådatakommune[[#This Row],[B14]]</f>
        <v>0.14280845262440353</v>
      </c>
      <c r="R93" s="26">
        <f>Rådatakommune[[#This Row],[S13]]/Rådatakommune[[#This Row],[S03]]-1</f>
        <v>0.26965782914117375</v>
      </c>
      <c r="S93" s="26">
        <f>Rådatakommune[[#This Row],[Y13]]/Rådatakommune[[#This Row],[Folk20-64]]</f>
        <v>0.88650130714786712</v>
      </c>
    </row>
    <row r="94" spans="1:19">
      <c r="A94" s="2" t="s">
        <v>92</v>
      </c>
      <c r="B94" s="38">
        <v>28060</v>
      </c>
      <c r="C94" s="38">
        <v>29624</v>
      </c>
      <c r="D94" s="38">
        <v>14808</v>
      </c>
      <c r="E94" s="38">
        <v>4726</v>
      </c>
      <c r="F94" s="4">
        <v>3496</v>
      </c>
      <c r="G94" s="4">
        <v>17633</v>
      </c>
      <c r="H94" s="38">
        <v>13349</v>
      </c>
      <c r="I94" s="38">
        <v>13851</v>
      </c>
      <c r="J94" s="7">
        <v>1555.08</v>
      </c>
      <c r="K94" s="38">
        <v>355800</v>
      </c>
      <c r="L94">
        <v>49.114770830099999</v>
      </c>
      <c r="M94">
        <v>5</v>
      </c>
      <c r="N94" s="37">
        <f>Rådatakommune[[#This Row],[B14]]/Rådatakommune[[#This Row],[Totalareal]]</f>
        <v>19.049823803277004</v>
      </c>
      <c r="O94" s="39">
        <f>Rådatakommune[[#This Row],[B14]]/Rådatakommune[[#This Row],[B04]]-1</f>
        <v>5.573770491803276E-2</v>
      </c>
      <c r="P94" s="26">
        <f>Rådatakommune[[#This Row],[Kvinner20-39]]/Rådatakommune[[#This Row],[B14]]</f>
        <v>0.11801242236024845</v>
      </c>
      <c r="Q94" s="26">
        <f>Rådatakommune[[#This Row],[Eldre67+]]/Rådatakommune[[#This Row],[B14]]</f>
        <v>0.15953281123413449</v>
      </c>
      <c r="R94" s="26">
        <f>Rådatakommune[[#This Row],[S13]]/Rådatakommune[[#This Row],[S03]]-1</f>
        <v>3.7605813169525826E-2</v>
      </c>
      <c r="S94" s="26">
        <f>Rådatakommune[[#This Row],[Y13]]/Rådatakommune[[#This Row],[Folk20-64]]</f>
        <v>0.83978903192876997</v>
      </c>
    </row>
    <row r="95" spans="1:19">
      <c r="A95" s="2" t="s">
        <v>93</v>
      </c>
      <c r="B95" s="38">
        <v>5199</v>
      </c>
      <c r="C95" s="38">
        <v>6595</v>
      </c>
      <c r="D95" s="38">
        <v>3374</v>
      </c>
      <c r="E95" s="38">
        <v>883</v>
      </c>
      <c r="F95" s="4">
        <v>772</v>
      </c>
      <c r="G95" s="4">
        <v>3903</v>
      </c>
      <c r="H95" s="38">
        <v>1724</v>
      </c>
      <c r="I95" s="38">
        <v>2140</v>
      </c>
      <c r="J95" s="7">
        <v>192.7</v>
      </c>
      <c r="K95" s="38">
        <v>419400</v>
      </c>
      <c r="L95">
        <v>39.190288194200001</v>
      </c>
      <c r="M95">
        <v>5</v>
      </c>
      <c r="N95" s="37">
        <f>Rådatakommune[[#This Row],[B14]]/Rådatakommune[[#This Row],[Totalareal]]</f>
        <v>34.22418266735859</v>
      </c>
      <c r="O95" s="39">
        <f>Rådatakommune[[#This Row],[B14]]/Rådatakommune[[#This Row],[B04]]-1</f>
        <v>0.26851317561069443</v>
      </c>
      <c r="P95" s="26">
        <f>Rådatakommune[[#This Row],[Kvinner20-39]]/Rådatakommune[[#This Row],[B14]]</f>
        <v>0.11705837755875663</v>
      </c>
      <c r="Q95" s="26">
        <f>Rådatakommune[[#This Row],[Eldre67+]]/Rådatakommune[[#This Row],[B14]]</f>
        <v>0.13388931008339652</v>
      </c>
      <c r="R95" s="26">
        <f>Rådatakommune[[#This Row],[S13]]/Rådatakommune[[#This Row],[S03]]-1</f>
        <v>0.24129930394431565</v>
      </c>
      <c r="S95" s="26">
        <f>Rådatakommune[[#This Row],[Y13]]/Rådatakommune[[#This Row],[Folk20-64]]</f>
        <v>0.86446323341019726</v>
      </c>
    </row>
    <row r="96" spans="1:19">
      <c r="A96" s="2" t="s">
        <v>94</v>
      </c>
      <c r="B96" s="38">
        <v>1030</v>
      </c>
      <c r="C96" s="38">
        <v>1033</v>
      </c>
      <c r="D96" s="38">
        <v>537</v>
      </c>
      <c r="E96" s="38">
        <v>220</v>
      </c>
      <c r="F96" s="4">
        <v>97</v>
      </c>
      <c r="G96" s="4">
        <v>577</v>
      </c>
      <c r="H96" s="38">
        <v>361</v>
      </c>
      <c r="I96" s="38">
        <v>439</v>
      </c>
      <c r="J96" s="7">
        <v>704.41000000000008</v>
      </c>
      <c r="K96" s="38">
        <v>355800</v>
      </c>
      <c r="L96">
        <v>115.459022456</v>
      </c>
      <c r="M96">
        <v>8</v>
      </c>
      <c r="N96" s="37">
        <f>Rådatakommune[[#This Row],[B14]]/Rådatakommune[[#This Row],[Totalareal]]</f>
        <v>1.4664754901264887</v>
      </c>
      <c r="O96" s="39">
        <f>Rådatakommune[[#This Row],[B14]]/Rådatakommune[[#This Row],[B04]]-1</f>
        <v>2.9126213592232109E-3</v>
      </c>
      <c r="P96" s="26">
        <f>Rådatakommune[[#This Row],[Kvinner20-39]]/Rådatakommune[[#This Row],[B14]]</f>
        <v>9.3901258470474341E-2</v>
      </c>
      <c r="Q96" s="26">
        <f>Rådatakommune[[#This Row],[Eldre67+]]/Rådatakommune[[#This Row],[B14]]</f>
        <v>0.21297192642787996</v>
      </c>
      <c r="R96" s="26">
        <f>Rådatakommune[[#This Row],[S13]]/Rådatakommune[[#This Row],[S03]]-1</f>
        <v>0.21606648199445977</v>
      </c>
      <c r="S96" s="26">
        <f>Rådatakommune[[#This Row],[Y13]]/Rådatakommune[[#This Row],[Folk20-64]]</f>
        <v>0.93067590987868287</v>
      </c>
    </row>
    <row r="97" spans="1:19">
      <c r="A97" s="2" t="s">
        <v>95</v>
      </c>
      <c r="B97" s="38">
        <v>3467</v>
      </c>
      <c r="C97" s="38">
        <v>3445</v>
      </c>
      <c r="D97" s="38">
        <v>1781</v>
      </c>
      <c r="E97" s="38">
        <v>629</v>
      </c>
      <c r="F97" s="4">
        <v>360</v>
      </c>
      <c r="G97" s="4">
        <v>1973</v>
      </c>
      <c r="H97" s="38">
        <v>1493</v>
      </c>
      <c r="I97" s="38">
        <v>1441</v>
      </c>
      <c r="J97" s="7">
        <v>809.67000000000007</v>
      </c>
      <c r="K97" s="38">
        <v>340400</v>
      </c>
      <c r="L97">
        <v>140.750035207</v>
      </c>
      <c r="M97">
        <v>8</v>
      </c>
      <c r="N97" s="37">
        <f>Rådatakommune[[#This Row],[B14]]/Rådatakommune[[#This Row],[Totalareal]]</f>
        <v>4.2548198648832241</v>
      </c>
      <c r="O97" s="39">
        <f>Rådatakommune[[#This Row],[B14]]/Rådatakommune[[#This Row],[B04]]-1</f>
        <v>-6.3455436977213342E-3</v>
      </c>
      <c r="P97" s="26">
        <f>Rådatakommune[[#This Row],[Kvinner20-39]]/Rådatakommune[[#This Row],[B14]]</f>
        <v>0.10449927431059507</v>
      </c>
      <c r="Q97" s="26">
        <f>Rådatakommune[[#This Row],[Eldre67+]]/Rådatakommune[[#This Row],[B14]]</f>
        <v>0.1825834542815675</v>
      </c>
      <c r="R97" s="26">
        <f>Rådatakommune[[#This Row],[S13]]/Rådatakommune[[#This Row],[S03]]-1</f>
        <v>-3.4829202947086357E-2</v>
      </c>
      <c r="S97" s="26">
        <f>Rådatakommune[[#This Row],[Y13]]/Rådatakommune[[#This Row],[Folk20-64]]</f>
        <v>0.90268626457171819</v>
      </c>
    </row>
    <row r="98" spans="1:19">
      <c r="A98" s="2" t="s">
        <v>96</v>
      </c>
      <c r="B98" s="38">
        <v>4372</v>
      </c>
      <c r="C98" s="38">
        <v>4631</v>
      </c>
      <c r="D98" s="38">
        <v>2496</v>
      </c>
      <c r="E98" s="38">
        <v>806</v>
      </c>
      <c r="F98" s="4">
        <v>514</v>
      </c>
      <c r="G98" s="4">
        <v>2628</v>
      </c>
      <c r="H98" s="38">
        <v>2696</v>
      </c>
      <c r="I98" s="38">
        <v>2870</v>
      </c>
      <c r="J98" s="7">
        <v>532.49</v>
      </c>
      <c r="K98" s="38">
        <v>355800</v>
      </c>
      <c r="L98">
        <v>157.46708989199999</v>
      </c>
      <c r="M98">
        <v>8</v>
      </c>
      <c r="N98" s="37">
        <f>Rådatakommune[[#This Row],[B14]]/Rådatakommune[[#This Row],[Totalareal]]</f>
        <v>8.6968769366560874</v>
      </c>
      <c r="O98" s="39">
        <f>Rådatakommune[[#This Row],[B14]]/Rådatakommune[[#This Row],[B04]]-1</f>
        <v>5.9240622140896537E-2</v>
      </c>
      <c r="P98" s="26">
        <f>Rådatakommune[[#This Row],[Kvinner20-39]]/Rådatakommune[[#This Row],[B14]]</f>
        <v>0.11099114662060031</v>
      </c>
      <c r="Q98" s="26">
        <f>Rådatakommune[[#This Row],[Eldre67+]]/Rådatakommune[[#This Row],[B14]]</f>
        <v>0.17404448283308141</v>
      </c>
      <c r="R98" s="26">
        <f>Rådatakommune[[#This Row],[S13]]/Rådatakommune[[#This Row],[S03]]-1</f>
        <v>6.4540059347180989E-2</v>
      </c>
      <c r="S98" s="26">
        <f>Rådatakommune[[#This Row],[Y13]]/Rådatakommune[[#This Row],[Folk20-64]]</f>
        <v>0.94977168949771684</v>
      </c>
    </row>
    <row r="99" spans="1:19">
      <c r="A99" s="2" t="s">
        <v>97</v>
      </c>
      <c r="B99" s="38">
        <v>1876</v>
      </c>
      <c r="C99" s="38">
        <v>2295</v>
      </c>
      <c r="D99" s="38">
        <v>1281</v>
      </c>
      <c r="E99" s="38">
        <v>290</v>
      </c>
      <c r="F99" s="4">
        <v>316</v>
      </c>
      <c r="G99" s="4">
        <v>1386</v>
      </c>
      <c r="H99" s="38">
        <v>943</v>
      </c>
      <c r="I99" s="38">
        <v>1103</v>
      </c>
      <c r="J99" s="7">
        <v>753.54</v>
      </c>
      <c r="K99" s="38">
        <v>362500</v>
      </c>
      <c r="L99">
        <v>182.42166606500001</v>
      </c>
      <c r="M99">
        <v>8</v>
      </c>
      <c r="N99" s="37">
        <f>Rådatakommune[[#This Row],[B14]]/Rådatakommune[[#This Row],[Totalareal]]</f>
        <v>3.0456246516442391</v>
      </c>
      <c r="O99" s="39">
        <f>Rådatakommune[[#This Row],[B14]]/Rådatakommune[[#This Row],[B04]]-1</f>
        <v>0.22334754797441358</v>
      </c>
      <c r="P99" s="26">
        <f>Rådatakommune[[#This Row],[Kvinner20-39]]/Rådatakommune[[#This Row],[B14]]</f>
        <v>0.13769063180827887</v>
      </c>
      <c r="Q99" s="26">
        <f>Rådatakommune[[#This Row],[Eldre67+]]/Rådatakommune[[#This Row],[B14]]</f>
        <v>0.12636165577342048</v>
      </c>
      <c r="R99" s="26">
        <f>Rådatakommune[[#This Row],[S13]]/Rådatakommune[[#This Row],[S03]]-1</f>
        <v>0.1696712619300107</v>
      </c>
      <c r="S99" s="26">
        <f>Rådatakommune[[#This Row],[Y13]]/Rådatakommune[[#This Row],[Folk20-64]]</f>
        <v>0.9242424242424242</v>
      </c>
    </row>
    <row r="100" spans="1:19">
      <c r="A100" s="2" t="s">
        <v>98</v>
      </c>
      <c r="B100" s="38">
        <v>4656</v>
      </c>
      <c r="C100" s="38">
        <v>4713</v>
      </c>
      <c r="D100" s="38">
        <v>2535</v>
      </c>
      <c r="E100" s="38">
        <v>817</v>
      </c>
      <c r="F100" s="4">
        <v>466</v>
      </c>
      <c r="G100" s="4">
        <v>2601</v>
      </c>
      <c r="H100" s="38">
        <v>2355</v>
      </c>
      <c r="I100" s="38">
        <v>2493</v>
      </c>
      <c r="J100" s="7">
        <v>1174.9299999999998</v>
      </c>
      <c r="K100" s="38">
        <v>347800</v>
      </c>
      <c r="L100">
        <v>175.17831171200001</v>
      </c>
      <c r="M100">
        <v>8</v>
      </c>
      <c r="N100" s="37">
        <f>Rådatakommune[[#This Row],[B14]]/Rådatakommune[[#This Row],[Totalareal]]</f>
        <v>4.0113028010179335</v>
      </c>
      <c r="O100" s="39">
        <f>Rådatakommune[[#This Row],[B14]]/Rådatakommune[[#This Row],[B04]]-1</f>
        <v>1.224226804123707E-2</v>
      </c>
      <c r="P100" s="26">
        <f>Rådatakommune[[#This Row],[Kvinner20-39]]/Rådatakommune[[#This Row],[B14]]</f>
        <v>9.8875450880543184E-2</v>
      </c>
      <c r="Q100" s="26">
        <f>Rådatakommune[[#This Row],[Eldre67+]]/Rådatakommune[[#This Row],[B14]]</f>
        <v>0.17335030765966475</v>
      </c>
      <c r="R100" s="26">
        <f>Rådatakommune[[#This Row],[S13]]/Rådatakommune[[#This Row],[S03]]-1</f>
        <v>5.8598726114649669E-2</v>
      </c>
      <c r="S100" s="26">
        <f>Rådatakommune[[#This Row],[Y13]]/Rådatakommune[[#This Row],[Folk20-64]]</f>
        <v>0.9746251441753172</v>
      </c>
    </row>
    <row r="101" spans="1:19">
      <c r="A101" s="2" t="s">
        <v>99</v>
      </c>
      <c r="B101" s="38">
        <v>4556</v>
      </c>
      <c r="C101" s="38">
        <v>4452</v>
      </c>
      <c r="D101" s="38">
        <v>2528</v>
      </c>
      <c r="E101" s="38">
        <v>787</v>
      </c>
      <c r="F101" s="4">
        <v>513</v>
      </c>
      <c r="G101" s="4">
        <v>2646</v>
      </c>
      <c r="H101" s="38">
        <v>2208</v>
      </c>
      <c r="I101" s="38">
        <v>2259</v>
      </c>
      <c r="J101" s="7">
        <v>1854.63</v>
      </c>
      <c r="K101" s="38">
        <v>370100</v>
      </c>
      <c r="L101">
        <v>189.84361056099999</v>
      </c>
      <c r="M101">
        <v>8</v>
      </c>
      <c r="N101" s="37">
        <f>Rådatakommune[[#This Row],[B14]]/Rådatakommune[[#This Row],[Totalareal]]</f>
        <v>2.4004788017016869</v>
      </c>
      <c r="O101" s="39">
        <f>Rådatakommune[[#This Row],[B14]]/Rådatakommune[[#This Row],[B04]]-1</f>
        <v>-2.2827041264266934E-2</v>
      </c>
      <c r="P101" s="26">
        <f>Rådatakommune[[#This Row],[Kvinner20-39]]/Rådatakommune[[#This Row],[B14]]</f>
        <v>0.11522911051212938</v>
      </c>
      <c r="Q101" s="26">
        <f>Rådatakommune[[#This Row],[Eldre67+]]/Rådatakommune[[#This Row],[B14]]</f>
        <v>0.17677448337825696</v>
      </c>
      <c r="R101" s="26">
        <f>Rådatakommune[[#This Row],[S13]]/Rådatakommune[[#This Row],[S03]]-1</f>
        <v>2.3097826086956541E-2</v>
      </c>
      <c r="S101" s="26">
        <f>Rådatakommune[[#This Row],[Y13]]/Rådatakommune[[#This Row],[Folk20-64]]</f>
        <v>0.95540438397581251</v>
      </c>
    </row>
    <row r="102" spans="1:19">
      <c r="A102" s="2" t="s">
        <v>100</v>
      </c>
      <c r="B102" s="38">
        <v>3530</v>
      </c>
      <c r="C102" s="38">
        <v>3509</v>
      </c>
      <c r="D102" s="38">
        <v>1924</v>
      </c>
      <c r="E102" s="38">
        <v>642</v>
      </c>
      <c r="F102" s="4">
        <v>343</v>
      </c>
      <c r="G102" s="4">
        <v>1976</v>
      </c>
      <c r="H102" s="38">
        <v>1403</v>
      </c>
      <c r="I102" s="38">
        <v>1537</v>
      </c>
      <c r="J102" s="7">
        <v>842.28000000000009</v>
      </c>
      <c r="K102" s="38">
        <v>359500</v>
      </c>
      <c r="L102">
        <v>83.177573943799999</v>
      </c>
      <c r="M102">
        <v>2</v>
      </c>
      <c r="N102" s="37">
        <f>Rådatakommune[[#This Row],[B14]]/Rådatakommune[[#This Row],[Totalareal]]</f>
        <v>4.1660730398442318</v>
      </c>
      <c r="O102" s="39">
        <f>Rådatakommune[[#This Row],[B14]]/Rådatakommune[[#This Row],[B04]]-1</f>
        <v>-5.9490084985835967E-3</v>
      </c>
      <c r="P102" s="26">
        <f>Rådatakommune[[#This Row],[Kvinner20-39]]/Rådatakommune[[#This Row],[B14]]</f>
        <v>9.7748646337988035E-2</v>
      </c>
      <c r="Q102" s="26">
        <f>Rådatakommune[[#This Row],[Eldre67+]]/Rådatakommune[[#This Row],[B14]]</f>
        <v>0.182958107722998</v>
      </c>
      <c r="R102" s="26">
        <f>Rådatakommune[[#This Row],[S13]]/Rådatakommune[[#This Row],[S03]]-1</f>
        <v>9.5509622238061365E-2</v>
      </c>
      <c r="S102" s="26">
        <f>Rådatakommune[[#This Row],[Y13]]/Rådatakommune[[#This Row],[Folk20-64]]</f>
        <v>0.97368421052631582</v>
      </c>
    </row>
    <row r="103" spans="1:19">
      <c r="A103" s="2" t="s">
        <v>101</v>
      </c>
      <c r="B103" s="38">
        <v>2201</v>
      </c>
      <c r="C103" s="38">
        <v>2265</v>
      </c>
      <c r="D103" s="38">
        <v>1194</v>
      </c>
      <c r="E103" s="38">
        <v>357</v>
      </c>
      <c r="F103" s="4">
        <v>279</v>
      </c>
      <c r="G103" s="4">
        <v>1374</v>
      </c>
      <c r="H103" s="38">
        <v>880</v>
      </c>
      <c r="I103" s="38">
        <v>1108</v>
      </c>
      <c r="J103" s="7">
        <v>374.51</v>
      </c>
      <c r="K103" s="38">
        <v>363600</v>
      </c>
      <c r="L103">
        <v>85.434413891299997</v>
      </c>
      <c r="M103">
        <v>5</v>
      </c>
      <c r="N103" s="37">
        <f>Rådatakommune[[#This Row],[B14]]/Rådatakommune[[#This Row],[Totalareal]]</f>
        <v>6.0479025927211554</v>
      </c>
      <c r="O103" s="39">
        <f>Rådatakommune[[#This Row],[B14]]/Rådatakommune[[#This Row],[B04]]-1</f>
        <v>2.9077691958200758E-2</v>
      </c>
      <c r="P103" s="26">
        <f>Rådatakommune[[#This Row],[Kvinner20-39]]/Rådatakommune[[#This Row],[B14]]</f>
        <v>0.12317880794701987</v>
      </c>
      <c r="Q103" s="26">
        <f>Rådatakommune[[#This Row],[Eldre67+]]/Rådatakommune[[#This Row],[B14]]</f>
        <v>0.15761589403973511</v>
      </c>
      <c r="R103" s="26">
        <f>Rådatakommune[[#This Row],[S13]]/Rådatakommune[[#This Row],[S03]]-1</f>
        <v>0.25909090909090904</v>
      </c>
      <c r="S103" s="26">
        <f>Rådatakommune[[#This Row],[Y13]]/Rådatakommune[[#This Row],[Folk20-64]]</f>
        <v>0.86899563318777295</v>
      </c>
    </row>
    <row r="104" spans="1:19">
      <c r="A104" s="2" t="s">
        <v>102</v>
      </c>
      <c r="B104" s="38">
        <v>12594</v>
      </c>
      <c r="C104" s="38">
        <v>13581</v>
      </c>
      <c r="D104" s="38">
        <v>6712</v>
      </c>
      <c r="E104" s="38">
        <v>2136</v>
      </c>
      <c r="F104" s="4">
        <v>1574</v>
      </c>
      <c r="G104" s="4">
        <v>8007</v>
      </c>
      <c r="H104" s="38">
        <v>5035</v>
      </c>
      <c r="I104" s="38">
        <v>5431</v>
      </c>
      <c r="J104" s="7">
        <v>517.18000000000006</v>
      </c>
      <c r="K104" s="38">
        <v>355000</v>
      </c>
      <c r="L104">
        <v>65.520446642899998</v>
      </c>
      <c r="M104">
        <v>2</v>
      </c>
      <c r="N104" s="37">
        <f>Rådatakommune[[#This Row],[B14]]/Rådatakommune[[#This Row],[Totalareal]]</f>
        <v>26.259716152983483</v>
      </c>
      <c r="O104" s="39">
        <f>Rådatakommune[[#This Row],[B14]]/Rådatakommune[[#This Row],[B04]]-1</f>
        <v>7.8370652691758025E-2</v>
      </c>
      <c r="P104" s="26">
        <f>Rådatakommune[[#This Row],[Kvinner20-39]]/Rådatakommune[[#This Row],[B14]]</f>
        <v>0.11589720933657316</v>
      </c>
      <c r="Q104" s="26">
        <f>Rådatakommune[[#This Row],[Eldre67+]]/Rådatakommune[[#This Row],[B14]]</f>
        <v>0.15727855091672188</v>
      </c>
      <c r="R104" s="26">
        <f>Rådatakommune[[#This Row],[S13]]/Rådatakommune[[#This Row],[S03]]-1</f>
        <v>7.8649453823237403E-2</v>
      </c>
      <c r="S104" s="26">
        <f>Rådatakommune[[#This Row],[Y13]]/Rådatakommune[[#This Row],[Folk20-64]]</f>
        <v>0.83826651679780195</v>
      </c>
    </row>
    <row r="105" spans="1:19">
      <c r="A105" s="2" t="s">
        <v>103</v>
      </c>
      <c r="B105" s="38">
        <v>15412</v>
      </c>
      <c r="C105" s="38">
        <v>17919</v>
      </c>
      <c r="D105" s="38">
        <v>9158</v>
      </c>
      <c r="E105" s="38">
        <v>2489</v>
      </c>
      <c r="F105" s="4">
        <v>2210</v>
      </c>
      <c r="G105" s="4">
        <v>10597</v>
      </c>
      <c r="H105" s="38">
        <v>5364</v>
      </c>
      <c r="I105" s="38">
        <v>6532</v>
      </c>
      <c r="J105" s="7">
        <v>456.70000000000005</v>
      </c>
      <c r="K105" s="38">
        <v>373600</v>
      </c>
      <c r="L105">
        <v>46.958412583700003</v>
      </c>
      <c r="M105">
        <v>2</v>
      </c>
      <c r="N105" s="37">
        <f>Rådatakommune[[#This Row],[B14]]/Rådatakommune[[#This Row],[Totalareal]]</f>
        <v>39.235822202758918</v>
      </c>
      <c r="O105" s="39">
        <f>Rådatakommune[[#This Row],[B14]]/Rådatakommune[[#This Row],[B04]]-1</f>
        <v>0.16266545548922928</v>
      </c>
      <c r="P105" s="26">
        <f>Rådatakommune[[#This Row],[Kvinner20-39]]/Rådatakommune[[#This Row],[B14]]</f>
        <v>0.12333277526647693</v>
      </c>
      <c r="Q105" s="26">
        <f>Rådatakommune[[#This Row],[Eldre67+]]/Rådatakommune[[#This Row],[B14]]</f>
        <v>0.13890284056029911</v>
      </c>
      <c r="R105" s="26">
        <f>Rådatakommune[[#This Row],[S13]]/Rådatakommune[[#This Row],[S03]]-1</f>
        <v>0.21774794929157348</v>
      </c>
      <c r="S105" s="26">
        <f>Rådatakommune[[#This Row],[Y13]]/Rådatakommune[[#This Row],[Folk20-64]]</f>
        <v>0.86420685099556482</v>
      </c>
    </row>
    <row r="106" spans="1:19">
      <c r="A106" s="2" t="s">
        <v>104</v>
      </c>
      <c r="B106" s="38">
        <v>21377</v>
      </c>
      <c r="C106" s="38">
        <v>23811</v>
      </c>
      <c r="D106" s="38">
        <v>12083</v>
      </c>
      <c r="E106" s="38">
        <v>2944</v>
      </c>
      <c r="F106" s="4">
        <v>2961</v>
      </c>
      <c r="G106" s="4">
        <v>14060</v>
      </c>
      <c r="H106" s="38">
        <v>6175</v>
      </c>
      <c r="I106" s="38">
        <v>7588</v>
      </c>
      <c r="J106" s="7">
        <v>121.75999999999999</v>
      </c>
      <c r="K106" s="38">
        <v>369500</v>
      </c>
      <c r="L106">
        <v>40.906691844800001</v>
      </c>
      <c r="M106">
        <v>2</v>
      </c>
      <c r="N106" s="37">
        <f>Rådatakommune[[#This Row],[B14]]/Rådatakommune[[#This Row],[Totalareal]]</f>
        <v>195.55683311432327</v>
      </c>
      <c r="O106" s="39">
        <f>Rådatakommune[[#This Row],[B14]]/Rådatakommune[[#This Row],[B04]]-1</f>
        <v>0.11386069139729615</v>
      </c>
      <c r="P106" s="26">
        <f>Rådatakommune[[#This Row],[Kvinner20-39]]/Rådatakommune[[#This Row],[B14]]</f>
        <v>0.12435429003401789</v>
      </c>
      <c r="Q106" s="26">
        <f>Rådatakommune[[#This Row],[Eldre67+]]/Rådatakommune[[#This Row],[B14]]</f>
        <v>0.12364033429927344</v>
      </c>
      <c r="R106" s="26">
        <f>Rådatakommune[[#This Row],[S13]]/Rådatakommune[[#This Row],[S03]]-1</f>
        <v>0.2288259109311741</v>
      </c>
      <c r="S106" s="26">
        <f>Rådatakommune[[#This Row],[Y13]]/Rådatakommune[[#This Row],[Folk20-64]]</f>
        <v>0.85938833570412521</v>
      </c>
    </row>
    <row r="107" spans="1:19">
      <c r="A107" s="2" t="s">
        <v>105</v>
      </c>
      <c r="B107" s="38">
        <v>21594</v>
      </c>
      <c r="C107" s="38">
        <v>25175</v>
      </c>
      <c r="D107" s="38">
        <v>13090</v>
      </c>
      <c r="E107" s="38">
        <v>3265</v>
      </c>
      <c r="F107" s="4">
        <v>2965</v>
      </c>
      <c r="G107" s="4">
        <v>14741</v>
      </c>
      <c r="H107" s="38">
        <v>10386</v>
      </c>
      <c r="I107" s="38">
        <v>13248</v>
      </c>
      <c r="J107" s="7">
        <v>301.60000000000002</v>
      </c>
      <c r="K107" s="38">
        <v>429200</v>
      </c>
      <c r="L107">
        <v>30.011142560700002</v>
      </c>
      <c r="M107">
        <v>2</v>
      </c>
      <c r="N107" s="37">
        <f>Rådatakommune[[#This Row],[B14]]/Rådatakommune[[#This Row],[Totalareal]]</f>
        <v>83.471485411140577</v>
      </c>
      <c r="O107" s="39">
        <f>Rådatakommune[[#This Row],[B14]]/Rådatakommune[[#This Row],[B04]]-1</f>
        <v>0.16583310178753363</v>
      </c>
      <c r="P107" s="26">
        <f>Rådatakommune[[#This Row],[Kvinner20-39]]/Rådatakommune[[#This Row],[B14]]</f>
        <v>0.11777557100297914</v>
      </c>
      <c r="Q107" s="26">
        <f>Rådatakommune[[#This Row],[Eldre67+]]/Rådatakommune[[#This Row],[B14]]</f>
        <v>0.12969215491559086</v>
      </c>
      <c r="R107" s="26">
        <f>Rådatakommune[[#This Row],[S13]]/Rådatakommune[[#This Row],[S03]]-1</f>
        <v>0.2755632582322356</v>
      </c>
      <c r="S107" s="26">
        <f>Rådatakommune[[#This Row],[Y13]]/Rådatakommune[[#This Row],[Folk20-64]]</f>
        <v>0.88799945729597718</v>
      </c>
    </row>
    <row r="108" spans="1:19">
      <c r="A108" s="2" t="s">
        <v>106</v>
      </c>
      <c r="B108" s="38">
        <v>17082</v>
      </c>
      <c r="C108" s="38">
        <v>20621</v>
      </c>
      <c r="D108" s="38">
        <v>10964</v>
      </c>
      <c r="E108" s="38">
        <v>2411</v>
      </c>
      <c r="F108" s="4">
        <v>2450</v>
      </c>
      <c r="G108" s="4">
        <v>12140</v>
      </c>
      <c r="H108" s="38">
        <v>4447</v>
      </c>
      <c r="I108" s="38">
        <v>5371</v>
      </c>
      <c r="J108" s="7">
        <v>112.63</v>
      </c>
      <c r="K108" s="38">
        <v>421400</v>
      </c>
      <c r="L108">
        <v>27.462255083300001</v>
      </c>
      <c r="M108">
        <v>1</v>
      </c>
      <c r="N108" s="37">
        <f>Rådatakommune[[#This Row],[B14]]/Rådatakommune[[#This Row],[Totalareal]]</f>
        <v>183.08621148894611</v>
      </c>
      <c r="O108" s="39">
        <f>Rådatakommune[[#This Row],[B14]]/Rådatakommune[[#This Row],[B04]]-1</f>
        <v>0.20717714553331001</v>
      </c>
      <c r="P108" s="26">
        <f>Rådatakommune[[#This Row],[Kvinner20-39]]/Rådatakommune[[#This Row],[B14]]</f>
        <v>0.11881092090587266</v>
      </c>
      <c r="Q108" s="26">
        <f>Rådatakommune[[#This Row],[Eldre67+]]/Rådatakommune[[#This Row],[B14]]</f>
        <v>0.11691964502206488</v>
      </c>
      <c r="R108" s="26">
        <f>Rådatakommune[[#This Row],[S13]]/Rådatakommune[[#This Row],[S03]]-1</f>
        <v>0.20778052619743637</v>
      </c>
      <c r="S108" s="26">
        <f>Rådatakommune[[#This Row],[Y13]]/Rådatakommune[[#This Row],[Folk20-64]]</f>
        <v>0.90313014827018123</v>
      </c>
    </row>
    <row r="109" spans="1:19">
      <c r="A109" s="2" t="s">
        <v>107</v>
      </c>
      <c r="B109" s="38">
        <v>8781</v>
      </c>
      <c r="C109" s="38">
        <v>9330</v>
      </c>
      <c r="D109" s="38">
        <v>4615</v>
      </c>
      <c r="E109" s="38">
        <v>1463</v>
      </c>
      <c r="F109" s="4">
        <v>931</v>
      </c>
      <c r="G109" s="4">
        <v>5291</v>
      </c>
      <c r="H109" s="38">
        <v>2604</v>
      </c>
      <c r="I109" s="38">
        <v>2790</v>
      </c>
      <c r="J109" s="7">
        <v>163.26999999999998</v>
      </c>
      <c r="K109" s="38">
        <v>387500</v>
      </c>
      <c r="L109">
        <v>53.245901226299999</v>
      </c>
      <c r="M109">
        <v>1</v>
      </c>
      <c r="N109" s="37">
        <f>Rådatakommune[[#This Row],[B14]]/Rådatakommune[[#This Row],[Totalareal]]</f>
        <v>57.144607092546096</v>
      </c>
      <c r="O109" s="39">
        <f>Rådatakommune[[#This Row],[B14]]/Rådatakommune[[#This Row],[B04]]-1</f>
        <v>6.252135292107952E-2</v>
      </c>
      <c r="P109" s="26">
        <f>Rådatakommune[[#This Row],[Kvinner20-39]]/Rådatakommune[[#This Row],[B14]]</f>
        <v>9.9785637727759918E-2</v>
      </c>
      <c r="Q109" s="26">
        <f>Rådatakommune[[#This Row],[Eldre67+]]/Rådatakommune[[#This Row],[B14]]</f>
        <v>0.15680600214362272</v>
      </c>
      <c r="R109" s="26">
        <f>Rådatakommune[[#This Row],[S13]]/Rådatakommune[[#This Row],[S03]]-1</f>
        <v>7.1428571428571397E-2</v>
      </c>
      <c r="S109" s="26">
        <f>Rådatakommune[[#This Row],[Y13]]/Rådatakommune[[#This Row],[Folk20-64]]</f>
        <v>0.87223587223587229</v>
      </c>
    </row>
    <row r="110" spans="1:19">
      <c r="A110" s="2" t="s">
        <v>108</v>
      </c>
      <c r="B110" s="38">
        <v>2512</v>
      </c>
      <c r="C110" s="38">
        <v>2683</v>
      </c>
      <c r="D110" s="38">
        <v>1441</v>
      </c>
      <c r="E110" s="38">
        <v>436</v>
      </c>
      <c r="F110" s="4">
        <v>289</v>
      </c>
      <c r="G110" s="4">
        <v>1507</v>
      </c>
      <c r="H110" s="38">
        <v>787</v>
      </c>
      <c r="I110" s="38">
        <v>809</v>
      </c>
      <c r="J110" s="7">
        <v>561.91000000000008</v>
      </c>
      <c r="K110" s="38">
        <v>375300</v>
      </c>
      <c r="L110">
        <v>78.550626897800001</v>
      </c>
      <c r="M110">
        <v>5</v>
      </c>
      <c r="N110" s="37">
        <f>Rådatakommune[[#This Row],[B14]]/Rådatakommune[[#This Row],[Totalareal]]</f>
        <v>4.7747859977576477</v>
      </c>
      <c r="O110" s="39">
        <f>Rådatakommune[[#This Row],[B14]]/Rådatakommune[[#This Row],[B04]]-1</f>
        <v>6.8073248407643394E-2</v>
      </c>
      <c r="P110" s="26">
        <f>Rådatakommune[[#This Row],[Kvinner20-39]]/Rådatakommune[[#This Row],[B14]]</f>
        <v>0.10771524412970555</v>
      </c>
      <c r="Q110" s="26">
        <f>Rådatakommune[[#This Row],[Eldre67+]]/Rådatakommune[[#This Row],[B14]]</f>
        <v>0.16250465896384644</v>
      </c>
      <c r="R110" s="26">
        <f>Rådatakommune[[#This Row],[S13]]/Rådatakommune[[#This Row],[S03]]-1</f>
        <v>2.7954256670902122E-2</v>
      </c>
      <c r="S110" s="26">
        <f>Rådatakommune[[#This Row],[Y13]]/Rådatakommune[[#This Row],[Folk20-64]]</f>
        <v>0.95620437956204385</v>
      </c>
    </row>
    <row r="111" spans="1:19">
      <c r="A111" s="2" t="s">
        <v>109</v>
      </c>
      <c r="B111" s="38">
        <v>1495</v>
      </c>
      <c r="C111" s="38">
        <v>1369</v>
      </c>
      <c r="D111" s="38">
        <v>708</v>
      </c>
      <c r="E111" s="38">
        <v>291</v>
      </c>
      <c r="F111" s="4">
        <v>122</v>
      </c>
      <c r="G111" s="4">
        <v>747</v>
      </c>
      <c r="H111" s="38">
        <v>622</v>
      </c>
      <c r="I111" s="38">
        <v>641</v>
      </c>
      <c r="J111" s="7">
        <v>449.29</v>
      </c>
      <c r="K111" s="38">
        <v>361900</v>
      </c>
      <c r="L111">
        <v>99.953514368900002</v>
      </c>
      <c r="M111">
        <v>5</v>
      </c>
      <c r="N111" s="37">
        <f>Rådatakommune[[#This Row],[B14]]/Rådatakommune[[#This Row],[Totalareal]]</f>
        <v>3.0470297580627212</v>
      </c>
      <c r="O111" s="39">
        <f>Rådatakommune[[#This Row],[B14]]/Rådatakommune[[#This Row],[B04]]-1</f>
        <v>-8.4280936454849464E-2</v>
      </c>
      <c r="P111" s="26">
        <f>Rådatakommune[[#This Row],[Kvinner20-39]]/Rådatakommune[[#This Row],[B14]]</f>
        <v>8.9116143170197226E-2</v>
      </c>
      <c r="Q111" s="26">
        <f>Rådatakommune[[#This Row],[Eldre67+]]/Rådatakommune[[#This Row],[B14]]</f>
        <v>0.21256391526661797</v>
      </c>
      <c r="R111" s="26">
        <f>Rådatakommune[[#This Row],[S13]]/Rådatakommune[[#This Row],[S03]]-1</f>
        <v>3.0546623794212246E-2</v>
      </c>
      <c r="S111" s="26">
        <f>Rådatakommune[[#This Row],[Y13]]/Rådatakommune[[#This Row],[Folk20-64]]</f>
        <v>0.94779116465863456</v>
      </c>
    </row>
    <row r="112" spans="1:19">
      <c r="A112" s="2" t="s">
        <v>110</v>
      </c>
      <c r="B112" s="38">
        <v>2695</v>
      </c>
      <c r="C112" s="38">
        <v>2557</v>
      </c>
      <c r="D112" s="38">
        <v>1426</v>
      </c>
      <c r="E112" s="38">
        <v>500</v>
      </c>
      <c r="F112" s="4">
        <v>222</v>
      </c>
      <c r="G112" s="4">
        <v>1406</v>
      </c>
      <c r="H112" s="38">
        <v>1171</v>
      </c>
      <c r="I112" s="38">
        <v>1345</v>
      </c>
      <c r="J112" s="7">
        <v>2502.29</v>
      </c>
      <c r="K112" s="38">
        <v>333700</v>
      </c>
      <c r="L112">
        <v>134.60092777</v>
      </c>
      <c r="M112">
        <v>11</v>
      </c>
      <c r="N112" s="37">
        <f>Rådatakommune[[#This Row],[B14]]/Rådatakommune[[#This Row],[Totalareal]]</f>
        <v>1.0218639726010974</v>
      </c>
      <c r="O112" s="39">
        <f>Rådatakommune[[#This Row],[B14]]/Rådatakommune[[#This Row],[B04]]-1</f>
        <v>-5.1205936920222683E-2</v>
      </c>
      <c r="P112" s="26">
        <f>Rådatakommune[[#This Row],[Kvinner20-39]]/Rådatakommune[[#This Row],[B14]]</f>
        <v>8.6820492764958943E-2</v>
      </c>
      <c r="Q112" s="26">
        <f>Rådatakommune[[#This Row],[Eldre67+]]/Rådatakommune[[#This Row],[B14]]</f>
        <v>0.19554165037152912</v>
      </c>
      <c r="R112" s="26">
        <f>Rådatakommune[[#This Row],[S13]]/Rådatakommune[[#This Row],[S03]]-1</f>
        <v>0.14859094790777116</v>
      </c>
      <c r="S112" s="26">
        <f>Rådatakommune[[#This Row],[Y13]]/Rådatakommune[[#This Row],[Folk20-64]]</f>
        <v>1.0142247510668563</v>
      </c>
    </row>
    <row r="113" spans="1:19">
      <c r="A113" s="2" t="s">
        <v>111</v>
      </c>
      <c r="B113" s="38">
        <v>24671</v>
      </c>
      <c r="C113" s="38">
        <v>26751</v>
      </c>
      <c r="D113" s="38">
        <v>12361</v>
      </c>
      <c r="E113" s="38">
        <v>4160</v>
      </c>
      <c r="F113" s="4">
        <v>3040</v>
      </c>
      <c r="G113" s="4">
        <v>15502</v>
      </c>
      <c r="H113" s="38">
        <v>9739</v>
      </c>
      <c r="I113" s="38">
        <v>10971</v>
      </c>
      <c r="J113" s="7">
        <v>70.38</v>
      </c>
      <c r="K113" s="38">
        <v>363900</v>
      </c>
      <c r="L113">
        <v>65.074581249700003</v>
      </c>
      <c r="M113">
        <v>2</v>
      </c>
      <c r="N113" s="37">
        <f>Rådatakommune[[#This Row],[B14]]/Rådatakommune[[#This Row],[Totalareal]]</f>
        <v>380.09377664109127</v>
      </c>
      <c r="O113" s="39">
        <f>Rådatakommune[[#This Row],[B14]]/Rådatakommune[[#This Row],[B04]]-1</f>
        <v>8.4309513193628227E-2</v>
      </c>
      <c r="P113" s="26">
        <f>Rådatakommune[[#This Row],[Kvinner20-39]]/Rådatakommune[[#This Row],[B14]]</f>
        <v>0.11364061156592277</v>
      </c>
      <c r="Q113" s="26">
        <f>Rådatakommune[[#This Row],[Eldre67+]]/Rådatakommune[[#This Row],[B14]]</f>
        <v>0.15550820530073642</v>
      </c>
      <c r="R113" s="26">
        <f>Rådatakommune[[#This Row],[S13]]/Rådatakommune[[#This Row],[S03]]-1</f>
        <v>0.12650169421911905</v>
      </c>
      <c r="S113" s="26">
        <f>Rådatakommune[[#This Row],[Y13]]/Rådatakommune[[#This Row],[Folk20-64]]</f>
        <v>0.797380983098955</v>
      </c>
    </row>
    <row r="114" spans="1:19">
      <c r="A114" s="2" t="s">
        <v>112</v>
      </c>
      <c r="B114" s="38">
        <v>9515</v>
      </c>
      <c r="C114" s="38">
        <v>10456</v>
      </c>
      <c r="D114" s="38">
        <v>5064</v>
      </c>
      <c r="E114" s="38">
        <v>1644</v>
      </c>
      <c r="F114" s="4">
        <v>1193</v>
      </c>
      <c r="G114" s="4">
        <v>6113</v>
      </c>
      <c r="H114" s="38">
        <v>3835</v>
      </c>
      <c r="I114" s="38">
        <v>3725</v>
      </c>
      <c r="J114" s="7">
        <v>86.06</v>
      </c>
      <c r="K114" s="38">
        <v>369000</v>
      </c>
      <c r="L114">
        <v>54.470584995199999</v>
      </c>
      <c r="M114">
        <v>2</v>
      </c>
      <c r="N114" s="37">
        <f>Rådatakommune[[#This Row],[B14]]/Rådatakommune[[#This Row],[Totalareal]]</f>
        <v>121.49663025795957</v>
      </c>
      <c r="O114" s="39">
        <f>Rådatakommune[[#This Row],[B14]]/Rådatakommune[[#This Row],[B04]]-1</f>
        <v>9.8896479243300028E-2</v>
      </c>
      <c r="P114" s="26">
        <f>Rådatakommune[[#This Row],[Kvinner20-39]]/Rådatakommune[[#This Row],[B14]]</f>
        <v>0.11409716908951797</v>
      </c>
      <c r="Q114" s="26">
        <f>Rådatakommune[[#This Row],[Eldre67+]]/Rådatakommune[[#This Row],[B14]]</f>
        <v>0.15723029839326702</v>
      </c>
      <c r="R114" s="26">
        <f>Rådatakommune[[#This Row],[S13]]/Rådatakommune[[#This Row],[S03]]-1</f>
        <v>-2.8683181225554133E-2</v>
      </c>
      <c r="S114" s="26">
        <f>Rådatakommune[[#This Row],[Y13]]/Rådatakommune[[#This Row],[Folk20-64]]</f>
        <v>0.82839849501063312</v>
      </c>
    </row>
    <row r="115" spans="1:19">
      <c r="A115" s="2" t="s">
        <v>113</v>
      </c>
      <c r="B115" s="38">
        <v>36046</v>
      </c>
      <c r="C115" s="38">
        <v>41550</v>
      </c>
      <c r="D115" s="38">
        <v>20924</v>
      </c>
      <c r="E115" s="38">
        <v>6163</v>
      </c>
      <c r="F115" s="4">
        <v>5444</v>
      </c>
      <c r="G115" s="4">
        <v>24701</v>
      </c>
      <c r="H115" s="38">
        <v>25526</v>
      </c>
      <c r="I115" s="38">
        <v>27825</v>
      </c>
      <c r="J115" s="7">
        <v>106.68</v>
      </c>
      <c r="K115" s="38">
        <v>385000</v>
      </c>
      <c r="L115">
        <v>68.814787187099995</v>
      </c>
      <c r="M115">
        <v>2</v>
      </c>
      <c r="N115" s="37">
        <f>Rådatakommune[[#This Row],[B14]]/Rådatakommune[[#This Row],[Totalareal]]</f>
        <v>389.48256467941502</v>
      </c>
      <c r="O115" s="39">
        <f>Rådatakommune[[#This Row],[B14]]/Rådatakommune[[#This Row],[B04]]-1</f>
        <v>0.15269378016978297</v>
      </c>
      <c r="P115" s="26">
        <f>Rådatakommune[[#This Row],[Kvinner20-39]]/Rådatakommune[[#This Row],[B14]]</f>
        <v>0.13102286401925392</v>
      </c>
      <c r="Q115" s="26">
        <f>Rådatakommune[[#This Row],[Eldre67+]]/Rådatakommune[[#This Row],[B14]]</f>
        <v>0.14832731648616126</v>
      </c>
      <c r="R115" s="26">
        <f>Rådatakommune[[#This Row],[S13]]/Rådatakommune[[#This Row],[S03]]-1</f>
        <v>9.0065031732351253E-2</v>
      </c>
      <c r="S115" s="26">
        <f>Rådatakommune[[#This Row],[Y13]]/Rådatakommune[[#This Row],[Folk20-64]]</f>
        <v>0.84709121088215056</v>
      </c>
    </row>
    <row r="116" spans="1:19">
      <c r="A116" s="2" t="s">
        <v>114</v>
      </c>
      <c r="B116" s="38">
        <v>40992</v>
      </c>
      <c r="C116" s="38">
        <v>44976</v>
      </c>
      <c r="D116" s="38">
        <v>21170</v>
      </c>
      <c r="E116" s="38">
        <v>6944</v>
      </c>
      <c r="F116" s="4">
        <v>5177</v>
      </c>
      <c r="G116" s="4">
        <v>25838</v>
      </c>
      <c r="H116" s="38">
        <v>18244</v>
      </c>
      <c r="I116" s="38">
        <v>20923</v>
      </c>
      <c r="J116" s="7">
        <v>121.21</v>
      </c>
      <c r="K116" s="38">
        <v>372300</v>
      </c>
      <c r="L116">
        <v>81.163567901600004</v>
      </c>
      <c r="M116">
        <v>4</v>
      </c>
      <c r="N116" s="37">
        <f>Rådatakommune[[#This Row],[B14]]/Rådatakommune[[#This Row],[Totalareal]]</f>
        <v>371.05849352363668</v>
      </c>
      <c r="O116" s="39">
        <f>Rådatakommune[[#This Row],[B14]]/Rådatakommune[[#This Row],[B04]]-1</f>
        <v>9.7189695550351285E-2</v>
      </c>
      <c r="P116" s="26">
        <f>Rådatakommune[[#This Row],[Kvinner20-39]]/Rådatakommune[[#This Row],[B14]]</f>
        <v>0.11510583422269655</v>
      </c>
      <c r="Q116" s="26">
        <f>Rådatakommune[[#This Row],[Eldre67+]]/Rådatakommune[[#This Row],[B14]]</f>
        <v>0.15439345428673071</v>
      </c>
      <c r="R116" s="26">
        <f>Rådatakommune[[#This Row],[S13]]/Rådatakommune[[#This Row],[S03]]-1</f>
        <v>0.14684279763209829</v>
      </c>
      <c r="S116" s="26">
        <f>Rådatakommune[[#This Row],[Y13]]/Rådatakommune[[#This Row],[Folk20-64]]</f>
        <v>0.81933586190881647</v>
      </c>
    </row>
    <row r="117" spans="1:19">
      <c r="A117" s="2" t="s">
        <v>115</v>
      </c>
      <c r="B117" s="38">
        <v>40990</v>
      </c>
      <c r="C117" s="38">
        <v>43258</v>
      </c>
      <c r="D117" s="38">
        <v>20825</v>
      </c>
      <c r="E117" s="38">
        <v>6931</v>
      </c>
      <c r="F117" s="4">
        <v>4912</v>
      </c>
      <c r="G117" s="4">
        <v>25004</v>
      </c>
      <c r="H117" s="38">
        <v>17016</v>
      </c>
      <c r="I117" s="38">
        <v>17826</v>
      </c>
      <c r="J117" s="7">
        <v>534.98</v>
      </c>
      <c r="K117" s="38">
        <v>357800</v>
      </c>
      <c r="L117">
        <v>89.673542207500006</v>
      </c>
      <c r="M117">
        <v>4</v>
      </c>
      <c r="N117" s="37">
        <f>Rådatakommune[[#This Row],[B14]]/Rådatakommune[[#This Row],[Totalareal]]</f>
        <v>80.859097536356501</v>
      </c>
      <c r="O117" s="39">
        <f>Rådatakommune[[#This Row],[B14]]/Rådatakommune[[#This Row],[B04]]-1</f>
        <v>5.5330568431324778E-2</v>
      </c>
      <c r="P117" s="26">
        <f>Rådatakommune[[#This Row],[Kvinner20-39]]/Rådatakommune[[#This Row],[B14]]</f>
        <v>0.11355125063572057</v>
      </c>
      <c r="Q117" s="26">
        <f>Rådatakommune[[#This Row],[Eldre67+]]/Rådatakommune[[#This Row],[B14]]</f>
        <v>0.16022469832169772</v>
      </c>
      <c r="R117" s="26">
        <f>Rådatakommune[[#This Row],[S13]]/Rådatakommune[[#This Row],[S03]]-1</f>
        <v>4.760225669957685E-2</v>
      </c>
      <c r="S117" s="26">
        <f>Rådatakommune[[#This Row],[Y13]]/Rådatakommune[[#This Row],[Folk20-64]]</f>
        <v>0.8328667413213886</v>
      </c>
    </row>
    <row r="118" spans="1:19">
      <c r="A118" s="2" t="s">
        <v>116</v>
      </c>
      <c r="B118" s="38">
        <v>6445</v>
      </c>
      <c r="C118" s="38">
        <v>6580</v>
      </c>
      <c r="D118" s="38">
        <v>3294</v>
      </c>
      <c r="E118" s="38">
        <v>1006</v>
      </c>
      <c r="F118" s="4">
        <v>736</v>
      </c>
      <c r="G118" s="4">
        <v>3896</v>
      </c>
      <c r="H118" s="38">
        <v>1500</v>
      </c>
      <c r="I118" s="38">
        <v>1603</v>
      </c>
      <c r="J118" s="7">
        <v>57.73</v>
      </c>
      <c r="K118" s="38">
        <v>368600</v>
      </c>
      <c r="L118">
        <v>50.530302670799998</v>
      </c>
      <c r="M118">
        <v>2</v>
      </c>
      <c r="N118" s="37">
        <f>Rådatakommune[[#This Row],[B14]]/Rådatakommune[[#This Row],[Totalareal]]</f>
        <v>113.97886714013512</v>
      </c>
      <c r="O118" s="39">
        <f>Rådatakommune[[#This Row],[B14]]/Rådatakommune[[#This Row],[B04]]-1</f>
        <v>2.0946470131885109E-2</v>
      </c>
      <c r="P118" s="26">
        <f>Rådatakommune[[#This Row],[Kvinner20-39]]/Rådatakommune[[#This Row],[B14]]</f>
        <v>0.11185410334346504</v>
      </c>
      <c r="Q118" s="26">
        <f>Rådatakommune[[#This Row],[Eldre67+]]/Rådatakommune[[#This Row],[B14]]</f>
        <v>0.15288753799392096</v>
      </c>
      <c r="R118" s="26">
        <f>Rådatakommune[[#This Row],[S13]]/Rådatakommune[[#This Row],[S03]]-1</f>
        <v>6.8666666666666654E-2</v>
      </c>
      <c r="S118" s="26">
        <f>Rådatakommune[[#This Row],[Y13]]/Rådatakommune[[#This Row],[Folk20-64]]</f>
        <v>0.84548254620123209</v>
      </c>
    </row>
    <row r="119" spans="1:19">
      <c r="A119" s="2" t="s">
        <v>117</v>
      </c>
      <c r="B119" s="38">
        <v>7591</v>
      </c>
      <c r="C119" s="38">
        <v>9036</v>
      </c>
      <c r="D119" s="38">
        <v>4566</v>
      </c>
      <c r="E119" s="38">
        <v>1225</v>
      </c>
      <c r="F119" s="4">
        <v>1068</v>
      </c>
      <c r="G119" s="4">
        <v>5221</v>
      </c>
      <c r="H119" s="38">
        <v>1895</v>
      </c>
      <c r="I119" s="38">
        <v>2360</v>
      </c>
      <c r="J119" s="7">
        <v>178.33</v>
      </c>
      <c r="K119" s="38">
        <v>379800</v>
      </c>
      <c r="L119">
        <v>43.396921828799996</v>
      </c>
      <c r="M119">
        <v>2</v>
      </c>
      <c r="N119" s="37">
        <f>Rådatakommune[[#This Row],[B14]]/Rådatakommune[[#This Row],[Totalareal]]</f>
        <v>50.670105983289403</v>
      </c>
      <c r="O119" s="39">
        <f>Rådatakommune[[#This Row],[B14]]/Rådatakommune[[#This Row],[B04]]-1</f>
        <v>0.19035700171255443</v>
      </c>
      <c r="P119" s="26">
        <f>Rådatakommune[[#This Row],[Kvinner20-39]]/Rådatakommune[[#This Row],[B14]]</f>
        <v>0.11819389110225764</v>
      </c>
      <c r="Q119" s="26">
        <f>Rådatakommune[[#This Row],[Eldre67+]]/Rådatakommune[[#This Row],[B14]]</f>
        <v>0.13556883576803896</v>
      </c>
      <c r="R119" s="26">
        <f>Rådatakommune[[#This Row],[S13]]/Rådatakommune[[#This Row],[S03]]-1</f>
        <v>0.24538258575197891</v>
      </c>
      <c r="S119" s="26">
        <f>Rådatakommune[[#This Row],[Y13]]/Rådatakommune[[#This Row],[Folk20-64]]</f>
        <v>0.87454510630147486</v>
      </c>
    </row>
    <row r="120" spans="1:19">
      <c r="A120" s="2" t="s">
        <v>118</v>
      </c>
      <c r="B120" s="38">
        <v>3031</v>
      </c>
      <c r="C120" s="38">
        <v>3091</v>
      </c>
      <c r="D120" s="38">
        <v>1576</v>
      </c>
      <c r="E120" s="38">
        <v>438</v>
      </c>
      <c r="F120" s="4">
        <v>342</v>
      </c>
      <c r="G120" s="4">
        <v>1773</v>
      </c>
      <c r="H120" s="38">
        <v>886</v>
      </c>
      <c r="I120" s="38">
        <v>952</v>
      </c>
      <c r="J120" s="7">
        <v>163.12</v>
      </c>
      <c r="K120" s="38">
        <v>394000</v>
      </c>
      <c r="L120">
        <v>53.292219040399999</v>
      </c>
      <c r="M120">
        <v>2</v>
      </c>
      <c r="N120" s="37">
        <f>Rådatakommune[[#This Row],[B14]]/Rådatakommune[[#This Row],[Totalareal]]</f>
        <v>18.949239823442863</v>
      </c>
      <c r="O120" s="39">
        <f>Rådatakommune[[#This Row],[B14]]/Rådatakommune[[#This Row],[B04]]-1</f>
        <v>1.979544704717906E-2</v>
      </c>
      <c r="P120" s="26">
        <f>Rådatakommune[[#This Row],[Kvinner20-39]]/Rådatakommune[[#This Row],[B14]]</f>
        <v>0.11064380459398253</v>
      </c>
      <c r="Q120" s="26">
        <f>Rådatakommune[[#This Row],[Eldre67+]]/Rådatakommune[[#This Row],[B14]]</f>
        <v>0.14170171465545131</v>
      </c>
      <c r="R120" s="26">
        <f>Rådatakommune[[#This Row],[S13]]/Rådatakommune[[#This Row],[S03]]-1</f>
        <v>7.4492099322799099E-2</v>
      </c>
      <c r="S120" s="26">
        <f>Rådatakommune[[#This Row],[Y13]]/Rådatakommune[[#This Row],[Folk20-64]]</f>
        <v>0.88888888888888884</v>
      </c>
    </row>
    <row r="121" spans="1:19">
      <c r="A121" s="2" t="s">
        <v>119</v>
      </c>
      <c r="B121" s="38">
        <v>8194</v>
      </c>
      <c r="C121" s="38">
        <v>9144</v>
      </c>
      <c r="D121" s="38">
        <v>4775</v>
      </c>
      <c r="E121" s="38">
        <v>1133</v>
      </c>
      <c r="F121" s="4">
        <v>1114</v>
      </c>
      <c r="G121" s="4">
        <v>5381</v>
      </c>
      <c r="H121" s="38">
        <v>2540</v>
      </c>
      <c r="I121" s="38">
        <v>3198</v>
      </c>
      <c r="J121" s="7">
        <v>224.66</v>
      </c>
      <c r="K121" s="38">
        <v>368000</v>
      </c>
      <c r="L121">
        <v>61.991895230799997</v>
      </c>
      <c r="M121">
        <v>2</v>
      </c>
      <c r="N121" s="37">
        <f>Rådatakommune[[#This Row],[B14]]/Rådatakommune[[#This Row],[Totalareal]]</f>
        <v>40.701504495682364</v>
      </c>
      <c r="O121" s="39">
        <f>Rådatakommune[[#This Row],[B14]]/Rådatakommune[[#This Row],[B04]]-1</f>
        <v>0.11593849157920433</v>
      </c>
      <c r="P121" s="26">
        <f>Rådatakommune[[#This Row],[Kvinner20-39]]/Rådatakommune[[#This Row],[B14]]</f>
        <v>0.12182852143482065</v>
      </c>
      <c r="Q121" s="26">
        <f>Rådatakommune[[#This Row],[Eldre67+]]/Rådatakommune[[#This Row],[B14]]</f>
        <v>0.12390638670166229</v>
      </c>
      <c r="R121" s="26">
        <f>Rådatakommune[[#This Row],[S13]]/Rådatakommune[[#This Row],[S03]]-1</f>
        <v>0.25905511811023629</v>
      </c>
      <c r="S121" s="26">
        <f>Rådatakommune[[#This Row],[Y13]]/Rådatakommune[[#This Row],[Folk20-64]]</f>
        <v>0.88738152759710087</v>
      </c>
    </row>
    <row r="122" spans="1:19">
      <c r="A122" s="2" t="s">
        <v>120</v>
      </c>
      <c r="B122" s="38">
        <v>5031</v>
      </c>
      <c r="C122" s="38">
        <v>5719</v>
      </c>
      <c r="D122" s="38">
        <v>2981</v>
      </c>
      <c r="E122" s="38">
        <v>713</v>
      </c>
      <c r="F122" s="4">
        <v>743</v>
      </c>
      <c r="G122" s="4">
        <v>3435</v>
      </c>
      <c r="H122" s="38">
        <v>1693</v>
      </c>
      <c r="I122" s="38">
        <v>2057</v>
      </c>
      <c r="J122" s="7">
        <v>185.9</v>
      </c>
      <c r="K122" s="38">
        <v>353600</v>
      </c>
      <c r="L122">
        <v>74.591474800100002</v>
      </c>
      <c r="M122">
        <v>2</v>
      </c>
      <c r="N122" s="37">
        <f>Rådatakommune[[#This Row],[B14]]/Rådatakommune[[#This Row],[Totalareal]]</f>
        <v>30.763851533082303</v>
      </c>
      <c r="O122" s="39">
        <f>Rådatakommune[[#This Row],[B14]]/Rådatakommune[[#This Row],[B04]]-1</f>
        <v>0.13675213675213671</v>
      </c>
      <c r="P122" s="26">
        <f>Rådatakommune[[#This Row],[Kvinner20-39]]/Rådatakommune[[#This Row],[B14]]</f>
        <v>0.12991781780031475</v>
      </c>
      <c r="Q122" s="26">
        <f>Rådatakommune[[#This Row],[Eldre67+]]/Rådatakommune[[#This Row],[B14]]</f>
        <v>0.12467214547997901</v>
      </c>
      <c r="R122" s="26">
        <f>Rådatakommune[[#This Row],[S13]]/Rådatakommune[[#This Row],[S03]]-1</f>
        <v>0.21500295333727104</v>
      </c>
      <c r="S122" s="26">
        <f>Rådatakommune[[#This Row],[Y13]]/Rådatakommune[[#This Row],[Folk20-64]]</f>
        <v>0.86783114992721977</v>
      </c>
    </row>
    <row r="123" spans="1:19">
      <c r="A123" s="2" t="s">
        <v>121</v>
      </c>
      <c r="B123" s="38">
        <v>9985</v>
      </c>
      <c r="C123" s="38">
        <v>11509</v>
      </c>
      <c r="D123" s="38">
        <v>6006</v>
      </c>
      <c r="E123" s="38">
        <v>1379</v>
      </c>
      <c r="F123" s="4">
        <v>1455</v>
      </c>
      <c r="G123" s="4">
        <v>6952</v>
      </c>
      <c r="H123" s="38">
        <v>4040</v>
      </c>
      <c r="I123" s="38">
        <v>5677</v>
      </c>
      <c r="J123" s="7">
        <v>118.36</v>
      </c>
      <c r="K123" s="38">
        <v>353800</v>
      </c>
      <c r="L123">
        <v>72.6145221986</v>
      </c>
      <c r="M123">
        <v>2</v>
      </c>
      <c r="N123" s="37">
        <f>Rådatakommune[[#This Row],[B14]]/Rådatakommune[[#This Row],[Totalareal]]</f>
        <v>97.237242311591757</v>
      </c>
      <c r="O123" s="39">
        <f>Rådatakommune[[#This Row],[B14]]/Rådatakommune[[#This Row],[B04]]-1</f>
        <v>0.15262894341512268</v>
      </c>
      <c r="P123" s="26">
        <f>Rådatakommune[[#This Row],[Kvinner20-39]]/Rådatakommune[[#This Row],[B14]]</f>
        <v>0.1264227995481797</v>
      </c>
      <c r="Q123" s="26">
        <f>Rådatakommune[[#This Row],[Eldre67+]]/Rådatakommune[[#This Row],[B14]]</f>
        <v>0.11981927187418542</v>
      </c>
      <c r="R123" s="26">
        <f>Rådatakommune[[#This Row],[S13]]/Rådatakommune[[#This Row],[S03]]-1</f>
        <v>0.40519801980198022</v>
      </c>
      <c r="S123" s="26">
        <f>Rådatakommune[[#This Row],[Y13]]/Rådatakommune[[#This Row],[Folk20-64]]</f>
        <v>0.86392405063291144</v>
      </c>
    </row>
    <row r="124" spans="1:19">
      <c r="A124" s="2" t="s">
        <v>122</v>
      </c>
      <c r="B124" s="38">
        <v>20050</v>
      </c>
      <c r="C124" s="38">
        <v>21403</v>
      </c>
      <c r="D124" s="38">
        <v>10422</v>
      </c>
      <c r="E124" s="38">
        <v>3415</v>
      </c>
      <c r="F124" s="4">
        <v>2334</v>
      </c>
      <c r="G124" s="4">
        <v>12102</v>
      </c>
      <c r="H124" s="38">
        <v>5375</v>
      </c>
      <c r="I124" s="38">
        <v>6217</v>
      </c>
      <c r="J124" s="7">
        <v>60.56</v>
      </c>
      <c r="K124" s="38">
        <v>403800</v>
      </c>
      <c r="L124">
        <v>74.659812079899993</v>
      </c>
      <c r="M124">
        <v>2</v>
      </c>
      <c r="N124" s="37">
        <f>Rådatakommune[[#This Row],[B14]]/Rådatakommune[[#This Row],[Totalareal]]</f>
        <v>353.41809775429323</v>
      </c>
      <c r="O124" s="39">
        <f>Rådatakommune[[#This Row],[B14]]/Rådatakommune[[#This Row],[B04]]-1</f>
        <v>6.7481296758104659E-2</v>
      </c>
      <c r="P124" s="26">
        <f>Rådatakommune[[#This Row],[Kvinner20-39]]/Rådatakommune[[#This Row],[B14]]</f>
        <v>0.10905013315890295</v>
      </c>
      <c r="Q124" s="26">
        <f>Rådatakommune[[#This Row],[Eldre67+]]/Rådatakommune[[#This Row],[B14]]</f>
        <v>0.15955707143858339</v>
      </c>
      <c r="R124" s="26">
        <f>Rådatakommune[[#This Row],[S13]]/Rådatakommune[[#This Row],[S03]]-1</f>
        <v>0.15665116279069768</v>
      </c>
      <c r="S124" s="26">
        <f>Rådatakommune[[#This Row],[Y13]]/Rådatakommune[[#This Row],[Folk20-64]]</f>
        <v>0.86117997025285076</v>
      </c>
    </row>
    <row r="125" spans="1:19">
      <c r="A125" s="2" t="s">
        <v>123</v>
      </c>
      <c r="B125" s="38">
        <v>4553</v>
      </c>
      <c r="C125" s="38">
        <v>4927</v>
      </c>
      <c r="D125" s="38">
        <v>2385</v>
      </c>
      <c r="E125" s="38">
        <v>821</v>
      </c>
      <c r="F125" s="4">
        <v>490</v>
      </c>
      <c r="G125" s="4">
        <v>2926</v>
      </c>
      <c r="H125" s="38">
        <v>1211</v>
      </c>
      <c r="I125" s="38">
        <v>1296</v>
      </c>
      <c r="J125" s="7">
        <v>39.4</v>
      </c>
      <c r="K125" s="38">
        <v>378600</v>
      </c>
      <c r="L125">
        <v>89.516054563099999</v>
      </c>
      <c r="M125">
        <v>3</v>
      </c>
      <c r="N125" s="37">
        <f>Rådatakommune[[#This Row],[B14]]/Rådatakommune[[#This Row],[Totalareal]]</f>
        <v>125.05076142131981</v>
      </c>
      <c r="O125" s="39">
        <f>Rådatakommune[[#This Row],[B14]]/Rådatakommune[[#This Row],[B04]]-1</f>
        <v>8.2143641555018743E-2</v>
      </c>
      <c r="P125" s="26">
        <f>Rådatakommune[[#This Row],[Kvinner20-39]]/Rådatakommune[[#This Row],[B14]]</f>
        <v>9.9451999188146942E-2</v>
      </c>
      <c r="Q125" s="26">
        <f>Rådatakommune[[#This Row],[Eldre67+]]/Rådatakommune[[#This Row],[B14]]</f>
        <v>0.16663283945605845</v>
      </c>
      <c r="R125" s="26">
        <f>Rådatakommune[[#This Row],[S13]]/Rådatakommune[[#This Row],[S03]]-1</f>
        <v>7.0189925681255261E-2</v>
      </c>
      <c r="S125" s="26">
        <f>Rådatakommune[[#This Row],[Y13]]/Rådatakommune[[#This Row],[Folk20-64]]</f>
        <v>0.815105946684894</v>
      </c>
    </row>
    <row r="126" spans="1:19">
      <c r="A126" s="2" t="s">
        <v>124</v>
      </c>
      <c r="B126" s="38">
        <v>2386</v>
      </c>
      <c r="C126" s="38">
        <v>2460</v>
      </c>
      <c r="D126" s="38">
        <v>1264</v>
      </c>
      <c r="E126" s="38">
        <v>383</v>
      </c>
      <c r="F126" s="4">
        <v>261</v>
      </c>
      <c r="G126" s="4">
        <v>1439</v>
      </c>
      <c r="H126" s="38">
        <v>817</v>
      </c>
      <c r="I126" s="38">
        <v>975</v>
      </c>
      <c r="J126" s="7">
        <v>277.69</v>
      </c>
      <c r="K126" s="38">
        <v>360500</v>
      </c>
      <c r="L126">
        <v>68.605911896600006</v>
      </c>
      <c r="M126">
        <v>4</v>
      </c>
      <c r="N126" s="37">
        <f>Rådatakommune[[#This Row],[B14]]/Rådatakommune[[#This Row],[Totalareal]]</f>
        <v>8.8587993806042711</v>
      </c>
      <c r="O126" s="39">
        <f>Rådatakommune[[#This Row],[B14]]/Rådatakommune[[#This Row],[B04]]-1</f>
        <v>3.1014249790444204E-2</v>
      </c>
      <c r="P126" s="26">
        <f>Rådatakommune[[#This Row],[Kvinner20-39]]/Rådatakommune[[#This Row],[B14]]</f>
        <v>0.10609756097560975</v>
      </c>
      <c r="Q126" s="26">
        <f>Rådatakommune[[#This Row],[Eldre67+]]/Rådatakommune[[#This Row],[B14]]</f>
        <v>0.15569105691056911</v>
      </c>
      <c r="R126" s="26">
        <f>Rådatakommune[[#This Row],[S13]]/Rådatakommune[[#This Row],[S03]]-1</f>
        <v>0.19339045287637702</v>
      </c>
      <c r="S126" s="26">
        <f>Rådatakommune[[#This Row],[Y13]]/Rådatakommune[[#This Row],[Folk20-64]]</f>
        <v>0.87838776928422513</v>
      </c>
    </row>
    <row r="127" spans="1:19">
      <c r="A127" s="2" t="s">
        <v>125</v>
      </c>
      <c r="B127" s="38">
        <v>33323</v>
      </c>
      <c r="C127" s="38">
        <v>35516</v>
      </c>
      <c r="D127" s="38">
        <v>17114</v>
      </c>
      <c r="E127" s="38">
        <v>5457</v>
      </c>
      <c r="F127" s="4">
        <v>4202</v>
      </c>
      <c r="G127" s="4">
        <v>20953</v>
      </c>
      <c r="H127" s="38">
        <v>16539</v>
      </c>
      <c r="I127" s="38">
        <v>17992</v>
      </c>
      <c r="J127" s="7">
        <v>163.85</v>
      </c>
      <c r="K127" s="38">
        <v>373300</v>
      </c>
      <c r="L127">
        <v>109.211510248</v>
      </c>
      <c r="M127">
        <v>4</v>
      </c>
      <c r="N127" s="37">
        <f>Rådatakommune[[#This Row],[B14]]/Rådatakommune[[#This Row],[Totalareal]]</f>
        <v>216.75923100396705</v>
      </c>
      <c r="O127" s="39">
        <f>Rådatakommune[[#This Row],[B14]]/Rådatakommune[[#This Row],[B04]]-1</f>
        <v>6.5810401224379644E-2</v>
      </c>
      <c r="P127" s="26">
        <f>Rådatakommune[[#This Row],[Kvinner20-39]]/Rådatakommune[[#This Row],[B14]]</f>
        <v>0.11831287307129182</v>
      </c>
      <c r="Q127" s="26">
        <f>Rådatakommune[[#This Row],[Eldre67+]]/Rådatakommune[[#This Row],[B14]]</f>
        <v>0.15364905957878139</v>
      </c>
      <c r="R127" s="26">
        <f>Rådatakommune[[#This Row],[S13]]/Rådatakommune[[#This Row],[S03]]-1</f>
        <v>8.785295362476564E-2</v>
      </c>
      <c r="S127" s="26">
        <f>Rådatakommune[[#This Row],[Y13]]/Rådatakommune[[#This Row],[Folk20-64]]</f>
        <v>0.81678041330597051</v>
      </c>
    </row>
    <row r="128" spans="1:19">
      <c r="A128" s="2" t="s">
        <v>126</v>
      </c>
      <c r="B128" s="38">
        <v>50507</v>
      </c>
      <c r="C128" s="38">
        <v>53439</v>
      </c>
      <c r="D128" s="38">
        <v>25687</v>
      </c>
      <c r="E128" s="38">
        <v>8026</v>
      </c>
      <c r="F128" s="4">
        <v>6499</v>
      </c>
      <c r="G128" s="4">
        <v>31275</v>
      </c>
      <c r="H128" s="38">
        <v>23291</v>
      </c>
      <c r="I128" s="38">
        <v>25086</v>
      </c>
      <c r="J128" s="7">
        <v>778.05000000000007</v>
      </c>
      <c r="K128" s="38">
        <v>359400</v>
      </c>
      <c r="L128">
        <v>101.642603294</v>
      </c>
      <c r="M128">
        <v>4</v>
      </c>
      <c r="N128" s="37">
        <f>Rådatakommune[[#This Row],[B14]]/Rådatakommune[[#This Row],[Totalareal]]</f>
        <v>68.683246577983411</v>
      </c>
      <c r="O128" s="39">
        <f>Rådatakommune[[#This Row],[B14]]/Rådatakommune[[#This Row],[B04]]-1</f>
        <v>5.8051359217534237E-2</v>
      </c>
      <c r="P128" s="26">
        <f>Rådatakommune[[#This Row],[Kvinner20-39]]/Rådatakommune[[#This Row],[B14]]</f>
        <v>0.12161529968749415</v>
      </c>
      <c r="Q128" s="26">
        <f>Rådatakommune[[#This Row],[Eldre67+]]/Rådatakommune[[#This Row],[B14]]</f>
        <v>0.1501899361889257</v>
      </c>
      <c r="R128" s="26">
        <f>Rådatakommune[[#This Row],[S13]]/Rådatakommune[[#This Row],[S03]]-1</f>
        <v>7.7068395517581934E-2</v>
      </c>
      <c r="S128" s="26">
        <f>Rådatakommune[[#This Row],[Y13]]/Rådatakommune[[#This Row],[Folk20-64]]</f>
        <v>0.82132693844924065</v>
      </c>
    </row>
    <row r="129" spans="1:19">
      <c r="A129" s="2" t="s">
        <v>127</v>
      </c>
      <c r="B129" s="38">
        <v>12322</v>
      </c>
      <c r="C129" s="38">
        <v>12609</v>
      </c>
      <c r="D129" s="38">
        <v>5864</v>
      </c>
      <c r="E129" s="38">
        <v>2234</v>
      </c>
      <c r="F129" s="4">
        <v>1467</v>
      </c>
      <c r="G129" s="4">
        <v>7203</v>
      </c>
      <c r="H129" s="38">
        <v>5588</v>
      </c>
      <c r="I129" s="38">
        <v>5380</v>
      </c>
      <c r="J129" s="7">
        <v>919.23</v>
      </c>
      <c r="K129" s="38">
        <v>350000</v>
      </c>
      <c r="L129">
        <v>92.155298289399994</v>
      </c>
      <c r="M129">
        <v>5</v>
      </c>
      <c r="N129" s="37">
        <f>Rådatakommune[[#This Row],[B14]]/Rådatakommune[[#This Row],[Totalareal]]</f>
        <v>13.716915244280539</v>
      </c>
      <c r="O129" s="39">
        <f>Rådatakommune[[#This Row],[B14]]/Rådatakommune[[#This Row],[B04]]-1</f>
        <v>2.3291673429638005E-2</v>
      </c>
      <c r="P129" s="26">
        <f>Rådatakommune[[#This Row],[Kvinner20-39]]/Rådatakommune[[#This Row],[B14]]</f>
        <v>0.11634546752319772</v>
      </c>
      <c r="Q129" s="26">
        <f>Rådatakommune[[#This Row],[Eldre67+]]/Rådatakommune[[#This Row],[B14]]</f>
        <v>0.17717503370608295</v>
      </c>
      <c r="R129" s="26">
        <f>Rådatakommune[[#This Row],[S13]]/Rådatakommune[[#This Row],[S03]]-1</f>
        <v>-3.7222619899785259E-2</v>
      </c>
      <c r="S129" s="26">
        <f>Rådatakommune[[#This Row],[Y13]]/Rådatakommune[[#This Row],[Folk20-64]]</f>
        <v>0.81410523393030687</v>
      </c>
    </row>
    <row r="130" spans="1:19">
      <c r="A130" s="2" t="s">
        <v>128</v>
      </c>
      <c r="B130" s="38">
        <v>2349</v>
      </c>
      <c r="C130" s="38">
        <v>2404</v>
      </c>
      <c r="D130" s="38">
        <v>1206</v>
      </c>
      <c r="E130" s="38">
        <v>375</v>
      </c>
      <c r="F130" s="4">
        <v>296</v>
      </c>
      <c r="G130" s="4">
        <v>1357</v>
      </c>
      <c r="H130" s="38">
        <v>464</v>
      </c>
      <c r="I130" s="38">
        <v>484</v>
      </c>
      <c r="J130" s="7">
        <v>213.97</v>
      </c>
      <c r="K130" s="38">
        <v>353400</v>
      </c>
      <c r="L130">
        <v>88.736666064900007</v>
      </c>
      <c r="M130">
        <v>4</v>
      </c>
      <c r="N130" s="37">
        <f>Rådatakommune[[#This Row],[B14]]/Rådatakommune[[#This Row],[Totalareal]]</f>
        <v>11.235219890638875</v>
      </c>
      <c r="O130" s="39">
        <f>Rådatakommune[[#This Row],[B14]]/Rådatakommune[[#This Row],[B04]]-1</f>
        <v>2.3414218816517618E-2</v>
      </c>
      <c r="P130" s="26">
        <f>Rådatakommune[[#This Row],[Kvinner20-39]]/Rådatakommune[[#This Row],[B14]]</f>
        <v>0.12312811980033278</v>
      </c>
      <c r="Q130" s="26">
        <f>Rådatakommune[[#This Row],[Eldre67+]]/Rådatakommune[[#This Row],[B14]]</f>
        <v>0.15599001663893511</v>
      </c>
      <c r="R130" s="26">
        <f>Rådatakommune[[#This Row],[S13]]/Rådatakommune[[#This Row],[S03]]-1</f>
        <v>4.31034482758621E-2</v>
      </c>
      <c r="S130" s="26">
        <f>Rådatakommune[[#This Row],[Y13]]/Rådatakommune[[#This Row],[Folk20-64]]</f>
        <v>0.88872512896094324</v>
      </c>
    </row>
    <row r="131" spans="1:19">
      <c r="A131" s="2" t="s">
        <v>129</v>
      </c>
      <c r="B131" s="38">
        <v>14163</v>
      </c>
      <c r="C131" s="38">
        <v>14193</v>
      </c>
      <c r="D131" s="38">
        <v>6887</v>
      </c>
      <c r="E131" s="38">
        <v>2126</v>
      </c>
      <c r="F131" s="4">
        <v>1534</v>
      </c>
      <c r="G131" s="4">
        <v>8258</v>
      </c>
      <c r="H131" s="38">
        <v>5198</v>
      </c>
      <c r="I131" s="38">
        <v>5029</v>
      </c>
      <c r="J131" s="7">
        <v>304.36</v>
      </c>
      <c r="K131" s="38">
        <v>375000</v>
      </c>
      <c r="L131">
        <v>120.568511485</v>
      </c>
      <c r="M131">
        <v>4</v>
      </c>
      <c r="N131" s="37">
        <f>Rådatakommune[[#This Row],[B14]]/Rådatakommune[[#This Row],[Totalareal]]</f>
        <v>46.632277566040216</v>
      </c>
      <c r="O131" s="39">
        <f>Rådatakommune[[#This Row],[B14]]/Rådatakommune[[#This Row],[B04]]-1</f>
        <v>2.1181952976063734E-3</v>
      </c>
      <c r="P131" s="26">
        <f>Rådatakommune[[#This Row],[Kvinner20-39]]/Rådatakommune[[#This Row],[B14]]</f>
        <v>0.10808144860142324</v>
      </c>
      <c r="Q131" s="26">
        <f>Rådatakommune[[#This Row],[Eldre67+]]/Rådatakommune[[#This Row],[B14]]</f>
        <v>0.14979215106038188</v>
      </c>
      <c r="R131" s="26">
        <f>Rådatakommune[[#This Row],[S13]]/Rådatakommune[[#This Row],[S03]]-1</f>
        <v>-3.2512504809542153E-2</v>
      </c>
      <c r="S131" s="26">
        <f>Rådatakommune[[#This Row],[Y13]]/Rådatakommune[[#This Row],[Folk20-64]]</f>
        <v>0.83397917171227898</v>
      </c>
    </row>
    <row r="132" spans="1:19">
      <c r="A132" s="2" t="s">
        <v>130</v>
      </c>
      <c r="B132" s="38">
        <v>10584</v>
      </c>
      <c r="C132" s="38">
        <v>10621</v>
      </c>
      <c r="D132" s="38">
        <v>5014</v>
      </c>
      <c r="E132" s="38">
        <v>1841</v>
      </c>
      <c r="F132" s="4">
        <v>1104</v>
      </c>
      <c r="G132" s="4">
        <v>6079</v>
      </c>
      <c r="H132" s="38">
        <v>4204</v>
      </c>
      <c r="I132" s="38">
        <v>4454</v>
      </c>
      <c r="J132" s="7">
        <v>305.3</v>
      </c>
      <c r="K132" s="38">
        <v>339500</v>
      </c>
      <c r="L132">
        <v>143.880823464</v>
      </c>
      <c r="M132">
        <v>4</v>
      </c>
      <c r="N132" s="37">
        <f>Rådatakommune[[#This Row],[B14]]/Rådatakommune[[#This Row],[Totalareal]]</f>
        <v>34.788732394366193</v>
      </c>
      <c r="O132" s="39">
        <f>Rådatakommune[[#This Row],[B14]]/Rådatakommune[[#This Row],[B04]]-1</f>
        <v>3.4958427815570126E-3</v>
      </c>
      <c r="P132" s="26">
        <f>Rådatakommune[[#This Row],[Kvinner20-39]]/Rådatakommune[[#This Row],[B14]]</f>
        <v>0.1039450145937294</v>
      </c>
      <c r="Q132" s="26">
        <f>Rådatakommune[[#This Row],[Eldre67+]]/Rådatakommune[[#This Row],[B14]]</f>
        <v>0.1733358440824781</v>
      </c>
      <c r="R132" s="26">
        <f>Rådatakommune[[#This Row],[S13]]/Rådatakommune[[#This Row],[S03]]-1</f>
        <v>5.946717411988578E-2</v>
      </c>
      <c r="S132" s="26">
        <f>Rådatakommune[[#This Row],[Y13]]/Rådatakommune[[#This Row],[Folk20-64]]</f>
        <v>0.82480671163020236</v>
      </c>
    </row>
    <row r="133" spans="1:19">
      <c r="A133" s="2" t="s">
        <v>131</v>
      </c>
      <c r="B133" s="38">
        <v>4175</v>
      </c>
      <c r="C133" s="38">
        <v>4135</v>
      </c>
      <c r="D133" s="38">
        <v>1975</v>
      </c>
      <c r="E133" s="38">
        <v>742</v>
      </c>
      <c r="F133" s="4">
        <v>414</v>
      </c>
      <c r="G133" s="4">
        <v>2295</v>
      </c>
      <c r="H133" s="38">
        <v>1173</v>
      </c>
      <c r="I133" s="38">
        <v>1233</v>
      </c>
      <c r="J133" s="7">
        <v>1062.78</v>
      </c>
      <c r="K133" s="38">
        <v>328300</v>
      </c>
      <c r="L133">
        <v>146.92048534400001</v>
      </c>
      <c r="M133">
        <v>4</v>
      </c>
      <c r="N133" s="37">
        <f>Rådatakommune[[#This Row],[B14]]/Rådatakommune[[#This Row],[Totalareal]]</f>
        <v>3.8907393816217843</v>
      </c>
      <c r="O133" s="39">
        <f>Rådatakommune[[#This Row],[B14]]/Rådatakommune[[#This Row],[B04]]-1</f>
        <v>-9.5808383233533245E-3</v>
      </c>
      <c r="P133" s="26">
        <f>Rådatakommune[[#This Row],[Kvinner20-39]]/Rådatakommune[[#This Row],[B14]]</f>
        <v>0.10012091898428054</v>
      </c>
      <c r="Q133" s="26">
        <f>Rådatakommune[[#This Row],[Eldre67+]]/Rådatakommune[[#This Row],[B14]]</f>
        <v>0.17944377267230954</v>
      </c>
      <c r="R133" s="26">
        <f>Rådatakommune[[#This Row],[S13]]/Rådatakommune[[#This Row],[S03]]-1</f>
        <v>5.1150895140664954E-2</v>
      </c>
      <c r="S133" s="26">
        <f>Rådatakommune[[#This Row],[Y13]]/Rådatakommune[[#This Row],[Folk20-64]]</f>
        <v>0.86056644880174293</v>
      </c>
    </row>
    <row r="134" spans="1:19">
      <c r="A134" s="2" t="s">
        <v>132</v>
      </c>
      <c r="B134" s="38">
        <v>6606</v>
      </c>
      <c r="C134" s="38">
        <v>6643</v>
      </c>
      <c r="D134" s="38">
        <v>3112</v>
      </c>
      <c r="E134" s="38">
        <v>1181</v>
      </c>
      <c r="F134" s="4">
        <v>688</v>
      </c>
      <c r="G134" s="4">
        <v>3742</v>
      </c>
      <c r="H134" s="38">
        <v>2324</v>
      </c>
      <c r="I134" s="38">
        <v>2381</v>
      </c>
      <c r="J134" s="7">
        <v>429.69</v>
      </c>
      <c r="K134" s="38">
        <v>335300</v>
      </c>
      <c r="L134">
        <v>128.651639327</v>
      </c>
      <c r="M134">
        <v>4</v>
      </c>
      <c r="N134" s="37">
        <f>Rådatakommune[[#This Row],[B14]]/Rådatakommune[[#This Row],[Totalareal]]</f>
        <v>15.459982778282017</v>
      </c>
      <c r="O134" s="39">
        <f>Rådatakommune[[#This Row],[B14]]/Rådatakommune[[#This Row],[B04]]-1</f>
        <v>5.600968816227736E-3</v>
      </c>
      <c r="P134" s="26">
        <f>Rådatakommune[[#This Row],[Kvinner20-39]]/Rådatakommune[[#This Row],[B14]]</f>
        <v>0.10356766521150083</v>
      </c>
      <c r="Q134" s="26">
        <f>Rådatakommune[[#This Row],[Eldre67+]]/Rådatakommune[[#This Row],[B14]]</f>
        <v>0.17778112298660245</v>
      </c>
      <c r="R134" s="26">
        <f>Rådatakommune[[#This Row],[S13]]/Rådatakommune[[#This Row],[S03]]-1</f>
        <v>2.452667814113596E-2</v>
      </c>
      <c r="S134" s="26">
        <f>Rådatakommune[[#This Row],[Y13]]/Rådatakommune[[#This Row],[Folk20-64]]</f>
        <v>0.83164083377872799</v>
      </c>
    </row>
    <row r="135" spans="1:19">
      <c r="A135" s="2" t="s">
        <v>133</v>
      </c>
      <c r="B135" s="38">
        <v>5173</v>
      </c>
      <c r="C135" s="38">
        <v>5834</v>
      </c>
      <c r="D135" s="38">
        <v>2788</v>
      </c>
      <c r="E135" s="38">
        <v>889</v>
      </c>
      <c r="F135" s="4">
        <v>812</v>
      </c>
      <c r="G135" s="4">
        <v>3435</v>
      </c>
      <c r="H135" s="38">
        <v>2489</v>
      </c>
      <c r="I135" s="38">
        <v>2783</v>
      </c>
      <c r="J135" s="7">
        <v>263.20999999999998</v>
      </c>
      <c r="K135" s="38">
        <v>334300</v>
      </c>
      <c r="L135">
        <v>117.88972927</v>
      </c>
      <c r="M135">
        <v>5</v>
      </c>
      <c r="N135" s="37">
        <f>Rådatakommune[[#This Row],[B14]]/Rådatakommune[[#This Row],[Totalareal]]</f>
        <v>22.164811367349266</v>
      </c>
      <c r="O135" s="39">
        <f>Rådatakommune[[#This Row],[B14]]/Rådatakommune[[#This Row],[B04]]-1</f>
        <v>0.12777885173013726</v>
      </c>
      <c r="P135" s="26">
        <f>Rådatakommune[[#This Row],[Kvinner20-39]]/Rådatakommune[[#This Row],[B14]]</f>
        <v>0.13918409324648612</v>
      </c>
      <c r="Q135" s="26">
        <f>Rådatakommune[[#This Row],[Eldre67+]]/Rådatakommune[[#This Row],[B14]]</f>
        <v>0.15238258484744602</v>
      </c>
      <c r="R135" s="26">
        <f>Rådatakommune[[#This Row],[S13]]/Rådatakommune[[#This Row],[S03]]-1</f>
        <v>0.11811972679791083</v>
      </c>
      <c r="S135" s="26">
        <f>Rådatakommune[[#This Row],[Y13]]/Rådatakommune[[#This Row],[Folk20-64]]</f>
        <v>0.81164483260553133</v>
      </c>
    </row>
    <row r="136" spans="1:19">
      <c r="A136" s="2" t="s">
        <v>134</v>
      </c>
      <c r="B136" s="38">
        <v>4351</v>
      </c>
      <c r="C136" s="38">
        <v>4325</v>
      </c>
      <c r="D136" s="38">
        <v>2128</v>
      </c>
      <c r="E136" s="38">
        <v>737</v>
      </c>
      <c r="F136" s="4">
        <v>468</v>
      </c>
      <c r="G136" s="4">
        <v>2481</v>
      </c>
      <c r="H136" s="38">
        <v>1313</v>
      </c>
      <c r="I136" s="38">
        <v>1391</v>
      </c>
      <c r="J136" s="7">
        <v>320.54000000000002</v>
      </c>
      <c r="K136" s="38">
        <v>343500</v>
      </c>
      <c r="L136">
        <v>114.656533375</v>
      </c>
      <c r="M136">
        <v>5</v>
      </c>
      <c r="N136" s="37">
        <f>Rådatakommune[[#This Row],[B14]]/Rådatakommune[[#This Row],[Totalareal]]</f>
        <v>13.492855805827665</v>
      </c>
      <c r="O136" s="39">
        <f>Rådatakommune[[#This Row],[B14]]/Rådatakommune[[#This Row],[B04]]-1</f>
        <v>-5.9756377844173425E-3</v>
      </c>
      <c r="P136" s="26">
        <f>Rådatakommune[[#This Row],[Kvinner20-39]]/Rådatakommune[[#This Row],[B14]]</f>
        <v>0.10820809248554913</v>
      </c>
      <c r="Q136" s="26">
        <f>Rådatakommune[[#This Row],[Eldre67+]]/Rådatakommune[[#This Row],[B14]]</f>
        <v>0.17040462427745665</v>
      </c>
      <c r="R136" s="26">
        <f>Rådatakommune[[#This Row],[S13]]/Rådatakommune[[#This Row],[S03]]-1</f>
        <v>5.9405940594059459E-2</v>
      </c>
      <c r="S136" s="26">
        <f>Rådatakommune[[#This Row],[Y13]]/Rådatakommune[[#This Row],[Folk20-64]]</f>
        <v>0.8577186618299073</v>
      </c>
    </row>
    <row r="137" spans="1:19">
      <c r="A137" s="2" t="s">
        <v>135</v>
      </c>
      <c r="B137" s="38">
        <v>6420</v>
      </c>
      <c r="C137" s="38">
        <v>5957</v>
      </c>
      <c r="D137" s="38">
        <v>2936</v>
      </c>
      <c r="E137" s="38">
        <v>1078</v>
      </c>
      <c r="F137" s="4">
        <v>552</v>
      </c>
      <c r="G137" s="4">
        <v>3356</v>
      </c>
      <c r="H137" s="38">
        <v>2919</v>
      </c>
      <c r="I137" s="38">
        <v>2828</v>
      </c>
      <c r="J137" s="7">
        <v>2044.94</v>
      </c>
      <c r="K137" s="38">
        <v>348000</v>
      </c>
      <c r="L137">
        <v>140.31703096999999</v>
      </c>
      <c r="M137">
        <v>9</v>
      </c>
      <c r="N137" s="37">
        <f>Rådatakommune[[#This Row],[B14]]/Rådatakommune[[#This Row],[Totalareal]]</f>
        <v>2.9130439034886106</v>
      </c>
      <c r="O137" s="39">
        <f>Rådatakommune[[#This Row],[B14]]/Rådatakommune[[#This Row],[B04]]-1</f>
        <v>-7.211838006230531E-2</v>
      </c>
      <c r="P137" s="26">
        <f>Rådatakommune[[#This Row],[Kvinner20-39]]/Rådatakommune[[#This Row],[B14]]</f>
        <v>9.2664092664092659E-2</v>
      </c>
      <c r="Q137" s="26">
        <f>Rådatakommune[[#This Row],[Eldre67+]]/Rådatakommune[[#This Row],[B14]]</f>
        <v>0.18096357226792009</v>
      </c>
      <c r="R137" s="26">
        <f>Rådatakommune[[#This Row],[S13]]/Rådatakommune[[#This Row],[S03]]-1</f>
        <v>-3.1175059952038398E-2</v>
      </c>
      <c r="S137" s="26">
        <f>Rådatakommune[[#This Row],[Y13]]/Rådatakommune[[#This Row],[Folk20-64]]</f>
        <v>0.87485101311084623</v>
      </c>
    </row>
    <row r="138" spans="1:19">
      <c r="A138" s="2" t="s">
        <v>136</v>
      </c>
      <c r="B138" s="38">
        <v>1633</v>
      </c>
      <c r="C138" s="38">
        <v>1602</v>
      </c>
      <c r="D138" s="38">
        <v>808</v>
      </c>
      <c r="E138" s="38">
        <v>316</v>
      </c>
      <c r="F138" s="4">
        <v>154</v>
      </c>
      <c r="G138" s="4">
        <v>856</v>
      </c>
      <c r="H138" s="38">
        <v>553</v>
      </c>
      <c r="I138" s="38">
        <v>583</v>
      </c>
      <c r="J138" s="7">
        <v>791.24</v>
      </c>
      <c r="K138" s="38">
        <v>339100</v>
      </c>
      <c r="L138">
        <v>111.31559514</v>
      </c>
      <c r="M138">
        <v>5</v>
      </c>
      <c r="N138" s="37">
        <f>Rådatakommune[[#This Row],[B14]]/Rådatakommune[[#This Row],[Totalareal]]</f>
        <v>2.0246701380112229</v>
      </c>
      <c r="O138" s="39">
        <f>Rådatakommune[[#This Row],[B14]]/Rådatakommune[[#This Row],[B04]]-1</f>
        <v>-1.8983466013472117E-2</v>
      </c>
      <c r="P138" s="26">
        <f>Rådatakommune[[#This Row],[Kvinner20-39]]/Rådatakommune[[#This Row],[B14]]</f>
        <v>9.612983770287141E-2</v>
      </c>
      <c r="Q138" s="26">
        <f>Rådatakommune[[#This Row],[Eldre67+]]/Rådatakommune[[#This Row],[B14]]</f>
        <v>0.1972534332084894</v>
      </c>
      <c r="R138" s="26">
        <f>Rådatakommune[[#This Row],[S13]]/Rådatakommune[[#This Row],[S03]]-1</f>
        <v>5.4249547920433905E-2</v>
      </c>
      <c r="S138" s="26">
        <f>Rådatakommune[[#This Row],[Y13]]/Rådatakommune[[#This Row],[Folk20-64]]</f>
        <v>0.94392523364485981</v>
      </c>
    </row>
    <row r="139" spans="1:19">
      <c r="A139" s="2" t="s">
        <v>137</v>
      </c>
      <c r="B139" s="38">
        <v>2899</v>
      </c>
      <c r="C139" s="38">
        <v>2989</v>
      </c>
      <c r="D139" s="38">
        <v>1484</v>
      </c>
      <c r="E139" s="38">
        <v>549</v>
      </c>
      <c r="F139" s="4">
        <v>313</v>
      </c>
      <c r="G139" s="4">
        <v>1684</v>
      </c>
      <c r="H139" s="38">
        <v>1357</v>
      </c>
      <c r="I139" s="38">
        <v>1624</v>
      </c>
      <c r="J139" s="7">
        <v>715.09</v>
      </c>
      <c r="K139" s="38">
        <v>348600</v>
      </c>
      <c r="L139">
        <v>138.636077443</v>
      </c>
      <c r="M139">
        <v>10</v>
      </c>
      <c r="N139" s="37">
        <f>Rådatakommune[[#This Row],[B14]]/Rådatakommune[[#This Row],[Totalareal]]</f>
        <v>4.179893439986575</v>
      </c>
      <c r="O139" s="39">
        <f>Rådatakommune[[#This Row],[B14]]/Rådatakommune[[#This Row],[B04]]-1</f>
        <v>3.1045187995860646E-2</v>
      </c>
      <c r="P139" s="26">
        <f>Rådatakommune[[#This Row],[Kvinner20-39]]/Rådatakommune[[#This Row],[B14]]</f>
        <v>0.10471729675476749</v>
      </c>
      <c r="Q139" s="26">
        <f>Rådatakommune[[#This Row],[Eldre67+]]/Rådatakommune[[#This Row],[B14]]</f>
        <v>0.18367346938775511</v>
      </c>
      <c r="R139" s="26">
        <f>Rådatakommune[[#This Row],[S13]]/Rådatakommune[[#This Row],[S03]]-1</f>
        <v>0.19675755342667656</v>
      </c>
      <c r="S139" s="26">
        <f>Rådatakommune[[#This Row],[Y13]]/Rådatakommune[[#This Row],[Folk20-64]]</f>
        <v>0.88123515439429934</v>
      </c>
    </row>
    <row r="140" spans="1:19">
      <c r="A140" s="2" t="s">
        <v>138</v>
      </c>
      <c r="B140" s="38">
        <v>2622</v>
      </c>
      <c r="C140" s="38">
        <v>2468</v>
      </c>
      <c r="D140" s="38">
        <v>1329</v>
      </c>
      <c r="E140" s="38">
        <v>462</v>
      </c>
      <c r="F140" s="4">
        <v>231</v>
      </c>
      <c r="G140" s="4">
        <v>1424</v>
      </c>
      <c r="H140" s="38">
        <v>1082</v>
      </c>
      <c r="I140" s="38">
        <v>1206</v>
      </c>
      <c r="J140" s="7">
        <v>708.46</v>
      </c>
      <c r="K140" s="38">
        <v>338100</v>
      </c>
      <c r="L140">
        <v>151.859265537</v>
      </c>
      <c r="M140">
        <v>10</v>
      </c>
      <c r="N140" s="37">
        <f>Rådatakommune[[#This Row],[B14]]/Rådatakommune[[#This Row],[Totalareal]]</f>
        <v>3.483612342263501</v>
      </c>
      <c r="O140" s="39">
        <f>Rådatakommune[[#This Row],[B14]]/Rådatakommune[[#This Row],[B04]]-1</f>
        <v>-5.8733790999237256E-2</v>
      </c>
      <c r="P140" s="26">
        <f>Rådatakommune[[#This Row],[Kvinner20-39]]/Rådatakommune[[#This Row],[B14]]</f>
        <v>9.3598055105348466E-2</v>
      </c>
      <c r="Q140" s="26">
        <f>Rådatakommune[[#This Row],[Eldre67+]]/Rådatakommune[[#This Row],[B14]]</f>
        <v>0.18719611021069693</v>
      </c>
      <c r="R140" s="26">
        <f>Rådatakommune[[#This Row],[S13]]/Rådatakommune[[#This Row],[S03]]-1</f>
        <v>0.11460258780036958</v>
      </c>
      <c r="S140" s="26">
        <f>Rådatakommune[[#This Row],[Y13]]/Rådatakommune[[#This Row],[Folk20-64]]</f>
        <v>0.9332865168539326</v>
      </c>
    </row>
    <row r="141" spans="1:19">
      <c r="A141" s="2" t="s">
        <v>139</v>
      </c>
      <c r="B141" s="38">
        <v>1429</v>
      </c>
      <c r="C141" s="38">
        <v>1451</v>
      </c>
      <c r="D141" s="38">
        <v>783</v>
      </c>
      <c r="E141" s="38">
        <v>227</v>
      </c>
      <c r="F141" s="4">
        <v>159</v>
      </c>
      <c r="G141" s="4">
        <v>843</v>
      </c>
      <c r="H141" s="38">
        <v>533</v>
      </c>
      <c r="I141" s="38">
        <v>656</v>
      </c>
      <c r="J141" s="7">
        <v>905.18</v>
      </c>
      <c r="K141" s="38">
        <v>343100</v>
      </c>
      <c r="L141">
        <v>178.67316270800001</v>
      </c>
      <c r="M141">
        <v>11</v>
      </c>
      <c r="N141" s="37">
        <f>Rådatakommune[[#This Row],[B14]]/Rådatakommune[[#This Row],[Totalareal]]</f>
        <v>1.6029960891756336</v>
      </c>
      <c r="O141" s="39">
        <f>Rådatakommune[[#This Row],[B14]]/Rådatakommune[[#This Row],[B04]]-1</f>
        <v>1.5395381385584272E-2</v>
      </c>
      <c r="P141" s="26">
        <f>Rådatakommune[[#This Row],[Kvinner20-39]]/Rådatakommune[[#This Row],[B14]]</f>
        <v>0.10957960027567196</v>
      </c>
      <c r="Q141" s="26">
        <f>Rådatakommune[[#This Row],[Eldre67+]]/Rådatakommune[[#This Row],[B14]]</f>
        <v>0.15644383184011026</v>
      </c>
      <c r="R141" s="26">
        <f>Rådatakommune[[#This Row],[S13]]/Rådatakommune[[#This Row],[S03]]-1</f>
        <v>0.23076923076923084</v>
      </c>
      <c r="S141" s="26">
        <f>Rådatakommune[[#This Row],[Y13]]/Rådatakommune[[#This Row],[Folk20-64]]</f>
        <v>0.92882562277580072</v>
      </c>
    </row>
    <row r="142" spans="1:19">
      <c r="A142" s="2" t="s">
        <v>140</v>
      </c>
      <c r="B142" s="38">
        <v>1347</v>
      </c>
      <c r="C142" s="38">
        <v>1303</v>
      </c>
      <c r="D142" s="38">
        <v>664</v>
      </c>
      <c r="E142" s="38">
        <v>226</v>
      </c>
      <c r="F142" s="4">
        <v>132</v>
      </c>
      <c r="G142" s="4">
        <v>729</v>
      </c>
      <c r="H142" s="38">
        <v>532</v>
      </c>
      <c r="I142" s="38">
        <v>530</v>
      </c>
      <c r="J142" s="7">
        <v>1280.1399999999999</v>
      </c>
      <c r="K142" s="38">
        <v>330100</v>
      </c>
      <c r="L142">
        <v>198.182136974</v>
      </c>
      <c r="M142">
        <v>11</v>
      </c>
      <c r="N142" s="37">
        <f>Rådatakommune[[#This Row],[B14]]/Rådatakommune[[#This Row],[Totalareal]]</f>
        <v>1.0178574218444858</v>
      </c>
      <c r="O142" s="39">
        <f>Rådatakommune[[#This Row],[B14]]/Rådatakommune[[#This Row],[B04]]-1</f>
        <v>-3.2665181885671912E-2</v>
      </c>
      <c r="P142" s="26">
        <f>Rådatakommune[[#This Row],[Kvinner20-39]]/Rådatakommune[[#This Row],[B14]]</f>
        <v>0.10130468150422103</v>
      </c>
      <c r="Q142" s="26">
        <f>Rådatakommune[[#This Row],[Eldre67+]]/Rådatakommune[[#This Row],[B14]]</f>
        <v>0.17344589409056024</v>
      </c>
      <c r="R142" s="26">
        <f>Rådatakommune[[#This Row],[S13]]/Rådatakommune[[#This Row],[S03]]-1</f>
        <v>-3.7593984962406291E-3</v>
      </c>
      <c r="S142" s="26">
        <f>Rådatakommune[[#This Row],[Y13]]/Rådatakommune[[#This Row],[Folk20-64]]</f>
        <v>0.91083676268861458</v>
      </c>
    </row>
    <row r="143" spans="1:19">
      <c r="A143" s="2" t="s">
        <v>141</v>
      </c>
      <c r="B143" s="38">
        <v>2465</v>
      </c>
      <c r="C143" s="38">
        <v>2257</v>
      </c>
      <c r="D143" s="38">
        <v>1199</v>
      </c>
      <c r="E143" s="38">
        <v>412</v>
      </c>
      <c r="F143" s="4">
        <v>193</v>
      </c>
      <c r="G143" s="4">
        <v>1253</v>
      </c>
      <c r="H143" s="38">
        <v>1036</v>
      </c>
      <c r="I143" s="38">
        <v>1080</v>
      </c>
      <c r="J143" s="7">
        <v>984.48</v>
      </c>
      <c r="K143" s="38">
        <v>366000</v>
      </c>
      <c r="L143">
        <v>179.84152778500001</v>
      </c>
      <c r="M143">
        <v>10</v>
      </c>
      <c r="N143" s="37">
        <f>Rådatakommune[[#This Row],[B14]]/Rådatakommune[[#This Row],[Totalareal]]</f>
        <v>2.2925808548675444</v>
      </c>
      <c r="O143" s="39">
        <f>Rådatakommune[[#This Row],[B14]]/Rådatakommune[[#This Row],[B04]]-1</f>
        <v>-8.4381338742393508E-2</v>
      </c>
      <c r="P143" s="26">
        <f>Rådatakommune[[#This Row],[Kvinner20-39]]/Rådatakommune[[#This Row],[B14]]</f>
        <v>8.5511741249446174E-2</v>
      </c>
      <c r="Q143" s="26">
        <f>Rådatakommune[[#This Row],[Eldre67+]]/Rådatakommune[[#This Row],[B14]]</f>
        <v>0.18254319893664156</v>
      </c>
      <c r="R143" s="26">
        <f>Rådatakommune[[#This Row],[S13]]/Rådatakommune[[#This Row],[S03]]-1</f>
        <v>4.2471042471042386E-2</v>
      </c>
      <c r="S143" s="26">
        <f>Rådatakommune[[#This Row],[Y13]]/Rådatakommune[[#This Row],[Folk20-64]]</f>
        <v>0.95690343176376691</v>
      </c>
    </row>
    <row r="144" spans="1:19">
      <c r="A144" s="2" t="s">
        <v>142</v>
      </c>
      <c r="B144" s="38">
        <v>3756</v>
      </c>
      <c r="C144" s="38">
        <v>3723</v>
      </c>
      <c r="D144" s="38">
        <v>2137</v>
      </c>
      <c r="E144" s="38">
        <v>641</v>
      </c>
      <c r="F144" s="4">
        <v>420</v>
      </c>
      <c r="G144" s="4">
        <v>2144</v>
      </c>
      <c r="H144" s="38">
        <v>1700</v>
      </c>
      <c r="I144" s="38">
        <v>1737</v>
      </c>
      <c r="J144" s="7">
        <v>3105.84</v>
      </c>
      <c r="K144" s="38">
        <v>359900</v>
      </c>
      <c r="L144">
        <v>172.00671521300001</v>
      </c>
      <c r="M144">
        <v>10</v>
      </c>
      <c r="N144" s="37">
        <f>Rådatakommune[[#This Row],[B14]]/Rådatakommune[[#This Row],[Totalareal]]</f>
        <v>1.198709527857198</v>
      </c>
      <c r="O144" s="39">
        <f>Rådatakommune[[#This Row],[B14]]/Rådatakommune[[#This Row],[B04]]-1</f>
        <v>-8.7859424920128104E-3</v>
      </c>
      <c r="P144" s="26">
        <f>Rådatakommune[[#This Row],[Kvinner20-39]]/Rådatakommune[[#This Row],[B14]]</f>
        <v>0.11281224818694602</v>
      </c>
      <c r="Q144" s="26">
        <f>Rådatakommune[[#This Row],[Eldre67+]]/Rådatakommune[[#This Row],[B14]]</f>
        <v>0.17217297878055332</v>
      </c>
      <c r="R144" s="26">
        <f>Rådatakommune[[#This Row],[S13]]/Rådatakommune[[#This Row],[S03]]-1</f>
        <v>2.1764705882352908E-2</v>
      </c>
      <c r="S144" s="26">
        <f>Rådatakommune[[#This Row],[Y13]]/Rådatakommune[[#This Row],[Folk20-64]]</f>
        <v>0.99673507462686572</v>
      </c>
    </row>
    <row r="145" spans="1:19">
      <c r="A145" s="2" t="s">
        <v>143</v>
      </c>
      <c r="B145" s="38">
        <v>6938</v>
      </c>
      <c r="C145" s="38">
        <v>6899</v>
      </c>
      <c r="D145" s="38">
        <v>3190</v>
      </c>
      <c r="E145" s="38">
        <v>1183</v>
      </c>
      <c r="F145" s="4">
        <v>717</v>
      </c>
      <c r="G145" s="4">
        <v>3930</v>
      </c>
      <c r="H145" s="38">
        <v>2546</v>
      </c>
      <c r="I145" s="38">
        <v>2651</v>
      </c>
      <c r="J145" s="7">
        <v>192.98</v>
      </c>
      <c r="K145" s="38">
        <v>339400</v>
      </c>
      <c r="L145">
        <v>170.76195718899999</v>
      </c>
      <c r="M145">
        <v>5</v>
      </c>
      <c r="N145" s="37">
        <f>Rådatakommune[[#This Row],[B14]]/Rådatakommune[[#This Row],[Totalareal]]</f>
        <v>35.749818634055345</v>
      </c>
      <c r="O145" s="39">
        <f>Rådatakommune[[#This Row],[B14]]/Rådatakommune[[#This Row],[B04]]-1</f>
        <v>-5.6212164889016814E-3</v>
      </c>
      <c r="P145" s="26">
        <f>Rådatakommune[[#This Row],[Kvinner20-39]]/Rådatakommune[[#This Row],[B14]]</f>
        <v>0.1039281055225395</v>
      </c>
      <c r="Q145" s="26">
        <f>Rådatakommune[[#This Row],[Eldre67+]]/Rådatakommune[[#This Row],[B14]]</f>
        <v>0.17147412668502682</v>
      </c>
      <c r="R145" s="26">
        <f>Rådatakommune[[#This Row],[S13]]/Rådatakommune[[#This Row],[S03]]-1</f>
        <v>4.1241162608012472E-2</v>
      </c>
      <c r="S145" s="26">
        <f>Rådatakommune[[#This Row],[Y13]]/Rådatakommune[[#This Row],[Folk20-64]]</f>
        <v>0.81170483460559795</v>
      </c>
    </row>
    <row r="146" spans="1:19">
      <c r="A146" s="2" t="s">
        <v>144</v>
      </c>
      <c r="B146" s="38">
        <v>18740</v>
      </c>
      <c r="C146" s="38">
        <v>21783</v>
      </c>
      <c r="D146" s="38">
        <v>10545</v>
      </c>
      <c r="E146" s="38">
        <v>2776</v>
      </c>
      <c r="F146" s="4">
        <v>2794</v>
      </c>
      <c r="G146" s="4">
        <v>12644</v>
      </c>
      <c r="H146" s="38">
        <v>7526</v>
      </c>
      <c r="I146" s="38">
        <v>8319</v>
      </c>
      <c r="J146" s="7">
        <v>303.59000000000003</v>
      </c>
      <c r="K146" s="38">
        <v>364000</v>
      </c>
      <c r="L146">
        <v>176.65751568659999</v>
      </c>
      <c r="M146">
        <v>4</v>
      </c>
      <c r="N146" s="37">
        <f>Rådatakommune[[#This Row],[B14]]/Rådatakommune[[#This Row],[Totalareal]]</f>
        <v>71.751375209987145</v>
      </c>
      <c r="O146" s="39">
        <f>Rådatakommune[[#This Row],[B14]]/Rådatakommune[[#This Row],[B04]]-1</f>
        <v>0.16237993596584843</v>
      </c>
      <c r="P146" s="26">
        <f>Rådatakommune[[#This Row],[Kvinner20-39]]/Rådatakommune[[#This Row],[B14]]</f>
        <v>0.12826516090529311</v>
      </c>
      <c r="Q146" s="26">
        <f>Rådatakommune[[#This Row],[Eldre67+]]/Rådatakommune[[#This Row],[B14]]</f>
        <v>0.1274388284441996</v>
      </c>
      <c r="R146" s="26">
        <f>Rådatakommune[[#This Row],[S13]]/Rådatakommune[[#This Row],[S03]]-1</f>
        <v>0.10536805740100985</v>
      </c>
      <c r="S146" s="26">
        <f>Rådatakommune[[#This Row],[Y13]]/Rådatakommune[[#This Row],[Folk20-64]]</f>
        <v>0.83399240746599179</v>
      </c>
    </row>
    <row r="147" spans="1:19">
      <c r="A147" s="2" t="s">
        <v>145</v>
      </c>
      <c r="B147" s="38">
        <v>39495</v>
      </c>
      <c r="C147" s="38">
        <v>43841</v>
      </c>
      <c r="D147" s="38">
        <v>20876</v>
      </c>
      <c r="E147" s="38">
        <v>6161</v>
      </c>
      <c r="F147" s="4">
        <v>5359</v>
      </c>
      <c r="G147" s="4">
        <v>25831</v>
      </c>
      <c r="H147" s="38">
        <v>19077</v>
      </c>
      <c r="I147" s="38">
        <v>22222</v>
      </c>
      <c r="J147" s="7">
        <v>270.06</v>
      </c>
      <c r="K147" s="38">
        <v>369000</v>
      </c>
      <c r="L147">
        <v>189.936887773</v>
      </c>
      <c r="M147">
        <v>4</v>
      </c>
      <c r="N147" s="37">
        <f>Rådatakommune[[#This Row],[B14]]/Rådatakommune[[#This Row],[Totalareal]]</f>
        <v>162.33799896319337</v>
      </c>
      <c r="O147" s="39">
        <f>Rådatakommune[[#This Row],[B14]]/Rådatakommune[[#This Row],[B04]]-1</f>
        <v>0.11003924547411059</v>
      </c>
      <c r="P147" s="26">
        <f>Rådatakommune[[#This Row],[Kvinner20-39]]/Rådatakommune[[#This Row],[B14]]</f>
        <v>0.12223717524691499</v>
      </c>
      <c r="Q147" s="26">
        <f>Rådatakommune[[#This Row],[Eldre67+]]/Rådatakommune[[#This Row],[B14]]</f>
        <v>0.14053055359138705</v>
      </c>
      <c r="R147" s="26">
        <f>Rådatakommune[[#This Row],[S13]]/Rådatakommune[[#This Row],[S03]]-1</f>
        <v>0.16485820621691039</v>
      </c>
      <c r="S147" s="26">
        <f>Rådatakommune[[#This Row],[Y13]]/Rådatakommune[[#This Row],[Folk20-64]]</f>
        <v>0.80817622236847197</v>
      </c>
    </row>
    <row r="148" spans="1:19">
      <c r="A148" s="2" t="s">
        <v>146</v>
      </c>
      <c r="B148" s="38">
        <v>2541</v>
      </c>
      <c r="C148" s="38">
        <v>2489</v>
      </c>
      <c r="D148" s="38">
        <v>1173</v>
      </c>
      <c r="E148" s="38">
        <v>391</v>
      </c>
      <c r="F148" s="4">
        <v>269</v>
      </c>
      <c r="G148" s="4">
        <v>1443</v>
      </c>
      <c r="H148" s="38">
        <v>859</v>
      </c>
      <c r="I148" s="38">
        <v>877</v>
      </c>
      <c r="J148" s="7">
        <v>322.14</v>
      </c>
      <c r="K148" s="38">
        <v>321900</v>
      </c>
      <c r="L148">
        <v>157.53217205000001</v>
      </c>
      <c r="M148">
        <v>5</v>
      </c>
      <c r="N148" s="37">
        <f>Rådatakommune[[#This Row],[B14]]/Rådatakommune[[#This Row],[Totalareal]]</f>
        <v>7.7264543366238287</v>
      </c>
      <c r="O148" s="39">
        <f>Rådatakommune[[#This Row],[B14]]/Rådatakommune[[#This Row],[B04]]-1</f>
        <v>-2.046438410074769E-2</v>
      </c>
      <c r="P148" s="26">
        <f>Rådatakommune[[#This Row],[Kvinner20-39]]/Rådatakommune[[#This Row],[B14]]</f>
        <v>0.10807553234230614</v>
      </c>
      <c r="Q148" s="26">
        <f>Rådatakommune[[#This Row],[Eldre67+]]/Rådatakommune[[#This Row],[B14]]</f>
        <v>0.1570912012856569</v>
      </c>
      <c r="R148" s="26">
        <f>Rådatakommune[[#This Row],[S13]]/Rådatakommune[[#This Row],[S03]]-1</f>
        <v>2.0954598370197974E-2</v>
      </c>
      <c r="S148" s="26">
        <f>Rådatakommune[[#This Row],[Y13]]/Rådatakommune[[#This Row],[Folk20-64]]</f>
        <v>0.81288981288981288</v>
      </c>
    </row>
    <row r="149" spans="1:19">
      <c r="A149" s="2" t="s">
        <v>147</v>
      </c>
      <c r="B149" s="38">
        <v>1856</v>
      </c>
      <c r="C149" s="38">
        <v>2000</v>
      </c>
      <c r="D149" s="38">
        <v>941</v>
      </c>
      <c r="E149" s="38">
        <v>292</v>
      </c>
      <c r="F149" s="4">
        <v>229</v>
      </c>
      <c r="G149" s="4">
        <v>1112</v>
      </c>
      <c r="H149" s="38">
        <v>594</v>
      </c>
      <c r="I149" s="38">
        <v>629</v>
      </c>
      <c r="J149" s="7">
        <v>355.65</v>
      </c>
      <c r="K149" s="38">
        <v>333800</v>
      </c>
      <c r="L149">
        <v>165.528904119</v>
      </c>
      <c r="M149">
        <v>4</v>
      </c>
      <c r="N149" s="37">
        <f>Rådatakommune[[#This Row],[B14]]/Rådatakommune[[#This Row],[Totalareal]]</f>
        <v>5.6235062561507103</v>
      </c>
      <c r="O149" s="39">
        <f>Rådatakommune[[#This Row],[B14]]/Rådatakommune[[#This Row],[B04]]-1</f>
        <v>7.7586206896551824E-2</v>
      </c>
      <c r="P149" s="26">
        <f>Rådatakommune[[#This Row],[Kvinner20-39]]/Rådatakommune[[#This Row],[B14]]</f>
        <v>0.1145</v>
      </c>
      <c r="Q149" s="26">
        <f>Rådatakommune[[#This Row],[Eldre67+]]/Rådatakommune[[#This Row],[B14]]</f>
        <v>0.14599999999999999</v>
      </c>
      <c r="R149" s="26">
        <f>Rådatakommune[[#This Row],[S13]]/Rådatakommune[[#This Row],[S03]]-1</f>
        <v>5.8922558922558821E-2</v>
      </c>
      <c r="S149" s="26">
        <f>Rådatakommune[[#This Row],[Y13]]/Rådatakommune[[#This Row],[Folk20-64]]</f>
        <v>0.84622302158273377</v>
      </c>
    </row>
    <row r="150" spans="1:19">
      <c r="A150" s="2" t="s">
        <v>148</v>
      </c>
      <c r="B150" s="38">
        <v>5887</v>
      </c>
      <c r="C150" s="38">
        <v>6059</v>
      </c>
      <c r="D150" s="38">
        <v>2762</v>
      </c>
      <c r="E150" s="38">
        <v>1002</v>
      </c>
      <c r="F150" s="4">
        <v>707</v>
      </c>
      <c r="G150" s="4">
        <v>3457</v>
      </c>
      <c r="H150" s="38">
        <v>2075</v>
      </c>
      <c r="I150" s="38">
        <v>2331</v>
      </c>
      <c r="J150" s="7">
        <v>217.60999999999999</v>
      </c>
      <c r="K150" s="38">
        <v>347000</v>
      </c>
      <c r="L150">
        <v>172.09824199299999</v>
      </c>
      <c r="M150">
        <v>4</v>
      </c>
      <c r="N150" s="37">
        <f>Rådatakommune[[#This Row],[B14]]/Rådatakommune[[#This Row],[Totalareal]]</f>
        <v>27.84338955011259</v>
      </c>
      <c r="O150" s="39">
        <f>Rådatakommune[[#This Row],[B14]]/Rådatakommune[[#This Row],[B04]]-1</f>
        <v>2.9216918634278999E-2</v>
      </c>
      <c r="P150" s="26">
        <f>Rådatakommune[[#This Row],[Kvinner20-39]]/Rådatakommune[[#This Row],[B14]]</f>
        <v>0.11668592176926885</v>
      </c>
      <c r="Q150" s="26">
        <f>Rådatakommune[[#This Row],[Eldre67+]]/Rådatakommune[[#This Row],[B14]]</f>
        <v>0.16537382406337681</v>
      </c>
      <c r="R150" s="26">
        <f>Rådatakommune[[#This Row],[S13]]/Rådatakommune[[#This Row],[S03]]-1</f>
        <v>0.12337349397590369</v>
      </c>
      <c r="S150" s="26">
        <f>Rådatakommune[[#This Row],[Y13]]/Rådatakommune[[#This Row],[Folk20-64]]</f>
        <v>0.7989586346543246</v>
      </c>
    </row>
    <row r="151" spans="1:19">
      <c r="A151" s="2" t="s">
        <v>149</v>
      </c>
      <c r="B151" s="38">
        <v>4698</v>
      </c>
      <c r="C151" s="38">
        <v>5486</v>
      </c>
      <c r="D151" s="38">
        <v>2698</v>
      </c>
      <c r="E151" s="38">
        <v>627</v>
      </c>
      <c r="F151" s="4">
        <v>717</v>
      </c>
      <c r="G151" s="4">
        <v>3195</v>
      </c>
      <c r="H151" s="38">
        <v>1165</v>
      </c>
      <c r="I151" s="38">
        <v>1308</v>
      </c>
      <c r="J151" s="7">
        <v>644.54999999999995</v>
      </c>
      <c r="K151" s="38">
        <v>348600</v>
      </c>
      <c r="L151">
        <v>192.36414494499999</v>
      </c>
      <c r="M151">
        <v>4</v>
      </c>
      <c r="N151" s="37">
        <f>Rådatakommune[[#This Row],[B14]]/Rådatakommune[[#This Row],[Totalareal]]</f>
        <v>8.5113645178806934</v>
      </c>
      <c r="O151" s="39">
        <f>Rådatakommune[[#This Row],[B14]]/Rådatakommune[[#This Row],[B04]]-1</f>
        <v>0.16773094934014465</v>
      </c>
      <c r="P151" s="26">
        <f>Rådatakommune[[#This Row],[Kvinner20-39]]/Rådatakommune[[#This Row],[B14]]</f>
        <v>0.13069631790010938</v>
      </c>
      <c r="Q151" s="26">
        <f>Rådatakommune[[#This Row],[Eldre67+]]/Rådatakommune[[#This Row],[B14]]</f>
        <v>0.11429092234779438</v>
      </c>
      <c r="R151" s="26">
        <f>Rådatakommune[[#This Row],[S13]]/Rådatakommune[[#This Row],[S03]]-1</f>
        <v>0.12274678111587978</v>
      </c>
      <c r="S151" s="26">
        <f>Rådatakommune[[#This Row],[Y13]]/Rådatakommune[[#This Row],[Folk20-64]]</f>
        <v>0.84444444444444444</v>
      </c>
    </row>
    <row r="152" spans="1:19">
      <c r="A152" s="2" t="s">
        <v>150</v>
      </c>
      <c r="B152" s="38">
        <v>8952</v>
      </c>
      <c r="C152" s="38">
        <v>10106</v>
      </c>
      <c r="D152" s="38">
        <v>5034</v>
      </c>
      <c r="E152" s="38">
        <v>1410</v>
      </c>
      <c r="F152" s="4">
        <v>1169</v>
      </c>
      <c r="G152" s="4">
        <v>5746</v>
      </c>
      <c r="H152" s="38">
        <v>3100</v>
      </c>
      <c r="I152" s="38">
        <v>4299</v>
      </c>
      <c r="J152" s="7">
        <v>190.41</v>
      </c>
      <c r="K152" s="38">
        <v>394300</v>
      </c>
      <c r="L152">
        <v>167.557695524</v>
      </c>
      <c r="M152">
        <v>2</v>
      </c>
      <c r="N152" s="37">
        <f>Rådatakommune[[#This Row],[B14]]/Rådatakommune[[#This Row],[Totalareal]]</f>
        <v>53.074943542881151</v>
      </c>
      <c r="O152" s="39">
        <f>Rådatakommune[[#This Row],[B14]]/Rådatakommune[[#This Row],[B04]]-1</f>
        <v>0.1289097408400357</v>
      </c>
      <c r="P152" s="26">
        <f>Rådatakommune[[#This Row],[Kvinner20-39]]/Rådatakommune[[#This Row],[B14]]</f>
        <v>0.1156738571145854</v>
      </c>
      <c r="Q152" s="26">
        <f>Rådatakommune[[#This Row],[Eldre67+]]/Rådatakommune[[#This Row],[B14]]</f>
        <v>0.13952107658816545</v>
      </c>
      <c r="R152" s="26">
        <f>Rådatakommune[[#This Row],[S13]]/Rådatakommune[[#This Row],[S03]]-1</f>
        <v>0.38677419354838705</v>
      </c>
      <c r="S152" s="26">
        <f>Rådatakommune[[#This Row],[Y13]]/Rådatakommune[[#This Row],[Folk20-64]]</f>
        <v>0.87608771319178558</v>
      </c>
    </row>
    <row r="153" spans="1:19">
      <c r="A153" s="2" t="s">
        <v>151</v>
      </c>
      <c r="B153" s="38">
        <v>4339</v>
      </c>
      <c r="C153" s="38">
        <v>4993</v>
      </c>
      <c r="D153" s="38">
        <v>2469</v>
      </c>
      <c r="E153" s="38">
        <v>626</v>
      </c>
      <c r="F153" s="4">
        <v>629</v>
      </c>
      <c r="G153" s="4">
        <v>2790</v>
      </c>
      <c r="H153" s="38">
        <v>1480</v>
      </c>
      <c r="I153" s="38">
        <v>1658</v>
      </c>
      <c r="J153" s="7">
        <v>674.20999999999992</v>
      </c>
      <c r="K153" s="38">
        <v>340600</v>
      </c>
      <c r="L153">
        <v>165.76153669030001</v>
      </c>
      <c r="M153">
        <v>2</v>
      </c>
      <c r="N153" s="37">
        <f>Rådatakommune[[#This Row],[B14]]/Rådatakommune[[#This Row],[Totalareal]]</f>
        <v>7.4057044541018389</v>
      </c>
      <c r="O153" s="39">
        <f>Rådatakommune[[#This Row],[B14]]/Rådatakommune[[#This Row],[B04]]-1</f>
        <v>0.15072597372666507</v>
      </c>
      <c r="P153" s="26">
        <f>Rådatakommune[[#This Row],[Kvinner20-39]]/Rådatakommune[[#This Row],[B14]]</f>
        <v>0.12597636691367914</v>
      </c>
      <c r="Q153" s="26">
        <f>Rådatakommune[[#This Row],[Eldre67+]]/Rådatakommune[[#This Row],[B14]]</f>
        <v>0.12537552573603045</v>
      </c>
      <c r="R153" s="26">
        <f>Rådatakommune[[#This Row],[S13]]/Rådatakommune[[#This Row],[S03]]-1</f>
        <v>0.12027027027027026</v>
      </c>
      <c r="S153" s="26">
        <f>Rådatakommune[[#This Row],[Y13]]/Rådatakommune[[#This Row],[Folk20-64]]</f>
        <v>0.88494623655913973</v>
      </c>
    </row>
    <row r="154" spans="1:19">
      <c r="A154" s="2" t="s">
        <v>152</v>
      </c>
      <c r="B154" s="38">
        <v>1859</v>
      </c>
      <c r="C154" s="38">
        <v>1810</v>
      </c>
      <c r="D154" s="38">
        <v>849</v>
      </c>
      <c r="E154" s="38">
        <v>306</v>
      </c>
      <c r="F154" s="4">
        <v>177</v>
      </c>
      <c r="G154" s="4">
        <v>1011</v>
      </c>
      <c r="H154" s="38">
        <v>718</v>
      </c>
      <c r="I154" s="38">
        <v>739</v>
      </c>
      <c r="J154" s="7">
        <v>1130.6100000000001</v>
      </c>
      <c r="K154" s="38">
        <v>324900</v>
      </c>
      <c r="L154">
        <v>195.034897704</v>
      </c>
      <c r="M154">
        <v>4</v>
      </c>
      <c r="N154" s="37">
        <f>Rådatakommune[[#This Row],[B14]]/Rådatakommune[[#This Row],[Totalareal]]</f>
        <v>1.6009057057694518</v>
      </c>
      <c r="O154" s="39">
        <f>Rådatakommune[[#This Row],[B14]]/Rådatakommune[[#This Row],[B04]]-1</f>
        <v>-2.635825712748785E-2</v>
      </c>
      <c r="P154" s="26">
        <f>Rådatakommune[[#This Row],[Kvinner20-39]]/Rådatakommune[[#This Row],[B14]]</f>
        <v>9.7790055248618779E-2</v>
      </c>
      <c r="Q154" s="26">
        <f>Rådatakommune[[#This Row],[Eldre67+]]/Rådatakommune[[#This Row],[B14]]</f>
        <v>0.16906077348066298</v>
      </c>
      <c r="R154" s="26">
        <f>Rådatakommune[[#This Row],[S13]]/Rådatakommune[[#This Row],[S03]]-1</f>
        <v>2.9247910863509752E-2</v>
      </c>
      <c r="S154" s="26">
        <f>Rådatakommune[[#This Row],[Y13]]/Rådatakommune[[#This Row],[Folk20-64]]</f>
        <v>0.83976261127596441</v>
      </c>
    </row>
    <row r="155" spans="1:19">
      <c r="A155" s="2" t="s">
        <v>153</v>
      </c>
      <c r="B155" s="38">
        <v>1151</v>
      </c>
      <c r="C155" s="38">
        <v>1314</v>
      </c>
      <c r="D155" s="38">
        <v>668</v>
      </c>
      <c r="E155" s="38">
        <v>147</v>
      </c>
      <c r="F155" s="4">
        <v>177</v>
      </c>
      <c r="G155" s="4">
        <v>786</v>
      </c>
      <c r="H155" s="38">
        <v>312</v>
      </c>
      <c r="I155" s="38">
        <v>444</v>
      </c>
      <c r="J155" s="7">
        <v>261.63</v>
      </c>
      <c r="K155" s="38">
        <v>336400</v>
      </c>
      <c r="L155">
        <v>182.4194957501</v>
      </c>
      <c r="M155">
        <v>2</v>
      </c>
      <c r="N155" s="37">
        <f>Rådatakommune[[#This Row],[B14]]/Rådatakommune[[#This Row],[Totalareal]]</f>
        <v>5.0223598211214311</v>
      </c>
      <c r="O155" s="39">
        <f>Rådatakommune[[#This Row],[B14]]/Rådatakommune[[#This Row],[B04]]-1</f>
        <v>0.14161598609904424</v>
      </c>
      <c r="P155" s="26">
        <f>Rådatakommune[[#This Row],[Kvinner20-39]]/Rådatakommune[[#This Row],[B14]]</f>
        <v>0.13470319634703196</v>
      </c>
      <c r="Q155" s="26">
        <f>Rådatakommune[[#This Row],[Eldre67+]]/Rådatakommune[[#This Row],[B14]]</f>
        <v>0.11187214611872145</v>
      </c>
      <c r="R155" s="26">
        <f>Rådatakommune[[#This Row],[S13]]/Rådatakommune[[#This Row],[S03]]-1</f>
        <v>0.42307692307692313</v>
      </c>
      <c r="S155" s="26">
        <f>Rådatakommune[[#This Row],[Y13]]/Rådatakommune[[#This Row],[Folk20-64]]</f>
        <v>0.84987277353689572</v>
      </c>
    </row>
    <row r="156" spans="1:19">
      <c r="A156" s="2" t="s">
        <v>154</v>
      </c>
      <c r="B156" s="38">
        <v>3322</v>
      </c>
      <c r="C156" s="38">
        <v>3549</v>
      </c>
      <c r="D156" s="38">
        <v>1723</v>
      </c>
      <c r="E156" s="38">
        <v>563</v>
      </c>
      <c r="F156" s="4">
        <v>415</v>
      </c>
      <c r="G156" s="4">
        <v>1959</v>
      </c>
      <c r="H156" s="38">
        <v>1349</v>
      </c>
      <c r="I156" s="38">
        <v>1674</v>
      </c>
      <c r="J156" s="7">
        <v>550.23</v>
      </c>
      <c r="K156" s="38">
        <v>344200</v>
      </c>
      <c r="L156">
        <v>200.94224946590001</v>
      </c>
      <c r="M156">
        <v>5</v>
      </c>
      <c r="N156" s="37">
        <f>Rådatakommune[[#This Row],[B14]]/Rådatakommune[[#This Row],[Totalareal]]</f>
        <v>6.4500299874597893</v>
      </c>
      <c r="O156" s="39">
        <f>Rådatakommune[[#This Row],[B14]]/Rådatakommune[[#This Row],[B04]]-1</f>
        <v>6.8332329921733992E-2</v>
      </c>
      <c r="P156" s="26">
        <f>Rådatakommune[[#This Row],[Kvinner20-39]]/Rådatakommune[[#This Row],[B14]]</f>
        <v>0.11693434770357847</v>
      </c>
      <c r="Q156" s="26">
        <f>Rådatakommune[[#This Row],[Eldre67+]]/Rådatakommune[[#This Row],[B14]]</f>
        <v>0.15863623555931247</v>
      </c>
      <c r="R156" s="26">
        <f>Rådatakommune[[#This Row],[S13]]/Rådatakommune[[#This Row],[S03]]-1</f>
        <v>0.24091919940696815</v>
      </c>
      <c r="S156" s="26">
        <f>Rådatakommune[[#This Row],[Y13]]/Rådatakommune[[#This Row],[Folk20-64]]</f>
        <v>0.87953037263910161</v>
      </c>
    </row>
    <row r="157" spans="1:19">
      <c r="A157" s="2" t="s">
        <v>155</v>
      </c>
      <c r="B157" s="38">
        <v>1318</v>
      </c>
      <c r="C157" s="38">
        <v>1200</v>
      </c>
      <c r="D157" s="38">
        <v>611</v>
      </c>
      <c r="E157" s="38">
        <v>198</v>
      </c>
      <c r="F157" s="4">
        <v>115</v>
      </c>
      <c r="G157" s="4">
        <v>687</v>
      </c>
      <c r="H157" s="38">
        <v>697</v>
      </c>
      <c r="I157" s="38">
        <v>552</v>
      </c>
      <c r="J157" s="7">
        <v>1311.65</v>
      </c>
      <c r="K157" s="38">
        <v>343900</v>
      </c>
      <c r="L157">
        <v>226.9347835088</v>
      </c>
      <c r="M157">
        <v>5</v>
      </c>
      <c r="N157" s="37">
        <f>Rådatakommune[[#This Row],[B14]]/Rådatakommune[[#This Row],[Totalareal]]</f>
        <v>0.91487820683871457</v>
      </c>
      <c r="O157" s="39">
        <f>Rådatakommune[[#This Row],[B14]]/Rådatakommune[[#This Row],[B04]]-1</f>
        <v>-8.9529590288315641E-2</v>
      </c>
      <c r="P157" s="26">
        <f>Rådatakommune[[#This Row],[Kvinner20-39]]/Rådatakommune[[#This Row],[B14]]</f>
        <v>9.583333333333334E-2</v>
      </c>
      <c r="Q157" s="26">
        <f>Rådatakommune[[#This Row],[Eldre67+]]/Rådatakommune[[#This Row],[B14]]</f>
        <v>0.16500000000000001</v>
      </c>
      <c r="R157" s="26">
        <f>Rådatakommune[[#This Row],[S13]]/Rådatakommune[[#This Row],[S03]]-1</f>
        <v>-0.2080344332855093</v>
      </c>
      <c r="S157" s="26">
        <f>Rådatakommune[[#This Row],[Y13]]/Rådatakommune[[#This Row],[Folk20-64]]</f>
        <v>0.88937409024745273</v>
      </c>
    </row>
    <row r="158" spans="1:19">
      <c r="A158" s="2" t="s">
        <v>156</v>
      </c>
      <c r="B158" s="38">
        <v>1403</v>
      </c>
      <c r="C158" s="38">
        <v>1270</v>
      </c>
      <c r="D158" s="38">
        <v>694</v>
      </c>
      <c r="E158" s="38">
        <v>207</v>
      </c>
      <c r="F158" s="4">
        <v>123</v>
      </c>
      <c r="G158" s="4">
        <v>738</v>
      </c>
      <c r="H158" s="38">
        <v>603</v>
      </c>
      <c r="I158" s="38">
        <v>631</v>
      </c>
      <c r="J158" s="7">
        <v>1265.31</v>
      </c>
      <c r="K158" s="38">
        <v>362700</v>
      </c>
      <c r="L158">
        <v>226.27603550000001</v>
      </c>
      <c r="M158">
        <v>11</v>
      </c>
      <c r="N158" s="37">
        <f>Rådatakommune[[#This Row],[B14]]/Rådatakommune[[#This Row],[Totalareal]]</f>
        <v>1.0037066015442857</v>
      </c>
      <c r="O158" s="39">
        <f>Rådatakommune[[#This Row],[B14]]/Rådatakommune[[#This Row],[B04]]-1</f>
        <v>-9.4796863863150338E-2</v>
      </c>
      <c r="P158" s="26">
        <f>Rådatakommune[[#This Row],[Kvinner20-39]]/Rådatakommune[[#This Row],[B14]]</f>
        <v>9.6850393700787407E-2</v>
      </c>
      <c r="Q158" s="26">
        <f>Rådatakommune[[#This Row],[Eldre67+]]/Rådatakommune[[#This Row],[B14]]</f>
        <v>0.16299212598425197</v>
      </c>
      <c r="R158" s="26">
        <f>Rådatakommune[[#This Row],[S13]]/Rådatakommune[[#This Row],[S03]]-1</f>
        <v>4.6434494195688236E-2</v>
      </c>
      <c r="S158" s="26">
        <f>Rådatakommune[[#This Row],[Y13]]/Rådatakommune[[#This Row],[Folk20-64]]</f>
        <v>0.94037940379403795</v>
      </c>
    </row>
    <row r="159" spans="1:19">
      <c r="A159" s="2" t="s">
        <v>157</v>
      </c>
      <c r="B159" s="38">
        <v>875</v>
      </c>
      <c r="C159" s="38">
        <v>948</v>
      </c>
      <c r="D159" s="38">
        <v>559</v>
      </c>
      <c r="E159" s="38">
        <v>99</v>
      </c>
      <c r="F159" s="4">
        <v>127</v>
      </c>
      <c r="G159" s="4">
        <v>593</v>
      </c>
      <c r="H159" s="38">
        <v>487</v>
      </c>
      <c r="I159" s="38">
        <v>583</v>
      </c>
      <c r="J159" s="7">
        <v>1467.13</v>
      </c>
      <c r="K159" s="38">
        <v>407100</v>
      </c>
      <c r="L159">
        <v>222.61062649499999</v>
      </c>
      <c r="M159">
        <v>11</v>
      </c>
      <c r="N159" s="37">
        <f>Rådatakommune[[#This Row],[B14]]/Rådatakommune[[#This Row],[Totalareal]]</f>
        <v>0.64615950870066041</v>
      </c>
      <c r="O159" s="39">
        <f>Rådatakommune[[#This Row],[B14]]/Rådatakommune[[#This Row],[B04]]-1</f>
        <v>8.3428571428571408E-2</v>
      </c>
      <c r="P159" s="26">
        <f>Rådatakommune[[#This Row],[Kvinner20-39]]/Rådatakommune[[#This Row],[B14]]</f>
        <v>0.1339662447257384</v>
      </c>
      <c r="Q159" s="26">
        <f>Rådatakommune[[#This Row],[Eldre67+]]/Rådatakommune[[#This Row],[B14]]</f>
        <v>0.10443037974683544</v>
      </c>
      <c r="R159" s="26">
        <f>Rådatakommune[[#This Row],[S13]]/Rådatakommune[[#This Row],[S03]]-1</f>
        <v>0.19712525667351133</v>
      </c>
      <c r="S159" s="26">
        <f>Rådatakommune[[#This Row],[Y13]]/Rådatakommune[[#This Row],[Folk20-64]]</f>
        <v>0.94266441821247893</v>
      </c>
    </row>
    <row r="160" spans="1:19">
      <c r="A160" s="2" t="s">
        <v>158</v>
      </c>
      <c r="B160" s="38">
        <v>75280</v>
      </c>
      <c r="C160" s="38">
        <v>85983</v>
      </c>
      <c r="D160" s="38">
        <v>42987</v>
      </c>
      <c r="E160" s="38">
        <v>10751</v>
      </c>
      <c r="F160" s="4">
        <v>11821</v>
      </c>
      <c r="G160" s="4">
        <v>51379</v>
      </c>
      <c r="H160" s="38">
        <v>41518</v>
      </c>
      <c r="I160" s="38">
        <v>51251</v>
      </c>
      <c r="J160" s="7">
        <v>276.51</v>
      </c>
      <c r="K160" s="38">
        <v>381100</v>
      </c>
      <c r="L160">
        <v>159.89607002190002</v>
      </c>
      <c r="M160">
        <v>2</v>
      </c>
      <c r="N160" s="37">
        <f>Rådatakommune[[#This Row],[B14]]/Rådatakommune[[#This Row],[Totalareal]]</f>
        <v>310.9580123684496</v>
      </c>
      <c r="O160" s="39">
        <f>Rådatakommune[[#This Row],[B14]]/Rådatakommune[[#This Row],[B04]]-1</f>
        <v>0.14217587672688636</v>
      </c>
      <c r="P160" s="26">
        <f>Rådatakommune[[#This Row],[Kvinner20-39]]/Rådatakommune[[#This Row],[B14]]</f>
        <v>0.13748066478257329</v>
      </c>
      <c r="Q160" s="26">
        <f>Rådatakommune[[#This Row],[Eldre67+]]/Rådatakommune[[#This Row],[B14]]</f>
        <v>0.12503634439365921</v>
      </c>
      <c r="R160" s="26">
        <f>Rådatakommune[[#This Row],[S13]]/Rådatakommune[[#This Row],[S03]]-1</f>
        <v>0.23442844067633306</v>
      </c>
      <c r="S160" s="26">
        <f>Rådatakommune[[#This Row],[Y13]]/Rådatakommune[[#This Row],[Folk20-64]]</f>
        <v>0.83666478522353493</v>
      </c>
    </row>
    <row r="161" spans="1:19">
      <c r="A161" s="2" t="s">
        <v>159</v>
      </c>
      <c r="B161" s="38">
        <v>13840</v>
      </c>
      <c r="C161" s="38">
        <v>15349</v>
      </c>
      <c r="D161" s="38">
        <v>7333</v>
      </c>
      <c r="E161" s="38">
        <v>2144</v>
      </c>
      <c r="F161" s="4">
        <v>1881</v>
      </c>
      <c r="G161" s="4">
        <v>8786</v>
      </c>
      <c r="H161" s="38">
        <v>5451</v>
      </c>
      <c r="I161" s="38">
        <v>6306</v>
      </c>
      <c r="J161" s="7">
        <v>222.56</v>
      </c>
      <c r="K161" s="38">
        <v>361100</v>
      </c>
      <c r="L161">
        <v>196.11172585</v>
      </c>
      <c r="M161">
        <v>5</v>
      </c>
      <c r="N161" s="37">
        <f>Rådatakommune[[#This Row],[B14]]/Rådatakommune[[#This Row],[Totalareal]]</f>
        <v>68.965672178288997</v>
      </c>
      <c r="O161" s="39">
        <f>Rådatakommune[[#This Row],[B14]]/Rådatakommune[[#This Row],[B04]]-1</f>
        <v>0.10903179190751455</v>
      </c>
      <c r="P161" s="26">
        <f>Rådatakommune[[#This Row],[Kvinner20-39]]/Rådatakommune[[#This Row],[B14]]</f>
        <v>0.12254870024105805</v>
      </c>
      <c r="Q161" s="26">
        <f>Rådatakommune[[#This Row],[Eldre67+]]/Rådatakommune[[#This Row],[B14]]</f>
        <v>0.13968336699459249</v>
      </c>
      <c r="R161" s="26">
        <f>Rådatakommune[[#This Row],[S13]]/Rådatakommune[[#This Row],[S03]]-1</f>
        <v>0.15685195376995043</v>
      </c>
      <c r="S161" s="26">
        <f>Rådatakommune[[#This Row],[Y13]]/Rådatakommune[[#This Row],[Folk20-64]]</f>
        <v>0.83462326428408828</v>
      </c>
    </row>
    <row r="162" spans="1:19">
      <c r="A162" s="2" t="s">
        <v>160</v>
      </c>
      <c r="B162" s="38">
        <v>9497</v>
      </c>
      <c r="C162" s="38">
        <v>9516</v>
      </c>
      <c r="D162" s="38">
        <v>4715</v>
      </c>
      <c r="E162" s="38">
        <v>1550</v>
      </c>
      <c r="F162" s="4">
        <v>1036</v>
      </c>
      <c r="G162" s="4">
        <v>5231</v>
      </c>
      <c r="H162" s="38">
        <v>3802</v>
      </c>
      <c r="I162" s="38">
        <v>3878</v>
      </c>
      <c r="J162" s="7">
        <v>262.52999999999997</v>
      </c>
      <c r="K162" s="38">
        <v>376000</v>
      </c>
      <c r="L162">
        <v>234.81368318579999</v>
      </c>
      <c r="M162">
        <v>6</v>
      </c>
      <c r="N162" s="37">
        <f>Rådatakommune[[#This Row],[B14]]/Rådatakommune[[#This Row],[Totalareal]]</f>
        <v>36.247286024454354</v>
      </c>
      <c r="O162" s="39">
        <f>Rådatakommune[[#This Row],[B14]]/Rådatakommune[[#This Row],[B04]]-1</f>
        <v>2.0006317784564409E-3</v>
      </c>
      <c r="P162" s="26">
        <f>Rådatakommune[[#This Row],[Kvinner20-39]]/Rådatakommune[[#This Row],[B14]]</f>
        <v>0.10886927280369903</v>
      </c>
      <c r="Q162" s="26">
        <f>Rådatakommune[[#This Row],[Eldre67+]]/Rådatakommune[[#This Row],[B14]]</f>
        <v>0.16288356452290878</v>
      </c>
      <c r="R162" s="26">
        <f>Rådatakommune[[#This Row],[S13]]/Rådatakommune[[#This Row],[S03]]-1</f>
        <v>1.9989479221462325E-2</v>
      </c>
      <c r="S162" s="26">
        <f>Rådatakommune[[#This Row],[Y13]]/Rådatakommune[[#This Row],[Folk20-64]]</f>
        <v>0.90135729306060031</v>
      </c>
    </row>
    <row r="163" spans="1:19">
      <c r="A163" s="2" t="s">
        <v>161</v>
      </c>
      <c r="B163" s="38">
        <v>8918</v>
      </c>
      <c r="C163" s="38">
        <v>9013</v>
      </c>
      <c r="D163" s="38">
        <v>4486</v>
      </c>
      <c r="E163" s="38">
        <v>1526</v>
      </c>
      <c r="F163" s="4">
        <v>926</v>
      </c>
      <c r="G163" s="4">
        <v>5018</v>
      </c>
      <c r="H163" s="38">
        <v>4071</v>
      </c>
      <c r="I163" s="38">
        <v>4215</v>
      </c>
      <c r="J163" s="7">
        <v>543.52</v>
      </c>
      <c r="K163" s="38">
        <v>376300</v>
      </c>
      <c r="L163">
        <v>247.06975202699999</v>
      </c>
      <c r="M163">
        <v>6</v>
      </c>
      <c r="N163" s="37">
        <f>Rådatakommune[[#This Row],[B14]]/Rådatakommune[[#This Row],[Totalareal]]</f>
        <v>16.582646452752428</v>
      </c>
      <c r="O163" s="39">
        <f>Rådatakommune[[#This Row],[B14]]/Rådatakommune[[#This Row],[B04]]-1</f>
        <v>1.0652612693428987E-2</v>
      </c>
      <c r="P163" s="26">
        <f>Rådatakommune[[#This Row],[Kvinner20-39]]/Rådatakommune[[#This Row],[B14]]</f>
        <v>0.10274048596471763</v>
      </c>
      <c r="Q163" s="26">
        <f>Rådatakommune[[#This Row],[Eldre67+]]/Rådatakommune[[#This Row],[B14]]</f>
        <v>0.1693109952291135</v>
      </c>
      <c r="R163" s="26">
        <f>Rådatakommune[[#This Row],[S13]]/Rådatakommune[[#This Row],[S03]]-1</f>
        <v>3.537214443625647E-2</v>
      </c>
      <c r="S163" s="26">
        <f>Rådatakommune[[#This Row],[Y13]]/Rådatakommune[[#This Row],[Folk20-64]]</f>
        <v>0.89398166600239137</v>
      </c>
    </row>
    <row r="164" spans="1:19">
      <c r="A164" s="2" t="s">
        <v>162</v>
      </c>
      <c r="B164" s="38">
        <v>12356</v>
      </c>
      <c r="C164" s="38">
        <v>13986</v>
      </c>
      <c r="D164" s="38">
        <v>6846</v>
      </c>
      <c r="E164" s="38">
        <v>1699</v>
      </c>
      <c r="F164" s="4">
        <v>1848</v>
      </c>
      <c r="G164" s="4">
        <v>8142</v>
      </c>
      <c r="H164" s="38">
        <v>3809</v>
      </c>
      <c r="I164" s="38">
        <v>4261</v>
      </c>
      <c r="J164" s="7">
        <v>384.47</v>
      </c>
      <c r="K164" s="38">
        <v>348100</v>
      </c>
      <c r="L164">
        <v>160.01284094569999</v>
      </c>
      <c r="M164">
        <v>2</v>
      </c>
      <c r="N164" s="37">
        <f>Rådatakommune[[#This Row],[B14]]/Rådatakommune[[#This Row],[Totalareal]]</f>
        <v>36.377350638541365</v>
      </c>
      <c r="O164" s="39">
        <f>Rådatakommune[[#This Row],[B14]]/Rådatakommune[[#This Row],[B04]]-1</f>
        <v>0.13191971511816125</v>
      </c>
      <c r="P164" s="26">
        <f>Rådatakommune[[#This Row],[Kvinner20-39]]/Rådatakommune[[#This Row],[B14]]</f>
        <v>0.13213213213213212</v>
      </c>
      <c r="Q164" s="26">
        <f>Rådatakommune[[#This Row],[Eldre67+]]/Rådatakommune[[#This Row],[B14]]</f>
        <v>0.12147862147862148</v>
      </c>
      <c r="R164" s="26">
        <f>Rådatakommune[[#This Row],[S13]]/Rådatakommune[[#This Row],[S03]]-1</f>
        <v>0.11866631661853511</v>
      </c>
      <c r="S164" s="26">
        <f>Rådatakommune[[#This Row],[Y13]]/Rådatakommune[[#This Row],[Folk20-64]]</f>
        <v>0.840825350036846</v>
      </c>
    </row>
    <row r="165" spans="1:19">
      <c r="A165" s="2" t="s">
        <v>163</v>
      </c>
      <c r="B165" s="38">
        <v>5483</v>
      </c>
      <c r="C165" s="38">
        <v>6303</v>
      </c>
      <c r="D165" s="38">
        <v>3070</v>
      </c>
      <c r="E165" s="38">
        <v>726</v>
      </c>
      <c r="F165" s="4">
        <v>851</v>
      </c>
      <c r="G165" s="4">
        <v>3663</v>
      </c>
      <c r="H165" s="38">
        <v>1781</v>
      </c>
      <c r="I165" s="38">
        <v>2473</v>
      </c>
      <c r="J165" s="7">
        <v>215.95000000000002</v>
      </c>
      <c r="K165" s="38">
        <v>347400</v>
      </c>
      <c r="L165">
        <v>171.1676260998</v>
      </c>
      <c r="M165">
        <v>2</v>
      </c>
      <c r="N165" s="37">
        <f>Rådatakommune[[#This Row],[B14]]/Rådatakommune[[#This Row],[Totalareal]]</f>
        <v>29.187311877749476</v>
      </c>
      <c r="O165" s="39">
        <f>Rådatakommune[[#This Row],[B14]]/Rådatakommune[[#This Row],[B04]]-1</f>
        <v>0.14955316432609878</v>
      </c>
      <c r="P165" s="26">
        <f>Rådatakommune[[#This Row],[Kvinner20-39]]/Rådatakommune[[#This Row],[B14]]</f>
        <v>0.13501507218784706</v>
      </c>
      <c r="Q165" s="26">
        <f>Rådatakommune[[#This Row],[Eldre67+]]/Rådatakommune[[#This Row],[B14]]</f>
        <v>0.11518324607329843</v>
      </c>
      <c r="R165" s="26">
        <f>Rådatakommune[[#This Row],[S13]]/Rådatakommune[[#This Row],[S03]]-1</f>
        <v>0.38854576080853453</v>
      </c>
      <c r="S165" s="26">
        <f>Rådatakommune[[#This Row],[Y13]]/Rådatakommune[[#This Row],[Folk20-64]]</f>
        <v>0.83811083811083809</v>
      </c>
    </row>
    <row r="166" spans="1:19">
      <c r="A166" s="2" t="s">
        <v>164</v>
      </c>
      <c r="B166" s="38">
        <v>9426</v>
      </c>
      <c r="C166" s="38">
        <v>11005</v>
      </c>
      <c r="D166" s="38">
        <v>5467</v>
      </c>
      <c r="E166" s="38">
        <v>1366</v>
      </c>
      <c r="F166" s="4">
        <v>1344</v>
      </c>
      <c r="G166" s="4">
        <v>6300</v>
      </c>
      <c r="H166" s="38">
        <v>2977</v>
      </c>
      <c r="I166" s="38">
        <v>3566</v>
      </c>
      <c r="J166" s="7">
        <v>151.26</v>
      </c>
      <c r="K166" s="38">
        <v>396100</v>
      </c>
      <c r="L166">
        <v>172.7294660579</v>
      </c>
      <c r="M166">
        <v>2</v>
      </c>
      <c r="N166" s="37">
        <f>Rådatakommune[[#This Row],[B14]]/Rådatakommune[[#This Row],[Totalareal]]</f>
        <v>72.755520296178773</v>
      </c>
      <c r="O166" s="39">
        <f>Rådatakommune[[#This Row],[B14]]/Rådatakommune[[#This Row],[B04]]-1</f>
        <v>0.16751538298323787</v>
      </c>
      <c r="P166" s="26">
        <f>Rådatakommune[[#This Row],[Kvinner20-39]]/Rådatakommune[[#This Row],[B14]]</f>
        <v>0.12212630622444344</v>
      </c>
      <c r="Q166" s="26">
        <f>Rådatakommune[[#This Row],[Eldre67+]]/Rådatakommune[[#This Row],[B14]]</f>
        <v>0.12412539754656975</v>
      </c>
      <c r="R166" s="26">
        <f>Rådatakommune[[#This Row],[S13]]/Rådatakommune[[#This Row],[S03]]-1</f>
        <v>0.19785018474974803</v>
      </c>
      <c r="S166" s="26">
        <f>Rådatakommune[[#This Row],[Y13]]/Rådatakommune[[#This Row],[Folk20-64]]</f>
        <v>0.86777777777777776</v>
      </c>
    </row>
    <row r="167" spans="1:19">
      <c r="A167" s="2" t="s">
        <v>165</v>
      </c>
      <c r="B167" s="38">
        <v>2214</v>
      </c>
      <c r="C167" s="38">
        <v>2290</v>
      </c>
      <c r="D167" s="38">
        <v>1146</v>
      </c>
      <c r="E167" s="38">
        <v>296</v>
      </c>
      <c r="F167" s="4">
        <v>264</v>
      </c>
      <c r="G167" s="4">
        <v>1308</v>
      </c>
      <c r="H167" s="38">
        <v>747</v>
      </c>
      <c r="I167" s="38">
        <v>688</v>
      </c>
      <c r="J167" s="7">
        <v>395.02</v>
      </c>
      <c r="K167" s="38">
        <v>340500</v>
      </c>
      <c r="L167">
        <v>193.35977505689999</v>
      </c>
      <c r="M167">
        <v>5</v>
      </c>
      <c r="N167" s="37">
        <f>Rådatakommune[[#This Row],[B14]]/Rådatakommune[[#This Row],[Totalareal]]</f>
        <v>5.7971748265910588</v>
      </c>
      <c r="O167" s="39">
        <f>Rådatakommune[[#This Row],[B14]]/Rådatakommune[[#This Row],[B04]]-1</f>
        <v>3.4327009936766073E-2</v>
      </c>
      <c r="P167" s="26">
        <f>Rådatakommune[[#This Row],[Kvinner20-39]]/Rådatakommune[[#This Row],[B14]]</f>
        <v>0.11528384279475982</v>
      </c>
      <c r="Q167" s="26">
        <f>Rådatakommune[[#This Row],[Eldre67+]]/Rådatakommune[[#This Row],[B14]]</f>
        <v>0.12925764192139738</v>
      </c>
      <c r="R167" s="26">
        <f>Rådatakommune[[#This Row],[S13]]/Rådatakommune[[#This Row],[S03]]-1</f>
        <v>-7.8982597054886194E-2</v>
      </c>
      <c r="S167" s="26">
        <f>Rådatakommune[[#This Row],[Y13]]/Rådatakommune[[#This Row],[Folk20-64]]</f>
        <v>0.87614678899082565</v>
      </c>
    </row>
    <row r="168" spans="1:19">
      <c r="A168" s="2" t="s">
        <v>166</v>
      </c>
      <c r="B168" s="38">
        <v>914</v>
      </c>
      <c r="C168" s="38">
        <v>923</v>
      </c>
      <c r="D168" s="38">
        <v>488</v>
      </c>
      <c r="E168" s="38">
        <v>126</v>
      </c>
      <c r="F168" s="4">
        <v>86</v>
      </c>
      <c r="G168" s="4">
        <v>506</v>
      </c>
      <c r="H168" s="38">
        <v>457</v>
      </c>
      <c r="I168" s="38">
        <v>625</v>
      </c>
      <c r="J168" s="7">
        <v>887.52</v>
      </c>
      <c r="K168" s="38">
        <v>355000</v>
      </c>
      <c r="L168">
        <v>220.3435747648</v>
      </c>
      <c r="M168">
        <v>5</v>
      </c>
      <c r="N168" s="37">
        <f>Rådatakommune[[#This Row],[B14]]/Rådatakommune[[#This Row],[Totalareal]]</f>
        <v>1.0399765639084191</v>
      </c>
      <c r="O168" s="39">
        <f>Rådatakommune[[#This Row],[B14]]/Rådatakommune[[#This Row],[B04]]-1</f>
        <v>9.8468271334792856E-3</v>
      </c>
      <c r="P168" s="26">
        <f>Rådatakommune[[#This Row],[Kvinner20-39]]/Rådatakommune[[#This Row],[B14]]</f>
        <v>9.3174431202600216E-2</v>
      </c>
      <c r="Q168" s="26">
        <f>Rådatakommune[[#This Row],[Eldre67+]]/Rådatakommune[[#This Row],[B14]]</f>
        <v>0.13651137594799567</v>
      </c>
      <c r="R168" s="26">
        <f>Rådatakommune[[#This Row],[S13]]/Rådatakommune[[#This Row],[S03]]-1</f>
        <v>0.36761487964989059</v>
      </c>
      <c r="S168" s="26">
        <f>Rådatakommune[[#This Row],[Y13]]/Rådatakommune[[#This Row],[Folk20-64]]</f>
        <v>0.96442687747035571</v>
      </c>
    </row>
    <row r="169" spans="1:19">
      <c r="A169" s="2" t="s">
        <v>167</v>
      </c>
      <c r="B169" s="38">
        <v>1568</v>
      </c>
      <c r="C169" s="38">
        <v>1743</v>
      </c>
      <c r="D169" s="38">
        <v>897</v>
      </c>
      <c r="E169" s="38">
        <v>243</v>
      </c>
      <c r="F169" s="4">
        <v>203</v>
      </c>
      <c r="G169" s="4">
        <v>950</v>
      </c>
      <c r="H169" s="38">
        <v>626</v>
      </c>
      <c r="I169" s="38">
        <v>702</v>
      </c>
      <c r="J169" s="7">
        <v>251.45000000000002</v>
      </c>
      <c r="K169" s="38">
        <v>354200</v>
      </c>
      <c r="L169">
        <v>203.20316415510001</v>
      </c>
      <c r="M169">
        <v>5</v>
      </c>
      <c r="N169" s="37">
        <f>Rådatakommune[[#This Row],[B14]]/Rådatakommune[[#This Row],[Totalareal]]</f>
        <v>6.9317955856034992</v>
      </c>
      <c r="O169" s="39">
        <f>Rådatakommune[[#This Row],[B14]]/Rådatakommune[[#This Row],[B04]]-1</f>
        <v>0.11160714285714279</v>
      </c>
      <c r="P169" s="26">
        <f>Rådatakommune[[#This Row],[Kvinner20-39]]/Rådatakommune[[#This Row],[B14]]</f>
        <v>0.11646586345381527</v>
      </c>
      <c r="Q169" s="26">
        <f>Rådatakommune[[#This Row],[Eldre67+]]/Rådatakommune[[#This Row],[B14]]</f>
        <v>0.13941480206540446</v>
      </c>
      <c r="R169" s="26">
        <f>Rådatakommune[[#This Row],[S13]]/Rådatakommune[[#This Row],[S03]]-1</f>
        <v>0.12140575079872207</v>
      </c>
      <c r="S169" s="26">
        <f>Rådatakommune[[#This Row],[Y13]]/Rådatakommune[[#This Row],[Folk20-64]]</f>
        <v>0.9442105263157895</v>
      </c>
    </row>
    <row r="170" spans="1:19">
      <c r="A170" s="2" t="s">
        <v>168</v>
      </c>
      <c r="B170" s="38">
        <v>4486</v>
      </c>
      <c r="C170" s="38">
        <v>4853</v>
      </c>
      <c r="D170" s="38">
        <v>2330</v>
      </c>
      <c r="E170" s="38">
        <v>743</v>
      </c>
      <c r="F170" s="4">
        <v>564</v>
      </c>
      <c r="G170" s="4">
        <v>2700</v>
      </c>
      <c r="H170" s="38">
        <v>1753</v>
      </c>
      <c r="I170" s="38">
        <v>1834</v>
      </c>
      <c r="J170" s="7">
        <v>316.02999999999997</v>
      </c>
      <c r="K170" s="38">
        <v>343900</v>
      </c>
      <c r="L170">
        <v>202.8812841079</v>
      </c>
      <c r="M170">
        <v>5</v>
      </c>
      <c r="N170" s="37">
        <f>Rådatakommune[[#This Row],[B14]]/Rådatakommune[[#This Row],[Totalareal]]</f>
        <v>15.356137075594091</v>
      </c>
      <c r="O170" s="39">
        <f>Rådatakommune[[#This Row],[B14]]/Rådatakommune[[#This Row],[B04]]-1</f>
        <v>8.1810075791350911E-2</v>
      </c>
      <c r="P170" s="26">
        <f>Rådatakommune[[#This Row],[Kvinner20-39]]/Rådatakommune[[#This Row],[B14]]</f>
        <v>0.11621677313002267</v>
      </c>
      <c r="Q170" s="26">
        <f>Rådatakommune[[#This Row],[Eldre67+]]/Rådatakommune[[#This Row],[B14]]</f>
        <v>0.1531011745312178</v>
      </c>
      <c r="R170" s="26">
        <f>Rådatakommune[[#This Row],[S13]]/Rådatakommune[[#This Row],[S03]]-1</f>
        <v>4.6206503137478538E-2</v>
      </c>
      <c r="S170" s="26">
        <f>Rådatakommune[[#This Row],[Y13]]/Rådatakommune[[#This Row],[Folk20-64]]</f>
        <v>0.86296296296296293</v>
      </c>
    </row>
    <row r="171" spans="1:19">
      <c r="A171" s="2" t="s">
        <v>169</v>
      </c>
      <c r="B171" s="38">
        <v>7216</v>
      </c>
      <c r="C171" s="38">
        <v>8102</v>
      </c>
      <c r="D171" s="38">
        <v>4018</v>
      </c>
      <c r="E171" s="38">
        <v>1028</v>
      </c>
      <c r="F171" s="4">
        <v>995</v>
      </c>
      <c r="G171" s="4">
        <v>4508</v>
      </c>
      <c r="H171" s="38">
        <v>3251</v>
      </c>
      <c r="I171" s="38">
        <v>3938</v>
      </c>
      <c r="J171" s="7">
        <v>391.13</v>
      </c>
      <c r="K171" s="38">
        <v>357000</v>
      </c>
      <c r="L171">
        <v>220.60799680370002</v>
      </c>
      <c r="M171">
        <v>5</v>
      </c>
      <c r="N171" s="37">
        <f>Rådatakommune[[#This Row],[B14]]/Rådatakommune[[#This Row],[Totalareal]]</f>
        <v>20.714340500600823</v>
      </c>
      <c r="O171" s="39">
        <f>Rådatakommune[[#This Row],[B14]]/Rådatakommune[[#This Row],[B04]]-1</f>
        <v>0.12278270509977829</v>
      </c>
      <c r="P171" s="26">
        <f>Rådatakommune[[#This Row],[Kvinner20-39]]/Rådatakommune[[#This Row],[B14]]</f>
        <v>0.12280918291779808</v>
      </c>
      <c r="Q171" s="26">
        <f>Rådatakommune[[#This Row],[Eldre67+]]/Rådatakommune[[#This Row],[B14]]</f>
        <v>0.1268822512959763</v>
      </c>
      <c r="R171" s="26">
        <f>Rådatakommune[[#This Row],[S13]]/Rådatakommune[[#This Row],[S03]]-1</f>
        <v>0.21131959397108591</v>
      </c>
      <c r="S171" s="26">
        <f>Rådatakommune[[#This Row],[Y13]]/Rådatakommune[[#This Row],[Folk20-64]]</f>
        <v>0.89130434782608692</v>
      </c>
    </row>
    <row r="172" spans="1:19">
      <c r="A172" s="2" t="s">
        <v>170</v>
      </c>
      <c r="B172" s="38">
        <v>1616</v>
      </c>
      <c r="C172" s="38">
        <v>1690</v>
      </c>
      <c r="D172" s="38">
        <v>913</v>
      </c>
      <c r="E172" s="38">
        <v>247</v>
      </c>
      <c r="F172" s="4">
        <v>193</v>
      </c>
      <c r="G172" s="4">
        <v>948</v>
      </c>
      <c r="H172" s="38">
        <v>628</v>
      </c>
      <c r="I172" s="38">
        <v>707</v>
      </c>
      <c r="J172" s="7">
        <v>461.33</v>
      </c>
      <c r="K172" s="38">
        <v>370200</v>
      </c>
      <c r="L172">
        <v>214.71333862310001</v>
      </c>
      <c r="M172">
        <v>5</v>
      </c>
      <c r="N172" s="37">
        <f>Rådatakommune[[#This Row],[B14]]/Rådatakommune[[#This Row],[Totalareal]]</f>
        <v>3.6633212667721589</v>
      </c>
      <c r="O172" s="39">
        <f>Rådatakommune[[#This Row],[B14]]/Rådatakommune[[#This Row],[B04]]-1</f>
        <v>4.5792079207920722E-2</v>
      </c>
      <c r="P172" s="26">
        <f>Rådatakommune[[#This Row],[Kvinner20-39]]/Rådatakommune[[#This Row],[B14]]</f>
        <v>0.11420118343195267</v>
      </c>
      <c r="Q172" s="26">
        <f>Rådatakommune[[#This Row],[Eldre67+]]/Rådatakommune[[#This Row],[B14]]</f>
        <v>0.14615384615384616</v>
      </c>
      <c r="R172" s="26">
        <f>Rådatakommune[[#This Row],[S13]]/Rådatakommune[[#This Row],[S03]]-1</f>
        <v>0.12579617834394896</v>
      </c>
      <c r="S172" s="26">
        <f>Rådatakommune[[#This Row],[Y13]]/Rådatakommune[[#This Row],[Folk20-64]]</f>
        <v>0.96308016877637126</v>
      </c>
    </row>
    <row r="173" spans="1:19">
      <c r="A173" s="2" t="s">
        <v>171</v>
      </c>
      <c r="B173" s="38">
        <v>5547</v>
      </c>
      <c r="C173" s="38">
        <v>5891</v>
      </c>
      <c r="D173" s="38">
        <v>2911</v>
      </c>
      <c r="E173" s="38">
        <v>886</v>
      </c>
      <c r="F173" s="4">
        <v>671</v>
      </c>
      <c r="G173" s="4">
        <v>3337</v>
      </c>
      <c r="H173" s="38">
        <v>2282</v>
      </c>
      <c r="I173" s="38">
        <v>2294</v>
      </c>
      <c r="J173" s="7">
        <v>962.42000000000007</v>
      </c>
      <c r="K173" s="38">
        <v>350200</v>
      </c>
      <c r="L173">
        <v>232.85211337140001</v>
      </c>
      <c r="M173">
        <v>6</v>
      </c>
      <c r="N173" s="37">
        <f>Rådatakommune[[#This Row],[B14]]/Rådatakommune[[#This Row],[Totalareal]]</f>
        <v>6.1210282413083679</v>
      </c>
      <c r="O173" s="39">
        <f>Rådatakommune[[#This Row],[B14]]/Rådatakommune[[#This Row],[B04]]-1</f>
        <v>6.2015503875969102E-2</v>
      </c>
      <c r="P173" s="26">
        <f>Rådatakommune[[#This Row],[Kvinner20-39]]/Rådatakommune[[#This Row],[B14]]</f>
        <v>0.11390256323204889</v>
      </c>
      <c r="Q173" s="26">
        <f>Rådatakommune[[#This Row],[Eldre67+]]/Rådatakommune[[#This Row],[B14]]</f>
        <v>0.15039891359701238</v>
      </c>
      <c r="R173" s="26">
        <f>Rådatakommune[[#This Row],[S13]]/Rådatakommune[[#This Row],[S03]]-1</f>
        <v>5.2585451358457824E-3</v>
      </c>
      <c r="S173" s="26">
        <f>Rådatakommune[[#This Row],[Y13]]/Rådatakommune[[#This Row],[Folk20-64]]</f>
        <v>0.87234042553191493</v>
      </c>
    </row>
    <row r="174" spans="1:19">
      <c r="A174" s="2" t="s">
        <v>172</v>
      </c>
      <c r="B174" s="38">
        <v>1766</v>
      </c>
      <c r="C174" s="38">
        <v>1831</v>
      </c>
      <c r="D174" s="38">
        <v>992</v>
      </c>
      <c r="E174" s="38">
        <v>288</v>
      </c>
      <c r="F174" s="4">
        <v>217</v>
      </c>
      <c r="G174" s="4">
        <v>1009</v>
      </c>
      <c r="H174" s="38">
        <v>949</v>
      </c>
      <c r="I174" s="38">
        <v>1048</v>
      </c>
      <c r="J174" s="7">
        <v>1554.8200000000002</v>
      </c>
      <c r="K174" s="38">
        <v>399500</v>
      </c>
      <c r="L174">
        <v>237.8116612961</v>
      </c>
      <c r="M174">
        <v>7</v>
      </c>
      <c r="N174" s="37">
        <f>Rådatakommune[[#This Row],[B14]]/Rådatakommune[[#This Row],[Totalareal]]</f>
        <v>1.1776282785145546</v>
      </c>
      <c r="O174" s="39">
        <f>Rådatakommune[[#This Row],[B14]]/Rådatakommune[[#This Row],[B04]]-1</f>
        <v>3.6806342015855087E-2</v>
      </c>
      <c r="P174" s="26">
        <f>Rådatakommune[[#This Row],[Kvinner20-39]]/Rådatakommune[[#This Row],[B14]]</f>
        <v>0.11851447296559257</v>
      </c>
      <c r="Q174" s="26">
        <f>Rådatakommune[[#This Row],[Eldre67+]]/Rådatakommune[[#This Row],[B14]]</f>
        <v>0.15729109776078645</v>
      </c>
      <c r="R174" s="26">
        <f>Rådatakommune[[#This Row],[S13]]/Rådatakommune[[#This Row],[S03]]-1</f>
        <v>0.10432033719704958</v>
      </c>
      <c r="S174" s="26">
        <f>Rådatakommune[[#This Row],[Y13]]/Rådatakommune[[#This Row],[Folk20-64]]</f>
        <v>0.98315163528245786</v>
      </c>
    </row>
    <row r="175" spans="1:19">
      <c r="A175" s="2" t="s">
        <v>173</v>
      </c>
      <c r="B175" s="38">
        <v>13388</v>
      </c>
      <c r="C175" s="38">
        <v>14811</v>
      </c>
      <c r="D175" s="38">
        <v>7829</v>
      </c>
      <c r="E175" s="38">
        <v>1938</v>
      </c>
      <c r="F175" s="4">
        <v>1759</v>
      </c>
      <c r="G175" s="4">
        <v>8617</v>
      </c>
      <c r="H175" s="38">
        <v>5921</v>
      </c>
      <c r="I175" s="38">
        <v>6750</v>
      </c>
      <c r="J175" s="7">
        <v>432.48</v>
      </c>
      <c r="K175" s="38">
        <v>399700</v>
      </c>
      <c r="L175">
        <v>211.1310995696</v>
      </c>
      <c r="M175">
        <v>5</v>
      </c>
      <c r="N175" s="37">
        <f>Rådatakommune[[#This Row],[B14]]/Rådatakommune[[#This Row],[Totalareal]]</f>
        <v>34.246670366259707</v>
      </c>
      <c r="O175" s="39">
        <f>Rådatakommune[[#This Row],[B14]]/Rådatakommune[[#This Row],[B04]]-1</f>
        <v>0.10628921422169113</v>
      </c>
      <c r="P175" s="26">
        <f>Rådatakommune[[#This Row],[Kvinner20-39]]/Rådatakommune[[#This Row],[B14]]</f>
        <v>0.11876308149348458</v>
      </c>
      <c r="Q175" s="26">
        <f>Rådatakommune[[#This Row],[Eldre67+]]/Rådatakommune[[#This Row],[B14]]</f>
        <v>0.13084869353858619</v>
      </c>
      <c r="R175" s="26">
        <f>Rådatakommune[[#This Row],[S13]]/Rådatakommune[[#This Row],[S03]]-1</f>
        <v>0.14001013342340829</v>
      </c>
      <c r="S175" s="26">
        <f>Rådatakommune[[#This Row],[Y13]]/Rådatakommune[[#This Row],[Folk20-64]]</f>
        <v>0.90855286062434726</v>
      </c>
    </row>
    <row r="176" spans="1:19">
      <c r="A176" s="2" t="s">
        <v>174</v>
      </c>
      <c r="B176" s="38">
        <v>56668</v>
      </c>
      <c r="C176" s="38">
        <v>71900</v>
      </c>
      <c r="D176" s="38">
        <v>39175</v>
      </c>
      <c r="E176" s="38">
        <v>6983</v>
      </c>
      <c r="F176" s="4">
        <v>10387</v>
      </c>
      <c r="G176" s="4">
        <v>43613</v>
      </c>
      <c r="H176" s="38">
        <v>26996</v>
      </c>
      <c r="I176" s="38">
        <v>35914</v>
      </c>
      <c r="J176" s="7">
        <v>304.38</v>
      </c>
      <c r="K176" s="38">
        <v>449800</v>
      </c>
      <c r="L176">
        <v>162.3933241945</v>
      </c>
      <c r="M176">
        <v>2</v>
      </c>
      <c r="N176" s="37">
        <f>Rådatakommune[[#This Row],[B14]]/Rådatakommune[[#This Row],[Totalareal]]</f>
        <v>236.21788553781457</v>
      </c>
      <c r="O176" s="39">
        <f>Rådatakommune[[#This Row],[B14]]/Rådatakommune[[#This Row],[B04]]-1</f>
        <v>0.26879367544293076</v>
      </c>
      <c r="P176" s="26">
        <f>Rådatakommune[[#This Row],[Kvinner20-39]]/Rådatakommune[[#This Row],[B14]]</f>
        <v>0.14446453407510432</v>
      </c>
      <c r="Q176" s="26">
        <f>Rådatakommune[[#This Row],[Eldre67+]]/Rådatakommune[[#This Row],[B14]]</f>
        <v>9.7121001390820583E-2</v>
      </c>
      <c r="R176" s="26">
        <f>Rådatakommune[[#This Row],[S13]]/Rådatakommune[[#This Row],[S03]]-1</f>
        <v>0.33034523633130841</v>
      </c>
      <c r="S176" s="26">
        <f>Rådatakommune[[#This Row],[Y13]]/Rådatakommune[[#This Row],[Folk20-64]]</f>
        <v>0.89824135005617589</v>
      </c>
    </row>
    <row r="177" spans="1:19">
      <c r="A177" s="2" t="s">
        <v>175</v>
      </c>
      <c r="B177" s="38">
        <v>112405</v>
      </c>
      <c r="C177" s="38">
        <v>130754</v>
      </c>
      <c r="D177" s="38">
        <v>71658</v>
      </c>
      <c r="E177" s="38">
        <v>14006</v>
      </c>
      <c r="F177" s="4">
        <v>19511</v>
      </c>
      <c r="G177" s="4">
        <v>81752</v>
      </c>
      <c r="H177" s="38">
        <v>64978</v>
      </c>
      <c r="I177" s="38">
        <v>84371</v>
      </c>
      <c r="J177" s="7">
        <v>71.350000000000009</v>
      </c>
      <c r="K177" s="38">
        <v>497200</v>
      </c>
      <c r="L177">
        <v>163.6584520923</v>
      </c>
      <c r="M177">
        <v>2</v>
      </c>
      <c r="N177" s="37">
        <f>Rådatakommune[[#This Row],[B14]]/Rådatakommune[[#This Row],[Totalareal]]</f>
        <v>1832.571829011913</v>
      </c>
      <c r="O177" s="39">
        <f>Rådatakommune[[#This Row],[B14]]/Rådatakommune[[#This Row],[B04]]-1</f>
        <v>0.16324006939193092</v>
      </c>
      <c r="P177" s="26">
        <f>Rådatakommune[[#This Row],[Kvinner20-39]]/Rådatakommune[[#This Row],[B14]]</f>
        <v>0.14921914434740047</v>
      </c>
      <c r="Q177" s="26">
        <f>Rådatakommune[[#This Row],[Eldre67+]]/Rådatakommune[[#This Row],[B14]]</f>
        <v>0.10711718188353703</v>
      </c>
      <c r="R177" s="26">
        <f>Rådatakommune[[#This Row],[S13]]/Rådatakommune[[#This Row],[S03]]-1</f>
        <v>0.29845486164548007</v>
      </c>
      <c r="S177" s="26">
        <f>Rådatakommune[[#This Row],[Y13]]/Rådatakommune[[#This Row],[Folk20-64]]</f>
        <v>0.876529014580683</v>
      </c>
    </row>
    <row r="178" spans="1:19">
      <c r="A178" s="2" t="s">
        <v>176</v>
      </c>
      <c r="B178" s="38">
        <v>31361</v>
      </c>
      <c r="C178" s="38">
        <v>36099</v>
      </c>
      <c r="D178" s="38">
        <v>18337</v>
      </c>
      <c r="E178" s="38">
        <v>4648</v>
      </c>
      <c r="F178" s="4">
        <v>4878</v>
      </c>
      <c r="G178" s="4">
        <v>21851</v>
      </c>
      <c r="H178" s="38">
        <v>18004</v>
      </c>
      <c r="I178" s="38">
        <v>22141</v>
      </c>
      <c r="J178" s="7">
        <v>72.680000000000007</v>
      </c>
      <c r="K178" s="38">
        <v>391600</v>
      </c>
      <c r="L178">
        <v>163.7287982348</v>
      </c>
      <c r="M178">
        <v>4</v>
      </c>
      <c r="N178" s="37">
        <f>Rådatakommune[[#This Row],[B14]]/Rådatakommune[[#This Row],[Totalareal]]</f>
        <v>496.68409466152997</v>
      </c>
      <c r="O178" s="39">
        <f>Rådatakommune[[#This Row],[B14]]/Rådatakommune[[#This Row],[B04]]-1</f>
        <v>0.15107936609164252</v>
      </c>
      <c r="P178" s="26">
        <f>Rådatakommune[[#This Row],[Kvinner20-39]]/Rådatakommune[[#This Row],[B14]]</f>
        <v>0.13512839690850162</v>
      </c>
      <c r="Q178" s="26">
        <f>Rådatakommune[[#This Row],[Eldre67+]]/Rådatakommune[[#This Row],[B14]]</f>
        <v>0.12875702928058949</v>
      </c>
      <c r="R178" s="26">
        <f>Rådatakommune[[#This Row],[S13]]/Rådatakommune[[#This Row],[S03]]-1</f>
        <v>0.22978227060653178</v>
      </c>
      <c r="S178" s="26">
        <f>Rådatakommune[[#This Row],[Y13]]/Rådatakommune[[#This Row],[Folk20-64]]</f>
        <v>0.83918356139307126</v>
      </c>
    </row>
    <row r="179" spans="1:19">
      <c r="A179" s="2" t="s">
        <v>177</v>
      </c>
      <c r="B179" s="38">
        <v>3320</v>
      </c>
      <c r="C179" s="38">
        <v>3303</v>
      </c>
      <c r="D179" s="38">
        <v>1643</v>
      </c>
      <c r="E179" s="38">
        <v>531</v>
      </c>
      <c r="F179" s="4">
        <v>380</v>
      </c>
      <c r="G179" s="4">
        <v>1826</v>
      </c>
      <c r="H179" s="38">
        <v>1071</v>
      </c>
      <c r="I179" s="38">
        <v>1192</v>
      </c>
      <c r="J179" s="7">
        <v>294.96999999999997</v>
      </c>
      <c r="K179" s="38">
        <v>373100</v>
      </c>
      <c r="L179">
        <v>227.12412678430002</v>
      </c>
      <c r="M179">
        <v>5</v>
      </c>
      <c r="N179" s="37">
        <f>Rådatakommune[[#This Row],[B14]]/Rådatakommune[[#This Row],[Totalareal]]</f>
        <v>11.197748923619352</v>
      </c>
      <c r="O179" s="39">
        <f>Rådatakommune[[#This Row],[B14]]/Rådatakommune[[#This Row],[B04]]-1</f>
        <v>-5.1204819277108626E-3</v>
      </c>
      <c r="P179" s="26">
        <f>Rådatakommune[[#This Row],[Kvinner20-39]]/Rådatakommune[[#This Row],[B14]]</f>
        <v>0.11504692703602785</v>
      </c>
      <c r="Q179" s="26">
        <f>Rådatakommune[[#This Row],[Eldre67+]]/Rådatakommune[[#This Row],[B14]]</f>
        <v>0.16076294277929154</v>
      </c>
      <c r="R179" s="26">
        <f>Rådatakommune[[#This Row],[S13]]/Rådatakommune[[#This Row],[S03]]-1</f>
        <v>0.11297852474323067</v>
      </c>
      <c r="S179" s="26">
        <f>Rådatakommune[[#This Row],[Y13]]/Rådatakommune[[#This Row],[Folk20-64]]</f>
        <v>0.89978094194961666</v>
      </c>
    </row>
    <row r="180" spans="1:19">
      <c r="A180" s="2" t="s">
        <v>178</v>
      </c>
      <c r="B180" s="38">
        <v>3105</v>
      </c>
      <c r="C180" s="38">
        <v>3225</v>
      </c>
      <c r="D180" s="38">
        <v>1653</v>
      </c>
      <c r="E180" s="38">
        <v>453</v>
      </c>
      <c r="F180" s="4">
        <v>369</v>
      </c>
      <c r="G180" s="4">
        <v>1784</v>
      </c>
      <c r="H180" s="38">
        <v>1461</v>
      </c>
      <c r="I180" s="38">
        <v>1451</v>
      </c>
      <c r="J180" s="7">
        <v>408.42</v>
      </c>
      <c r="K180" s="38">
        <v>353100</v>
      </c>
      <c r="L180">
        <v>232.28126672689999</v>
      </c>
      <c r="M180">
        <v>6</v>
      </c>
      <c r="N180" s="37">
        <f>Rådatakommune[[#This Row],[B14]]/Rådatakommune[[#This Row],[Totalareal]]</f>
        <v>7.896283237843396</v>
      </c>
      <c r="O180" s="39">
        <f>Rådatakommune[[#This Row],[B14]]/Rådatakommune[[#This Row],[B04]]-1</f>
        <v>3.8647342995169032E-2</v>
      </c>
      <c r="P180" s="26">
        <f>Rådatakommune[[#This Row],[Kvinner20-39]]/Rådatakommune[[#This Row],[B14]]</f>
        <v>0.1144186046511628</v>
      </c>
      <c r="Q180" s="26">
        <f>Rådatakommune[[#This Row],[Eldre67+]]/Rådatakommune[[#This Row],[B14]]</f>
        <v>0.14046511627906977</v>
      </c>
      <c r="R180" s="26">
        <f>Rådatakommune[[#This Row],[S13]]/Rådatakommune[[#This Row],[S03]]-1</f>
        <v>-6.8446269678302807E-3</v>
      </c>
      <c r="S180" s="26">
        <f>Rådatakommune[[#This Row],[Y13]]/Rådatakommune[[#This Row],[Folk20-64]]</f>
        <v>0.92656950672645744</v>
      </c>
    </row>
    <row r="181" spans="1:19">
      <c r="A181" s="2" t="s">
        <v>179</v>
      </c>
      <c r="B181" s="38">
        <v>2461</v>
      </c>
      <c r="C181" s="38">
        <v>2820</v>
      </c>
      <c r="D181" s="38">
        <v>1595</v>
      </c>
      <c r="E181" s="38">
        <v>315</v>
      </c>
      <c r="F181" s="4">
        <v>378</v>
      </c>
      <c r="G181" s="4">
        <v>1630</v>
      </c>
      <c r="H181" s="38">
        <v>1044</v>
      </c>
      <c r="I181" s="38">
        <v>1144</v>
      </c>
      <c r="J181" s="7">
        <v>650.55999999999995</v>
      </c>
      <c r="K181" s="38">
        <v>397100</v>
      </c>
      <c r="L181">
        <v>191.23009832079998</v>
      </c>
      <c r="M181">
        <v>2</v>
      </c>
      <c r="N181" s="37">
        <f>Rådatakommune[[#This Row],[B14]]/Rådatakommune[[#This Row],[Totalareal]]</f>
        <v>4.3347270044269557</v>
      </c>
      <c r="O181" s="39">
        <f>Rådatakommune[[#This Row],[B14]]/Rådatakommune[[#This Row],[B04]]-1</f>
        <v>0.14587566030069077</v>
      </c>
      <c r="P181" s="26">
        <f>Rådatakommune[[#This Row],[Kvinner20-39]]/Rådatakommune[[#This Row],[B14]]</f>
        <v>0.13404255319148936</v>
      </c>
      <c r="Q181" s="26">
        <f>Rådatakommune[[#This Row],[Eldre67+]]/Rådatakommune[[#This Row],[B14]]</f>
        <v>0.11170212765957446</v>
      </c>
      <c r="R181" s="26">
        <f>Rådatakommune[[#This Row],[S13]]/Rådatakommune[[#This Row],[S03]]-1</f>
        <v>9.578544061302674E-2</v>
      </c>
      <c r="S181" s="26">
        <f>Rådatakommune[[#This Row],[Y13]]/Rådatakommune[[#This Row],[Folk20-64]]</f>
        <v>0.9785276073619632</v>
      </c>
    </row>
    <row r="182" spans="1:19">
      <c r="A182" s="2" t="s">
        <v>180</v>
      </c>
      <c r="B182" s="38">
        <v>14570</v>
      </c>
      <c r="C182" s="38">
        <v>18115</v>
      </c>
      <c r="D182" s="38">
        <v>10052</v>
      </c>
      <c r="E182" s="38">
        <v>1874</v>
      </c>
      <c r="F182" s="4">
        <v>2482</v>
      </c>
      <c r="G182" s="4">
        <v>10489</v>
      </c>
      <c r="H182" s="38">
        <v>6193</v>
      </c>
      <c r="I182" s="38">
        <v>7719</v>
      </c>
      <c r="J182" s="7">
        <v>257.99</v>
      </c>
      <c r="K182" s="38">
        <v>399600</v>
      </c>
      <c r="L182">
        <v>186.00411608580001</v>
      </c>
      <c r="M182">
        <v>2</v>
      </c>
      <c r="N182" s="37">
        <f>Rådatakommune[[#This Row],[B14]]/Rådatakommune[[#This Row],[Totalareal]]</f>
        <v>70.215899841079107</v>
      </c>
      <c r="O182" s="39">
        <f>Rådatakommune[[#This Row],[B14]]/Rådatakommune[[#This Row],[B04]]-1</f>
        <v>0.24330816746739869</v>
      </c>
      <c r="P182" s="26">
        <f>Rådatakommune[[#This Row],[Kvinner20-39]]/Rådatakommune[[#This Row],[B14]]</f>
        <v>0.13701352470328457</v>
      </c>
      <c r="Q182" s="26">
        <f>Rådatakommune[[#This Row],[Eldre67+]]/Rådatakommune[[#This Row],[B14]]</f>
        <v>0.10345017940932928</v>
      </c>
      <c r="R182" s="26">
        <f>Rådatakommune[[#This Row],[S13]]/Rådatakommune[[#This Row],[S03]]-1</f>
        <v>0.24640723397384146</v>
      </c>
      <c r="S182" s="26">
        <f>Rådatakommune[[#This Row],[Y13]]/Rådatakommune[[#This Row],[Folk20-64]]</f>
        <v>0.95833730574887976</v>
      </c>
    </row>
    <row r="183" spans="1:19">
      <c r="A183" s="2" t="s">
        <v>181</v>
      </c>
      <c r="B183" s="38">
        <v>14313</v>
      </c>
      <c r="C183" s="38">
        <v>18485</v>
      </c>
      <c r="D183" s="38">
        <v>10311</v>
      </c>
      <c r="E183" s="38">
        <v>1818</v>
      </c>
      <c r="F183" s="4">
        <v>2534</v>
      </c>
      <c r="G183" s="4">
        <v>10749</v>
      </c>
      <c r="H183" s="38">
        <v>5395</v>
      </c>
      <c r="I183" s="38">
        <v>8027</v>
      </c>
      <c r="J183" s="7">
        <v>113.49</v>
      </c>
      <c r="K183" s="38">
        <v>428300</v>
      </c>
      <c r="L183">
        <v>168.0772505681</v>
      </c>
      <c r="M183">
        <v>2</v>
      </c>
      <c r="N183" s="37">
        <f>Rådatakommune[[#This Row],[B14]]/Rådatakommune[[#This Row],[Totalareal]]</f>
        <v>162.8777865891268</v>
      </c>
      <c r="O183" s="39">
        <f>Rådatakommune[[#This Row],[B14]]/Rådatakommune[[#This Row],[B04]]-1</f>
        <v>0.29148326696010618</v>
      </c>
      <c r="P183" s="26">
        <f>Rådatakommune[[#This Row],[Kvinner20-39]]/Rådatakommune[[#This Row],[B14]]</f>
        <v>0.13708412226129293</v>
      </c>
      <c r="Q183" s="26">
        <f>Rådatakommune[[#This Row],[Eldre67+]]/Rådatakommune[[#This Row],[B14]]</f>
        <v>9.8350013524479307E-2</v>
      </c>
      <c r="R183" s="26">
        <f>Rådatakommune[[#This Row],[S13]]/Rådatakommune[[#This Row],[S03]]-1</f>
        <v>0.48785912882298432</v>
      </c>
      <c r="S183" s="26">
        <f>Rådatakommune[[#This Row],[Y13]]/Rådatakommune[[#This Row],[Folk20-64]]</f>
        <v>0.95925202344404126</v>
      </c>
    </row>
    <row r="184" spans="1:19">
      <c r="A184" s="2" t="s">
        <v>182</v>
      </c>
      <c r="B184" s="38">
        <v>14177</v>
      </c>
      <c r="C184" s="38">
        <v>17897</v>
      </c>
      <c r="D184" s="38">
        <v>10046</v>
      </c>
      <c r="E184" s="38">
        <v>1861</v>
      </c>
      <c r="F184" s="4">
        <v>2501</v>
      </c>
      <c r="G184" s="4">
        <v>10620</v>
      </c>
      <c r="H184" s="38">
        <v>6417</v>
      </c>
      <c r="I184" s="38">
        <v>7715</v>
      </c>
      <c r="J184" s="7">
        <v>183.19</v>
      </c>
      <c r="K184" s="38">
        <v>437000</v>
      </c>
      <c r="L184">
        <v>172.35607635719998</v>
      </c>
      <c r="M184">
        <v>2</v>
      </c>
      <c r="N184" s="37">
        <f>Rådatakommune[[#This Row],[B14]]/Rådatakommune[[#This Row],[Totalareal]]</f>
        <v>97.696380806812599</v>
      </c>
      <c r="O184" s="39">
        <f>Rådatakommune[[#This Row],[B14]]/Rådatakommune[[#This Row],[B04]]-1</f>
        <v>0.26239683995203489</v>
      </c>
      <c r="P184" s="26">
        <f>Rådatakommune[[#This Row],[Kvinner20-39]]/Rådatakommune[[#This Row],[B14]]</f>
        <v>0.13974409118846734</v>
      </c>
      <c r="Q184" s="26">
        <f>Rådatakommune[[#This Row],[Eldre67+]]/Rådatakommune[[#This Row],[B14]]</f>
        <v>0.10398390791752808</v>
      </c>
      <c r="R184" s="26">
        <f>Rådatakommune[[#This Row],[S13]]/Rådatakommune[[#This Row],[S03]]-1</f>
        <v>0.20227520648278019</v>
      </c>
      <c r="S184" s="26">
        <f>Rådatakommune[[#This Row],[Y13]]/Rådatakommune[[#This Row],[Folk20-64]]</f>
        <v>0.94595103578154427</v>
      </c>
    </row>
    <row r="185" spans="1:19">
      <c r="A185" s="2" t="s">
        <v>183</v>
      </c>
      <c r="B185" s="38">
        <v>9248</v>
      </c>
      <c r="C185" s="38">
        <v>11317</v>
      </c>
      <c r="D185" s="38">
        <v>6458</v>
      </c>
      <c r="E185" s="38">
        <v>851</v>
      </c>
      <c r="F185" s="4">
        <v>1630</v>
      </c>
      <c r="G185" s="4">
        <v>6817</v>
      </c>
      <c r="H185" s="38">
        <v>2829</v>
      </c>
      <c r="I185" s="38">
        <v>3748</v>
      </c>
      <c r="J185" s="7">
        <v>617.95000000000005</v>
      </c>
      <c r="K185" s="38">
        <v>413000</v>
      </c>
      <c r="L185">
        <v>172.67071374099999</v>
      </c>
      <c r="M185">
        <v>2</v>
      </c>
      <c r="N185" s="37">
        <f>Rådatakommune[[#This Row],[B14]]/Rådatakommune[[#This Row],[Totalareal]]</f>
        <v>18.313779431992877</v>
      </c>
      <c r="O185" s="39">
        <f>Rådatakommune[[#This Row],[B14]]/Rådatakommune[[#This Row],[B04]]-1</f>
        <v>0.22372404844290661</v>
      </c>
      <c r="P185" s="26">
        <f>Rådatakommune[[#This Row],[Kvinner20-39]]/Rådatakommune[[#This Row],[B14]]</f>
        <v>0.14403110364937705</v>
      </c>
      <c r="Q185" s="26">
        <f>Rådatakommune[[#This Row],[Eldre67+]]/Rådatakommune[[#This Row],[B14]]</f>
        <v>7.5196606874613409E-2</v>
      </c>
      <c r="R185" s="26">
        <f>Rådatakommune[[#This Row],[S13]]/Rådatakommune[[#This Row],[S03]]-1</f>
        <v>0.3248497702368327</v>
      </c>
      <c r="S185" s="26">
        <f>Rådatakommune[[#This Row],[Y13]]/Rådatakommune[[#This Row],[Folk20-64]]</f>
        <v>0.94733753850667446</v>
      </c>
    </row>
    <row r="186" spans="1:19">
      <c r="A186" s="2" t="s">
        <v>184</v>
      </c>
      <c r="B186" s="38">
        <v>19555</v>
      </c>
      <c r="C186" s="38">
        <v>25083</v>
      </c>
      <c r="D186" s="38">
        <v>13820</v>
      </c>
      <c r="E186" s="38">
        <v>2476</v>
      </c>
      <c r="F186" s="4">
        <v>3487</v>
      </c>
      <c r="G186" s="4">
        <v>15083</v>
      </c>
      <c r="H186" s="38">
        <v>13604</v>
      </c>
      <c r="I186" s="38">
        <v>24288</v>
      </c>
      <c r="J186" s="7">
        <v>68.69</v>
      </c>
      <c r="K186" s="38">
        <v>501100</v>
      </c>
      <c r="L186">
        <v>154.23509961164001</v>
      </c>
      <c r="M186">
        <v>2</v>
      </c>
      <c r="N186" s="37">
        <f>Rådatakommune[[#This Row],[B14]]/Rådatakommune[[#This Row],[Totalareal]]</f>
        <v>365.16232348231182</v>
      </c>
      <c r="O186" s="39">
        <f>Rådatakommune[[#This Row],[B14]]/Rådatakommune[[#This Row],[B04]]-1</f>
        <v>0.28268984914344153</v>
      </c>
      <c r="P186" s="26">
        <f>Rådatakommune[[#This Row],[Kvinner20-39]]/Rådatakommune[[#This Row],[B14]]</f>
        <v>0.13901845871705937</v>
      </c>
      <c r="Q186" s="26">
        <f>Rådatakommune[[#This Row],[Eldre67+]]/Rådatakommune[[#This Row],[B14]]</f>
        <v>9.8712275246182674E-2</v>
      </c>
      <c r="R186" s="26">
        <f>Rådatakommune[[#This Row],[S13]]/Rådatakommune[[#This Row],[S03]]-1</f>
        <v>0.78535724786827399</v>
      </c>
      <c r="S186" s="26">
        <f>Rådatakommune[[#This Row],[Y13]]/Rådatakommune[[#This Row],[Folk20-64]]</f>
        <v>0.91626334283630573</v>
      </c>
    </row>
    <row r="187" spans="1:19">
      <c r="A187" s="2" t="s">
        <v>185</v>
      </c>
      <c r="B187" s="38">
        <v>9076</v>
      </c>
      <c r="C187" s="38">
        <v>10416</v>
      </c>
      <c r="D187" s="38">
        <v>5603</v>
      </c>
      <c r="E187" s="38">
        <v>1154</v>
      </c>
      <c r="F187" s="4">
        <v>1284</v>
      </c>
      <c r="G187" s="4">
        <v>6033</v>
      </c>
      <c r="H187" s="38">
        <v>2725</v>
      </c>
      <c r="I187" s="38">
        <v>3671</v>
      </c>
      <c r="J187" s="7">
        <v>24.71</v>
      </c>
      <c r="K187" s="38">
        <v>473900</v>
      </c>
      <c r="L187">
        <v>167.16741645830001</v>
      </c>
      <c r="M187">
        <v>2</v>
      </c>
      <c r="N187" s="37">
        <f>Rådatakommune[[#This Row],[B14]]/Rådatakommune[[#This Row],[Totalareal]]</f>
        <v>421.52974504249289</v>
      </c>
      <c r="O187" s="39">
        <f>Rådatakommune[[#This Row],[B14]]/Rådatakommune[[#This Row],[B04]]-1</f>
        <v>0.14764213309828111</v>
      </c>
      <c r="P187" s="26">
        <f>Rådatakommune[[#This Row],[Kvinner20-39]]/Rådatakommune[[#This Row],[B14]]</f>
        <v>0.12327188940092165</v>
      </c>
      <c r="Q187" s="26">
        <f>Rådatakommune[[#This Row],[Eldre67+]]/Rådatakommune[[#This Row],[B14]]</f>
        <v>0.1107910906298003</v>
      </c>
      <c r="R187" s="26">
        <f>Rådatakommune[[#This Row],[S13]]/Rådatakommune[[#This Row],[S03]]-1</f>
        <v>0.34715596330275234</v>
      </c>
      <c r="S187" s="26">
        <f>Rådatakommune[[#This Row],[Y13]]/Rådatakommune[[#This Row],[Folk20-64]]</f>
        <v>0.92872534394165418</v>
      </c>
    </row>
    <row r="188" spans="1:19">
      <c r="A188" s="2" t="s">
        <v>186</v>
      </c>
      <c r="B188" s="38">
        <v>1069</v>
      </c>
      <c r="C188" s="38">
        <v>1242</v>
      </c>
      <c r="D188" s="38">
        <v>637</v>
      </c>
      <c r="E188" s="38">
        <v>162</v>
      </c>
      <c r="F188" s="4">
        <v>135</v>
      </c>
      <c r="G188" s="4">
        <v>676</v>
      </c>
      <c r="H188" s="38">
        <v>499</v>
      </c>
      <c r="I188" s="38">
        <v>553</v>
      </c>
      <c r="J188" s="7">
        <v>780.05</v>
      </c>
      <c r="K188" s="38">
        <v>392300</v>
      </c>
      <c r="L188">
        <v>199.67011548409999</v>
      </c>
      <c r="M188">
        <v>2</v>
      </c>
      <c r="N188" s="37">
        <f>Rådatakommune[[#This Row],[B14]]/Rådatakommune[[#This Row],[Totalareal]]</f>
        <v>1.592205627844369</v>
      </c>
      <c r="O188" s="39">
        <f>Rådatakommune[[#This Row],[B14]]/Rådatakommune[[#This Row],[B04]]-1</f>
        <v>0.16183348924228258</v>
      </c>
      <c r="P188" s="26">
        <f>Rådatakommune[[#This Row],[Kvinner20-39]]/Rådatakommune[[#This Row],[B14]]</f>
        <v>0.10869565217391304</v>
      </c>
      <c r="Q188" s="26">
        <f>Rådatakommune[[#This Row],[Eldre67+]]/Rådatakommune[[#This Row],[B14]]</f>
        <v>0.13043478260869565</v>
      </c>
      <c r="R188" s="26">
        <f>Rådatakommune[[#This Row],[S13]]/Rådatakommune[[#This Row],[S03]]-1</f>
        <v>0.10821643286573157</v>
      </c>
      <c r="S188" s="26">
        <f>Rådatakommune[[#This Row],[Y13]]/Rådatakommune[[#This Row],[Folk20-64]]</f>
        <v>0.94230769230769229</v>
      </c>
    </row>
    <row r="189" spans="1:19">
      <c r="A189" s="2" t="s">
        <v>187</v>
      </c>
      <c r="B189" s="38">
        <v>10328</v>
      </c>
      <c r="C189" s="38">
        <v>12139</v>
      </c>
      <c r="D189" s="38">
        <v>6184</v>
      </c>
      <c r="E189" s="38">
        <v>1496</v>
      </c>
      <c r="F189" s="4">
        <v>1578</v>
      </c>
      <c r="G189" s="4">
        <v>6868</v>
      </c>
      <c r="H189" s="38">
        <v>3237</v>
      </c>
      <c r="I189" s="38">
        <v>4282</v>
      </c>
      <c r="J189" s="7">
        <v>218.13</v>
      </c>
      <c r="K189" s="38">
        <v>408100</v>
      </c>
      <c r="L189">
        <v>208.71012144549999</v>
      </c>
      <c r="M189">
        <v>2</v>
      </c>
      <c r="N189" s="37">
        <f>Rådatakommune[[#This Row],[B14]]/Rådatakommune[[#This Row],[Totalareal]]</f>
        <v>55.650300279649748</v>
      </c>
      <c r="O189" s="39">
        <f>Rådatakommune[[#This Row],[B14]]/Rådatakommune[[#This Row],[B04]]-1</f>
        <v>0.17534856700232382</v>
      </c>
      <c r="P189" s="26">
        <f>Rådatakommune[[#This Row],[Kvinner20-39]]/Rådatakommune[[#This Row],[B14]]</f>
        <v>0.12999423346239394</v>
      </c>
      <c r="Q189" s="26">
        <f>Rådatakommune[[#This Row],[Eldre67+]]/Rådatakommune[[#This Row],[B14]]</f>
        <v>0.1232391465524343</v>
      </c>
      <c r="R189" s="26">
        <f>Rådatakommune[[#This Row],[S13]]/Rådatakommune[[#This Row],[S03]]-1</f>
        <v>0.32282978066110601</v>
      </c>
      <c r="S189" s="26">
        <f>Rådatakommune[[#This Row],[Y13]]/Rådatakommune[[#This Row],[Folk20-64]]</f>
        <v>0.90040768782760627</v>
      </c>
    </row>
    <row r="190" spans="1:19">
      <c r="A190" s="2" t="s">
        <v>188</v>
      </c>
      <c r="B190" s="38">
        <v>2747</v>
      </c>
      <c r="C190" s="38">
        <v>2787</v>
      </c>
      <c r="D190" s="38">
        <v>1488</v>
      </c>
      <c r="E190" s="38">
        <v>413</v>
      </c>
      <c r="F190" s="4">
        <v>309</v>
      </c>
      <c r="G190" s="4">
        <v>1541</v>
      </c>
      <c r="H190" s="38">
        <v>1444</v>
      </c>
      <c r="I190" s="38">
        <v>1345</v>
      </c>
      <c r="J190" s="7">
        <v>1088.82</v>
      </c>
      <c r="K190" s="38">
        <v>390000</v>
      </c>
      <c r="L190">
        <v>252.69941515799999</v>
      </c>
      <c r="M190">
        <v>11</v>
      </c>
      <c r="N190" s="37">
        <f>Rådatakommune[[#This Row],[B14]]/Rådatakommune[[#This Row],[Totalareal]]</f>
        <v>2.5596517330688271</v>
      </c>
      <c r="O190" s="39">
        <f>Rådatakommune[[#This Row],[B14]]/Rådatakommune[[#This Row],[B04]]-1</f>
        <v>1.4561339643247129E-2</v>
      </c>
      <c r="P190" s="26">
        <f>Rådatakommune[[#This Row],[Kvinner20-39]]/Rådatakommune[[#This Row],[B14]]</f>
        <v>0.1108719052744887</v>
      </c>
      <c r="Q190" s="26">
        <f>Rådatakommune[[#This Row],[Eldre67+]]/Rådatakommune[[#This Row],[B14]]</f>
        <v>0.14818801578758523</v>
      </c>
      <c r="R190" s="26">
        <f>Rådatakommune[[#This Row],[S13]]/Rådatakommune[[#This Row],[S03]]-1</f>
        <v>-6.8559556786703557E-2</v>
      </c>
      <c r="S190" s="26">
        <f>Rådatakommune[[#This Row],[Y13]]/Rådatakommune[[#This Row],[Folk20-64]]</f>
        <v>0.96560674886437381</v>
      </c>
    </row>
    <row r="191" spans="1:19">
      <c r="A191" s="2" t="s">
        <v>189</v>
      </c>
      <c r="B191" s="38">
        <v>3895</v>
      </c>
      <c r="C191" s="38">
        <v>3881</v>
      </c>
      <c r="D191" s="38">
        <v>2058</v>
      </c>
      <c r="E191" s="38">
        <v>640</v>
      </c>
      <c r="F191" s="4">
        <v>422</v>
      </c>
      <c r="G191" s="4">
        <v>2114</v>
      </c>
      <c r="H191" s="38">
        <v>1934</v>
      </c>
      <c r="I191" s="38">
        <v>2178</v>
      </c>
      <c r="J191" s="7">
        <v>1736.88</v>
      </c>
      <c r="K191" s="38">
        <v>361400</v>
      </c>
      <c r="L191">
        <v>239.61046894770001</v>
      </c>
      <c r="M191">
        <v>10</v>
      </c>
      <c r="N191" s="37">
        <f>Rådatakommune[[#This Row],[B14]]/Rådatakommune[[#This Row],[Totalareal]]</f>
        <v>2.2344663995209801</v>
      </c>
      <c r="O191" s="39">
        <f>Rådatakommune[[#This Row],[B14]]/Rådatakommune[[#This Row],[B04]]-1</f>
        <v>-3.5943517329910524E-3</v>
      </c>
      <c r="P191" s="26">
        <f>Rådatakommune[[#This Row],[Kvinner20-39]]/Rådatakommune[[#This Row],[B14]]</f>
        <v>0.10873486214893069</v>
      </c>
      <c r="Q191" s="26">
        <f>Rådatakommune[[#This Row],[Eldre67+]]/Rådatakommune[[#This Row],[B14]]</f>
        <v>0.16490595207420769</v>
      </c>
      <c r="R191" s="26">
        <f>Rådatakommune[[#This Row],[S13]]/Rådatakommune[[#This Row],[S03]]-1</f>
        <v>0.12616339193381587</v>
      </c>
      <c r="S191" s="26">
        <f>Rådatakommune[[#This Row],[Y13]]/Rådatakommune[[#This Row],[Folk20-64]]</f>
        <v>0.97350993377483441</v>
      </c>
    </row>
    <row r="192" spans="1:19">
      <c r="A192" s="2" t="s">
        <v>190</v>
      </c>
      <c r="B192" s="38">
        <v>4878</v>
      </c>
      <c r="C192" s="38">
        <v>4760</v>
      </c>
      <c r="D192" s="38">
        <v>2363</v>
      </c>
      <c r="E192" s="38">
        <v>854</v>
      </c>
      <c r="F192" s="4">
        <v>528</v>
      </c>
      <c r="G192" s="4">
        <v>2630</v>
      </c>
      <c r="H192" s="38">
        <v>2024</v>
      </c>
      <c r="I192" s="38">
        <v>2048</v>
      </c>
      <c r="J192" s="7">
        <v>546.29999999999995</v>
      </c>
      <c r="K192" s="38">
        <v>369400</v>
      </c>
      <c r="L192">
        <v>251.86443753</v>
      </c>
      <c r="M192">
        <v>9</v>
      </c>
      <c r="N192" s="37">
        <f>Rådatakommune[[#This Row],[B14]]/Rådatakommune[[#This Row],[Totalareal]]</f>
        <v>8.7131612667032776</v>
      </c>
      <c r="O192" s="39">
        <f>Rådatakommune[[#This Row],[B14]]/Rådatakommune[[#This Row],[B04]]-1</f>
        <v>-2.419024190241903E-2</v>
      </c>
      <c r="P192" s="26">
        <f>Rådatakommune[[#This Row],[Kvinner20-39]]/Rådatakommune[[#This Row],[B14]]</f>
        <v>0.11092436974789915</v>
      </c>
      <c r="Q192" s="26">
        <f>Rådatakommune[[#This Row],[Eldre67+]]/Rådatakommune[[#This Row],[B14]]</f>
        <v>0.17941176470588235</v>
      </c>
      <c r="R192" s="26">
        <f>Rådatakommune[[#This Row],[S13]]/Rådatakommune[[#This Row],[S03]]-1</f>
        <v>1.1857707509881354E-2</v>
      </c>
      <c r="S192" s="26">
        <f>Rådatakommune[[#This Row],[Y13]]/Rådatakommune[[#This Row],[Folk20-64]]</f>
        <v>0.89847908745247151</v>
      </c>
    </row>
    <row r="193" spans="1:19">
      <c r="A193" s="2" t="s">
        <v>191</v>
      </c>
      <c r="B193" s="38">
        <v>2809</v>
      </c>
      <c r="C193" s="38">
        <v>3058</v>
      </c>
      <c r="D193" s="38">
        <v>1757</v>
      </c>
      <c r="E193" s="38">
        <v>447</v>
      </c>
      <c r="F193" s="4">
        <v>359</v>
      </c>
      <c r="G193" s="4">
        <v>1730</v>
      </c>
      <c r="H193" s="38">
        <v>1274</v>
      </c>
      <c r="I193" s="38">
        <v>1472</v>
      </c>
      <c r="J193" s="7">
        <v>104.41000000000001</v>
      </c>
      <c r="K193" s="38">
        <v>412100</v>
      </c>
      <c r="L193">
        <v>194.4205606006</v>
      </c>
      <c r="M193">
        <v>2</v>
      </c>
      <c r="N193" s="37">
        <f>Rådatakommune[[#This Row],[B14]]/Rådatakommune[[#This Row],[Totalareal]]</f>
        <v>29.288382338856429</v>
      </c>
      <c r="O193" s="39">
        <f>Rådatakommune[[#This Row],[B14]]/Rådatakommune[[#This Row],[B04]]-1</f>
        <v>8.8643645425418249E-2</v>
      </c>
      <c r="P193" s="26">
        <f>Rådatakommune[[#This Row],[Kvinner20-39]]/Rådatakommune[[#This Row],[B14]]</f>
        <v>0.11739699149771092</v>
      </c>
      <c r="Q193" s="26">
        <f>Rådatakommune[[#This Row],[Eldre67+]]/Rådatakommune[[#This Row],[B14]]</f>
        <v>0.14617396991497711</v>
      </c>
      <c r="R193" s="26">
        <f>Rådatakommune[[#This Row],[S13]]/Rådatakommune[[#This Row],[S03]]-1</f>
        <v>0.15541601255886972</v>
      </c>
      <c r="S193" s="26">
        <f>Rådatakommune[[#This Row],[Y13]]/Rådatakommune[[#This Row],[Folk20-64]]</f>
        <v>1.015606936416185</v>
      </c>
    </row>
    <row r="194" spans="1:19">
      <c r="A194" s="2" t="s">
        <v>192</v>
      </c>
      <c r="B194" s="38">
        <v>3309</v>
      </c>
      <c r="C194" s="38">
        <v>4755</v>
      </c>
      <c r="D194" s="38">
        <v>2656</v>
      </c>
      <c r="E194" s="38">
        <v>446</v>
      </c>
      <c r="F194" s="4">
        <v>638</v>
      </c>
      <c r="G194" s="4">
        <v>2762</v>
      </c>
      <c r="H194" s="38">
        <v>1026</v>
      </c>
      <c r="I194" s="38">
        <v>1169</v>
      </c>
      <c r="J194" s="7">
        <v>65.5</v>
      </c>
      <c r="K194" s="38">
        <v>471000</v>
      </c>
      <c r="L194">
        <v>180.61545932019999</v>
      </c>
      <c r="M194">
        <v>2</v>
      </c>
      <c r="N194" s="37">
        <f>Rådatakommune[[#This Row],[B14]]/Rådatakommune[[#This Row],[Totalareal]]</f>
        <v>72.595419847328245</v>
      </c>
      <c r="O194" s="39">
        <f>Rådatakommune[[#This Row],[B14]]/Rådatakommune[[#This Row],[B04]]-1</f>
        <v>0.4369900271985494</v>
      </c>
      <c r="P194" s="26">
        <f>Rådatakommune[[#This Row],[Kvinner20-39]]/Rådatakommune[[#This Row],[B14]]</f>
        <v>0.13417455310199788</v>
      </c>
      <c r="Q194" s="26">
        <f>Rådatakommune[[#This Row],[Eldre67+]]/Rådatakommune[[#This Row],[B14]]</f>
        <v>9.3796004206098849E-2</v>
      </c>
      <c r="R194" s="26">
        <f>Rådatakommune[[#This Row],[S13]]/Rådatakommune[[#This Row],[S03]]-1</f>
        <v>0.13937621832358671</v>
      </c>
      <c r="S194" s="26">
        <f>Rådatakommune[[#This Row],[Y13]]/Rådatakommune[[#This Row],[Folk20-64]]</f>
        <v>0.96162201303403327</v>
      </c>
    </row>
    <row r="195" spans="1:19">
      <c r="A195" s="2" t="s">
        <v>193</v>
      </c>
      <c r="B195" s="38">
        <v>508</v>
      </c>
      <c r="C195" s="38">
        <v>531</v>
      </c>
      <c r="D195" s="38">
        <v>275</v>
      </c>
      <c r="E195" s="38">
        <v>106</v>
      </c>
      <c r="F195" s="4">
        <v>54</v>
      </c>
      <c r="G195" s="4">
        <v>282</v>
      </c>
      <c r="H195" s="38">
        <v>262</v>
      </c>
      <c r="I195" s="38">
        <v>296</v>
      </c>
      <c r="J195" s="7">
        <v>6.29</v>
      </c>
      <c r="K195" s="38">
        <v>364300</v>
      </c>
      <c r="L195">
        <v>224.42987368960002</v>
      </c>
      <c r="M195">
        <v>2</v>
      </c>
      <c r="N195" s="37">
        <f>Rådatakommune[[#This Row],[B14]]/Rådatakommune[[#This Row],[Totalareal]]</f>
        <v>84.419713831478532</v>
      </c>
      <c r="O195" s="39">
        <f>Rådatakommune[[#This Row],[B14]]/Rådatakommune[[#This Row],[B04]]-1</f>
        <v>4.5275590551181022E-2</v>
      </c>
      <c r="P195" s="26">
        <f>Rådatakommune[[#This Row],[Kvinner20-39]]/Rådatakommune[[#This Row],[B14]]</f>
        <v>0.10169491525423729</v>
      </c>
      <c r="Q195" s="26">
        <f>Rådatakommune[[#This Row],[Eldre67+]]/Rådatakommune[[#This Row],[B14]]</f>
        <v>0.19962335216572505</v>
      </c>
      <c r="R195" s="26">
        <f>Rådatakommune[[#This Row],[S13]]/Rådatakommune[[#This Row],[S03]]-1</f>
        <v>0.12977099236641232</v>
      </c>
      <c r="S195" s="26">
        <f>Rådatakommune[[#This Row],[Y13]]/Rådatakommune[[#This Row],[Folk20-64]]</f>
        <v>0.97517730496453903</v>
      </c>
    </row>
    <row r="196" spans="1:19">
      <c r="A196" s="2" t="s">
        <v>194</v>
      </c>
      <c r="B196" s="38">
        <v>767</v>
      </c>
      <c r="C196" s="38">
        <v>868</v>
      </c>
      <c r="D196" s="38">
        <v>437</v>
      </c>
      <c r="E196" s="38">
        <v>149</v>
      </c>
      <c r="F196" s="4">
        <v>99</v>
      </c>
      <c r="G196" s="4">
        <v>477</v>
      </c>
      <c r="H196" s="38">
        <v>316</v>
      </c>
      <c r="I196" s="38">
        <v>325</v>
      </c>
      <c r="J196" s="7">
        <v>47.160000000000004</v>
      </c>
      <c r="K196" s="38">
        <v>381900</v>
      </c>
      <c r="L196">
        <v>195.3012530446</v>
      </c>
      <c r="M196">
        <v>4</v>
      </c>
      <c r="N196" s="37">
        <f>Rådatakommune[[#This Row],[B14]]/Rådatakommune[[#This Row],[Totalareal]]</f>
        <v>18.405428329092448</v>
      </c>
      <c r="O196" s="39">
        <f>Rådatakommune[[#This Row],[B14]]/Rådatakommune[[#This Row],[B04]]-1</f>
        <v>0.13168187744458937</v>
      </c>
      <c r="P196" s="26">
        <f>Rådatakommune[[#This Row],[Kvinner20-39]]/Rådatakommune[[#This Row],[B14]]</f>
        <v>0.11405529953917051</v>
      </c>
      <c r="Q196" s="26">
        <f>Rådatakommune[[#This Row],[Eldre67+]]/Rådatakommune[[#This Row],[B14]]</f>
        <v>0.17165898617511521</v>
      </c>
      <c r="R196" s="26">
        <f>Rådatakommune[[#This Row],[S13]]/Rådatakommune[[#This Row],[S03]]-1</f>
        <v>2.8481012658227778E-2</v>
      </c>
      <c r="S196" s="26">
        <f>Rådatakommune[[#This Row],[Y13]]/Rådatakommune[[#This Row],[Folk20-64]]</f>
        <v>0.9161425576519916</v>
      </c>
    </row>
    <row r="197" spans="1:19">
      <c r="A197" s="2" t="s">
        <v>195</v>
      </c>
      <c r="B197" s="38">
        <v>9213</v>
      </c>
      <c r="C197" s="38">
        <v>10668</v>
      </c>
      <c r="D197" s="38">
        <v>5484</v>
      </c>
      <c r="E197" s="38">
        <v>1267</v>
      </c>
      <c r="F197" s="4">
        <v>1327</v>
      </c>
      <c r="G197" s="4">
        <v>5963</v>
      </c>
      <c r="H197" s="38">
        <v>3586</v>
      </c>
      <c r="I197" s="38">
        <v>4281</v>
      </c>
      <c r="J197" s="7">
        <v>425.4</v>
      </c>
      <c r="K197" s="38">
        <v>394600</v>
      </c>
      <c r="L197">
        <v>170.3523457014</v>
      </c>
      <c r="M197">
        <v>4</v>
      </c>
      <c r="N197" s="37">
        <f>Rådatakommune[[#This Row],[B14]]/Rådatakommune[[#This Row],[Totalareal]]</f>
        <v>25.077574047954869</v>
      </c>
      <c r="O197" s="39">
        <f>Rådatakommune[[#This Row],[B14]]/Rådatakommune[[#This Row],[B04]]-1</f>
        <v>0.15792901335070009</v>
      </c>
      <c r="P197" s="26">
        <f>Rådatakommune[[#This Row],[Kvinner20-39]]/Rådatakommune[[#This Row],[B14]]</f>
        <v>0.12439070116235471</v>
      </c>
      <c r="Q197" s="26">
        <f>Rådatakommune[[#This Row],[Eldre67+]]/Rådatakommune[[#This Row],[B14]]</f>
        <v>0.11876640419947507</v>
      </c>
      <c r="R197" s="26">
        <f>Rådatakommune[[#This Row],[S13]]/Rådatakommune[[#This Row],[S03]]-1</f>
        <v>0.19380925822643613</v>
      </c>
      <c r="S197" s="26">
        <f>Rådatakommune[[#This Row],[Y13]]/Rådatakommune[[#This Row],[Folk20-64]]</f>
        <v>0.91967130638940131</v>
      </c>
    </row>
    <row r="198" spans="1:19">
      <c r="A198" s="2" t="s">
        <v>196</v>
      </c>
      <c r="B198" s="38">
        <v>37281</v>
      </c>
      <c r="C198" s="38">
        <v>41753</v>
      </c>
      <c r="D198" s="38">
        <v>20572</v>
      </c>
      <c r="E198" s="38">
        <v>5292</v>
      </c>
      <c r="F198" s="4">
        <v>5295</v>
      </c>
      <c r="G198" s="4">
        <v>24106</v>
      </c>
      <c r="H198" s="38">
        <v>13469</v>
      </c>
      <c r="I198" s="38">
        <v>15240</v>
      </c>
      <c r="J198" s="7">
        <v>229.9</v>
      </c>
      <c r="K198" s="38">
        <v>382100</v>
      </c>
      <c r="L198">
        <v>160.56813710329999</v>
      </c>
      <c r="M198">
        <v>4</v>
      </c>
      <c r="N198" s="37">
        <f>Rådatakommune[[#This Row],[B14]]/Rådatakommune[[#This Row],[Totalareal]]</f>
        <v>181.61374510656808</v>
      </c>
      <c r="O198" s="39">
        <f>Rådatakommune[[#This Row],[B14]]/Rådatakommune[[#This Row],[B04]]-1</f>
        <v>0.11995386389850049</v>
      </c>
      <c r="P198" s="26">
        <f>Rådatakommune[[#This Row],[Kvinner20-39]]/Rådatakommune[[#This Row],[B14]]</f>
        <v>0.12681723468972289</v>
      </c>
      <c r="Q198" s="26">
        <f>Rådatakommune[[#This Row],[Eldre67+]]/Rådatakommune[[#This Row],[B14]]</f>
        <v>0.12674538356525281</v>
      </c>
      <c r="R198" s="26">
        <f>Rådatakommune[[#This Row],[S13]]/Rådatakommune[[#This Row],[S03]]-1</f>
        <v>0.13148711856856488</v>
      </c>
      <c r="S198" s="26">
        <f>Rådatakommune[[#This Row],[Y13]]/Rådatakommune[[#This Row],[Folk20-64]]</f>
        <v>0.85339749439973456</v>
      </c>
    </row>
    <row r="199" spans="1:19">
      <c r="A199" s="2" t="s">
        <v>197</v>
      </c>
      <c r="B199" s="38">
        <v>215</v>
      </c>
      <c r="C199" s="38">
        <v>211</v>
      </c>
      <c r="D199" s="38">
        <v>117</v>
      </c>
      <c r="E199" s="38">
        <v>32</v>
      </c>
      <c r="F199" s="4">
        <v>26</v>
      </c>
      <c r="G199" s="4">
        <v>123</v>
      </c>
      <c r="H199" s="38">
        <v>94</v>
      </c>
      <c r="I199" s="38">
        <v>103</v>
      </c>
      <c r="J199" s="7">
        <v>6.33</v>
      </c>
      <c r="K199" s="38">
        <v>414300</v>
      </c>
      <c r="L199">
        <v>233</v>
      </c>
      <c r="M199">
        <v>11</v>
      </c>
      <c r="N199" s="37">
        <f>Rådatakommune[[#This Row],[B14]]/Rådatakommune[[#This Row],[Totalareal]]</f>
        <v>33.333333333333336</v>
      </c>
      <c r="O199" s="39">
        <f>Rådatakommune[[#This Row],[B14]]/Rådatakommune[[#This Row],[B04]]-1</f>
        <v>-1.8604651162790753E-2</v>
      </c>
      <c r="P199" s="26">
        <f>Rådatakommune[[#This Row],[Kvinner20-39]]/Rådatakommune[[#This Row],[B14]]</f>
        <v>0.12322274881516587</v>
      </c>
      <c r="Q199" s="26">
        <f>Rådatakommune[[#This Row],[Eldre67+]]/Rådatakommune[[#This Row],[B14]]</f>
        <v>0.15165876777251186</v>
      </c>
      <c r="R199" s="26">
        <f>Rådatakommune[[#This Row],[S13]]/Rådatakommune[[#This Row],[S03]]-1</f>
        <v>9.5744680851063801E-2</v>
      </c>
      <c r="S199" s="26">
        <f>Rådatakommune[[#This Row],[Y13]]/Rådatakommune[[#This Row],[Folk20-64]]</f>
        <v>0.95121951219512191</v>
      </c>
    </row>
    <row r="200" spans="1:19" ht="16.5">
      <c r="A200" s="2" t="s">
        <v>198</v>
      </c>
      <c r="B200" s="40">
        <v>8182</v>
      </c>
      <c r="C200" s="38">
        <v>8747</v>
      </c>
      <c r="D200" s="38">
        <v>4629</v>
      </c>
      <c r="E200" s="38">
        <v>1270</v>
      </c>
      <c r="F200" s="4">
        <v>998</v>
      </c>
      <c r="G200" s="4">
        <v>4946</v>
      </c>
      <c r="H200" s="38">
        <v>3929</v>
      </c>
      <c r="I200" s="38">
        <v>4871</v>
      </c>
      <c r="J200" s="7">
        <v>620.59</v>
      </c>
      <c r="K200" s="38">
        <v>386000</v>
      </c>
      <c r="L200">
        <v>200.6499809458</v>
      </c>
      <c r="M200">
        <v>4</v>
      </c>
      <c r="N200" s="37">
        <f>Rådatakommune[[#This Row],[B14]]/Rådatakommune[[#This Row],[Totalareal]]</f>
        <v>14.094651863549203</v>
      </c>
      <c r="O200" s="39">
        <f>Rådatakommune[[#This Row],[B14]]/Rådatakommune[[#This Row],[B04]]-1</f>
        <v>6.9054021021755174E-2</v>
      </c>
      <c r="P200" s="26">
        <f>Rådatakommune[[#This Row],[Kvinner20-39]]/Rådatakommune[[#This Row],[B14]]</f>
        <v>0.11409626157539728</v>
      </c>
      <c r="Q200" s="26">
        <f>Rådatakommune[[#This Row],[Eldre67+]]/Rådatakommune[[#This Row],[B14]]</f>
        <v>0.14519263747570596</v>
      </c>
      <c r="R200" s="26">
        <f>Rådatakommune[[#This Row],[S13]]/Rådatakommune[[#This Row],[S03]]-1</f>
        <v>0.23975566301857976</v>
      </c>
      <c r="S200" s="26">
        <f>Rådatakommune[[#This Row],[Y13]]/Rådatakommune[[#This Row],[Folk20-64]]</f>
        <v>0.93590780428629194</v>
      </c>
    </row>
    <row r="201" spans="1:19">
      <c r="A201" s="2" t="s">
        <v>199</v>
      </c>
      <c r="B201" s="38">
        <v>237430</v>
      </c>
      <c r="C201" s="38">
        <v>271949</v>
      </c>
      <c r="D201" s="38">
        <v>144749</v>
      </c>
      <c r="E201" s="38">
        <v>34375</v>
      </c>
      <c r="F201" s="4">
        <v>40814</v>
      </c>
      <c r="G201" s="4">
        <v>168513</v>
      </c>
      <c r="H201" s="38">
        <v>134822</v>
      </c>
      <c r="I201" s="38">
        <v>164696</v>
      </c>
      <c r="J201" s="7">
        <v>464.7</v>
      </c>
      <c r="K201" s="38">
        <v>410900</v>
      </c>
      <c r="L201">
        <v>165.9361952889</v>
      </c>
      <c r="M201">
        <v>1</v>
      </c>
      <c r="N201" s="37">
        <f>Rådatakommune[[#This Row],[B14]]/Rådatakommune[[#This Row],[Totalareal]]</f>
        <v>585.21411663438778</v>
      </c>
      <c r="O201" s="39">
        <f>Rådatakommune[[#This Row],[B14]]/Rådatakommune[[#This Row],[B04]]-1</f>
        <v>0.14538600850777073</v>
      </c>
      <c r="P201" s="26">
        <f>Rådatakommune[[#This Row],[Kvinner20-39]]/Rådatakommune[[#This Row],[B14]]</f>
        <v>0.15007961051520691</v>
      </c>
      <c r="Q201" s="26">
        <f>Rådatakommune[[#This Row],[Eldre67+]]/Rådatakommune[[#This Row],[B14]]</f>
        <v>0.12640237691626002</v>
      </c>
      <c r="R201" s="26">
        <f>Rådatakommune[[#This Row],[S13]]/Rådatakommune[[#This Row],[S03]]-1</f>
        <v>0.22158104760350694</v>
      </c>
      <c r="S201" s="26">
        <f>Rådatakommune[[#This Row],[Y13]]/Rådatakommune[[#This Row],[Folk20-64]]</f>
        <v>0.85897823906760906</v>
      </c>
    </row>
    <row r="202" spans="1:19">
      <c r="A202" s="2" t="s">
        <v>200</v>
      </c>
      <c r="B202" s="38">
        <v>3916</v>
      </c>
      <c r="C202" s="38">
        <v>4057</v>
      </c>
      <c r="D202" s="38">
        <v>2158</v>
      </c>
      <c r="E202" s="38">
        <v>657</v>
      </c>
      <c r="F202" s="4">
        <v>445</v>
      </c>
      <c r="G202" s="4">
        <v>2271</v>
      </c>
      <c r="H202" s="38">
        <v>1519</v>
      </c>
      <c r="I202" s="38">
        <v>1650</v>
      </c>
      <c r="J202" s="7">
        <v>735.27</v>
      </c>
      <c r="K202" s="38">
        <v>375200</v>
      </c>
      <c r="L202">
        <v>211.40325304460001</v>
      </c>
      <c r="M202">
        <v>8</v>
      </c>
      <c r="N202" s="37">
        <f>Rådatakommune[[#This Row],[B14]]/Rådatakommune[[#This Row],[Totalareal]]</f>
        <v>5.5177009805921635</v>
      </c>
      <c r="O202" s="39">
        <f>Rådatakommune[[#This Row],[B14]]/Rådatakommune[[#This Row],[B04]]-1</f>
        <v>3.6006128702757989E-2</v>
      </c>
      <c r="P202" s="26">
        <f>Rådatakommune[[#This Row],[Kvinner20-39]]/Rådatakommune[[#This Row],[B14]]</f>
        <v>0.10968696080847917</v>
      </c>
      <c r="Q202" s="26">
        <f>Rådatakommune[[#This Row],[Eldre67+]]/Rådatakommune[[#This Row],[B14]]</f>
        <v>0.16194232191274341</v>
      </c>
      <c r="R202" s="26">
        <f>Rådatakommune[[#This Row],[S13]]/Rådatakommune[[#This Row],[S03]]-1</f>
        <v>8.6240947992100025E-2</v>
      </c>
      <c r="S202" s="26">
        <f>Rådatakommune[[#This Row],[Y13]]/Rådatakommune[[#This Row],[Folk20-64]]</f>
        <v>0.95024218405988548</v>
      </c>
    </row>
    <row r="203" spans="1:19">
      <c r="A203" s="2" t="s">
        <v>201</v>
      </c>
      <c r="B203" s="38">
        <v>4687</v>
      </c>
      <c r="C203" s="38">
        <v>5463</v>
      </c>
      <c r="D203" s="38">
        <v>2792</v>
      </c>
      <c r="E203" s="38">
        <v>659</v>
      </c>
      <c r="F203" s="4">
        <v>666</v>
      </c>
      <c r="G203" s="4">
        <v>3102</v>
      </c>
      <c r="H203" s="38">
        <v>1095</v>
      </c>
      <c r="I203" s="38">
        <v>1449</v>
      </c>
      <c r="J203" s="7">
        <v>246.14</v>
      </c>
      <c r="K203" s="38">
        <v>381200</v>
      </c>
      <c r="L203">
        <v>179.69353327940001</v>
      </c>
      <c r="M203">
        <v>4</v>
      </c>
      <c r="N203" s="37">
        <f>Rådatakommune[[#This Row],[B14]]/Rådatakommune[[#This Row],[Totalareal]]</f>
        <v>22.19468595108475</v>
      </c>
      <c r="O203" s="39">
        <f>Rådatakommune[[#This Row],[B14]]/Rådatakommune[[#This Row],[B04]]-1</f>
        <v>0.16556432686153189</v>
      </c>
      <c r="P203" s="26">
        <f>Rådatakommune[[#This Row],[Kvinner20-39]]/Rådatakommune[[#This Row],[B14]]</f>
        <v>0.12191103789126853</v>
      </c>
      <c r="Q203" s="26">
        <f>Rådatakommune[[#This Row],[Eldre67+]]/Rådatakommune[[#This Row],[B14]]</f>
        <v>0.12062969064616511</v>
      </c>
      <c r="R203" s="26">
        <f>Rådatakommune[[#This Row],[S13]]/Rådatakommune[[#This Row],[S03]]-1</f>
        <v>0.32328767123287672</v>
      </c>
      <c r="S203" s="26">
        <f>Rådatakommune[[#This Row],[Y13]]/Rådatakommune[[#This Row],[Folk20-64]]</f>
        <v>0.90006447453255967</v>
      </c>
    </row>
    <row r="204" spans="1:19">
      <c r="A204" s="2" t="s">
        <v>202</v>
      </c>
      <c r="B204" s="38">
        <v>10815</v>
      </c>
      <c r="C204" s="38">
        <v>11749</v>
      </c>
      <c r="D204" s="38">
        <v>5907</v>
      </c>
      <c r="E204" s="38">
        <v>1516</v>
      </c>
      <c r="F204" s="4">
        <v>1407</v>
      </c>
      <c r="G204" s="4">
        <v>6573</v>
      </c>
      <c r="H204" s="38">
        <v>4283</v>
      </c>
      <c r="I204" s="38">
        <v>4871</v>
      </c>
      <c r="J204" s="7">
        <v>246.56</v>
      </c>
      <c r="K204" s="38">
        <v>393300</v>
      </c>
      <c r="L204">
        <v>186.0814002134</v>
      </c>
      <c r="M204">
        <v>6</v>
      </c>
      <c r="N204" s="37">
        <f>Rådatakommune[[#This Row],[B14]]/Rådatakommune[[#This Row],[Totalareal]]</f>
        <v>47.651687216093443</v>
      </c>
      <c r="O204" s="39">
        <f>Rådatakommune[[#This Row],[B14]]/Rådatakommune[[#This Row],[B04]]-1</f>
        <v>8.6361534905224246E-2</v>
      </c>
      <c r="P204" s="26">
        <f>Rådatakommune[[#This Row],[Kvinner20-39]]/Rådatakommune[[#This Row],[B14]]</f>
        <v>0.1197548727551281</v>
      </c>
      <c r="Q204" s="26">
        <f>Rådatakommune[[#This Row],[Eldre67+]]/Rådatakommune[[#This Row],[B14]]</f>
        <v>0.12903225806451613</v>
      </c>
      <c r="R204" s="26">
        <f>Rådatakommune[[#This Row],[S13]]/Rådatakommune[[#This Row],[S03]]-1</f>
        <v>0.13728694840065381</v>
      </c>
      <c r="S204" s="26">
        <f>Rådatakommune[[#This Row],[Y13]]/Rådatakommune[[#This Row],[Folk20-64]]</f>
        <v>0.89867640346873578</v>
      </c>
    </row>
    <row r="205" spans="1:19">
      <c r="A205" s="2" t="s">
        <v>203</v>
      </c>
      <c r="B205" s="38">
        <v>16405</v>
      </c>
      <c r="C205" s="38">
        <v>18425</v>
      </c>
      <c r="D205" s="38">
        <v>9594</v>
      </c>
      <c r="E205" s="38">
        <v>2252</v>
      </c>
      <c r="F205" s="4">
        <v>2306</v>
      </c>
      <c r="G205" s="4">
        <v>10672</v>
      </c>
      <c r="H205" s="38">
        <v>8617</v>
      </c>
      <c r="I205" s="38">
        <v>9685</v>
      </c>
      <c r="J205" s="7">
        <v>143.69999999999999</v>
      </c>
      <c r="K205" s="38">
        <v>389800</v>
      </c>
      <c r="L205">
        <v>167.7926574599</v>
      </c>
      <c r="M205">
        <v>6</v>
      </c>
      <c r="N205" s="37">
        <f>Rådatakommune[[#This Row],[B14]]/Rådatakommune[[#This Row],[Totalareal]]</f>
        <v>128.2185107863605</v>
      </c>
      <c r="O205" s="39">
        <f>Rådatakommune[[#This Row],[B14]]/Rådatakommune[[#This Row],[B04]]-1</f>
        <v>0.12313319110027421</v>
      </c>
      <c r="P205" s="26">
        <f>Rådatakommune[[#This Row],[Kvinner20-39]]/Rådatakommune[[#This Row],[B14]]</f>
        <v>0.1251560379918589</v>
      </c>
      <c r="Q205" s="26">
        <f>Rådatakommune[[#This Row],[Eldre67+]]/Rådatakommune[[#This Row],[B14]]</f>
        <v>0.12222523744911805</v>
      </c>
      <c r="R205" s="26">
        <f>Rådatakommune[[#This Row],[S13]]/Rådatakommune[[#This Row],[S03]]-1</f>
        <v>0.12394104676801665</v>
      </c>
      <c r="S205" s="26">
        <f>Rådatakommune[[#This Row],[Y13]]/Rådatakommune[[#This Row],[Folk20-64]]</f>
        <v>0.89898800599700146</v>
      </c>
    </row>
    <row r="206" spans="1:19">
      <c r="A206" s="2" t="s">
        <v>204</v>
      </c>
      <c r="B206" s="38">
        <v>2911</v>
      </c>
      <c r="C206" s="38">
        <v>3009</v>
      </c>
      <c r="D206" s="38">
        <v>1602</v>
      </c>
      <c r="E206" s="38">
        <v>376</v>
      </c>
      <c r="F206" s="4">
        <v>340</v>
      </c>
      <c r="G206" s="4">
        <v>1710</v>
      </c>
      <c r="H206" s="38">
        <v>1100</v>
      </c>
      <c r="I206" s="38">
        <v>1260</v>
      </c>
      <c r="J206" s="7">
        <v>142.42999999999998</v>
      </c>
      <c r="K206" s="38">
        <v>388000</v>
      </c>
      <c r="L206">
        <v>171.59349923880001</v>
      </c>
      <c r="M206">
        <v>6</v>
      </c>
      <c r="N206" s="37">
        <f>Rådatakommune[[#This Row],[B14]]/Rådatakommune[[#This Row],[Totalareal]]</f>
        <v>21.126167240047746</v>
      </c>
      <c r="O206" s="39">
        <f>Rådatakommune[[#This Row],[B14]]/Rådatakommune[[#This Row],[B04]]-1</f>
        <v>3.3665407076606035E-2</v>
      </c>
      <c r="P206" s="26">
        <f>Rådatakommune[[#This Row],[Kvinner20-39]]/Rådatakommune[[#This Row],[B14]]</f>
        <v>0.11299435028248588</v>
      </c>
      <c r="Q206" s="26">
        <f>Rådatakommune[[#This Row],[Eldre67+]]/Rådatakommune[[#This Row],[B14]]</f>
        <v>0.12495845795945497</v>
      </c>
      <c r="R206" s="26">
        <f>Rådatakommune[[#This Row],[S13]]/Rådatakommune[[#This Row],[S03]]-1</f>
        <v>0.1454545454545455</v>
      </c>
      <c r="S206" s="26">
        <f>Rådatakommune[[#This Row],[Y13]]/Rådatakommune[[#This Row],[Folk20-64]]</f>
        <v>0.93684210526315792</v>
      </c>
    </row>
    <row r="207" spans="1:19">
      <c r="A207" s="2" t="s">
        <v>205</v>
      </c>
      <c r="B207" s="38">
        <v>2812</v>
      </c>
      <c r="C207" s="38">
        <v>2745</v>
      </c>
      <c r="D207" s="38">
        <v>1336</v>
      </c>
      <c r="E207" s="38">
        <v>565</v>
      </c>
      <c r="F207" s="4">
        <v>273</v>
      </c>
      <c r="G207" s="4">
        <v>1467</v>
      </c>
      <c r="H207" s="38">
        <v>978</v>
      </c>
      <c r="I207" s="38">
        <v>1092</v>
      </c>
      <c r="J207" s="7">
        <v>255.10999999999999</v>
      </c>
      <c r="K207" s="38">
        <v>368900</v>
      </c>
      <c r="L207">
        <v>199.9430332709</v>
      </c>
      <c r="M207">
        <v>6</v>
      </c>
      <c r="N207" s="37">
        <f>Rådatakommune[[#This Row],[B14]]/Rådatakommune[[#This Row],[Totalareal]]</f>
        <v>10.760064285994277</v>
      </c>
      <c r="O207" s="39">
        <f>Rådatakommune[[#This Row],[B14]]/Rådatakommune[[#This Row],[B04]]-1</f>
        <v>-2.3826458036984355E-2</v>
      </c>
      <c r="P207" s="26">
        <f>Rådatakommune[[#This Row],[Kvinner20-39]]/Rådatakommune[[#This Row],[B14]]</f>
        <v>9.94535519125683E-2</v>
      </c>
      <c r="Q207" s="26">
        <f>Rådatakommune[[#This Row],[Eldre67+]]/Rådatakommune[[#This Row],[B14]]</f>
        <v>0.2058287795992714</v>
      </c>
      <c r="R207" s="26">
        <f>Rådatakommune[[#This Row],[S13]]/Rådatakommune[[#This Row],[S03]]-1</f>
        <v>0.1165644171779141</v>
      </c>
      <c r="S207" s="26">
        <f>Rådatakommune[[#This Row],[Y13]]/Rådatakommune[[#This Row],[Folk20-64]]</f>
        <v>0.91070211315610083</v>
      </c>
    </row>
    <row r="208" spans="1:19">
      <c r="A208" s="2" t="s">
        <v>206</v>
      </c>
      <c r="B208" s="38">
        <v>13158</v>
      </c>
      <c r="C208" s="38">
        <v>13232</v>
      </c>
      <c r="D208" s="38">
        <v>6484</v>
      </c>
      <c r="E208" s="38">
        <v>2197</v>
      </c>
      <c r="F208" s="4">
        <v>1374</v>
      </c>
      <c r="G208" s="4">
        <v>7193</v>
      </c>
      <c r="H208" s="38">
        <v>5613</v>
      </c>
      <c r="I208" s="38">
        <v>5738</v>
      </c>
      <c r="J208" s="7">
        <v>1090.73</v>
      </c>
      <c r="K208" s="38">
        <v>366900</v>
      </c>
      <c r="L208">
        <v>267.881399837</v>
      </c>
      <c r="M208">
        <v>8</v>
      </c>
      <c r="N208" s="37">
        <f>Rådatakommune[[#This Row],[B14]]/Rådatakommune[[#This Row],[Totalareal]]</f>
        <v>12.131324892503185</v>
      </c>
      <c r="O208" s="39">
        <f>Rådatakommune[[#This Row],[B14]]/Rådatakommune[[#This Row],[B04]]-1</f>
        <v>5.6239550083598822E-3</v>
      </c>
      <c r="P208" s="26">
        <f>Rådatakommune[[#This Row],[Kvinner20-39]]/Rådatakommune[[#This Row],[B14]]</f>
        <v>0.1038391777509069</v>
      </c>
      <c r="Q208" s="26">
        <f>Rådatakommune[[#This Row],[Eldre67+]]/Rådatakommune[[#This Row],[B14]]</f>
        <v>0.16603688029020555</v>
      </c>
      <c r="R208" s="26">
        <f>Rådatakommune[[#This Row],[S13]]/Rådatakommune[[#This Row],[S03]]-1</f>
        <v>2.2269730981649749E-2</v>
      </c>
      <c r="S208" s="26">
        <f>Rådatakommune[[#This Row],[Y13]]/Rådatakommune[[#This Row],[Folk20-64]]</f>
        <v>0.90143194772695678</v>
      </c>
    </row>
    <row r="209" spans="1:19">
      <c r="A209" s="2" t="s">
        <v>207</v>
      </c>
      <c r="B209" s="38">
        <v>1073</v>
      </c>
      <c r="C209" s="38">
        <v>1094</v>
      </c>
      <c r="D209" s="38">
        <v>541</v>
      </c>
      <c r="E209" s="38">
        <v>225</v>
      </c>
      <c r="F209" s="4">
        <v>113</v>
      </c>
      <c r="G209" s="4">
        <v>581</v>
      </c>
      <c r="H209" s="38">
        <v>482</v>
      </c>
      <c r="I209" s="38">
        <v>411</v>
      </c>
      <c r="J209" s="7">
        <v>247.07</v>
      </c>
      <c r="K209" s="38">
        <v>342500</v>
      </c>
      <c r="L209">
        <v>232.38977560059999</v>
      </c>
      <c r="M209">
        <v>9</v>
      </c>
      <c r="N209" s="37">
        <f>Rådatakommune[[#This Row],[B14]]/Rådatakommune[[#This Row],[Totalareal]]</f>
        <v>4.4278949285627558</v>
      </c>
      <c r="O209" s="39">
        <f>Rådatakommune[[#This Row],[B14]]/Rådatakommune[[#This Row],[B04]]-1</f>
        <v>1.9571295433364444E-2</v>
      </c>
      <c r="P209" s="26">
        <f>Rådatakommune[[#This Row],[Kvinner20-39]]/Rådatakommune[[#This Row],[B14]]</f>
        <v>0.10329067641681901</v>
      </c>
      <c r="Q209" s="26">
        <f>Rådatakommune[[#This Row],[Eldre67+]]/Rådatakommune[[#This Row],[B14]]</f>
        <v>0.20566727605118831</v>
      </c>
      <c r="R209" s="26">
        <f>Rådatakommune[[#This Row],[S13]]/Rådatakommune[[#This Row],[S03]]-1</f>
        <v>-0.14730290456431538</v>
      </c>
      <c r="S209" s="26">
        <f>Rådatakommune[[#This Row],[Y13]]/Rådatakommune[[#This Row],[Folk20-64]]</f>
        <v>0.93115318416523241</v>
      </c>
    </row>
    <row r="210" spans="1:19">
      <c r="A210" s="2" t="s">
        <v>208</v>
      </c>
      <c r="B210" s="38">
        <v>7468</v>
      </c>
      <c r="C210" s="38">
        <v>7006</v>
      </c>
      <c r="D210" s="38">
        <v>3460</v>
      </c>
      <c r="E210" s="38">
        <v>1373</v>
      </c>
      <c r="F210" s="4">
        <v>762</v>
      </c>
      <c r="G210" s="4">
        <v>3961</v>
      </c>
      <c r="H210" s="38">
        <v>3632</v>
      </c>
      <c r="I210" s="38">
        <v>3607</v>
      </c>
      <c r="J210" s="7">
        <v>1615.89</v>
      </c>
      <c r="K210" s="38">
        <v>357200</v>
      </c>
      <c r="L210">
        <v>269.01517326499999</v>
      </c>
      <c r="M210">
        <v>7</v>
      </c>
      <c r="N210" s="37">
        <f>Rådatakommune[[#This Row],[B14]]/Rådatakommune[[#This Row],[Totalareal]]</f>
        <v>4.3356911670967699</v>
      </c>
      <c r="O210" s="39">
        <f>Rådatakommune[[#This Row],[B14]]/Rådatakommune[[#This Row],[B04]]-1</f>
        <v>-6.1863952865559679E-2</v>
      </c>
      <c r="P210" s="26">
        <f>Rådatakommune[[#This Row],[Kvinner20-39]]/Rådatakommune[[#This Row],[B14]]</f>
        <v>0.10876391664287753</v>
      </c>
      <c r="Q210" s="26">
        <f>Rådatakommune[[#This Row],[Eldre67+]]/Rådatakommune[[#This Row],[B14]]</f>
        <v>0.19597487867542107</v>
      </c>
      <c r="R210" s="26">
        <f>Rådatakommune[[#This Row],[S13]]/Rådatakommune[[#This Row],[S03]]-1</f>
        <v>-6.8832599118943127E-3</v>
      </c>
      <c r="S210" s="26">
        <f>Rådatakommune[[#This Row],[Y13]]/Rådatakommune[[#This Row],[Folk20-64]]</f>
        <v>0.87351678868972482</v>
      </c>
    </row>
    <row r="211" spans="1:19">
      <c r="A211" s="2" t="s">
        <v>209</v>
      </c>
      <c r="B211" s="38">
        <v>3513</v>
      </c>
      <c r="C211" s="38">
        <v>3369</v>
      </c>
      <c r="D211" s="38">
        <v>1732</v>
      </c>
      <c r="E211" s="38">
        <v>669</v>
      </c>
      <c r="F211" s="4">
        <v>340</v>
      </c>
      <c r="G211" s="4">
        <v>1797</v>
      </c>
      <c r="H211" s="38">
        <v>1319</v>
      </c>
      <c r="I211" s="38">
        <v>1269</v>
      </c>
      <c r="J211" s="7">
        <v>1398.5200000000002</v>
      </c>
      <c r="K211" s="38">
        <v>354500</v>
      </c>
      <c r="L211">
        <v>284.77290619600001</v>
      </c>
      <c r="M211">
        <v>7</v>
      </c>
      <c r="N211" s="37">
        <f>Rådatakommune[[#This Row],[B14]]/Rådatakommune[[#This Row],[Totalareal]]</f>
        <v>2.408975202356777</v>
      </c>
      <c r="O211" s="39">
        <f>Rådatakommune[[#This Row],[B14]]/Rådatakommune[[#This Row],[B04]]-1</f>
        <v>-4.0990606319385114E-2</v>
      </c>
      <c r="P211" s="26">
        <f>Rådatakommune[[#This Row],[Kvinner20-39]]/Rådatakommune[[#This Row],[B14]]</f>
        <v>0.10092015434847136</v>
      </c>
      <c r="Q211" s="26">
        <f>Rådatakommune[[#This Row],[Eldre67+]]/Rådatakommune[[#This Row],[B14]]</f>
        <v>0.19857524487978628</v>
      </c>
      <c r="R211" s="26">
        <f>Rådatakommune[[#This Row],[S13]]/Rådatakommune[[#This Row],[S03]]-1</f>
        <v>-3.7907505686125886E-2</v>
      </c>
      <c r="S211" s="26">
        <f>Rådatakommune[[#This Row],[Y13]]/Rådatakommune[[#This Row],[Folk20-64]]</f>
        <v>0.96382860322760155</v>
      </c>
    </row>
    <row r="212" spans="1:19">
      <c r="A212" s="2" t="s">
        <v>210</v>
      </c>
      <c r="B212" s="38">
        <v>916</v>
      </c>
      <c r="C212" s="38">
        <v>950</v>
      </c>
      <c r="D212" s="38">
        <v>545</v>
      </c>
      <c r="E212" s="38">
        <v>171</v>
      </c>
      <c r="F212" s="4">
        <v>105</v>
      </c>
      <c r="G212" s="4">
        <v>561</v>
      </c>
      <c r="H212" s="38">
        <v>403</v>
      </c>
      <c r="I212" s="38">
        <v>430</v>
      </c>
      <c r="J212" s="7">
        <v>1491.47</v>
      </c>
      <c r="K212" s="38">
        <v>376400</v>
      </c>
      <c r="L212">
        <v>260.496367023</v>
      </c>
      <c r="M212">
        <v>9</v>
      </c>
      <c r="N212" s="37">
        <f>Rådatakommune[[#This Row],[B14]]/Rådatakommune[[#This Row],[Totalareal]]</f>
        <v>0.63695548686865977</v>
      </c>
      <c r="O212" s="39">
        <f>Rådatakommune[[#This Row],[B14]]/Rådatakommune[[#This Row],[B04]]-1</f>
        <v>3.7117903930131035E-2</v>
      </c>
      <c r="P212" s="26">
        <f>Rådatakommune[[#This Row],[Kvinner20-39]]/Rådatakommune[[#This Row],[B14]]</f>
        <v>0.11052631578947368</v>
      </c>
      <c r="Q212" s="26">
        <f>Rådatakommune[[#This Row],[Eldre67+]]/Rådatakommune[[#This Row],[B14]]</f>
        <v>0.18</v>
      </c>
      <c r="R212" s="26">
        <f>Rådatakommune[[#This Row],[S13]]/Rådatakommune[[#This Row],[S03]]-1</f>
        <v>6.6997518610421913E-2</v>
      </c>
      <c r="S212" s="26">
        <f>Rådatakommune[[#This Row],[Y13]]/Rådatakommune[[#This Row],[Folk20-64]]</f>
        <v>0.97147950089126556</v>
      </c>
    </row>
    <row r="213" spans="1:19">
      <c r="A213" s="2" t="s">
        <v>211</v>
      </c>
      <c r="B213" s="38">
        <v>1175</v>
      </c>
      <c r="C213" s="38">
        <v>1094</v>
      </c>
      <c r="D213" s="38">
        <v>556</v>
      </c>
      <c r="E213" s="38">
        <v>245</v>
      </c>
      <c r="F213" s="4">
        <v>91</v>
      </c>
      <c r="G213" s="4">
        <v>573</v>
      </c>
      <c r="H213" s="38">
        <v>576</v>
      </c>
      <c r="I213" s="38">
        <v>459</v>
      </c>
      <c r="J213" s="7">
        <v>720.83</v>
      </c>
      <c r="K213" s="38">
        <v>334500</v>
      </c>
      <c r="L213">
        <v>271.93243606800002</v>
      </c>
      <c r="M213">
        <v>6</v>
      </c>
      <c r="N213" s="37">
        <f>Rådatakommune[[#This Row],[B14]]/Rådatakommune[[#This Row],[Totalareal]]</f>
        <v>1.5176948795138936</v>
      </c>
      <c r="O213" s="39">
        <f>Rådatakommune[[#This Row],[B14]]/Rådatakommune[[#This Row],[B04]]-1</f>
        <v>-6.893617021276599E-2</v>
      </c>
      <c r="P213" s="26">
        <f>Rådatakommune[[#This Row],[Kvinner20-39]]/Rådatakommune[[#This Row],[B14]]</f>
        <v>8.318098720292505E-2</v>
      </c>
      <c r="Q213" s="26">
        <f>Rådatakommune[[#This Row],[Eldre67+]]/Rådatakommune[[#This Row],[B14]]</f>
        <v>0.22394881170018283</v>
      </c>
      <c r="R213" s="26">
        <f>Rådatakommune[[#This Row],[S13]]/Rådatakommune[[#This Row],[S03]]-1</f>
        <v>-0.203125</v>
      </c>
      <c r="S213" s="26">
        <f>Rådatakommune[[#This Row],[Y13]]/Rådatakommune[[#This Row],[Folk20-64]]</f>
        <v>0.9703315881326352</v>
      </c>
    </row>
    <row r="214" spans="1:19">
      <c r="A214" s="2" t="s">
        <v>212</v>
      </c>
      <c r="B214" s="38">
        <v>1021</v>
      </c>
      <c r="C214" s="38">
        <v>911</v>
      </c>
      <c r="D214" s="38">
        <v>481</v>
      </c>
      <c r="E214" s="38">
        <v>173</v>
      </c>
      <c r="F214" s="4">
        <v>102</v>
      </c>
      <c r="G214" s="4">
        <v>524</v>
      </c>
      <c r="H214" s="38">
        <v>399</v>
      </c>
      <c r="I214" s="38">
        <v>316</v>
      </c>
      <c r="J214" s="7">
        <v>212.46</v>
      </c>
      <c r="K214" s="38">
        <v>339600</v>
      </c>
      <c r="L214">
        <v>261.12910347299999</v>
      </c>
      <c r="M214">
        <v>6</v>
      </c>
      <c r="N214" s="37">
        <f>Rådatakommune[[#This Row],[B14]]/Rådatakommune[[#This Row],[Totalareal]]</f>
        <v>4.2878659512378796</v>
      </c>
      <c r="O214" s="39">
        <f>Rådatakommune[[#This Row],[B14]]/Rådatakommune[[#This Row],[B04]]-1</f>
        <v>-0.10773751224289907</v>
      </c>
      <c r="P214" s="26">
        <f>Rådatakommune[[#This Row],[Kvinner20-39]]/Rådatakommune[[#This Row],[B14]]</f>
        <v>0.1119648737650933</v>
      </c>
      <c r="Q214" s="26">
        <f>Rådatakommune[[#This Row],[Eldre67+]]/Rådatakommune[[#This Row],[B14]]</f>
        <v>0.18990120746432493</v>
      </c>
      <c r="R214" s="26">
        <f>Rådatakommune[[#This Row],[S13]]/Rådatakommune[[#This Row],[S03]]-1</f>
        <v>-0.20802005012531333</v>
      </c>
      <c r="S214" s="26">
        <f>Rådatakommune[[#This Row],[Y13]]/Rådatakommune[[#This Row],[Folk20-64]]</f>
        <v>0.91793893129770987</v>
      </c>
    </row>
    <row r="215" spans="1:19">
      <c r="A215" s="2" t="s">
        <v>213</v>
      </c>
      <c r="B215" s="38">
        <v>13771</v>
      </c>
      <c r="C215" s="38">
        <v>14168</v>
      </c>
      <c r="D215" s="38">
        <v>7383</v>
      </c>
      <c r="E215" s="38">
        <v>2516</v>
      </c>
      <c r="F215" s="4">
        <v>1593</v>
      </c>
      <c r="G215" s="4">
        <v>7848</v>
      </c>
      <c r="H215" s="38">
        <v>6348</v>
      </c>
      <c r="I215" s="38">
        <v>7031</v>
      </c>
      <c r="J215" s="7">
        <v>1805.81</v>
      </c>
      <c r="K215" s="38">
        <v>359200</v>
      </c>
      <c r="L215">
        <v>238.41622768139999</v>
      </c>
      <c r="M215">
        <v>6</v>
      </c>
      <c r="N215" s="37">
        <f>Rådatakommune[[#This Row],[B14]]/Rådatakommune[[#This Row],[Totalareal]]</f>
        <v>7.8457866552959619</v>
      </c>
      <c r="O215" s="39">
        <f>Rådatakommune[[#This Row],[B14]]/Rådatakommune[[#This Row],[B04]]-1</f>
        <v>2.8828697988526608E-2</v>
      </c>
      <c r="P215" s="26">
        <f>Rådatakommune[[#This Row],[Kvinner20-39]]/Rådatakommune[[#This Row],[B14]]</f>
        <v>0.11243647656691134</v>
      </c>
      <c r="Q215" s="26">
        <f>Rådatakommune[[#This Row],[Eldre67+]]/Rådatakommune[[#This Row],[B14]]</f>
        <v>0.17758328627893846</v>
      </c>
      <c r="R215" s="26">
        <f>Rådatakommune[[#This Row],[S13]]/Rådatakommune[[#This Row],[S03]]-1</f>
        <v>0.10759294265910513</v>
      </c>
      <c r="S215" s="26">
        <f>Rådatakommune[[#This Row],[Y13]]/Rådatakommune[[#This Row],[Folk20-64]]</f>
        <v>0.94074923547400613</v>
      </c>
    </row>
    <row r="216" spans="1:19">
      <c r="A216" s="2" t="s">
        <v>214</v>
      </c>
      <c r="B216" s="38">
        <v>8389</v>
      </c>
      <c r="C216" s="38">
        <v>8584</v>
      </c>
      <c r="D216" s="38">
        <v>4327</v>
      </c>
      <c r="E216" s="38">
        <v>1530</v>
      </c>
      <c r="F216" s="4">
        <v>915</v>
      </c>
      <c r="G216" s="4">
        <v>4755</v>
      </c>
      <c r="H216" s="38">
        <v>3852</v>
      </c>
      <c r="I216" s="38">
        <v>3858</v>
      </c>
      <c r="J216" s="7">
        <v>616.47</v>
      </c>
      <c r="K216" s="38">
        <v>357400</v>
      </c>
      <c r="L216">
        <v>217.27167989010002</v>
      </c>
      <c r="M216">
        <v>5</v>
      </c>
      <c r="N216" s="37">
        <f>Rådatakommune[[#This Row],[B14]]/Rådatakommune[[#This Row],[Totalareal]]</f>
        <v>13.924440767596151</v>
      </c>
      <c r="O216" s="39">
        <f>Rådatakommune[[#This Row],[B14]]/Rådatakommune[[#This Row],[B04]]-1</f>
        <v>2.324472523542731E-2</v>
      </c>
      <c r="P216" s="26">
        <f>Rådatakommune[[#This Row],[Kvinner20-39]]/Rådatakommune[[#This Row],[B14]]</f>
        <v>0.10659366262814539</v>
      </c>
      <c r="Q216" s="26">
        <f>Rådatakommune[[#This Row],[Eldre67+]]/Rådatakommune[[#This Row],[B14]]</f>
        <v>0.17823858341099721</v>
      </c>
      <c r="R216" s="26">
        <f>Rådatakommune[[#This Row],[S13]]/Rådatakommune[[#This Row],[S03]]-1</f>
        <v>1.5576323987538387E-3</v>
      </c>
      <c r="S216" s="26">
        <f>Rådatakommune[[#This Row],[Y13]]/Rådatakommune[[#This Row],[Folk20-64]]</f>
        <v>0.90998948475289165</v>
      </c>
    </row>
    <row r="217" spans="1:19">
      <c r="A217" s="2" t="s">
        <v>215</v>
      </c>
      <c r="B217" s="38">
        <v>3728</v>
      </c>
      <c r="C217" s="38">
        <v>3829</v>
      </c>
      <c r="D217" s="38">
        <v>1954</v>
      </c>
      <c r="E217" s="38">
        <v>643</v>
      </c>
      <c r="F217" s="4">
        <v>365</v>
      </c>
      <c r="G217" s="4">
        <v>2064</v>
      </c>
      <c r="H217" s="38">
        <v>1749</v>
      </c>
      <c r="I217" s="38">
        <v>1815</v>
      </c>
      <c r="J217" s="7">
        <v>377.82</v>
      </c>
      <c r="K217" s="38">
        <v>380300</v>
      </c>
      <c r="L217">
        <v>210.13089505889999</v>
      </c>
      <c r="M217">
        <v>1</v>
      </c>
      <c r="N217" s="37">
        <f>Rådatakommune[[#This Row],[B14]]/Rådatakommune[[#This Row],[Totalareal]]</f>
        <v>10.134455560849082</v>
      </c>
      <c r="O217" s="39">
        <f>Rådatakommune[[#This Row],[B14]]/Rådatakommune[[#This Row],[B04]]-1</f>
        <v>2.7092274678111483E-2</v>
      </c>
      <c r="P217" s="26">
        <f>Rådatakommune[[#This Row],[Kvinner20-39]]/Rådatakommune[[#This Row],[B14]]</f>
        <v>9.5325150169757122E-2</v>
      </c>
      <c r="Q217" s="26">
        <f>Rådatakommune[[#This Row],[Eldre67+]]/Rådatakommune[[#This Row],[B14]]</f>
        <v>0.16792896317576392</v>
      </c>
      <c r="R217" s="26">
        <f>Rådatakommune[[#This Row],[S13]]/Rådatakommune[[#This Row],[S03]]-1</f>
        <v>3.7735849056603765E-2</v>
      </c>
      <c r="S217" s="26">
        <f>Rådatakommune[[#This Row],[Y13]]/Rådatakommune[[#This Row],[Folk20-64]]</f>
        <v>0.94670542635658916</v>
      </c>
    </row>
    <row r="218" spans="1:19">
      <c r="A218" s="2" t="s">
        <v>216</v>
      </c>
      <c r="B218" s="38">
        <v>2331</v>
      </c>
      <c r="C218" s="38">
        <v>2436</v>
      </c>
      <c r="D218" s="38">
        <v>1238</v>
      </c>
      <c r="E218" s="38">
        <v>387</v>
      </c>
      <c r="F218" s="4">
        <v>283</v>
      </c>
      <c r="G218" s="4">
        <v>1388</v>
      </c>
      <c r="H218" s="38">
        <v>561</v>
      </c>
      <c r="I218" s="38">
        <v>588</v>
      </c>
      <c r="J218" s="7">
        <v>269.07000000000005</v>
      </c>
      <c r="K218" s="38">
        <v>371100</v>
      </c>
      <c r="L218">
        <v>196.37052294670002</v>
      </c>
      <c r="M218">
        <v>1</v>
      </c>
      <c r="N218" s="37">
        <f>Rådatakommune[[#This Row],[B14]]/Rådatakommune[[#This Row],[Totalareal]]</f>
        <v>9.0534061768313059</v>
      </c>
      <c r="O218" s="39">
        <f>Rådatakommune[[#This Row],[B14]]/Rådatakommune[[#This Row],[B04]]-1</f>
        <v>4.5045045045045029E-2</v>
      </c>
      <c r="P218" s="26">
        <f>Rådatakommune[[#This Row],[Kvinner20-39]]/Rådatakommune[[#This Row],[B14]]</f>
        <v>0.11617405582922824</v>
      </c>
      <c r="Q218" s="26">
        <f>Rådatakommune[[#This Row],[Eldre67+]]/Rådatakommune[[#This Row],[B14]]</f>
        <v>0.15886699507389163</v>
      </c>
      <c r="R218" s="26">
        <f>Rådatakommune[[#This Row],[S13]]/Rådatakommune[[#This Row],[S03]]-1</f>
        <v>4.8128342245989275E-2</v>
      </c>
      <c r="S218" s="26">
        <f>Rådatakommune[[#This Row],[Y13]]/Rådatakommune[[#This Row],[Folk20-64]]</f>
        <v>0.89193083573487031</v>
      </c>
    </row>
    <row r="219" spans="1:19">
      <c r="A219" s="2" t="s">
        <v>217</v>
      </c>
      <c r="B219" s="38">
        <v>14611</v>
      </c>
      <c r="C219" s="38">
        <v>18678</v>
      </c>
      <c r="D219" s="38">
        <v>9789</v>
      </c>
      <c r="E219" s="38">
        <v>2097</v>
      </c>
      <c r="F219" s="4">
        <v>2480</v>
      </c>
      <c r="G219" s="4">
        <v>10830</v>
      </c>
      <c r="H219" s="38">
        <v>4758</v>
      </c>
      <c r="I219" s="38">
        <v>5776</v>
      </c>
      <c r="J219" s="7">
        <v>139.56</v>
      </c>
      <c r="K219" s="38">
        <v>402000</v>
      </c>
      <c r="L219">
        <v>177.61945657640001</v>
      </c>
      <c r="M219">
        <v>1</v>
      </c>
      <c r="N219" s="37">
        <f>Rådatakommune[[#This Row],[B14]]/Rådatakommune[[#This Row],[Totalareal]]</f>
        <v>133.83490971625108</v>
      </c>
      <c r="O219" s="39">
        <f>Rådatakommune[[#This Row],[B14]]/Rådatakommune[[#This Row],[B04]]-1</f>
        <v>0.27835192663062069</v>
      </c>
      <c r="P219" s="26">
        <f>Rådatakommune[[#This Row],[Kvinner20-39]]/Rådatakommune[[#This Row],[B14]]</f>
        <v>0.13277652853624586</v>
      </c>
      <c r="Q219" s="26">
        <f>Rådatakommune[[#This Row],[Eldre67+]]/Rådatakommune[[#This Row],[B14]]</f>
        <v>0.11227112110504336</v>
      </c>
      <c r="R219" s="26">
        <f>Rådatakommune[[#This Row],[S13]]/Rådatakommune[[#This Row],[S03]]-1</f>
        <v>0.21395544346364015</v>
      </c>
      <c r="S219" s="26">
        <f>Rådatakommune[[#This Row],[Y13]]/Rådatakommune[[#This Row],[Folk20-64]]</f>
        <v>0.90387811634349036</v>
      </c>
    </row>
    <row r="220" spans="1:19">
      <c r="A220" s="2" t="s">
        <v>218</v>
      </c>
      <c r="B220" s="38">
        <v>4487</v>
      </c>
      <c r="C220" s="38">
        <v>4924</v>
      </c>
      <c r="D220" s="38">
        <v>2656</v>
      </c>
      <c r="E220" s="38">
        <v>644</v>
      </c>
      <c r="F220" s="4">
        <v>618</v>
      </c>
      <c r="G220" s="4">
        <v>2798</v>
      </c>
      <c r="H220" s="38">
        <v>2085</v>
      </c>
      <c r="I220" s="38">
        <v>2925</v>
      </c>
      <c r="J220" s="7">
        <v>117.18</v>
      </c>
      <c r="K220" s="38">
        <v>457700</v>
      </c>
      <c r="L220">
        <v>216.4344654484</v>
      </c>
      <c r="M220">
        <v>5</v>
      </c>
      <c r="N220" s="37">
        <f>Rådatakommune[[#This Row],[B14]]/Rådatakommune[[#This Row],[Totalareal]]</f>
        <v>42.020822665983957</v>
      </c>
      <c r="O220" s="39">
        <f>Rådatakommune[[#This Row],[B14]]/Rådatakommune[[#This Row],[B04]]-1</f>
        <v>9.7392467127256577E-2</v>
      </c>
      <c r="P220" s="26">
        <f>Rådatakommune[[#This Row],[Kvinner20-39]]/Rådatakommune[[#This Row],[B14]]</f>
        <v>0.12550771730300569</v>
      </c>
      <c r="Q220" s="26">
        <f>Rådatakommune[[#This Row],[Eldre67+]]/Rådatakommune[[#This Row],[B14]]</f>
        <v>0.13078797725426483</v>
      </c>
      <c r="R220" s="26">
        <f>Rådatakommune[[#This Row],[S13]]/Rådatakommune[[#This Row],[S03]]-1</f>
        <v>0.40287769784172656</v>
      </c>
      <c r="S220" s="26">
        <f>Rådatakommune[[#This Row],[Y13]]/Rådatakommune[[#This Row],[Folk20-64]]</f>
        <v>0.94924946390278775</v>
      </c>
    </row>
    <row r="221" spans="1:19">
      <c r="A221" s="2" t="s">
        <v>219</v>
      </c>
      <c r="B221" s="38">
        <v>5435</v>
      </c>
      <c r="C221" s="38">
        <v>6635</v>
      </c>
      <c r="D221" s="38">
        <v>3377</v>
      </c>
      <c r="E221" s="38">
        <v>750</v>
      </c>
      <c r="F221" s="4">
        <v>845</v>
      </c>
      <c r="G221" s="4">
        <v>3861</v>
      </c>
      <c r="H221" s="38">
        <v>1598</v>
      </c>
      <c r="I221" s="38">
        <v>1729</v>
      </c>
      <c r="J221" s="7">
        <v>99.54</v>
      </c>
      <c r="K221" s="38">
        <v>393500</v>
      </c>
      <c r="L221">
        <v>185.0303220815</v>
      </c>
      <c r="M221">
        <v>1</v>
      </c>
      <c r="N221" s="37">
        <f>Rådatakommune[[#This Row],[B14]]/Rådatakommune[[#This Row],[Totalareal]]</f>
        <v>66.656620454088809</v>
      </c>
      <c r="O221" s="39">
        <f>Rådatakommune[[#This Row],[B14]]/Rådatakommune[[#This Row],[B04]]-1</f>
        <v>0.22079116835326595</v>
      </c>
      <c r="P221" s="26">
        <f>Rådatakommune[[#This Row],[Kvinner20-39]]/Rådatakommune[[#This Row],[B14]]</f>
        <v>0.12735493594574226</v>
      </c>
      <c r="Q221" s="26">
        <f>Rådatakommune[[#This Row],[Eldre67+]]/Rådatakommune[[#This Row],[B14]]</f>
        <v>0.11303692539562923</v>
      </c>
      <c r="R221" s="26">
        <f>Rådatakommune[[#This Row],[S13]]/Rådatakommune[[#This Row],[S03]]-1</f>
        <v>8.1977471839799643E-2</v>
      </c>
      <c r="S221" s="26">
        <f>Rådatakommune[[#This Row],[Y13]]/Rådatakommune[[#This Row],[Folk20-64]]</f>
        <v>0.87464387464387461</v>
      </c>
    </row>
    <row r="222" spans="1:19">
      <c r="A222" s="2" t="s">
        <v>220</v>
      </c>
      <c r="B222" s="38">
        <v>19613</v>
      </c>
      <c r="C222" s="38">
        <v>23852</v>
      </c>
      <c r="D222" s="38">
        <v>12523</v>
      </c>
      <c r="E222" s="38">
        <v>2247</v>
      </c>
      <c r="F222" s="4">
        <v>3082</v>
      </c>
      <c r="G222" s="4">
        <v>13949</v>
      </c>
      <c r="H222" s="38">
        <v>6882</v>
      </c>
      <c r="I222" s="38">
        <v>11659</v>
      </c>
      <c r="J222" s="7">
        <v>148.10999999999999</v>
      </c>
      <c r="K222" s="38">
        <v>417200</v>
      </c>
      <c r="L222">
        <v>169.6017537351</v>
      </c>
      <c r="M222">
        <v>1</v>
      </c>
      <c r="N222" s="37">
        <f>Rådatakommune[[#This Row],[B14]]/Rådatakommune[[#This Row],[Totalareal]]</f>
        <v>161.0424684356222</v>
      </c>
      <c r="O222" s="39">
        <f>Rådatakommune[[#This Row],[B14]]/Rådatakommune[[#This Row],[B04]]-1</f>
        <v>0.21613215724264512</v>
      </c>
      <c r="P222" s="26">
        <f>Rådatakommune[[#This Row],[Kvinner20-39]]/Rådatakommune[[#This Row],[B14]]</f>
        <v>0.12921348314606743</v>
      </c>
      <c r="Q222" s="26">
        <f>Rådatakommune[[#This Row],[Eldre67+]]/Rådatakommune[[#This Row],[B14]]</f>
        <v>9.420593660908938E-2</v>
      </c>
      <c r="R222" s="26">
        <f>Rådatakommune[[#This Row],[S13]]/Rådatakommune[[#This Row],[S03]]-1</f>
        <v>0.69412961348445212</v>
      </c>
      <c r="S222" s="26">
        <f>Rådatakommune[[#This Row],[Y13]]/Rådatakommune[[#This Row],[Folk20-64]]</f>
        <v>0.8977704494945874</v>
      </c>
    </row>
    <row r="223" spans="1:19">
      <c r="A223" s="2" t="s">
        <v>221</v>
      </c>
      <c r="B223" s="38">
        <v>21522</v>
      </c>
      <c r="C223" s="38">
        <v>27346</v>
      </c>
      <c r="D223" s="38">
        <v>13998</v>
      </c>
      <c r="E223" s="38">
        <v>2867</v>
      </c>
      <c r="F223" s="4">
        <v>3621</v>
      </c>
      <c r="G223" s="4">
        <v>15705</v>
      </c>
      <c r="H223" s="38">
        <v>5659</v>
      </c>
      <c r="I223" s="38">
        <v>7376</v>
      </c>
      <c r="J223" s="7">
        <v>101.11</v>
      </c>
      <c r="K223" s="38">
        <v>395600</v>
      </c>
      <c r="L223">
        <v>168.44934224920001</v>
      </c>
      <c r="M223">
        <v>1</v>
      </c>
      <c r="N223" s="37">
        <f>Rådatakommune[[#This Row],[B14]]/Rådatakommune[[#This Row],[Totalareal]]</f>
        <v>270.45791711996833</v>
      </c>
      <c r="O223" s="39">
        <f>Rådatakommune[[#This Row],[B14]]/Rådatakommune[[#This Row],[B04]]-1</f>
        <v>0.27060682092742305</v>
      </c>
      <c r="P223" s="26">
        <f>Rådatakommune[[#This Row],[Kvinner20-39]]/Rådatakommune[[#This Row],[B14]]</f>
        <v>0.13241424705624222</v>
      </c>
      <c r="Q223" s="26">
        <f>Rådatakommune[[#This Row],[Eldre67+]]/Rådatakommune[[#This Row],[B14]]</f>
        <v>0.10484165874350911</v>
      </c>
      <c r="R223" s="26">
        <f>Rådatakommune[[#This Row],[S13]]/Rådatakommune[[#This Row],[S03]]-1</f>
        <v>0.30341049655416152</v>
      </c>
      <c r="S223" s="26">
        <f>Rådatakommune[[#This Row],[Y13]]/Rådatakommune[[#This Row],[Folk20-64]]</f>
        <v>0.89130850047755494</v>
      </c>
    </row>
    <row r="224" spans="1:19">
      <c r="A224" s="2" t="s">
        <v>222</v>
      </c>
      <c r="B224" s="38">
        <v>4173</v>
      </c>
      <c r="C224" s="38">
        <v>4140</v>
      </c>
      <c r="D224" s="38">
        <v>1970</v>
      </c>
      <c r="E224" s="38">
        <v>822</v>
      </c>
      <c r="F224" s="4">
        <v>466</v>
      </c>
      <c r="G224" s="4">
        <v>2247</v>
      </c>
      <c r="H224" s="38">
        <v>1664</v>
      </c>
      <c r="I224" s="38">
        <v>1383</v>
      </c>
      <c r="J224" s="7">
        <v>715.33999999999992</v>
      </c>
      <c r="K224" s="38">
        <v>334900</v>
      </c>
      <c r="L224">
        <v>205.93643129629999</v>
      </c>
      <c r="M224">
        <v>1</v>
      </c>
      <c r="N224" s="37">
        <f>Rådatakommune[[#This Row],[B14]]/Rådatakommune[[#This Row],[Totalareal]]</f>
        <v>5.7874577124164741</v>
      </c>
      <c r="O224" s="39">
        <f>Rådatakommune[[#This Row],[B14]]/Rådatakommune[[#This Row],[B04]]-1</f>
        <v>-7.9079798705966597E-3</v>
      </c>
      <c r="P224" s="26">
        <f>Rådatakommune[[#This Row],[Kvinner20-39]]/Rådatakommune[[#This Row],[B14]]</f>
        <v>0.11256038647342995</v>
      </c>
      <c r="Q224" s="26">
        <f>Rådatakommune[[#This Row],[Eldre67+]]/Rådatakommune[[#This Row],[B14]]</f>
        <v>0.19855072463768117</v>
      </c>
      <c r="R224" s="26">
        <f>Rådatakommune[[#This Row],[S13]]/Rådatakommune[[#This Row],[S03]]-1</f>
        <v>-0.16887019230769229</v>
      </c>
      <c r="S224" s="26">
        <f>Rådatakommune[[#This Row],[Y13]]/Rådatakommune[[#This Row],[Folk20-64]]</f>
        <v>0.87672452158433467</v>
      </c>
    </row>
    <row r="225" spans="1:19">
      <c r="A225" s="2" t="s">
        <v>223</v>
      </c>
      <c r="B225" s="38">
        <v>366</v>
      </c>
      <c r="C225" s="38">
        <v>372</v>
      </c>
      <c r="D225" s="38">
        <v>186</v>
      </c>
      <c r="E225" s="38">
        <v>55</v>
      </c>
      <c r="F225" s="4">
        <v>41</v>
      </c>
      <c r="G225" s="4">
        <v>205</v>
      </c>
      <c r="H225" s="38">
        <v>217</v>
      </c>
      <c r="I225" s="38">
        <v>228</v>
      </c>
      <c r="J225" s="7">
        <v>411.99</v>
      </c>
      <c r="K225" s="38">
        <v>353300</v>
      </c>
      <c r="L225">
        <v>230.6496714914</v>
      </c>
      <c r="M225">
        <v>5</v>
      </c>
      <c r="N225" s="37">
        <f>Rådatakommune[[#This Row],[B14]]/Rådatakommune[[#This Row],[Totalareal]]</f>
        <v>0.90293453724604966</v>
      </c>
      <c r="O225" s="39">
        <f>Rådatakommune[[#This Row],[B14]]/Rådatakommune[[#This Row],[B04]]-1</f>
        <v>1.6393442622950838E-2</v>
      </c>
      <c r="P225" s="26">
        <f>Rådatakommune[[#This Row],[Kvinner20-39]]/Rådatakommune[[#This Row],[B14]]</f>
        <v>0.11021505376344086</v>
      </c>
      <c r="Q225" s="26">
        <f>Rådatakommune[[#This Row],[Eldre67+]]/Rådatakommune[[#This Row],[B14]]</f>
        <v>0.14784946236559141</v>
      </c>
      <c r="R225" s="26">
        <f>Rådatakommune[[#This Row],[S13]]/Rådatakommune[[#This Row],[S03]]-1</f>
        <v>5.0691244239631228E-2</v>
      </c>
      <c r="S225" s="26">
        <f>Rådatakommune[[#This Row],[Y13]]/Rådatakommune[[#This Row],[Folk20-64]]</f>
        <v>0.90731707317073174</v>
      </c>
    </row>
    <row r="226" spans="1:19">
      <c r="A226" s="2" t="s">
        <v>224</v>
      </c>
      <c r="B226" s="38">
        <v>7174</v>
      </c>
      <c r="C226" s="38">
        <v>7786</v>
      </c>
      <c r="D226" s="38">
        <v>3963</v>
      </c>
      <c r="E226" s="38">
        <v>1121</v>
      </c>
      <c r="F226" s="4">
        <v>942</v>
      </c>
      <c r="G226" s="4">
        <v>4378</v>
      </c>
      <c r="H226" s="38">
        <v>2285</v>
      </c>
      <c r="I226" s="38">
        <v>2685</v>
      </c>
      <c r="J226" s="7">
        <v>255.12</v>
      </c>
      <c r="K226" s="38">
        <v>359700</v>
      </c>
      <c r="L226">
        <v>190.7207743479</v>
      </c>
      <c r="M226">
        <v>1</v>
      </c>
      <c r="N226" s="37">
        <f>Rådatakommune[[#This Row],[B14]]/Rådatakommune[[#This Row],[Totalareal]]</f>
        <v>30.518971464408907</v>
      </c>
      <c r="O226" s="39">
        <f>Rådatakommune[[#This Row],[B14]]/Rådatakommune[[#This Row],[B04]]-1</f>
        <v>8.5308056872037907E-2</v>
      </c>
      <c r="P226" s="26">
        <f>Rådatakommune[[#This Row],[Kvinner20-39]]/Rådatakommune[[#This Row],[B14]]</f>
        <v>0.12098638582070383</v>
      </c>
      <c r="Q226" s="26">
        <f>Rådatakommune[[#This Row],[Eldre67+]]/Rådatakommune[[#This Row],[B14]]</f>
        <v>0.14397636783971229</v>
      </c>
      <c r="R226" s="26">
        <f>Rådatakommune[[#This Row],[S13]]/Rådatakommune[[#This Row],[S03]]-1</f>
        <v>0.17505470459518602</v>
      </c>
      <c r="S226" s="26">
        <f>Rådatakommune[[#This Row],[Y13]]/Rådatakommune[[#This Row],[Folk20-64]]</f>
        <v>0.90520785746916399</v>
      </c>
    </row>
    <row r="227" spans="1:19">
      <c r="A227" s="2" t="s">
        <v>225</v>
      </c>
      <c r="B227" s="38">
        <v>5767</v>
      </c>
      <c r="C227" s="38">
        <v>7544</v>
      </c>
      <c r="D227" s="38">
        <v>3863</v>
      </c>
      <c r="E227" s="38">
        <v>750</v>
      </c>
      <c r="F227" s="4">
        <v>998</v>
      </c>
      <c r="G227" s="4">
        <v>4390</v>
      </c>
      <c r="H227" s="38">
        <v>1614</v>
      </c>
      <c r="I227" s="38">
        <v>2156</v>
      </c>
      <c r="J227" s="7">
        <v>92.58</v>
      </c>
      <c r="K227" s="38">
        <v>388300</v>
      </c>
      <c r="L227">
        <v>188.41234132950001</v>
      </c>
      <c r="M227">
        <v>1</v>
      </c>
      <c r="N227" s="37">
        <f>Rådatakommune[[#This Row],[B14]]/Rådatakommune[[#This Row],[Totalareal]]</f>
        <v>81.486282134370271</v>
      </c>
      <c r="O227" s="39">
        <f>Rådatakommune[[#This Row],[B14]]/Rådatakommune[[#This Row],[B04]]-1</f>
        <v>0.30813247789145137</v>
      </c>
      <c r="P227" s="26">
        <f>Rådatakommune[[#This Row],[Kvinner20-39]]/Rådatakommune[[#This Row],[B14]]</f>
        <v>0.13229056203605513</v>
      </c>
      <c r="Q227" s="26">
        <f>Rådatakommune[[#This Row],[Eldre67+]]/Rådatakommune[[#This Row],[B14]]</f>
        <v>9.9416755037115584E-2</v>
      </c>
      <c r="R227" s="26">
        <f>Rådatakommune[[#This Row],[S13]]/Rådatakommune[[#This Row],[S03]]-1</f>
        <v>0.33581164807930608</v>
      </c>
      <c r="S227" s="26">
        <f>Rådatakommune[[#This Row],[Y13]]/Rådatakommune[[#This Row],[Folk20-64]]</f>
        <v>0.87995444191343963</v>
      </c>
    </row>
    <row r="228" spans="1:19">
      <c r="A228" s="2" t="s">
        <v>226</v>
      </c>
      <c r="B228" s="38">
        <v>3931</v>
      </c>
      <c r="C228" s="38">
        <v>4704</v>
      </c>
      <c r="D228" s="38">
        <v>2335</v>
      </c>
      <c r="E228" s="38">
        <v>599</v>
      </c>
      <c r="F228" s="4">
        <v>569</v>
      </c>
      <c r="G228" s="4">
        <v>2700</v>
      </c>
      <c r="H228" s="38">
        <v>1288</v>
      </c>
      <c r="I228" s="38">
        <v>1519</v>
      </c>
      <c r="J228" s="7">
        <v>66.740000000000009</v>
      </c>
      <c r="K228" s="38">
        <v>393100</v>
      </c>
      <c r="L228">
        <v>201.9975581134</v>
      </c>
      <c r="M228">
        <v>1</v>
      </c>
      <c r="N228" s="37">
        <f>Rådatakommune[[#This Row],[B14]]/Rådatakommune[[#This Row],[Totalareal]]</f>
        <v>70.482469283787822</v>
      </c>
      <c r="O228" s="39">
        <f>Rådatakommune[[#This Row],[B14]]/Rådatakommune[[#This Row],[B04]]-1</f>
        <v>0.19664207580768256</v>
      </c>
      <c r="P228" s="26">
        <f>Rådatakommune[[#This Row],[Kvinner20-39]]/Rådatakommune[[#This Row],[B14]]</f>
        <v>0.1209608843537415</v>
      </c>
      <c r="Q228" s="26">
        <f>Rådatakommune[[#This Row],[Eldre67+]]/Rådatakommune[[#This Row],[B14]]</f>
        <v>0.12733843537414966</v>
      </c>
      <c r="R228" s="26">
        <f>Rådatakommune[[#This Row],[S13]]/Rådatakommune[[#This Row],[S03]]-1</f>
        <v>0.17934782608695654</v>
      </c>
      <c r="S228" s="26">
        <f>Rådatakommune[[#This Row],[Y13]]/Rådatakommune[[#This Row],[Folk20-64]]</f>
        <v>0.86481481481481481</v>
      </c>
    </row>
    <row r="229" spans="1:19">
      <c r="A229" s="2" t="s">
        <v>227</v>
      </c>
      <c r="B229" s="38">
        <v>4678</v>
      </c>
      <c r="C229" s="38">
        <v>5039</v>
      </c>
      <c r="D229" s="38">
        <v>2565</v>
      </c>
      <c r="E229" s="38">
        <v>717</v>
      </c>
      <c r="F229" s="4">
        <v>574</v>
      </c>
      <c r="G229" s="4">
        <v>2876</v>
      </c>
      <c r="H229" s="38">
        <v>1533</v>
      </c>
      <c r="I229" s="38">
        <v>1597</v>
      </c>
      <c r="J229" s="7">
        <v>111.44</v>
      </c>
      <c r="K229" s="38">
        <v>366400</v>
      </c>
      <c r="L229">
        <v>209.8803556702</v>
      </c>
      <c r="M229">
        <v>1</v>
      </c>
      <c r="N229" s="37">
        <f>Rådatakommune[[#This Row],[B14]]/Rådatakommune[[#This Row],[Totalareal]]</f>
        <v>45.217157214644651</v>
      </c>
      <c r="O229" s="39">
        <f>Rådatakommune[[#This Row],[B14]]/Rådatakommune[[#This Row],[B04]]-1</f>
        <v>7.716973065412569E-2</v>
      </c>
      <c r="P229" s="26">
        <f>Rådatakommune[[#This Row],[Kvinner20-39]]/Rådatakommune[[#This Row],[B14]]</f>
        <v>0.11391149037507442</v>
      </c>
      <c r="Q229" s="26">
        <f>Rådatakommune[[#This Row],[Eldre67+]]/Rådatakommune[[#This Row],[B14]]</f>
        <v>0.14229013693193093</v>
      </c>
      <c r="R229" s="26">
        <f>Rådatakommune[[#This Row],[S13]]/Rådatakommune[[#This Row],[S03]]-1</f>
        <v>4.1748206131767773E-2</v>
      </c>
      <c r="S229" s="26">
        <f>Rådatakommune[[#This Row],[Y13]]/Rådatakommune[[#This Row],[Folk20-64]]</f>
        <v>0.8918636995827538</v>
      </c>
    </row>
    <row r="230" spans="1:19">
      <c r="A230" s="2" t="s">
        <v>228</v>
      </c>
      <c r="B230" s="38">
        <v>12879</v>
      </c>
      <c r="C230" s="38">
        <v>15069</v>
      </c>
      <c r="D230" s="38">
        <v>7684</v>
      </c>
      <c r="E230" s="38">
        <v>1989</v>
      </c>
      <c r="F230" s="4">
        <v>1825</v>
      </c>
      <c r="G230" s="4">
        <v>8549</v>
      </c>
      <c r="H230" s="38">
        <v>5570</v>
      </c>
      <c r="I230" s="38">
        <v>6810</v>
      </c>
      <c r="J230" s="7">
        <v>474.98</v>
      </c>
      <c r="K230" s="38">
        <v>400700</v>
      </c>
      <c r="L230">
        <v>189.42105585589999</v>
      </c>
      <c r="M230">
        <v>1</v>
      </c>
      <c r="N230" s="37">
        <f>Rådatakommune[[#This Row],[B14]]/Rådatakommune[[#This Row],[Totalareal]]</f>
        <v>31.725546338793212</v>
      </c>
      <c r="O230" s="39">
        <f>Rådatakommune[[#This Row],[B14]]/Rådatakommune[[#This Row],[B04]]-1</f>
        <v>0.17004425809457246</v>
      </c>
      <c r="P230" s="26">
        <f>Rådatakommune[[#This Row],[Kvinner20-39]]/Rådatakommune[[#This Row],[B14]]</f>
        <v>0.12110956267834627</v>
      </c>
      <c r="Q230" s="26">
        <f>Rådatakommune[[#This Row],[Eldre67+]]/Rådatakommune[[#This Row],[B14]]</f>
        <v>0.1319928329683456</v>
      </c>
      <c r="R230" s="26">
        <f>Rådatakommune[[#This Row],[S13]]/Rådatakommune[[#This Row],[S03]]-1</f>
        <v>0.22262118491921012</v>
      </c>
      <c r="S230" s="26">
        <f>Rådatakommune[[#This Row],[Y13]]/Rådatakommune[[#This Row],[Folk20-64]]</f>
        <v>0.89881857527196163</v>
      </c>
    </row>
    <row r="231" spans="1:19">
      <c r="A231" s="2" t="s">
        <v>229</v>
      </c>
      <c r="B231" s="38">
        <v>2533</v>
      </c>
      <c r="C231" s="38">
        <v>2833</v>
      </c>
      <c r="D231" s="38">
        <v>1473</v>
      </c>
      <c r="E231" s="38">
        <v>445</v>
      </c>
      <c r="F231" s="4">
        <v>338</v>
      </c>
      <c r="G231" s="4">
        <v>1639</v>
      </c>
      <c r="H231" s="38">
        <v>1010</v>
      </c>
      <c r="I231" s="38">
        <v>1205</v>
      </c>
      <c r="J231" s="7">
        <v>57.55</v>
      </c>
      <c r="K231" s="38">
        <v>419800</v>
      </c>
      <c r="L231">
        <v>223.17225905230001</v>
      </c>
      <c r="M231">
        <v>1</v>
      </c>
      <c r="N231" s="37">
        <f>Rådatakommune[[#This Row],[B14]]/Rådatakommune[[#This Row],[Totalareal]]</f>
        <v>49.226759339704607</v>
      </c>
      <c r="O231" s="39">
        <f>Rådatakommune[[#This Row],[B14]]/Rådatakommune[[#This Row],[B04]]-1</f>
        <v>0.11843663639952617</v>
      </c>
      <c r="P231" s="26">
        <f>Rådatakommune[[#This Row],[Kvinner20-39]]/Rådatakommune[[#This Row],[B14]]</f>
        <v>0.11930815390045887</v>
      </c>
      <c r="Q231" s="26">
        <f>Rådatakommune[[#This Row],[Eldre67+]]/Rådatakommune[[#This Row],[B14]]</f>
        <v>0.15707730321214261</v>
      </c>
      <c r="R231" s="26">
        <f>Rådatakommune[[#This Row],[S13]]/Rådatakommune[[#This Row],[S03]]-1</f>
        <v>0.19306930693069302</v>
      </c>
      <c r="S231" s="26">
        <f>Rådatakommune[[#This Row],[Y13]]/Rådatakommune[[#This Row],[Folk20-64]]</f>
        <v>0.89871873093349608</v>
      </c>
    </row>
    <row r="232" spans="1:19">
      <c r="A232" s="2" t="s">
        <v>230</v>
      </c>
      <c r="B232" s="38">
        <v>659</v>
      </c>
      <c r="C232" s="38">
        <v>561</v>
      </c>
      <c r="D232" s="38">
        <v>266</v>
      </c>
      <c r="E232" s="38">
        <v>117</v>
      </c>
      <c r="F232" s="4">
        <v>42</v>
      </c>
      <c r="G232" s="4">
        <v>283</v>
      </c>
      <c r="H232" s="38">
        <v>266</v>
      </c>
      <c r="I232" s="38">
        <v>267</v>
      </c>
      <c r="J232" s="7">
        <v>9.2799999999999994</v>
      </c>
      <c r="K232" s="38">
        <v>384700</v>
      </c>
      <c r="L232">
        <v>258.81720152700001</v>
      </c>
      <c r="M232">
        <v>11</v>
      </c>
      <c r="N232" s="37">
        <f>Rådatakommune[[#This Row],[B14]]/Rådatakommune[[#This Row],[Totalareal]]</f>
        <v>60.452586206896555</v>
      </c>
      <c r="O232" s="39">
        <f>Rådatakommune[[#This Row],[B14]]/Rådatakommune[[#This Row],[B04]]-1</f>
        <v>-0.14871016691957506</v>
      </c>
      <c r="P232" s="26">
        <f>Rådatakommune[[#This Row],[Kvinner20-39]]/Rådatakommune[[#This Row],[B14]]</f>
        <v>7.4866310160427801E-2</v>
      </c>
      <c r="Q232" s="26">
        <f>Rådatakommune[[#This Row],[Eldre67+]]/Rådatakommune[[#This Row],[B14]]</f>
        <v>0.20855614973262032</v>
      </c>
      <c r="R232" s="26">
        <f>Rådatakommune[[#This Row],[S13]]/Rådatakommune[[#This Row],[S03]]-1</f>
        <v>3.759398496240518E-3</v>
      </c>
      <c r="S232" s="26">
        <f>Rådatakommune[[#This Row],[Y13]]/Rådatakommune[[#This Row],[Folk20-64]]</f>
        <v>0.93992932862190814</v>
      </c>
    </row>
    <row r="233" spans="1:19">
      <c r="A233" s="2" t="s">
        <v>231</v>
      </c>
      <c r="B233" s="38">
        <v>1712</v>
      </c>
      <c r="C233" s="38">
        <v>1693</v>
      </c>
      <c r="D233" s="38">
        <v>885</v>
      </c>
      <c r="E233" s="38">
        <v>347</v>
      </c>
      <c r="F233" s="4">
        <v>157</v>
      </c>
      <c r="G233" s="4">
        <v>889</v>
      </c>
      <c r="H233" s="38">
        <v>544</v>
      </c>
      <c r="I233" s="38">
        <v>611</v>
      </c>
      <c r="J233" s="7">
        <v>556.07000000000005</v>
      </c>
      <c r="K233" s="38">
        <v>370900</v>
      </c>
      <c r="L233">
        <v>229.0801952889</v>
      </c>
      <c r="M233">
        <v>5</v>
      </c>
      <c r="N233" s="37">
        <f>Rådatakommune[[#This Row],[B14]]/Rådatakommune[[#This Row],[Totalareal]]</f>
        <v>3.0445807182548958</v>
      </c>
      <c r="O233" s="39">
        <f>Rådatakommune[[#This Row],[B14]]/Rådatakommune[[#This Row],[B04]]-1</f>
        <v>-1.1098130841121545E-2</v>
      </c>
      <c r="P233" s="26">
        <f>Rådatakommune[[#This Row],[Kvinner20-39]]/Rådatakommune[[#This Row],[B14]]</f>
        <v>9.2734790313053747E-2</v>
      </c>
      <c r="Q233" s="26">
        <f>Rådatakommune[[#This Row],[Eldre67+]]/Rådatakommune[[#This Row],[B14]]</f>
        <v>0.20496160661547549</v>
      </c>
      <c r="R233" s="26">
        <f>Rådatakommune[[#This Row],[S13]]/Rådatakommune[[#This Row],[S03]]-1</f>
        <v>0.12316176470588225</v>
      </c>
      <c r="S233" s="26">
        <f>Rådatakommune[[#This Row],[Y13]]/Rådatakommune[[#This Row],[Folk20-64]]</f>
        <v>0.99550056242969631</v>
      </c>
    </row>
    <row r="234" spans="1:19">
      <c r="A234" s="2" t="s">
        <v>232</v>
      </c>
      <c r="B234" s="38">
        <v>11331</v>
      </c>
      <c r="C234" s="38">
        <v>11779</v>
      </c>
      <c r="D234" s="38">
        <v>6099</v>
      </c>
      <c r="E234" s="38">
        <v>1480</v>
      </c>
      <c r="F234" s="4">
        <v>1375</v>
      </c>
      <c r="G234" s="4">
        <v>6799</v>
      </c>
      <c r="H234" s="38">
        <v>5186</v>
      </c>
      <c r="I234" s="38">
        <v>5848</v>
      </c>
      <c r="J234" s="7">
        <v>693.3</v>
      </c>
      <c r="K234" s="38">
        <v>382000</v>
      </c>
      <c r="L234">
        <v>167.71914329310999</v>
      </c>
      <c r="M234">
        <v>7</v>
      </c>
      <c r="N234" s="37">
        <f>Rådatakommune[[#This Row],[B14]]/Rådatakommune[[#This Row],[Totalareal]]</f>
        <v>16.989759123034762</v>
      </c>
      <c r="O234" s="39">
        <f>Rådatakommune[[#This Row],[B14]]/Rådatakommune[[#This Row],[B04]]-1</f>
        <v>3.9537551848910057E-2</v>
      </c>
      <c r="P234" s="26">
        <f>Rådatakommune[[#This Row],[Kvinner20-39]]/Rådatakommune[[#This Row],[B14]]</f>
        <v>0.1167331691994227</v>
      </c>
      <c r="Q234" s="26">
        <f>Rådatakommune[[#This Row],[Eldre67+]]/Rådatakommune[[#This Row],[B14]]</f>
        <v>0.12564733848374227</v>
      </c>
      <c r="R234" s="26">
        <f>Rådatakommune[[#This Row],[S13]]/Rådatakommune[[#This Row],[S03]]-1</f>
        <v>0.12765136907057473</v>
      </c>
      <c r="S234" s="26">
        <f>Rådatakommune[[#This Row],[Y13]]/Rådatakommune[[#This Row],[Folk20-64]]</f>
        <v>0.89704368289454328</v>
      </c>
    </row>
    <row r="235" spans="1:19">
      <c r="A235" s="2" t="s">
        <v>233</v>
      </c>
      <c r="B235" s="38">
        <v>2462</v>
      </c>
      <c r="C235" s="38">
        <v>2315</v>
      </c>
      <c r="D235" s="38">
        <v>1246</v>
      </c>
      <c r="E235" s="38">
        <v>424</v>
      </c>
      <c r="F235" s="4">
        <v>244</v>
      </c>
      <c r="G235" s="4">
        <v>1250</v>
      </c>
      <c r="H235" s="38">
        <v>1120</v>
      </c>
      <c r="I235" s="38">
        <v>1380</v>
      </c>
      <c r="J235" s="7">
        <v>597.20999999999992</v>
      </c>
      <c r="K235" s="38">
        <v>364200</v>
      </c>
      <c r="L235">
        <v>260.20679225499998</v>
      </c>
      <c r="M235">
        <v>11</v>
      </c>
      <c r="N235" s="37">
        <f>Rådatakommune[[#This Row],[B14]]/Rådatakommune[[#This Row],[Totalareal]]</f>
        <v>3.8763583998928355</v>
      </c>
      <c r="O235" s="39">
        <f>Rådatakommune[[#This Row],[B14]]/Rådatakommune[[#This Row],[B04]]-1</f>
        <v>-5.9707554833468679E-2</v>
      </c>
      <c r="P235" s="26">
        <f>Rådatakommune[[#This Row],[Kvinner20-39]]/Rådatakommune[[#This Row],[B14]]</f>
        <v>0.10539956803455723</v>
      </c>
      <c r="Q235" s="26">
        <f>Rådatakommune[[#This Row],[Eldre67+]]/Rådatakommune[[#This Row],[B14]]</f>
        <v>0.18315334773218142</v>
      </c>
      <c r="R235" s="26">
        <f>Rådatakommune[[#This Row],[S13]]/Rådatakommune[[#This Row],[S03]]-1</f>
        <v>0.23214285714285721</v>
      </c>
      <c r="S235" s="26">
        <f>Rådatakommune[[#This Row],[Y13]]/Rådatakommune[[#This Row],[Folk20-64]]</f>
        <v>0.99680000000000002</v>
      </c>
    </row>
    <row r="236" spans="1:19">
      <c r="A236" s="2" t="s">
        <v>234</v>
      </c>
      <c r="B236" s="38">
        <v>899</v>
      </c>
      <c r="C236" s="38">
        <v>815</v>
      </c>
      <c r="D236" s="38">
        <v>434</v>
      </c>
      <c r="E236" s="38">
        <v>172</v>
      </c>
      <c r="F236" s="4">
        <v>66</v>
      </c>
      <c r="G236" s="4">
        <v>453</v>
      </c>
      <c r="H236" s="38">
        <v>391</v>
      </c>
      <c r="I236" s="38">
        <v>371</v>
      </c>
      <c r="J236" s="7">
        <v>228.24</v>
      </c>
      <c r="K236" s="38">
        <v>360800</v>
      </c>
      <c r="L236">
        <v>311.54441855300001</v>
      </c>
      <c r="M236">
        <v>11</v>
      </c>
      <c r="N236" s="37">
        <f>Rådatakommune[[#This Row],[B14]]/Rådatakommune[[#This Row],[Totalareal]]</f>
        <v>3.5708026638626005</v>
      </c>
      <c r="O236" s="39">
        <f>Rådatakommune[[#This Row],[B14]]/Rådatakommune[[#This Row],[B04]]-1</f>
        <v>-9.3437152391546152E-2</v>
      </c>
      <c r="P236" s="26">
        <f>Rådatakommune[[#This Row],[Kvinner20-39]]/Rådatakommune[[#This Row],[B14]]</f>
        <v>8.0981595092024544E-2</v>
      </c>
      <c r="Q236" s="26">
        <f>Rådatakommune[[#This Row],[Eldre67+]]/Rådatakommune[[#This Row],[B14]]</f>
        <v>0.21104294478527608</v>
      </c>
      <c r="R236" s="26">
        <f>Rådatakommune[[#This Row],[S13]]/Rådatakommune[[#This Row],[S03]]-1</f>
        <v>-5.1150895140664954E-2</v>
      </c>
      <c r="S236" s="26">
        <f>Rådatakommune[[#This Row],[Y13]]/Rådatakommune[[#This Row],[Folk20-64]]</f>
        <v>0.95805739514348787</v>
      </c>
    </row>
    <row r="237" spans="1:19">
      <c r="A237" s="2" t="s">
        <v>235</v>
      </c>
      <c r="B237" s="38">
        <v>1557</v>
      </c>
      <c r="C237" s="38">
        <v>1391</v>
      </c>
      <c r="D237" s="38">
        <v>732</v>
      </c>
      <c r="E237" s="38">
        <v>307</v>
      </c>
      <c r="F237" s="4">
        <v>103</v>
      </c>
      <c r="G237" s="4">
        <v>734</v>
      </c>
      <c r="H237" s="38">
        <v>730</v>
      </c>
      <c r="I237" s="38">
        <v>705</v>
      </c>
      <c r="J237" s="7">
        <v>258.89999999999998</v>
      </c>
      <c r="K237" s="38">
        <v>344600</v>
      </c>
      <c r="L237">
        <v>210.9768493549</v>
      </c>
      <c r="M237">
        <v>11</v>
      </c>
      <c r="N237" s="37">
        <f>Rådatakommune[[#This Row],[B14]]/Rådatakommune[[#This Row],[Totalareal]]</f>
        <v>5.3727307840865199</v>
      </c>
      <c r="O237" s="39">
        <f>Rådatakommune[[#This Row],[B14]]/Rådatakommune[[#This Row],[B04]]-1</f>
        <v>-0.1066152858060373</v>
      </c>
      <c r="P237" s="26">
        <f>Rådatakommune[[#This Row],[Kvinner20-39]]/Rådatakommune[[#This Row],[B14]]</f>
        <v>7.4047447879223585E-2</v>
      </c>
      <c r="Q237" s="26">
        <f>Rådatakommune[[#This Row],[Eldre67+]]/Rådatakommune[[#This Row],[B14]]</f>
        <v>0.22070452911574406</v>
      </c>
      <c r="R237" s="26">
        <f>Rådatakommune[[#This Row],[S13]]/Rådatakommune[[#This Row],[S03]]-1</f>
        <v>-3.4246575342465779E-2</v>
      </c>
      <c r="S237" s="26">
        <f>Rådatakommune[[#This Row],[Y13]]/Rådatakommune[[#This Row],[Folk20-64]]</f>
        <v>0.99727520435967298</v>
      </c>
    </row>
    <row r="238" spans="1:19">
      <c r="A238" s="2" t="s">
        <v>236</v>
      </c>
      <c r="B238" s="38">
        <v>4550</v>
      </c>
      <c r="C238" s="38">
        <v>4183</v>
      </c>
      <c r="D238" s="38">
        <v>2016</v>
      </c>
      <c r="E238" s="38">
        <v>751</v>
      </c>
      <c r="F238" s="4">
        <v>378</v>
      </c>
      <c r="G238" s="4">
        <v>2268</v>
      </c>
      <c r="H238" s="38">
        <v>2222</v>
      </c>
      <c r="I238" s="38">
        <v>1771</v>
      </c>
      <c r="J238" s="7">
        <v>905.41000000000008</v>
      </c>
      <c r="K238" s="38">
        <v>361100</v>
      </c>
      <c r="L238">
        <v>199.5717368473</v>
      </c>
      <c r="M238">
        <v>9</v>
      </c>
      <c r="N238" s="37">
        <f>Rådatakommune[[#This Row],[B14]]/Rådatakommune[[#This Row],[Totalareal]]</f>
        <v>4.6200064059376409</v>
      </c>
      <c r="O238" s="39">
        <f>Rådatakommune[[#This Row],[B14]]/Rådatakommune[[#This Row],[B04]]-1</f>
        <v>-8.0659340659340661E-2</v>
      </c>
      <c r="P238" s="26">
        <f>Rådatakommune[[#This Row],[Kvinner20-39]]/Rådatakommune[[#This Row],[B14]]</f>
        <v>9.0365766196509684E-2</v>
      </c>
      <c r="Q238" s="26">
        <f>Rådatakommune[[#This Row],[Eldre67+]]/Rådatakommune[[#This Row],[B14]]</f>
        <v>0.17953621802534067</v>
      </c>
      <c r="R238" s="26">
        <f>Rådatakommune[[#This Row],[S13]]/Rådatakommune[[#This Row],[S03]]-1</f>
        <v>-0.20297029702970293</v>
      </c>
      <c r="S238" s="26">
        <f>Rådatakommune[[#This Row],[Y13]]/Rådatakommune[[#This Row],[Folk20-64]]</f>
        <v>0.88888888888888884</v>
      </c>
    </row>
    <row r="239" spans="1:19">
      <c r="A239" s="2" t="s">
        <v>237</v>
      </c>
      <c r="B239" s="38">
        <v>2899</v>
      </c>
      <c r="C239" s="38">
        <v>2688</v>
      </c>
      <c r="D239" s="38">
        <v>1456</v>
      </c>
      <c r="E239" s="38">
        <v>575</v>
      </c>
      <c r="F239" s="4">
        <v>264</v>
      </c>
      <c r="G239" s="4">
        <v>1410</v>
      </c>
      <c r="H239" s="38">
        <v>1286</v>
      </c>
      <c r="I239" s="38">
        <v>1301</v>
      </c>
      <c r="J239" s="7">
        <v>833.33</v>
      </c>
      <c r="K239" s="38">
        <v>353900</v>
      </c>
      <c r="L239">
        <v>220.90600000000001</v>
      </c>
      <c r="M239">
        <v>11</v>
      </c>
      <c r="N239" s="37">
        <f>Rådatakommune[[#This Row],[B14]]/Rådatakommune[[#This Row],[Totalareal]]</f>
        <v>3.2256129024516098</v>
      </c>
      <c r="O239" s="39">
        <f>Rådatakommune[[#This Row],[B14]]/Rådatakommune[[#This Row],[B04]]-1</f>
        <v>-7.278371852362886E-2</v>
      </c>
      <c r="P239" s="26">
        <f>Rådatakommune[[#This Row],[Kvinner20-39]]/Rådatakommune[[#This Row],[B14]]</f>
        <v>9.8214285714285712E-2</v>
      </c>
      <c r="Q239" s="26">
        <f>Rådatakommune[[#This Row],[Eldre67+]]/Rådatakommune[[#This Row],[B14]]</f>
        <v>0.21391369047619047</v>
      </c>
      <c r="R239" s="26">
        <f>Rådatakommune[[#This Row],[S13]]/Rådatakommune[[#This Row],[S03]]-1</f>
        <v>1.1664074650077794E-2</v>
      </c>
      <c r="S239" s="26">
        <f>Rådatakommune[[#This Row],[Y13]]/Rådatakommune[[#This Row],[Folk20-64]]</f>
        <v>1.0326241134751772</v>
      </c>
    </row>
    <row r="240" spans="1:19">
      <c r="A240" s="2" t="s">
        <v>238</v>
      </c>
      <c r="B240" s="38">
        <v>1462</v>
      </c>
      <c r="C240" s="38">
        <v>1306</v>
      </c>
      <c r="D240" s="38">
        <v>706</v>
      </c>
      <c r="E240" s="38">
        <v>228</v>
      </c>
      <c r="F240" s="4">
        <v>138</v>
      </c>
      <c r="G240" s="4">
        <v>735</v>
      </c>
      <c r="H240" s="38">
        <v>611</v>
      </c>
      <c r="I240" s="38">
        <v>574</v>
      </c>
      <c r="J240" s="7">
        <v>429.67</v>
      </c>
      <c r="K240" s="38">
        <v>340300</v>
      </c>
      <c r="L240">
        <v>210.31716023410002</v>
      </c>
      <c r="M240">
        <v>9</v>
      </c>
      <c r="N240" s="37">
        <f>Rådatakommune[[#This Row],[B14]]/Rådatakommune[[#This Row],[Totalareal]]</f>
        <v>3.039541974073126</v>
      </c>
      <c r="O240" s="39">
        <f>Rådatakommune[[#This Row],[B14]]/Rådatakommune[[#This Row],[B04]]-1</f>
        <v>-0.10670314637482903</v>
      </c>
      <c r="P240" s="26">
        <f>Rådatakommune[[#This Row],[Kvinner20-39]]/Rådatakommune[[#This Row],[B14]]</f>
        <v>0.10566615620214395</v>
      </c>
      <c r="Q240" s="26">
        <f>Rådatakommune[[#This Row],[Eldre67+]]/Rådatakommune[[#This Row],[B14]]</f>
        <v>0.17457886676875958</v>
      </c>
      <c r="R240" s="26">
        <f>Rådatakommune[[#This Row],[S13]]/Rådatakommune[[#This Row],[S03]]-1</f>
        <v>-6.0556464811784005E-2</v>
      </c>
      <c r="S240" s="26">
        <f>Rådatakommune[[#This Row],[Y13]]/Rådatakommune[[#This Row],[Folk20-64]]</f>
        <v>0.96054421768707487</v>
      </c>
    </row>
    <row r="241" spans="1:19">
      <c r="A241" s="2" t="s">
        <v>239</v>
      </c>
      <c r="B241" s="38">
        <v>2192</v>
      </c>
      <c r="C241" s="38">
        <v>2268</v>
      </c>
      <c r="D241" s="38">
        <v>1203</v>
      </c>
      <c r="E241" s="38">
        <v>362</v>
      </c>
      <c r="F241" s="4">
        <v>269</v>
      </c>
      <c r="G241" s="4">
        <v>1248</v>
      </c>
      <c r="H241" s="38">
        <v>1619</v>
      </c>
      <c r="I241" s="38">
        <v>1652</v>
      </c>
      <c r="J241" s="7">
        <v>180.1</v>
      </c>
      <c r="K241" s="38">
        <v>392000</v>
      </c>
      <c r="L241">
        <v>181.30705130249999</v>
      </c>
      <c r="M241">
        <v>8</v>
      </c>
      <c r="N241" s="37">
        <f>Rådatakommune[[#This Row],[B14]]/Rådatakommune[[#This Row],[Totalareal]]</f>
        <v>12.593003886729596</v>
      </c>
      <c r="O241" s="39">
        <f>Rådatakommune[[#This Row],[B14]]/Rådatakommune[[#This Row],[B04]]-1</f>
        <v>3.4671532846715314E-2</v>
      </c>
      <c r="P241" s="26">
        <f>Rådatakommune[[#This Row],[Kvinner20-39]]/Rådatakommune[[#This Row],[B14]]</f>
        <v>0.11860670194003527</v>
      </c>
      <c r="Q241" s="26">
        <f>Rådatakommune[[#This Row],[Eldre67+]]/Rådatakommune[[#This Row],[B14]]</f>
        <v>0.15961199294532627</v>
      </c>
      <c r="R241" s="26">
        <f>Rådatakommune[[#This Row],[S13]]/Rådatakommune[[#This Row],[S03]]-1</f>
        <v>2.0382952439777613E-2</v>
      </c>
      <c r="S241" s="26">
        <f>Rådatakommune[[#This Row],[Y13]]/Rådatakommune[[#This Row],[Folk20-64]]</f>
        <v>0.96394230769230771</v>
      </c>
    </row>
    <row r="242" spans="1:19">
      <c r="A242" s="2" t="s">
        <v>240</v>
      </c>
      <c r="B242" s="38">
        <v>6700</v>
      </c>
      <c r="C242" s="38">
        <v>7623</v>
      </c>
      <c r="D242" s="38">
        <v>4188</v>
      </c>
      <c r="E242" s="38">
        <v>1025</v>
      </c>
      <c r="F242" s="4">
        <v>1075</v>
      </c>
      <c r="G242" s="4">
        <v>4533</v>
      </c>
      <c r="H242" s="38">
        <v>3721</v>
      </c>
      <c r="I242" s="38">
        <v>4367</v>
      </c>
      <c r="J242" s="7">
        <v>745.83</v>
      </c>
      <c r="K242" s="38">
        <v>357700</v>
      </c>
      <c r="L242">
        <v>163.75476108149999</v>
      </c>
      <c r="M242">
        <v>8</v>
      </c>
      <c r="N242" s="37">
        <f>Rådatakommune[[#This Row],[B14]]/Rådatakommune[[#This Row],[Totalareal]]</f>
        <v>10.220827802582358</v>
      </c>
      <c r="O242" s="39">
        <f>Rådatakommune[[#This Row],[B14]]/Rådatakommune[[#This Row],[B04]]-1</f>
        <v>0.13776119402985065</v>
      </c>
      <c r="P242" s="26">
        <f>Rådatakommune[[#This Row],[Kvinner20-39]]/Rådatakommune[[#This Row],[B14]]</f>
        <v>0.14102059556605012</v>
      </c>
      <c r="Q242" s="26">
        <f>Rådatakommune[[#This Row],[Eldre67+]]/Rådatakommune[[#This Row],[B14]]</f>
        <v>0.13446149809786173</v>
      </c>
      <c r="R242" s="26">
        <f>Rådatakommune[[#This Row],[S13]]/Rådatakommune[[#This Row],[S03]]-1</f>
        <v>0.17360924482665951</v>
      </c>
      <c r="S242" s="26">
        <f>Rådatakommune[[#This Row],[Y13]]/Rådatakommune[[#This Row],[Folk20-64]]</f>
        <v>0.92389146260754462</v>
      </c>
    </row>
    <row r="243" spans="1:19">
      <c r="A243" s="2" t="s">
        <v>241</v>
      </c>
      <c r="B243" s="38">
        <v>1803</v>
      </c>
      <c r="C243" s="38">
        <v>1715</v>
      </c>
      <c r="D243" s="38">
        <v>906</v>
      </c>
      <c r="E243" s="38">
        <v>308</v>
      </c>
      <c r="F243" s="4">
        <v>180</v>
      </c>
      <c r="G243" s="4">
        <v>1004</v>
      </c>
      <c r="H243" s="38">
        <v>834</v>
      </c>
      <c r="I243" s="38">
        <v>857</v>
      </c>
      <c r="J243" s="7">
        <v>1467.6100000000001</v>
      </c>
      <c r="K243" s="38">
        <v>355600</v>
      </c>
      <c r="L243">
        <v>206.8877959502</v>
      </c>
      <c r="M243">
        <v>11</v>
      </c>
      <c r="N243" s="37">
        <f>Rådatakommune[[#This Row],[B14]]/Rådatakommune[[#This Row],[Totalareal]]</f>
        <v>1.1685665810399219</v>
      </c>
      <c r="O243" s="39">
        <f>Rådatakommune[[#This Row],[B14]]/Rådatakommune[[#This Row],[B04]]-1</f>
        <v>-4.8807542983915653E-2</v>
      </c>
      <c r="P243" s="26">
        <f>Rådatakommune[[#This Row],[Kvinner20-39]]/Rådatakommune[[#This Row],[B14]]</f>
        <v>0.10495626822157435</v>
      </c>
      <c r="Q243" s="26">
        <f>Rådatakommune[[#This Row],[Eldre67+]]/Rådatakommune[[#This Row],[B14]]</f>
        <v>0.17959183673469387</v>
      </c>
      <c r="R243" s="26">
        <f>Rådatakommune[[#This Row],[S13]]/Rådatakommune[[#This Row],[S03]]-1</f>
        <v>2.7577937649880147E-2</v>
      </c>
      <c r="S243" s="26">
        <f>Rådatakommune[[#This Row],[Y13]]/Rådatakommune[[#This Row],[Folk20-64]]</f>
        <v>0.90239043824701193</v>
      </c>
    </row>
    <row r="244" spans="1:19">
      <c r="A244" s="2" t="s">
        <v>242</v>
      </c>
      <c r="B244" s="38">
        <v>2169</v>
      </c>
      <c r="C244" s="38">
        <v>2174</v>
      </c>
      <c r="D244" s="38">
        <v>1119</v>
      </c>
      <c r="E244" s="38">
        <v>370</v>
      </c>
      <c r="F244" s="4">
        <v>211</v>
      </c>
      <c r="G244" s="4">
        <v>1213</v>
      </c>
      <c r="H244" s="38">
        <v>1089</v>
      </c>
      <c r="I244" s="38">
        <v>1010</v>
      </c>
      <c r="J244" s="7">
        <v>1342.47</v>
      </c>
      <c r="K244" s="38">
        <v>358700</v>
      </c>
      <c r="L244">
        <v>179.94548692429998</v>
      </c>
      <c r="M244">
        <v>9</v>
      </c>
      <c r="N244" s="37">
        <f>Rådatakommune[[#This Row],[B14]]/Rådatakommune[[#This Row],[Totalareal]]</f>
        <v>1.6194030406638509</v>
      </c>
      <c r="O244" s="39">
        <f>Rådatakommune[[#This Row],[B14]]/Rådatakommune[[#This Row],[B04]]-1</f>
        <v>2.3052097740894339E-3</v>
      </c>
      <c r="P244" s="26">
        <f>Rådatakommune[[#This Row],[Kvinner20-39]]/Rådatakommune[[#This Row],[B14]]</f>
        <v>9.7056117755289786E-2</v>
      </c>
      <c r="Q244" s="26">
        <f>Rådatakommune[[#This Row],[Eldre67+]]/Rådatakommune[[#This Row],[B14]]</f>
        <v>0.17019319227230911</v>
      </c>
      <c r="R244" s="26">
        <f>Rådatakommune[[#This Row],[S13]]/Rådatakommune[[#This Row],[S03]]-1</f>
        <v>-7.2543617998163445E-2</v>
      </c>
      <c r="S244" s="26">
        <f>Rådatakommune[[#This Row],[Y13]]/Rådatakommune[[#This Row],[Folk20-64]]</f>
        <v>0.92250618301731246</v>
      </c>
    </row>
    <row r="245" spans="1:19">
      <c r="A245" s="2" t="s">
        <v>243</v>
      </c>
      <c r="B245" s="38">
        <v>5631</v>
      </c>
      <c r="C245" s="38">
        <v>5496</v>
      </c>
      <c r="D245" s="38">
        <v>2611</v>
      </c>
      <c r="E245" s="38">
        <v>1048</v>
      </c>
      <c r="F245" s="4">
        <v>546</v>
      </c>
      <c r="G245" s="4">
        <v>3132</v>
      </c>
      <c r="H245" s="38">
        <v>2966</v>
      </c>
      <c r="I245" s="38">
        <v>2612</v>
      </c>
      <c r="J245" s="7">
        <v>976.54</v>
      </c>
      <c r="K245" s="38">
        <v>384800</v>
      </c>
      <c r="L245">
        <v>192.52787012959999</v>
      </c>
      <c r="M245">
        <v>9</v>
      </c>
      <c r="N245" s="37">
        <f>Rådatakommune[[#This Row],[B14]]/Rådatakommune[[#This Row],[Totalareal]]</f>
        <v>5.6280336698957543</v>
      </c>
      <c r="O245" s="39">
        <f>Rådatakommune[[#This Row],[B14]]/Rådatakommune[[#This Row],[B04]]-1</f>
        <v>-2.3974427277570598E-2</v>
      </c>
      <c r="P245" s="26">
        <f>Rådatakommune[[#This Row],[Kvinner20-39]]/Rådatakommune[[#This Row],[B14]]</f>
        <v>9.934497816593886E-2</v>
      </c>
      <c r="Q245" s="26">
        <f>Rådatakommune[[#This Row],[Eldre67+]]/Rådatakommune[[#This Row],[B14]]</f>
        <v>0.19068413391557495</v>
      </c>
      <c r="R245" s="26">
        <f>Rådatakommune[[#This Row],[S13]]/Rådatakommune[[#This Row],[S03]]-1</f>
        <v>-0.11935266351989215</v>
      </c>
      <c r="S245" s="26">
        <f>Rådatakommune[[#This Row],[Y13]]/Rådatakommune[[#This Row],[Folk20-64]]</f>
        <v>0.83365261813537672</v>
      </c>
    </row>
    <row r="246" spans="1:19">
      <c r="A246" s="2" t="s">
        <v>244</v>
      </c>
      <c r="B246" s="38">
        <v>4926</v>
      </c>
      <c r="C246" s="38">
        <v>5089</v>
      </c>
      <c r="D246" s="38">
        <v>2722</v>
      </c>
      <c r="E246" s="38">
        <v>861</v>
      </c>
      <c r="F246" s="4">
        <v>563</v>
      </c>
      <c r="G246" s="4">
        <v>2792</v>
      </c>
      <c r="H246" s="38">
        <v>1893</v>
      </c>
      <c r="I246" s="38">
        <v>2075</v>
      </c>
      <c r="J246" s="7">
        <v>2706.23</v>
      </c>
      <c r="K246" s="38">
        <v>343200</v>
      </c>
      <c r="L246">
        <v>184.57999999999998</v>
      </c>
      <c r="M246">
        <v>8</v>
      </c>
      <c r="N246" s="37">
        <f>Rådatakommune[[#This Row],[B14]]/Rådatakommune[[#This Row],[Totalareal]]</f>
        <v>1.8804757910451071</v>
      </c>
      <c r="O246" s="39">
        <f>Rådatakommune[[#This Row],[B14]]/Rådatakommune[[#This Row],[B04]]-1</f>
        <v>3.3089727974015437E-2</v>
      </c>
      <c r="P246" s="26">
        <f>Rådatakommune[[#This Row],[Kvinner20-39]]/Rådatakommune[[#This Row],[B14]]</f>
        <v>0.11063077225388092</v>
      </c>
      <c r="Q246" s="26">
        <f>Rådatakommune[[#This Row],[Eldre67+]]/Rådatakommune[[#This Row],[B14]]</f>
        <v>0.16918844566712518</v>
      </c>
      <c r="R246" s="26">
        <f>Rådatakommune[[#This Row],[S13]]/Rådatakommune[[#This Row],[S03]]-1</f>
        <v>9.6143687268885447E-2</v>
      </c>
      <c r="S246" s="26">
        <f>Rådatakommune[[#This Row],[Y13]]/Rådatakommune[[#This Row],[Folk20-64]]</f>
        <v>0.97492836676217765</v>
      </c>
    </row>
    <row r="247" spans="1:19">
      <c r="A247" s="2" t="s">
        <v>245</v>
      </c>
      <c r="B247" s="38">
        <v>3260</v>
      </c>
      <c r="C247" s="38">
        <v>3011</v>
      </c>
      <c r="D247" s="38">
        <v>1486</v>
      </c>
      <c r="E247" s="38">
        <v>652</v>
      </c>
      <c r="F247" s="4">
        <v>274</v>
      </c>
      <c r="G247" s="4">
        <v>1589</v>
      </c>
      <c r="H247" s="38">
        <v>1193</v>
      </c>
      <c r="I247" s="38">
        <v>1118</v>
      </c>
      <c r="J247" s="7">
        <v>326.17</v>
      </c>
      <c r="K247" s="38">
        <v>345400</v>
      </c>
      <c r="L247">
        <v>216.42007094429999</v>
      </c>
      <c r="M247">
        <v>8</v>
      </c>
      <c r="N247" s="37">
        <f>Rådatakommune[[#This Row],[B14]]/Rådatakommune[[#This Row],[Totalareal]]</f>
        <v>9.231382407946775</v>
      </c>
      <c r="O247" s="39">
        <f>Rådatakommune[[#This Row],[B14]]/Rådatakommune[[#This Row],[B04]]-1</f>
        <v>-7.6380368098159512E-2</v>
      </c>
      <c r="P247" s="26">
        <f>Rådatakommune[[#This Row],[Kvinner20-39]]/Rådatakommune[[#This Row],[B14]]</f>
        <v>9.0999667884423777E-2</v>
      </c>
      <c r="Q247" s="26">
        <f>Rådatakommune[[#This Row],[Eldre67+]]/Rådatakommune[[#This Row],[B14]]</f>
        <v>0.21653935569578214</v>
      </c>
      <c r="R247" s="26">
        <f>Rådatakommune[[#This Row],[S13]]/Rådatakommune[[#This Row],[S03]]-1</f>
        <v>-6.2866722548197806E-2</v>
      </c>
      <c r="S247" s="26">
        <f>Rådatakommune[[#This Row],[Y13]]/Rådatakommune[[#This Row],[Folk20-64]]</f>
        <v>0.93517935808684705</v>
      </c>
    </row>
    <row r="248" spans="1:19">
      <c r="A248" s="2" t="s">
        <v>246</v>
      </c>
      <c r="B248" s="38">
        <v>2910</v>
      </c>
      <c r="C248" s="38">
        <v>2853</v>
      </c>
      <c r="D248" s="38">
        <v>1377</v>
      </c>
      <c r="E248" s="38">
        <v>529</v>
      </c>
      <c r="F248" s="4">
        <v>303</v>
      </c>
      <c r="G248" s="4">
        <v>1447</v>
      </c>
      <c r="H248" s="38">
        <v>1185</v>
      </c>
      <c r="I248" s="38">
        <v>1290</v>
      </c>
      <c r="J248" s="7">
        <v>416.51</v>
      </c>
      <c r="K248" s="38">
        <v>319700</v>
      </c>
      <c r="L248">
        <v>178.87110704610001</v>
      </c>
      <c r="M248">
        <v>6</v>
      </c>
      <c r="N248" s="37">
        <f>Rådatakommune[[#This Row],[B14]]/Rådatakommune[[#This Row],[Totalareal]]</f>
        <v>6.8497755155938638</v>
      </c>
      <c r="O248" s="39">
        <f>Rådatakommune[[#This Row],[B14]]/Rådatakommune[[#This Row],[B04]]-1</f>
        <v>-1.9587628865979423E-2</v>
      </c>
      <c r="P248" s="26">
        <f>Rådatakommune[[#This Row],[Kvinner20-39]]/Rådatakommune[[#This Row],[B14]]</f>
        <v>0.10620399579390116</v>
      </c>
      <c r="Q248" s="26">
        <f>Rådatakommune[[#This Row],[Eldre67+]]/Rådatakommune[[#This Row],[B14]]</f>
        <v>0.18541885734314756</v>
      </c>
      <c r="R248" s="26">
        <f>Rådatakommune[[#This Row],[S13]]/Rådatakommune[[#This Row],[S03]]-1</f>
        <v>8.8607594936708889E-2</v>
      </c>
      <c r="S248" s="26">
        <f>Rådatakommune[[#This Row],[Y13]]/Rådatakommune[[#This Row],[Folk20-64]]</f>
        <v>0.95162404975812021</v>
      </c>
    </row>
    <row r="249" spans="1:19">
      <c r="A249" s="2" t="s">
        <v>247</v>
      </c>
      <c r="B249" s="38">
        <v>2776</v>
      </c>
      <c r="C249" s="38">
        <v>2928</v>
      </c>
      <c r="D249" s="38">
        <v>1564</v>
      </c>
      <c r="E249" s="38">
        <v>448</v>
      </c>
      <c r="F249" s="4">
        <v>320</v>
      </c>
      <c r="G249" s="4">
        <v>1615</v>
      </c>
      <c r="H249" s="38">
        <v>1047</v>
      </c>
      <c r="I249" s="38">
        <v>996</v>
      </c>
      <c r="J249" s="7">
        <v>581.82000000000005</v>
      </c>
      <c r="K249" s="38">
        <v>354000</v>
      </c>
      <c r="L249">
        <v>167.7804442316</v>
      </c>
      <c r="M249">
        <v>6</v>
      </c>
      <c r="N249" s="37">
        <f>Rådatakommune[[#This Row],[B14]]/Rådatakommune[[#This Row],[Totalareal]]</f>
        <v>5.0324842734866451</v>
      </c>
      <c r="O249" s="39">
        <f>Rådatakommune[[#This Row],[B14]]/Rådatakommune[[#This Row],[B04]]-1</f>
        <v>5.4755043227665778E-2</v>
      </c>
      <c r="P249" s="26">
        <f>Rådatakommune[[#This Row],[Kvinner20-39]]/Rådatakommune[[#This Row],[B14]]</f>
        <v>0.10928961748633879</v>
      </c>
      <c r="Q249" s="26">
        <f>Rådatakommune[[#This Row],[Eldre67+]]/Rådatakommune[[#This Row],[B14]]</f>
        <v>0.15300546448087432</v>
      </c>
      <c r="R249" s="26">
        <f>Rådatakommune[[#This Row],[S13]]/Rådatakommune[[#This Row],[S03]]-1</f>
        <v>-4.8710601719197721E-2</v>
      </c>
      <c r="S249" s="26">
        <f>Rådatakommune[[#This Row],[Y13]]/Rådatakommune[[#This Row],[Folk20-64]]</f>
        <v>0.96842105263157896</v>
      </c>
    </row>
    <row r="250" spans="1:19">
      <c r="A250" s="2" t="s">
        <v>248</v>
      </c>
      <c r="B250" s="38">
        <v>2914</v>
      </c>
      <c r="C250" s="38">
        <v>3070</v>
      </c>
      <c r="D250" s="38">
        <v>1638</v>
      </c>
      <c r="E250" s="38">
        <v>463</v>
      </c>
      <c r="F250" s="4">
        <v>346</v>
      </c>
      <c r="G250" s="4">
        <v>1693</v>
      </c>
      <c r="H250" s="38">
        <v>967</v>
      </c>
      <c r="I250" s="38">
        <v>1043</v>
      </c>
      <c r="J250" s="7">
        <v>670.86</v>
      </c>
      <c r="K250" s="38">
        <v>350700</v>
      </c>
      <c r="L250">
        <v>193.67538588470001</v>
      </c>
      <c r="M250">
        <v>6</v>
      </c>
      <c r="N250" s="37">
        <f>Rådatakommune[[#This Row],[B14]]/Rådatakommune[[#This Row],[Totalareal]]</f>
        <v>4.5762156038517725</v>
      </c>
      <c r="O250" s="39">
        <f>Rådatakommune[[#This Row],[B14]]/Rådatakommune[[#This Row],[B04]]-1</f>
        <v>5.3534660260809774E-2</v>
      </c>
      <c r="P250" s="26">
        <f>Rådatakommune[[#This Row],[Kvinner20-39]]/Rådatakommune[[#This Row],[B14]]</f>
        <v>0.11270358306188925</v>
      </c>
      <c r="Q250" s="26">
        <f>Rådatakommune[[#This Row],[Eldre67+]]/Rådatakommune[[#This Row],[B14]]</f>
        <v>0.150814332247557</v>
      </c>
      <c r="R250" s="26">
        <f>Rådatakommune[[#This Row],[S13]]/Rådatakommune[[#This Row],[S03]]-1</f>
        <v>7.8593588417787075E-2</v>
      </c>
      <c r="S250" s="26">
        <f>Rådatakommune[[#This Row],[Y13]]/Rådatakommune[[#This Row],[Folk20-64]]</f>
        <v>0.96751329001772002</v>
      </c>
    </row>
    <row r="251" spans="1:19">
      <c r="A251" s="2" t="s">
        <v>249</v>
      </c>
      <c r="B251" s="38">
        <v>11104</v>
      </c>
      <c r="C251" s="38">
        <v>12685</v>
      </c>
      <c r="D251" s="38">
        <v>7151</v>
      </c>
      <c r="E251" s="38">
        <v>1260</v>
      </c>
      <c r="F251" s="4">
        <v>1693</v>
      </c>
      <c r="G251" s="4">
        <v>7582</v>
      </c>
      <c r="H251" s="38">
        <v>7744</v>
      </c>
      <c r="I251" s="38">
        <v>9278</v>
      </c>
      <c r="J251" s="7">
        <v>585.6400000000001</v>
      </c>
      <c r="K251" s="38">
        <v>394800</v>
      </c>
      <c r="L251">
        <v>169.29508102310001</v>
      </c>
      <c r="M251">
        <v>6</v>
      </c>
      <c r="N251" s="37">
        <f>Rådatakommune[[#This Row],[B14]]/Rådatakommune[[#This Row],[Totalareal]]</f>
        <v>21.660064203264799</v>
      </c>
      <c r="O251" s="39">
        <f>Rådatakommune[[#This Row],[B14]]/Rådatakommune[[#This Row],[B04]]-1</f>
        <v>0.14238112391930846</v>
      </c>
      <c r="P251" s="26">
        <f>Rådatakommune[[#This Row],[Kvinner20-39]]/Rådatakommune[[#This Row],[B14]]</f>
        <v>0.13346472211273158</v>
      </c>
      <c r="Q251" s="26">
        <f>Rådatakommune[[#This Row],[Eldre67+]]/Rådatakommune[[#This Row],[B14]]</f>
        <v>9.9329917225068981E-2</v>
      </c>
      <c r="R251" s="26">
        <f>Rådatakommune[[#This Row],[S13]]/Rådatakommune[[#This Row],[S03]]-1</f>
        <v>0.19808884297520657</v>
      </c>
      <c r="S251" s="26">
        <f>Rådatakommune[[#This Row],[Y13]]/Rådatakommune[[#This Row],[Folk20-64]]</f>
        <v>0.94315484041150088</v>
      </c>
    </row>
    <row r="252" spans="1:19">
      <c r="A252" s="2" t="s">
        <v>250</v>
      </c>
      <c r="B252" s="38">
        <v>2696</v>
      </c>
      <c r="C252" s="38">
        <v>2776</v>
      </c>
      <c r="D252" s="38">
        <v>1488</v>
      </c>
      <c r="E252" s="38">
        <v>434</v>
      </c>
      <c r="F252" s="4">
        <v>320</v>
      </c>
      <c r="G252" s="4">
        <v>1546</v>
      </c>
      <c r="H252" s="38">
        <v>715</v>
      </c>
      <c r="I252" s="38">
        <v>645</v>
      </c>
      <c r="J252" s="7">
        <v>369.29</v>
      </c>
      <c r="K252" s="38">
        <v>361400</v>
      </c>
      <c r="L252">
        <v>179.29323702440001</v>
      </c>
      <c r="M252">
        <v>6</v>
      </c>
      <c r="N252" s="37">
        <f>Rådatakommune[[#This Row],[B14]]/Rådatakommune[[#This Row],[Totalareal]]</f>
        <v>7.5171274608031622</v>
      </c>
      <c r="O252" s="39">
        <f>Rådatakommune[[#This Row],[B14]]/Rådatakommune[[#This Row],[B04]]-1</f>
        <v>2.9673590504450953E-2</v>
      </c>
      <c r="P252" s="26">
        <f>Rådatakommune[[#This Row],[Kvinner20-39]]/Rådatakommune[[#This Row],[B14]]</f>
        <v>0.11527377521613832</v>
      </c>
      <c r="Q252" s="26">
        <f>Rådatakommune[[#This Row],[Eldre67+]]/Rådatakommune[[#This Row],[B14]]</f>
        <v>0.1563400576368876</v>
      </c>
      <c r="R252" s="26">
        <f>Rådatakommune[[#This Row],[S13]]/Rådatakommune[[#This Row],[S03]]-1</f>
        <v>-9.7902097902097918E-2</v>
      </c>
      <c r="S252" s="26">
        <f>Rådatakommune[[#This Row],[Y13]]/Rådatakommune[[#This Row],[Folk20-64]]</f>
        <v>0.96248382923674003</v>
      </c>
    </row>
    <row r="253" spans="1:19">
      <c r="A253" s="2" t="s">
        <v>251</v>
      </c>
      <c r="B253" s="38">
        <v>4065</v>
      </c>
      <c r="C253" s="38">
        <v>3950</v>
      </c>
      <c r="D253" s="38">
        <v>1865</v>
      </c>
      <c r="E253" s="38">
        <v>816</v>
      </c>
      <c r="F253" s="4">
        <v>375</v>
      </c>
      <c r="G253" s="4">
        <v>2058</v>
      </c>
      <c r="H253" s="38">
        <v>1734</v>
      </c>
      <c r="I253" s="38">
        <v>1631</v>
      </c>
      <c r="J253" s="7">
        <v>832.28</v>
      </c>
      <c r="K253" s="38">
        <v>342900</v>
      </c>
      <c r="L253">
        <v>215.2085479863</v>
      </c>
      <c r="M253">
        <v>11</v>
      </c>
      <c r="N253" s="37">
        <f>Rådatakommune[[#This Row],[B14]]/Rådatakommune[[#This Row],[Totalareal]]</f>
        <v>4.745998942663527</v>
      </c>
      <c r="O253" s="39">
        <f>Rådatakommune[[#This Row],[B14]]/Rådatakommune[[#This Row],[B04]]-1</f>
        <v>-2.8290282902828978E-2</v>
      </c>
      <c r="P253" s="26">
        <f>Rådatakommune[[#This Row],[Kvinner20-39]]/Rådatakommune[[#This Row],[B14]]</f>
        <v>9.49367088607595E-2</v>
      </c>
      <c r="Q253" s="26">
        <f>Rådatakommune[[#This Row],[Eldre67+]]/Rådatakommune[[#This Row],[B14]]</f>
        <v>0.20658227848101265</v>
      </c>
      <c r="R253" s="26">
        <f>Rådatakommune[[#This Row],[S13]]/Rådatakommune[[#This Row],[S03]]-1</f>
        <v>-5.9400230680507482E-2</v>
      </c>
      <c r="S253" s="26">
        <f>Rådatakommune[[#This Row],[Y13]]/Rådatakommune[[#This Row],[Folk20-64]]</f>
        <v>0.90621963070942668</v>
      </c>
    </row>
    <row r="254" spans="1:19">
      <c r="A254" s="2" t="s">
        <v>252</v>
      </c>
      <c r="B254" s="38">
        <v>6288</v>
      </c>
      <c r="C254" s="38">
        <v>6091</v>
      </c>
      <c r="D254" s="38">
        <v>3016</v>
      </c>
      <c r="E254" s="38">
        <v>1012</v>
      </c>
      <c r="F254" s="4">
        <v>624</v>
      </c>
      <c r="G254" s="4">
        <v>3395</v>
      </c>
      <c r="H254" s="38">
        <v>3114</v>
      </c>
      <c r="I254" s="38">
        <v>2960</v>
      </c>
      <c r="J254" s="7">
        <v>176.66</v>
      </c>
      <c r="K254" s="38">
        <v>370200</v>
      </c>
      <c r="L254">
        <v>219.7428749115</v>
      </c>
      <c r="M254">
        <v>9</v>
      </c>
      <c r="N254" s="37">
        <f>Rådatakommune[[#This Row],[B14]]/Rådatakommune[[#This Row],[Totalareal]]</f>
        <v>34.478659572059321</v>
      </c>
      <c r="O254" s="39">
        <f>Rådatakommune[[#This Row],[B14]]/Rådatakommune[[#This Row],[B04]]-1</f>
        <v>-3.1329516539440161E-2</v>
      </c>
      <c r="P254" s="26">
        <f>Rådatakommune[[#This Row],[Kvinner20-39]]/Rådatakommune[[#This Row],[B14]]</f>
        <v>0.10244623214578887</v>
      </c>
      <c r="Q254" s="26">
        <f>Rådatakommune[[#This Row],[Eldre67+]]/Rådatakommune[[#This Row],[B14]]</f>
        <v>0.16614677392874733</v>
      </c>
      <c r="R254" s="26">
        <f>Rådatakommune[[#This Row],[S13]]/Rådatakommune[[#This Row],[S03]]-1</f>
        <v>-4.9454078355812503E-2</v>
      </c>
      <c r="S254" s="26">
        <f>Rådatakommune[[#This Row],[Y13]]/Rådatakommune[[#This Row],[Folk20-64]]</f>
        <v>0.88836524300441821</v>
      </c>
    </row>
    <row r="255" spans="1:19">
      <c r="A255" s="2" t="s">
        <v>253</v>
      </c>
      <c r="B255" s="38">
        <v>3050</v>
      </c>
      <c r="C255" s="38">
        <v>2782</v>
      </c>
      <c r="D255" s="38">
        <v>1444</v>
      </c>
      <c r="E255" s="38">
        <v>500</v>
      </c>
      <c r="F255" s="4">
        <v>274</v>
      </c>
      <c r="G255" s="4">
        <v>1525</v>
      </c>
      <c r="H255" s="38">
        <v>1135</v>
      </c>
      <c r="I255" s="38">
        <v>1218</v>
      </c>
      <c r="J255" s="7">
        <v>226.12</v>
      </c>
      <c r="K255" s="38">
        <v>357800</v>
      </c>
      <c r="L255">
        <v>225.99359593779999</v>
      </c>
      <c r="M255">
        <v>9</v>
      </c>
      <c r="N255" s="37">
        <f>Rådatakommune[[#This Row],[B14]]/Rådatakommune[[#This Row],[Totalareal]]</f>
        <v>12.303201839731116</v>
      </c>
      <c r="O255" s="39">
        <f>Rådatakommune[[#This Row],[B14]]/Rådatakommune[[#This Row],[B04]]-1</f>
        <v>-8.7868852459016433E-2</v>
      </c>
      <c r="P255" s="26">
        <f>Rådatakommune[[#This Row],[Kvinner20-39]]/Rådatakommune[[#This Row],[B14]]</f>
        <v>9.8490294751977001E-2</v>
      </c>
      <c r="Q255" s="26">
        <f>Rådatakommune[[#This Row],[Eldre67+]]/Rådatakommune[[#This Row],[B14]]</f>
        <v>0.17972681524083392</v>
      </c>
      <c r="R255" s="26">
        <f>Rådatakommune[[#This Row],[S13]]/Rådatakommune[[#This Row],[S03]]-1</f>
        <v>7.3127753303964704E-2</v>
      </c>
      <c r="S255" s="26">
        <f>Rådatakommune[[#This Row],[Y13]]/Rådatakommune[[#This Row],[Folk20-64]]</f>
        <v>0.94688524590163936</v>
      </c>
    </row>
    <row r="256" spans="1:19">
      <c r="A256" s="2" t="s">
        <v>254</v>
      </c>
      <c r="B256" s="38">
        <v>5779</v>
      </c>
      <c r="C256" s="38">
        <v>5926</v>
      </c>
      <c r="D256" s="38">
        <v>3141</v>
      </c>
      <c r="E256" s="38">
        <v>874</v>
      </c>
      <c r="F256" s="4">
        <v>671</v>
      </c>
      <c r="G256" s="4">
        <v>3302</v>
      </c>
      <c r="H256" s="38">
        <v>2689</v>
      </c>
      <c r="I256" s="38">
        <v>2880</v>
      </c>
      <c r="J256" s="7">
        <v>469.21999999999997</v>
      </c>
      <c r="K256" s="38">
        <v>354700</v>
      </c>
      <c r="L256">
        <v>174.667456805</v>
      </c>
      <c r="M256">
        <v>8</v>
      </c>
      <c r="N256" s="37">
        <f>Rådatakommune[[#This Row],[B14]]/Rådatakommune[[#This Row],[Totalareal]]</f>
        <v>12.629470184561614</v>
      </c>
      <c r="O256" s="39">
        <f>Rådatakommune[[#This Row],[B14]]/Rådatakommune[[#This Row],[B04]]-1</f>
        <v>2.5436926803945381E-2</v>
      </c>
      <c r="P256" s="26">
        <f>Rådatakommune[[#This Row],[Kvinner20-39]]/Rådatakommune[[#This Row],[B14]]</f>
        <v>0.11322983462706716</v>
      </c>
      <c r="Q256" s="26">
        <f>Rådatakommune[[#This Row],[Eldre67+]]/Rådatakommune[[#This Row],[B14]]</f>
        <v>0.14748565642929462</v>
      </c>
      <c r="R256" s="26">
        <f>Rådatakommune[[#This Row],[S13]]/Rådatakommune[[#This Row],[S03]]-1</f>
        <v>7.1030122722201661E-2</v>
      </c>
      <c r="S256" s="26">
        <f>Rådatakommune[[#This Row],[Y13]]/Rådatakommune[[#This Row],[Folk20-64]]</f>
        <v>0.95124167171411267</v>
      </c>
    </row>
    <row r="257" spans="1:19">
      <c r="A257" s="2" t="s">
        <v>255</v>
      </c>
      <c r="B257" s="38">
        <v>1203</v>
      </c>
      <c r="C257" s="38">
        <v>1223</v>
      </c>
      <c r="D257" s="38">
        <v>679</v>
      </c>
      <c r="E257" s="38">
        <v>217</v>
      </c>
      <c r="F257" s="4">
        <v>133</v>
      </c>
      <c r="G257" s="4">
        <v>654</v>
      </c>
      <c r="H257" s="38">
        <v>494</v>
      </c>
      <c r="I257" s="38">
        <v>500</v>
      </c>
      <c r="J257" s="7">
        <v>191.6</v>
      </c>
      <c r="K257" s="38">
        <v>335300</v>
      </c>
      <c r="L257">
        <v>201.13440440639999</v>
      </c>
      <c r="M257">
        <v>8</v>
      </c>
      <c r="N257" s="37">
        <f>Rådatakommune[[#This Row],[B14]]/Rådatakommune[[#This Row],[Totalareal]]</f>
        <v>6.3830897703549061</v>
      </c>
      <c r="O257" s="39">
        <f>Rådatakommune[[#This Row],[B14]]/Rådatakommune[[#This Row],[B04]]-1</f>
        <v>1.6625103906899419E-2</v>
      </c>
      <c r="P257" s="26">
        <f>Rådatakommune[[#This Row],[Kvinner20-39]]/Rådatakommune[[#This Row],[B14]]</f>
        <v>0.10874897792313983</v>
      </c>
      <c r="Q257" s="26">
        <f>Rådatakommune[[#This Row],[Eldre67+]]/Rådatakommune[[#This Row],[B14]]</f>
        <v>0.17743254292722813</v>
      </c>
      <c r="R257" s="26">
        <f>Rådatakommune[[#This Row],[S13]]/Rådatakommune[[#This Row],[S03]]-1</f>
        <v>1.2145748987854255E-2</v>
      </c>
      <c r="S257" s="26">
        <f>Rådatakommune[[#This Row],[Y13]]/Rådatakommune[[#This Row],[Folk20-64]]</f>
        <v>1.0382262996941896</v>
      </c>
    </row>
    <row r="258" spans="1:19">
      <c r="A258" s="2" t="s">
        <v>256</v>
      </c>
      <c r="B258" s="38">
        <v>5741</v>
      </c>
      <c r="C258" s="38">
        <v>5694</v>
      </c>
      <c r="D258" s="38">
        <v>3071</v>
      </c>
      <c r="E258" s="38">
        <v>1002</v>
      </c>
      <c r="F258" s="4">
        <v>604</v>
      </c>
      <c r="G258" s="4">
        <v>3089</v>
      </c>
      <c r="H258" s="38">
        <v>2755</v>
      </c>
      <c r="I258" s="38">
        <v>2800</v>
      </c>
      <c r="J258" s="7">
        <v>1031</v>
      </c>
      <c r="K258" s="38">
        <v>355100</v>
      </c>
      <c r="L258">
        <v>165.96171553433999</v>
      </c>
      <c r="M258">
        <v>9</v>
      </c>
      <c r="N258" s="37">
        <f>Rådatakommune[[#This Row],[B14]]/Rådatakommune[[#This Row],[Totalareal]]</f>
        <v>5.5227934044616873</v>
      </c>
      <c r="O258" s="39">
        <f>Rådatakommune[[#This Row],[B14]]/Rådatakommune[[#This Row],[B04]]-1</f>
        <v>-8.1867270510364021E-3</v>
      </c>
      <c r="P258" s="26">
        <f>Rådatakommune[[#This Row],[Kvinner20-39]]/Rådatakommune[[#This Row],[B14]]</f>
        <v>0.10607657182999648</v>
      </c>
      <c r="Q258" s="26">
        <f>Rådatakommune[[#This Row],[Eldre67+]]/Rådatakommune[[#This Row],[B14]]</f>
        <v>0.17597471022128555</v>
      </c>
      <c r="R258" s="26">
        <f>Rådatakommune[[#This Row],[S13]]/Rådatakommune[[#This Row],[S03]]-1</f>
        <v>1.6333938294010864E-2</v>
      </c>
      <c r="S258" s="26">
        <f>Rådatakommune[[#This Row],[Y13]]/Rådatakommune[[#This Row],[Folk20-64]]</f>
        <v>0.99417287147944322</v>
      </c>
    </row>
    <row r="259" spans="1:19">
      <c r="A259" s="2" t="s">
        <v>257</v>
      </c>
      <c r="B259" s="38">
        <v>6855</v>
      </c>
      <c r="C259" s="38">
        <v>7134</v>
      </c>
      <c r="D259" s="38">
        <v>3821</v>
      </c>
      <c r="E259" s="38">
        <v>1108</v>
      </c>
      <c r="F259" s="4">
        <v>743</v>
      </c>
      <c r="G259" s="4">
        <v>3976</v>
      </c>
      <c r="H259" s="38">
        <v>3657</v>
      </c>
      <c r="I259" s="38">
        <v>3801</v>
      </c>
      <c r="J259" s="7">
        <v>1377.19</v>
      </c>
      <c r="K259" s="38">
        <v>347100</v>
      </c>
      <c r="L259">
        <v>202.31840518939998</v>
      </c>
      <c r="M259">
        <v>8</v>
      </c>
      <c r="N259" s="37">
        <f>Rådatakommune[[#This Row],[B14]]/Rådatakommune[[#This Row],[Totalareal]]</f>
        <v>5.1801131289074132</v>
      </c>
      <c r="O259" s="39">
        <f>Rådatakommune[[#This Row],[B14]]/Rådatakommune[[#This Row],[B04]]-1</f>
        <v>4.0700218818380707E-2</v>
      </c>
      <c r="P259" s="26">
        <f>Rådatakommune[[#This Row],[Kvinner20-39]]/Rådatakommune[[#This Row],[B14]]</f>
        <v>0.10414914493972525</v>
      </c>
      <c r="Q259" s="26">
        <f>Rådatakommune[[#This Row],[Eldre67+]]/Rådatakommune[[#This Row],[B14]]</f>
        <v>0.1553125876086347</v>
      </c>
      <c r="R259" s="26">
        <f>Rådatakommune[[#This Row],[S13]]/Rådatakommune[[#This Row],[S03]]-1</f>
        <v>3.9376538146021378E-2</v>
      </c>
      <c r="S259" s="26">
        <f>Rådatakommune[[#This Row],[Y13]]/Rådatakommune[[#This Row],[Folk20-64]]</f>
        <v>0.96101609657947684</v>
      </c>
    </row>
    <row r="260" spans="1:19">
      <c r="A260" s="2" t="s">
        <v>258</v>
      </c>
      <c r="B260" s="38">
        <v>24041</v>
      </c>
      <c r="C260" s="38">
        <v>26048</v>
      </c>
      <c r="D260" s="38">
        <v>13770</v>
      </c>
      <c r="E260" s="38">
        <v>3839</v>
      </c>
      <c r="F260" s="4">
        <v>3104</v>
      </c>
      <c r="G260" s="4">
        <v>15251</v>
      </c>
      <c r="H260" s="38">
        <v>14886</v>
      </c>
      <c r="I260" s="38">
        <v>17236</v>
      </c>
      <c r="J260" s="7">
        <v>362.66</v>
      </c>
      <c r="K260" s="38">
        <v>392500</v>
      </c>
      <c r="L260">
        <v>156.37562192599</v>
      </c>
      <c r="M260">
        <v>4</v>
      </c>
      <c r="N260" s="37">
        <f>Rådatakommune[[#This Row],[B14]]/Rådatakommune[[#This Row],[Totalareal]]</f>
        <v>71.824849721502233</v>
      </c>
      <c r="O260" s="39">
        <f>Rådatakommune[[#This Row],[B14]]/Rådatakommune[[#This Row],[B04]]-1</f>
        <v>8.3482384260222142E-2</v>
      </c>
      <c r="P260" s="26">
        <f>Rådatakommune[[#This Row],[Kvinner20-39]]/Rådatakommune[[#This Row],[B14]]</f>
        <v>0.11916461916461916</v>
      </c>
      <c r="Q260" s="26">
        <f>Rådatakommune[[#This Row],[Eldre67+]]/Rådatakommune[[#This Row],[B14]]</f>
        <v>0.14738175675675674</v>
      </c>
      <c r="R260" s="26">
        <f>Rådatakommune[[#This Row],[S13]]/Rådatakommune[[#This Row],[S03]]-1</f>
        <v>0.15786645169958358</v>
      </c>
      <c r="S260" s="26">
        <f>Rådatakommune[[#This Row],[Y13]]/Rådatakommune[[#This Row],[Folk20-64]]</f>
        <v>0.90289161366467774</v>
      </c>
    </row>
    <row r="261" spans="1:19">
      <c r="A261" s="2" t="s">
        <v>259</v>
      </c>
      <c r="B261" s="38">
        <v>40001</v>
      </c>
      <c r="C261" s="38">
        <v>45747</v>
      </c>
      <c r="D261" s="38">
        <v>24399</v>
      </c>
      <c r="E261" s="38">
        <v>6010</v>
      </c>
      <c r="F261" s="4">
        <v>6103</v>
      </c>
      <c r="G261" s="4">
        <v>27562</v>
      </c>
      <c r="H261" s="38">
        <v>23034</v>
      </c>
      <c r="I261" s="38">
        <v>28005</v>
      </c>
      <c r="J261" s="7">
        <v>98.62</v>
      </c>
      <c r="K261" s="38">
        <v>399100</v>
      </c>
      <c r="L261">
        <v>164.21314231069999</v>
      </c>
      <c r="M261">
        <v>4</v>
      </c>
      <c r="N261" s="37">
        <f>Rådatakommune[[#This Row],[B14]]/Rådatakommune[[#This Row],[Totalareal]]</f>
        <v>463.87142567430539</v>
      </c>
      <c r="O261" s="39">
        <f>Rådatakommune[[#This Row],[B14]]/Rådatakommune[[#This Row],[B04]]-1</f>
        <v>0.14364640883977908</v>
      </c>
      <c r="P261" s="26">
        <f>Rådatakommune[[#This Row],[Kvinner20-39]]/Rådatakommune[[#This Row],[B14]]</f>
        <v>0.13340765514678557</v>
      </c>
      <c r="Q261" s="26">
        <f>Rådatakommune[[#This Row],[Eldre67+]]/Rådatakommune[[#This Row],[B14]]</f>
        <v>0.13137473495529761</v>
      </c>
      <c r="R261" s="26">
        <f>Rådatakommune[[#This Row],[S13]]/Rådatakommune[[#This Row],[S03]]-1</f>
        <v>0.21581140922115138</v>
      </c>
      <c r="S261" s="26">
        <f>Rådatakommune[[#This Row],[Y13]]/Rådatakommune[[#This Row],[Folk20-64]]</f>
        <v>0.88524054858138013</v>
      </c>
    </row>
    <row r="262" spans="1:19" ht="16.5">
      <c r="A262" s="2" t="s">
        <v>260</v>
      </c>
      <c r="B262" s="40">
        <v>22379</v>
      </c>
      <c r="C262" s="38">
        <v>24395</v>
      </c>
      <c r="D262" s="38">
        <v>12233</v>
      </c>
      <c r="E262" s="38">
        <v>3491</v>
      </c>
      <c r="F262" s="4">
        <v>2948</v>
      </c>
      <c r="G262" s="4">
        <v>14538</v>
      </c>
      <c r="H262" s="38">
        <v>9987</v>
      </c>
      <c r="I262" s="38">
        <v>12230</v>
      </c>
      <c r="J262" s="7">
        <v>87.36999999999999</v>
      </c>
      <c r="K262" s="38">
        <v>381000</v>
      </c>
      <c r="L262">
        <v>163.25430925117001</v>
      </c>
      <c r="M262">
        <v>5</v>
      </c>
      <c r="N262" s="37">
        <f>Rådatakommune[[#This Row],[B14]]/Rådatakommune[[#This Row],[Totalareal]]</f>
        <v>279.21483346686512</v>
      </c>
      <c r="O262" s="39">
        <f>Rådatakommune[[#This Row],[B14]]/Rådatakommune[[#This Row],[B04]]-1</f>
        <v>9.0084454175789697E-2</v>
      </c>
      <c r="P262" s="26">
        <f>Rådatakommune[[#This Row],[Kvinner20-39]]/Rådatakommune[[#This Row],[B14]]</f>
        <v>0.12084443533510965</v>
      </c>
      <c r="Q262" s="26">
        <f>Rådatakommune[[#This Row],[Eldre67+]]/Rådatakommune[[#This Row],[B14]]</f>
        <v>0.14310309489649517</v>
      </c>
      <c r="R262" s="26">
        <f>Rådatakommune[[#This Row],[S13]]/Rådatakommune[[#This Row],[S03]]-1</f>
        <v>0.22459196956042859</v>
      </c>
      <c r="S262" s="26">
        <f>Rådatakommune[[#This Row],[Y13]]/Rådatakommune[[#This Row],[Folk20-64]]</f>
        <v>0.84144999312147473</v>
      </c>
    </row>
    <row r="263" spans="1:19">
      <c r="A263" s="2" t="s">
        <v>261</v>
      </c>
      <c r="B263" s="38">
        <v>3754</v>
      </c>
      <c r="C263" s="38">
        <v>3302</v>
      </c>
      <c r="D263" s="38">
        <v>1633</v>
      </c>
      <c r="E263" s="38">
        <v>682</v>
      </c>
      <c r="F263" s="4">
        <v>283</v>
      </c>
      <c r="G263" s="4">
        <v>1769</v>
      </c>
      <c r="H263" s="38">
        <v>1348</v>
      </c>
      <c r="I263" s="38">
        <v>1337</v>
      </c>
      <c r="J263" s="7">
        <v>385.21</v>
      </c>
      <c r="K263" s="38">
        <v>362900</v>
      </c>
      <c r="L263">
        <v>222.10938798839999</v>
      </c>
      <c r="M263">
        <v>11</v>
      </c>
      <c r="N263" s="37">
        <f>Rådatakommune[[#This Row],[B14]]/Rådatakommune[[#This Row],[Totalareal]]</f>
        <v>8.5719477687495136</v>
      </c>
      <c r="O263" s="39">
        <f>Rådatakommune[[#This Row],[B14]]/Rådatakommune[[#This Row],[B04]]-1</f>
        <v>-0.12040490143846561</v>
      </c>
      <c r="P263" s="26">
        <f>Rådatakommune[[#This Row],[Kvinner20-39]]/Rådatakommune[[#This Row],[B14]]</f>
        <v>8.5705632949727439E-2</v>
      </c>
      <c r="Q263" s="26">
        <f>Rådatakommune[[#This Row],[Eldre67+]]/Rådatakommune[[#This Row],[B14]]</f>
        <v>0.20654149000605693</v>
      </c>
      <c r="R263" s="26">
        <f>Rådatakommune[[#This Row],[S13]]/Rådatakommune[[#This Row],[S03]]-1</f>
        <v>-8.1602373887240676E-3</v>
      </c>
      <c r="S263" s="26">
        <f>Rådatakommune[[#This Row],[Y13]]/Rådatakommune[[#This Row],[Folk20-64]]</f>
        <v>0.92312040700960996</v>
      </c>
    </row>
    <row r="264" spans="1:19">
      <c r="A264" s="2" t="s">
        <v>262</v>
      </c>
      <c r="B264" s="38">
        <v>2605</v>
      </c>
      <c r="C264" s="38">
        <v>2636</v>
      </c>
      <c r="D264" s="38">
        <v>1364</v>
      </c>
      <c r="E264" s="38">
        <v>488</v>
      </c>
      <c r="F264" s="4">
        <v>243</v>
      </c>
      <c r="G264" s="4">
        <v>1496</v>
      </c>
      <c r="H264" s="38">
        <v>1085</v>
      </c>
      <c r="I264" s="38">
        <v>1333</v>
      </c>
      <c r="J264" s="7">
        <v>93.210000000000008</v>
      </c>
      <c r="K264" s="38">
        <v>356000</v>
      </c>
      <c r="L264">
        <v>196.13497547899999</v>
      </c>
      <c r="M264">
        <v>6</v>
      </c>
      <c r="N264" s="37">
        <f>Rådatakommune[[#This Row],[B14]]/Rådatakommune[[#This Row],[Totalareal]]</f>
        <v>28.280227443407359</v>
      </c>
      <c r="O264" s="39">
        <f>Rådatakommune[[#This Row],[B14]]/Rådatakommune[[#This Row],[B04]]-1</f>
        <v>1.1900191938579718E-2</v>
      </c>
      <c r="P264" s="26">
        <f>Rådatakommune[[#This Row],[Kvinner20-39]]/Rådatakommune[[#This Row],[B14]]</f>
        <v>9.2185128983308037E-2</v>
      </c>
      <c r="Q264" s="26">
        <f>Rådatakommune[[#This Row],[Eldre67+]]/Rådatakommune[[#This Row],[B14]]</f>
        <v>0.18512898330804248</v>
      </c>
      <c r="R264" s="26">
        <f>Rådatakommune[[#This Row],[S13]]/Rådatakommune[[#This Row],[S03]]-1</f>
        <v>0.22857142857142865</v>
      </c>
      <c r="S264" s="26">
        <f>Rådatakommune[[#This Row],[Y13]]/Rådatakommune[[#This Row],[Folk20-64]]</f>
        <v>0.91176470588235292</v>
      </c>
    </row>
    <row r="265" spans="1:19">
      <c r="A265" s="2" t="s">
        <v>263</v>
      </c>
      <c r="B265" s="38">
        <v>8355</v>
      </c>
      <c r="C265" s="38">
        <v>8847</v>
      </c>
      <c r="D265" s="38">
        <v>4475</v>
      </c>
      <c r="E265" s="38">
        <v>1341</v>
      </c>
      <c r="F265" s="4">
        <v>1012</v>
      </c>
      <c r="G265" s="4">
        <v>5009</v>
      </c>
      <c r="H265" s="38">
        <v>3444</v>
      </c>
      <c r="I265" s="38">
        <v>4068</v>
      </c>
      <c r="J265" s="7">
        <v>119.51</v>
      </c>
      <c r="K265" s="38">
        <v>404500</v>
      </c>
      <c r="L265">
        <v>196.72895152569998</v>
      </c>
      <c r="M265">
        <v>6</v>
      </c>
      <c r="N265" s="37">
        <f>Rådatakommune[[#This Row],[B14]]/Rådatakommune[[#This Row],[Totalareal]]</f>
        <v>74.027278052045844</v>
      </c>
      <c r="O265" s="39">
        <f>Rådatakommune[[#This Row],[B14]]/Rådatakommune[[#This Row],[B04]]-1</f>
        <v>5.8886894075403928E-2</v>
      </c>
      <c r="P265" s="26">
        <f>Rådatakommune[[#This Row],[Kvinner20-39]]/Rådatakommune[[#This Row],[B14]]</f>
        <v>0.11438905843788855</v>
      </c>
      <c r="Q265" s="26">
        <f>Rådatakommune[[#This Row],[Eldre67+]]/Rådatakommune[[#This Row],[B14]]</f>
        <v>0.1515768056968464</v>
      </c>
      <c r="R265" s="26">
        <f>Rådatakommune[[#This Row],[S13]]/Rådatakommune[[#This Row],[S03]]-1</f>
        <v>0.1811846689895471</v>
      </c>
      <c r="S265" s="26">
        <f>Rådatakommune[[#This Row],[Y13]]/Rådatakommune[[#This Row],[Folk20-64]]</f>
        <v>0.89339189458973844</v>
      </c>
    </row>
    <row r="266" spans="1:19">
      <c r="A266" s="2" t="s">
        <v>264</v>
      </c>
      <c r="B266" s="38">
        <v>6761</v>
      </c>
      <c r="C266" s="38">
        <v>8092</v>
      </c>
      <c r="D266" s="38">
        <v>4349</v>
      </c>
      <c r="E266" s="38">
        <v>967</v>
      </c>
      <c r="F266" s="4">
        <v>942</v>
      </c>
      <c r="G266" s="4">
        <v>4751</v>
      </c>
      <c r="H266" s="38">
        <v>3604</v>
      </c>
      <c r="I266" s="38">
        <v>5409</v>
      </c>
      <c r="J266" s="7">
        <v>97.179999999999993</v>
      </c>
      <c r="K266" s="38">
        <v>409300</v>
      </c>
      <c r="L266">
        <v>184.39490742629999</v>
      </c>
      <c r="M266">
        <v>5</v>
      </c>
      <c r="N266" s="37">
        <f>Rådatakommune[[#This Row],[B14]]/Rådatakommune[[#This Row],[Totalareal]]</f>
        <v>83.268162173286697</v>
      </c>
      <c r="O266" s="39">
        <f>Rådatakommune[[#This Row],[B14]]/Rådatakommune[[#This Row],[B04]]-1</f>
        <v>0.19686436917615735</v>
      </c>
      <c r="P266" s="26">
        <f>Rådatakommune[[#This Row],[Kvinner20-39]]/Rådatakommune[[#This Row],[B14]]</f>
        <v>0.11641127039050915</v>
      </c>
      <c r="Q266" s="26">
        <f>Rådatakommune[[#This Row],[Eldre67+]]/Rådatakommune[[#This Row],[B14]]</f>
        <v>0.11950074147305981</v>
      </c>
      <c r="R266" s="26">
        <f>Rådatakommune[[#This Row],[S13]]/Rådatakommune[[#This Row],[S03]]-1</f>
        <v>0.50083240843507215</v>
      </c>
      <c r="S266" s="26">
        <f>Rådatakommune[[#This Row],[Y13]]/Rådatakommune[[#This Row],[Folk20-64]]</f>
        <v>0.91538623447695222</v>
      </c>
    </row>
    <row r="267" spans="1:19">
      <c r="A267" s="2" t="s">
        <v>265</v>
      </c>
      <c r="B267" s="38">
        <v>4670</v>
      </c>
      <c r="C267" s="38">
        <v>5021</v>
      </c>
      <c r="D267" s="38">
        <v>2561</v>
      </c>
      <c r="E267" s="38">
        <v>724</v>
      </c>
      <c r="F267" s="4">
        <v>612</v>
      </c>
      <c r="G267" s="4">
        <v>2898</v>
      </c>
      <c r="H267" s="38">
        <v>1911</v>
      </c>
      <c r="I267" s="38">
        <v>2093</v>
      </c>
      <c r="J267" s="7">
        <v>82.25</v>
      </c>
      <c r="K267" s="38">
        <v>371500</v>
      </c>
      <c r="L267">
        <v>192.1349900772</v>
      </c>
      <c r="M267">
        <v>5</v>
      </c>
      <c r="N267" s="37">
        <f>Rådatakommune[[#This Row],[B14]]/Rådatakommune[[#This Row],[Totalareal]]</f>
        <v>61.045592705167174</v>
      </c>
      <c r="O267" s="39">
        <f>Rådatakommune[[#This Row],[B14]]/Rådatakommune[[#This Row],[B04]]-1</f>
        <v>7.5160599571734377E-2</v>
      </c>
      <c r="P267" s="26">
        <f>Rådatakommune[[#This Row],[Kvinner20-39]]/Rådatakommune[[#This Row],[B14]]</f>
        <v>0.12188807010555666</v>
      </c>
      <c r="Q267" s="26">
        <f>Rådatakommune[[#This Row],[Eldre67+]]/Rådatakommune[[#This Row],[B14]]</f>
        <v>0.1441943835889265</v>
      </c>
      <c r="R267" s="26">
        <f>Rådatakommune[[#This Row],[S13]]/Rådatakommune[[#This Row],[S03]]-1</f>
        <v>9.5238095238095344E-2</v>
      </c>
      <c r="S267" s="26">
        <f>Rådatakommune[[#This Row],[Y13]]/Rådatakommune[[#This Row],[Folk20-64]]</f>
        <v>0.88371290545203585</v>
      </c>
    </row>
    <row r="268" spans="1:19">
      <c r="A268" s="2" t="s">
        <v>266</v>
      </c>
      <c r="B268" s="38">
        <v>8377</v>
      </c>
      <c r="C268" s="38">
        <v>8909</v>
      </c>
      <c r="D268" s="38">
        <v>4458</v>
      </c>
      <c r="E268" s="38">
        <v>1351</v>
      </c>
      <c r="F268" s="4">
        <v>1107</v>
      </c>
      <c r="G268" s="4">
        <v>5088</v>
      </c>
      <c r="H268" s="38">
        <v>3714</v>
      </c>
      <c r="I268" s="38">
        <v>4394</v>
      </c>
      <c r="J268" s="7">
        <v>547.22</v>
      </c>
      <c r="K268" s="38">
        <v>351400</v>
      </c>
      <c r="L268">
        <v>166.68273346682</v>
      </c>
      <c r="M268">
        <v>6</v>
      </c>
      <c r="N268" s="37">
        <f>Rådatakommune[[#This Row],[B14]]/Rådatakommune[[#This Row],[Totalareal]]</f>
        <v>16.280472204963267</v>
      </c>
      <c r="O268" s="39">
        <f>Rådatakommune[[#This Row],[B14]]/Rådatakommune[[#This Row],[B04]]-1</f>
        <v>6.3507222155902987E-2</v>
      </c>
      <c r="P268" s="26">
        <f>Rådatakommune[[#This Row],[Kvinner20-39]]/Rådatakommune[[#This Row],[B14]]</f>
        <v>0.1242563699629588</v>
      </c>
      <c r="Q268" s="26">
        <f>Rådatakommune[[#This Row],[Eldre67+]]/Rådatakommune[[#This Row],[B14]]</f>
        <v>0.15164440453474015</v>
      </c>
      <c r="R268" s="26">
        <f>Rådatakommune[[#This Row],[S13]]/Rådatakommune[[#This Row],[S03]]-1</f>
        <v>0.18309100700053849</v>
      </c>
      <c r="S268" s="26">
        <f>Rådatakommune[[#This Row],[Y13]]/Rådatakommune[[#This Row],[Folk20-64]]</f>
        <v>0.87617924528301883</v>
      </c>
    </row>
    <row r="269" spans="1:19">
      <c r="A269" s="2" t="s">
        <v>267</v>
      </c>
      <c r="B269" s="38">
        <v>10267</v>
      </c>
      <c r="C269" s="38">
        <v>10536</v>
      </c>
      <c r="D269" s="38">
        <v>5343</v>
      </c>
      <c r="E269" s="38">
        <v>1704</v>
      </c>
      <c r="F269" s="4">
        <v>1198</v>
      </c>
      <c r="G269" s="4">
        <v>5920</v>
      </c>
      <c r="H269" s="38">
        <v>4246</v>
      </c>
      <c r="I269" s="38">
        <v>4693</v>
      </c>
      <c r="J269" s="7">
        <v>804.43</v>
      </c>
      <c r="K269" s="38">
        <v>360100</v>
      </c>
      <c r="L269">
        <v>164.22849042957</v>
      </c>
      <c r="M269">
        <v>6</v>
      </c>
      <c r="N269" s="37">
        <f>Rådatakommune[[#This Row],[B14]]/Rådatakommune[[#This Row],[Totalareal]]</f>
        <v>13.097472744676356</v>
      </c>
      <c r="O269" s="39">
        <f>Rådatakommune[[#This Row],[B14]]/Rådatakommune[[#This Row],[B04]]-1</f>
        <v>2.6200448037401403E-2</v>
      </c>
      <c r="P269" s="26">
        <f>Rådatakommune[[#This Row],[Kvinner20-39]]/Rådatakommune[[#This Row],[B14]]</f>
        <v>0.11370539104024298</v>
      </c>
      <c r="Q269" s="26">
        <f>Rådatakommune[[#This Row],[Eldre67+]]/Rådatakommune[[#This Row],[B14]]</f>
        <v>0.16173120728929385</v>
      </c>
      <c r="R269" s="26">
        <f>Rådatakommune[[#This Row],[S13]]/Rådatakommune[[#This Row],[S03]]-1</f>
        <v>0.10527555346208195</v>
      </c>
      <c r="S269" s="26">
        <f>Rådatakommune[[#This Row],[Y13]]/Rådatakommune[[#This Row],[Folk20-64]]</f>
        <v>0.90253378378378379</v>
      </c>
    </row>
    <row r="270" spans="1:19">
      <c r="A270" s="2" t="s">
        <v>268</v>
      </c>
      <c r="B270" s="38">
        <v>2093</v>
      </c>
      <c r="C270" s="38">
        <v>2301</v>
      </c>
      <c r="D270" s="38">
        <v>1218</v>
      </c>
      <c r="E270" s="38">
        <v>368</v>
      </c>
      <c r="F270" s="4">
        <v>277</v>
      </c>
      <c r="G270" s="4">
        <v>1326</v>
      </c>
      <c r="H270" s="38">
        <v>760</v>
      </c>
      <c r="I270" s="38">
        <v>997</v>
      </c>
      <c r="J270" s="7">
        <v>132.35999999999999</v>
      </c>
      <c r="K270" s="38">
        <v>357800</v>
      </c>
      <c r="L270">
        <v>194.3731327381</v>
      </c>
      <c r="M270">
        <v>4</v>
      </c>
      <c r="N270" s="37">
        <f>Rådatakommune[[#This Row],[B14]]/Rådatakommune[[#This Row],[Totalareal]]</f>
        <v>17.384406165004535</v>
      </c>
      <c r="O270" s="39">
        <f>Rådatakommune[[#This Row],[B14]]/Rådatakommune[[#This Row],[B04]]-1</f>
        <v>9.9378881987577605E-2</v>
      </c>
      <c r="P270" s="26">
        <f>Rådatakommune[[#This Row],[Kvinner20-39]]/Rådatakommune[[#This Row],[B14]]</f>
        <v>0.12038244241634072</v>
      </c>
      <c r="Q270" s="26">
        <f>Rådatakommune[[#This Row],[Eldre67+]]/Rådatakommune[[#This Row],[B14]]</f>
        <v>0.15993046501521077</v>
      </c>
      <c r="R270" s="26">
        <f>Rådatakommune[[#This Row],[S13]]/Rådatakommune[[#This Row],[S03]]-1</f>
        <v>0.31184210526315792</v>
      </c>
      <c r="S270" s="26">
        <f>Rådatakommune[[#This Row],[Y13]]/Rådatakommune[[#This Row],[Folk20-64]]</f>
        <v>0.91855203619909498</v>
      </c>
    </row>
    <row r="271" spans="1:19">
      <c r="A271" s="2" t="s">
        <v>269</v>
      </c>
      <c r="B271" s="38">
        <v>1845</v>
      </c>
      <c r="C271" s="38">
        <v>1685</v>
      </c>
      <c r="D271" s="38">
        <v>892</v>
      </c>
      <c r="E271" s="38">
        <v>332</v>
      </c>
      <c r="F271" s="4">
        <v>151</v>
      </c>
      <c r="G271" s="4">
        <v>883</v>
      </c>
      <c r="H271" s="38">
        <v>848</v>
      </c>
      <c r="I271" s="38">
        <v>845</v>
      </c>
      <c r="J271" s="7">
        <v>943.52</v>
      </c>
      <c r="K271" s="38">
        <v>347900</v>
      </c>
      <c r="L271">
        <v>235.66948088730001</v>
      </c>
      <c r="M271">
        <v>9</v>
      </c>
      <c r="N271" s="37">
        <f>Rådatakommune[[#This Row],[B14]]/Rådatakommune[[#This Row],[Totalareal]]</f>
        <v>1.7858656944208919</v>
      </c>
      <c r="O271" s="39">
        <f>Rådatakommune[[#This Row],[B14]]/Rådatakommune[[#This Row],[B04]]-1</f>
        <v>-8.6720867208672114E-2</v>
      </c>
      <c r="P271" s="26">
        <f>Rådatakommune[[#This Row],[Kvinner20-39]]/Rådatakommune[[#This Row],[B14]]</f>
        <v>8.961424332344213E-2</v>
      </c>
      <c r="Q271" s="26">
        <f>Rådatakommune[[#This Row],[Eldre67+]]/Rådatakommune[[#This Row],[B14]]</f>
        <v>0.19703264094955489</v>
      </c>
      <c r="R271" s="26">
        <f>Rådatakommune[[#This Row],[S13]]/Rådatakommune[[#This Row],[S03]]-1</f>
        <v>-3.5377358490565891E-3</v>
      </c>
      <c r="S271" s="26">
        <f>Rådatakommune[[#This Row],[Y13]]/Rådatakommune[[#This Row],[Folk20-64]]</f>
        <v>1.0101925254813138</v>
      </c>
    </row>
    <row r="272" spans="1:19">
      <c r="A272" s="2" t="s">
        <v>270</v>
      </c>
      <c r="B272" s="38">
        <v>4663</v>
      </c>
      <c r="C272" s="38">
        <v>4616</v>
      </c>
      <c r="D272" s="38">
        <v>2488</v>
      </c>
      <c r="E272" s="38">
        <v>852</v>
      </c>
      <c r="F272" s="4">
        <v>497</v>
      </c>
      <c r="G272" s="4">
        <v>2544</v>
      </c>
      <c r="H272" s="38">
        <v>2449</v>
      </c>
      <c r="I272" s="38">
        <v>2461</v>
      </c>
      <c r="J272" s="7">
        <v>865.87</v>
      </c>
      <c r="K272" s="38">
        <v>356300</v>
      </c>
      <c r="L272">
        <v>227.09592204469999</v>
      </c>
      <c r="M272">
        <v>5</v>
      </c>
      <c r="N272" s="37">
        <f>Rådatakommune[[#This Row],[B14]]/Rådatakommune[[#This Row],[Totalareal]]</f>
        <v>5.3310543153129224</v>
      </c>
      <c r="O272" s="39">
        <f>Rådatakommune[[#This Row],[B14]]/Rådatakommune[[#This Row],[B04]]-1</f>
        <v>-1.0079348059189308E-2</v>
      </c>
      <c r="P272" s="26">
        <f>Rådatakommune[[#This Row],[Kvinner20-39]]/Rådatakommune[[#This Row],[B14]]</f>
        <v>0.1076689774696707</v>
      </c>
      <c r="Q272" s="26">
        <f>Rådatakommune[[#This Row],[Eldre67+]]/Rådatakommune[[#This Row],[B14]]</f>
        <v>0.18457538994800693</v>
      </c>
      <c r="R272" s="26">
        <f>Rådatakommune[[#This Row],[S13]]/Rådatakommune[[#This Row],[S03]]-1</f>
        <v>4.8999591670069176E-3</v>
      </c>
      <c r="S272" s="26">
        <f>Rådatakommune[[#This Row],[Y13]]/Rådatakommune[[#This Row],[Folk20-64]]</f>
        <v>0.9779874213836478</v>
      </c>
    </row>
    <row r="273" spans="1:19">
      <c r="A273" s="2" t="s">
        <v>271</v>
      </c>
      <c r="B273" s="38">
        <v>966</v>
      </c>
      <c r="C273" s="38">
        <v>1035</v>
      </c>
      <c r="D273" s="38">
        <v>512</v>
      </c>
      <c r="E273" s="38">
        <v>167</v>
      </c>
      <c r="F273" s="4">
        <v>91</v>
      </c>
      <c r="G273" s="4">
        <v>570</v>
      </c>
      <c r="H273" s="38">
        <v>604</v>
      </c>
      <c r="I273" s="38">
        <v>503</v>
      </c>
      <c r="J273" s="7">
        <v>247.07</v>
      </c>
      <c r="K273" s="38">
        <v>343700</v>
      </c>
      <c r="L273">
        <v>213.5395451352</v>
      </c>
      <c r="M273">
        <v>4</v>
      </c>
      <c r="N273" s="37">
        <f>Rådatakommune[[#This Row],[B14]]/Rådatakommune[[#This Row],[Totalareal]]</f>
        <v>4.1890962075525158</v>
      </c>
      <c r="O273" s="39">
        <f>Rådatakommune[[#This Row],[B14]]/Rådatakommune[[#This Row],[B04]]-1</f>
        <v>7.1428571428571397E-2</v>
      </c>
      <c r="P273" s="26">
        <f>Rådatakommune[[#This Row],[Kvinner20-39]]/Rådatakommune[[#This Row],[B14]]</f>
        <v>8.7922705314009655E-2</v>
      </c>
      <c r="Q273" s="26">
        <f>Rådatakommune[[#This Row],[Eldre67+]]/Rådatakommune[[#This Row],[B14]]</f>
        <v>0.16135265700483092</v>
      </c>
      <c r="R273" s="26">
        <f>Rådatakommune[[#This Row],[S13]]/Rådatakommune[[#This Row],[S03]]-1</f>
        <v>-0.16721854304635764</v>
      </c>
      <c r="S273" s="26">
        <f>Rådatakommune[[#This Row],[Y13]]/Rådatakommune[[#This Row],[Folk20-64]]</f>
        <v>0.89824561403508774</v>
      </c>
    </row>
    <row r="274" spans="1:19">
      <c r="A274" s="2" t="s">
        <v>272</v>
      </c>
      <c r="B274" s="38">
        <v>7444</v>
      </c>
      <c r="C274" s="38">
        <v>7730</v>
      </c>
      <c r="D274" s="38">
        <v>4111</v>
      </c>
      <c r="E274" s="38">
        <v>1126</v>
      </c>
      <c r="F274" s="4">
        <v>891</v>
      </c>
      <c r="G274" s="4">
        <v>4409</v>
      </c>
      <c r="H274" s="38">
        <v>3776</v>
      </c>
      <c r="I274" s="38">
        <v>3872</v>
      </c>
      <c r="J274" s="7">
        <v>337.78</v>
      </c>
      <c r="K274" s="38">
        <v>367300</v>
      </c>
      <c r="L274">
        <v>199.1282133032</v>
      </c>
      <c r="M274">
        <v>4</v>
      </c>
      <c r="N274" s="37">
        <f>Rådatakommune[[#This Row],[B14]]/Rådatakommune[[#This Row],[Totalareal]]</f>
        <v>22.884717863698267</v>
      </c>
      <c r="O274" s="39">
        <f>Rådatakommune[[#This Row],[B14]]/Rådatakommune[[#This Row],[B04]]-1</f>
        <v>3.8420204191295104E-2</v>
      </c>
      <c r="P274" s="26">
        <f>Rådatakommune[[#This Row],[Kvinner20-39]]/Rådatakommune[[#This Row],[B14]]</f>
        <v>0.11526520051746443</v>
      </c>
      <c r="Q274" s="26">
        <f>Rådatakommune[[#This Row],[Eldre67+]]/Rådatakommune[[#This Row],[B14]]</f>
        <v>0.14566623544631307</v>
      </c>
      <c r="R274" s="26">
        <f>Rådatakommune[[#This Row],[S13]]/Rådatakommune[[#This Row],[S03]]-1</f>
        <v>2.5423728813559254E-2</v>
      </c>
      <c r="S274" s="26">
        <f>Rådatakommune[[#This Row],[Y13]]/Rådatakommune[[#This Row],[Folk20-64]]</f>
        <v>0.93241097754592883</v>
      </c>
    </row>
    <row r="275" spans="1:19">
      <c r="A275" s="2" t="s">
        <v>273</v>
      </c>
      <c r="B275" s="38">
        <v>3558</v>
      </c>
      <c r="C275" s="38">
        <v>4387</v>
      </c>
      <c r="D275" s="38">
        <v>2304</v>
      </c>
      <c r="E275" s="38">
        <v>508</v>
      </c>
      <c r="F275" s="4">
        <v>563</v>
      </c>
      <c r="G275" s="4">
        <v>2534</v>
      </c>
      <c r="H275" s="38">
        <v>1032</v>
      </c>
      <c r="I275" s="38">
        <v>1432</v>
      </c>
      <c r="J275" s="7">
        <v>120.03</v>
      </c>
      <c r="K275" s="38">
        <v>380500</v>
      </c>
      <c r="L275">
        <v>186.05373095760001</v>
      </c>
      <c r="M275">
        <v>4</v>
      </c>
      <c r="N275" s="37">
        <f>Rådatakommune[[#This Row],[B14]]/Rådatakommune[[#This Row],[Totalareal]]</f>
        <v>36.549196034324751</v>
      </c>
      <c r="O275" s="39">
        <f>Rådatakommune[[#This Row],[B14]]/Rådatakommune[[#This Row],[B04]]-1</f>
        <v>0.23299606520517147</v>
      </c>
      <c r="P275" s="26">
        <f>Rådatakommune[[#This Row],[Kvinner20-39]]/Rådatakommune[[#This Row],[B14]]</f>
        <v>0.12833371324367449</v>
      </c>
      <c r="Q275" s="26">
        <f>Rådatakommune[[#This Row],[Eldre67+]]/Rådatakommune[[#This Row],[B14]]</f>
        <v>0.11579667198541144</v>
      </c>
      <c r="R275" s="26">
        <f>Rådatakommune[[#This Row],[S13]]/Rådatakommune[[#This Row],[S03]]-1</f>
        <v>0.38759689922480622</v>
      </c>
      <c r="S275" s="26">
        <f>Rådatakommune[[#This Row],[Y13]]/Rådatakommune[[#This Row],[Folk20-64]]</f>
        <v>0.90923441199684296</v>
      </c>
    </row>
    <row r="276" spans="1:19">
      <c r="A276" s="2" t="s">
        <v>274</v>
      </c>
      <c r="B276" s="38">
        <v>7342</v>
      </c>
      <c r="C276" s="38">
        <v>8651</v>
      </c>
      <c r="D276" s="38">
        <v>4516</v>
      </c>
      <c r="E276" s="38">
        <v>1140</v>
      </c>
      <c r="F276" s="4">
        <v>1094</v>
      </c>
      <c r="G276" s="4">
        <v>4926</v>
      </c>
      <c r="H276" s="38">
        <v>2544</v>
      </c>
      <c r="I276" s="38">
        <v>2775</v>
      </c>
      <c r="J276" s="7">
        <v>58.5</v>
      </c>
      <c r="K276" s="38">
        <v>370900</v>
      </c>
      <c r="L276">
        <v>188.77297840750001</v>
      </c>
      <c r="M276">
        <v>4</v>
      </c>
      <c r="N276" s="37">
        <f>Rådatakommune[[#This Row],[B14]]/Rådatakommune[[#This Row],[Totalareal]]</f>
        <v>147.88034188034189</v>
      </c>
      <c r="O276" s="39">
        <f>Rådatakommune[[#This Row],[B14]]/Rådatakommune[[#This Row],[B04]]-1</f>
        <v>0.17828929447017172</v>
      </c>
      <c r="P276" s="26">
        <f>Rådatakommune[[#This Row],[Kvinner20-39]]/Rådatakommune[[#This Row],[B14]]</f>
        <v>0.12645936885909143</v>
      </c>
      <c r="Q276" s="26">
        <f>Rådatakommune[[#This Row],[Eldre67+]]/Rådatakommune[[#This Row],[B14]]</f>
        <v>0.13177667321696915</v>
      </c>
      <c r="R276" s="26">
        <f>Rådatakommune[[#This Row],[S13]]/Rådatakommune[[#This Row],[S03]]-1</f>
        <v>9.0801886792452935E-2</v>
      </c>
      <c r="S276" s="26">
        <f>Rådatakommune[[#This Row],[Y13]]/Rådatakommune[[#This Row],[Folk20-64]]</f>
        <v>0.9167681688997158</v>
      </c>
    </row>
    <row r="277" spans="1:19">
      <c r="A277" s="2" t="s">
        <v>275</v>
      </c>
      <c r="B277" s="38">
        <v>6578</v>
      </c>
      <c r="C277" s="38">
        <v>7739</v>
      </c>
      <c r="D277" s="38">
        <v>4059</v>
      </c>
      <c r="E277" s="38">
        <v>999</v>
      </c>
      <c r="F277" s="4">
        <v>974</v>
      </c>
      <c r="G277" s="4">
        <v>4388</v>
      </c>
      <c r="H277" s="38">
        <v>2247</v>
      </c>
      <c r="I277" s="38">
        <v>2486</v>
      </c>
      <c r="J277" s="7">
        <v>40.529999999999994</v>
      </c>
      <c r="K277" s="38">
        <v>391400</v>
      </c>
      <c r="L277">
        <v>157.29413837288001</v>
      </c>
      <c r="M277">
        <v>4</v>
      </c>
      <c r="N277" s="37">
        <f>Rådatakommune[[#This Row],[B14]]/Rådatakommune[[#This Row],[Totalareal]]</f>
        <v>190.94497902788061</v>
      </c>
      <c r="O277" s="39">
        <f>Rådatakommune[[#This Row],[B14]]/Rådatakommune[[#This Row],[B04]]-1</f>
        <v>0.17649741562785048</v>
      </c>
      <c r="P277" s="26">
        <f>Rådatakommune[[#This Row],[Kvinner20-39]]/Rådatakommune[[#This Row],[B14]]</f>
        <v>0.12585605375371495</v>
      </c>
      <c r="Q277" s="26">
        <f>Rådatakommune[[#This Row],[Eldre67+]]/Rådatakommune[[#This Row],[B14]]</f>
        <v>0.12908644527716759</v>
      </c>
      <c r="R277" s="26">
        <f>Rådatakommune[[#This Row],[S13]]/Rådatakommune[[#This Row],[S03]]-1</f>
        <v>0.10636404094348029</v>
      </c>
      <c r="S277" s="26">
        <f>Rådatakommune[[#This Row],[Y13]]/Rådatakommune[[#This Row],[Folk20-64]]</f>
        <v>0.92502278942570648</v>
      </c>
    </row>
    <row r="278" spans="1:19">
      <c r="A278" s="2" t="s">
        <v>276</v>
      </c>
      <c r="B278" s="38">
        <v>8781</v>
      </c>
      <c r="C278" s="38">
        <v>9084</v>
      </c>
      <c r="D278" s="38">
        <v>4669</v>
      </c>
      <c r="E278" s="38">
        <v>1462</v>
      </c>
      <c r="F278" s="4">
        <v>978</v>
      </c>
      <c r="G278" s="4">
        <v>5073</v>
      </c>
      <c r="H278" s="38">
        <v>4019</v>
      </c>
      <c r="I278" s="38">
        <v>4402</v>
      </c>
      <c r="J278" s="7">
        <v>261.13</v>
      </c>
      <c r="K278" s="38">
        <v>383600</v>
      </c>
      <c r="L278">
        <v>191.7233183299</v>
      </c>
      <c r="M278">
        <v>4</v>
      </c>
      <c r="N278" s="37">
        <f>Rådatakommune[[#This Row],[B14]]/Rådatakommune[[#This Row],[Totalareal]]</f>
        <v>34.787270708076434</v>
      </c>
      <c r="O278" s="39">
        <f>Rådatakommune[[#This Row],[B14]]/Rådatakommune[[#This Row],[B04]]-1</f>
        <v>3.4506320464639639E-2</v>
      </c>
      <c r="P278" s="26">
        <f>Rådatakommune[[#This Row],[Kvinner20-39]]/Rådatakommune[[#This Row],[B14]]</f>
        <v>0.10766182298546896</v>
      </c>
      <c r="Q278" s="26">
        <f>Rådatakommune[[#This Row],[Eldre67+]]/Rådatakommune[[#This Row],[B14]]</f>
        <v>0.16094231616028182</v>
      </c>
      <c r="R278" s="26">
        <f>Rådatakommune[[#This Row],[S13]]/Rådatakommune[[#This Row],[S03]]-1</f>
        <v>9.5297337646180535E-2</v>
      </c>
      <c r="S278" s="26">
        <f>Rådatakommune[[#This Row],[Y13]]/Rådatakommune[[#This Row],[Folk20-64]]</f>
        <v>0.92036270451409419</v>
      </c>
    </row>
    <row r="279" spans="1:19">
      <c r="A279" s="2" t="s">
        <v>277</v>
      </c>
      <c r="B279" s="38">
        <v>6389</v>
      </c>
      <c r="C279" s="38">
        <v>6615</v>
      </c>
      <c r="D279" s="38">
        <v>3380</v>
      </c>
      <c r="E279" s="38">
        <v>1036</v>
      </c>
      <c r="F279" s="4">
        <v>713</v>
      </c>
      <c r="G279" s="4">
        <v>3836</v>
      </c>
      <c r="H279" s="38">
        <v>2728</v>
      </c>
      <c r="I279" s="38">
        <v>2914</v>
      </c>
      <c r="J279" s="7">
        <v>351.98</v>
      </c>
      <c r="K279" s="38">
        <v>350100</v>
      </c>
      <c r="L279">
        <v>205.1225935901</v>
      </c>
      <c r="M279">
        <v>4</v>
      </c>
      <c r="N279" s="37">
        <f>Rådatakommune[[#This Row],[B14]]/Rådatakommune[[#This Row],[Totalareal]]</f>
        <v>18.793681459173815</v>
      </c>
      <c r="O279" s="39">
        <f>Rådatakommune[[#This Row],[B14]]/Rådatakommune[[#This Row],[B04]]-1</f>
        <v>3.5373297855689545E-2</v>
      </c>
      <c r="P279" s="26">
        <f>Rådatakommune[[#This Row],[Kvinner20-39]]/Rådatakommune[[#This Row],[B14]]</f>
        <v>0.10778533635676493</v>
      </c>
      <c r="Q279" s="26">
        <f>Rådatakommune[[#This Row],[Eldre67+]]/Rådatakommune[[#This Row],[B14]]</f>
        <v>0.15661375661375662</v>
      </c>
      <c r="R279" s="26">
        <f>Rådatakommune[[#This Row],[S13]]/Rådatakommune[[#This Row],[S03]]-1</f>
        <v>6.8181818181818121E-2</v>
      </c>
      <c r="S279" s="26">
        <f>Rådatakommune[[#This Row],[Y13]]/Rådatakommune[[#This Row],[Folk20-64]]</f>
        <v>0.88112617309697605</v>
      </c>
    </row>
    <row r="280" spans="1:19">
      <c r="A280" s="2" t="s">
        <v>278</v>
      </c>
      <c r="B280" s="38">
        <v>7334</v>
      </c>
      <c r="C280" s="38">
        <v>7453</v>
      </c>
      <c r="D280" s="38">
        <v>3862</v>
      </c>
      <c r="E280" s="38">
        <v>1340</v>
      </c>
      <c r="F280" s="4">
        <v>754</v>
      </c>
      <c r="G280" s="4">
        <v>4113</v>
      </c>
      <c r="H280" s="38">
        <v>3243</v>
      </c>
      <c r="I280" s="38">
        <v>3563</v>
      </c>
      <c r="J280" s="7">
        <v>1502.14</v>
      </c>
      <c r="K280" s="38">
        <v>362000</v>
      </c>
      <c r="L280">
        <v>204.25833785169999</v>
      </c>
      <c r="M280">
        <v>5</v>
      </c>
      <c r="N280" s="37">
        <f>Rådatakommune[[#This Row],[B14]]/Rådatakommune[[#This Row],[Totalareal]]</f>
        <v>4.9615881342617865</v>
      </c>
      <c r="O280" s="39">
        <f>Rådatakommune[[#This Row],[B14]]/Rådatakommune[[#This Row],[B04]]-1</f>
        <v>1.6225797654758622E-2</v>
      </c>
      <c r="P280" s="26">
        <f>Rådatakommune[[#This Row],[Kvinner20-39]]/Rådatakommune[[#This Row],[B14]]</f>
        <v>0.10116731517509728</v>
      </c>
      <c r="Q280" s="26">
        <f>Rådatakommune[[#This Row],[Eldre67+]]/Rådatakommune[[#This Row],[B14]]</f>
        <v>0.17979337179659197</v>
      </c>
      <c r="R280" s="26">
        <f>Rådatakommune[[#This Row],[S13]]/Rådatakommune[[#This Row],[S03]]-1</f>
        <v>9.867406722170835E-2</v>
      </c>
      <c r="S280" s="26">
        <f>Rådatakommune[[#This Row],[Y13]]/Rådatakommune[[#This Row],[Folk20-64]]</f>
        <v>0.93897398492584483</v>
      </c>
    </row>
    <row r="281" spans="1:19">
      <c r="A281" s="2" t="s">
        <v>279</v>
      </c>
      <c r="B281" s="38">
        <v>3201</v>
      </c>
      <c r="C281" s="38">
        <v>3001</v>
      </c>
      <c r="D281" s="38">
        <v>1563</v>
      </c>
      <c r="E281" s="38">
        <v>533</v>
      </c>
      <c r="F281" s="4">
        <v>302</v>
      </c>
      <c r="G281" s="4">
        <v>1689</v>
      </c>
      <c r="H281" s="38">
        <v>1289</v>
      </c>
      <c r="I281" s="38">
        <v>916</v>
      </c>
      <c r="J281" s="7">
        <v>1046.08</v>
      </c>
      <c r="K281" s="38">
        <v>350700</v>
      </c>
      <c r="L281">
        <v>192.0717023416</v>
      </c>
      <c r="M281">
        <v>4</v>
      </c>
      <c r="N281" s="37">
        <f>Rådatakommune[[#This Row],[B14]]/Rådatakommune[[#This Row],[Totalareal]]</f>
        <v>2.868805445090242</v>
      </c>
      <c r="O281" s="39">
        <f>Rådatakommune[[#This Row],[B14]]/Rådatakommune[[#This Row],[B04]]-1</f>
        <v>-6.2480474851608903E-2</v>
      </c>
      <c r="P281" s="26">
        <f>Rådatakommune[[#This Row],[Kvinner20-39]]/Rådatakommune[[#This Row],[B14]]</f>
        <v>0.10063312229256914</v>
      </c>
      <c r="Q281" s="26">
        <f>Rådatakommune[[#This Row],[Eldre67+]]/Rådatakommune[[#This Row],[B14]]</f>
        <v>0.17760746417860712</v>
      </c>
      <c r="R281" s="26">
        <f>Rådatakommune[[#This Row],[S13]]/Rådatakommune[[#This Row],[S03]]-1</f>
        <v>-0.28937160589604349</v>
      </c>
      <c r="S281" s="26">
        <f>Rådatakommune[[#This Row],[Y13]]/Rådatakommune[[#This Row],[Folk20-64]]</f>
        <v>0.92539964476021319</v>
      </c>
    </row>
    <row r="282" spans="1:19">
      <c r="A282" s="2" t="s">
        <v>280</v>
      </c>
      <c r="B282" s="38">
        <v>1925</v>
      </c>
      <c r="C282" s="38">
        <v>2036</v>
      </c>
      <c r="D282" s="38">
        <v>1006</v>
      </c>
      <c r="E282" s="38">
        <v>369</v>
      </c>
      <c r="F282" s="4">
        <v>192</v>
      </c>
      <c r="G282" s="4">
        <v>1051</v>
      </c>
      <c r="H282" s="38">
        <v>765</v>
      </c>
      <c r="I282" s="38">
        <v>849</v>
      </c>
      <c r="J282" s="7">
        <v>94.65</v>
      </c>
      <c r="K282" s="38">
        <v>375900</v>
      </c>
      <c r="L282">
        <v>190.2255716059</v>
      </c>
      <c r="M282">
        <v>4</v>
      </c>
      <c r="N282" s="37">
        <f>Rådatakommune[[#This Row],[B14]]/Rådatakommune[[#This Row],[Totalareal]]</f>
        <v>21.510829371368196</v>
      </c>
      <c r="O282" s="39">
        <f>Rådatakommune[[#This Row],[B14]]/Rådatakommune[[#This Row],[B04]]-1</f>
        <v>5.7662337662337748E-2</v>
      </c>
      <c r="P282" s="26">
        <f>Rådatakommune[[#This Row],[Kvinner20-39]]/Rådatakommune[[#This Row],[B14]]</f>
        <v>9.4302554027504912E-2</v>
      </c>
      <c r="Q282" s="26">
        <f>Rådatakommune[[#This Row],[Eldre67+]]/Rådatakommune[[#This Row],[B14]]</f>
        <v>0.18123772102161101</v>
      </c>
      <c r="R282" s="26">
        <f>Rådatakommune[[#This Row],[S13]]/Rådatakommune[[#This Row],[S03]]-1</f>
        <v>0.1098039215686275</v>
      </c>
      <c r="S282" s="26">
        <f>Rådatakommune[[#This Row],[Y13]]/Rådatakommune[[#This Row],[Folk20-64]]</f>
        <v>0.95718363463368217</v>
      </c>
    </row>
    <row r="283" spans="1:19">
      <c r="A283" s="2" t="s">
        <v>281</v>
      </c>
      <c r="B283" s="38">
        <v>1279</v>
      </c>
      <c r="C283" s="38">
        <v>1285</v>
      </c>
      <c r="D283" s="38">
        <v>684</v>
      </c>
      <c r="E283" s="38">
        <v>239</v>
      </c>
      <c r="F283" s="4">
        <v>115</v>
      </c>
      <c r="G283" s="4">
        <v>693</v>
      </c>
      <c r="H283" s="38">
        <v>596</v>
      </c>
      <c r="I283" s="38">
        <v>679</v>
      </c>
      <c r="J283" s="7">
        <v>21.42</v>
      </c>
      <c r="K283" s="38">
        <v>421300</v>
      </c>
      <c r="L283">
        <v>253.085921533</v>
      </c>
      <c r="M283">
        <v>11</v>
      </c>
      <c r="N283" s="37">
        <f>Rådatakommune[[#This Row],[B14]]/Rådatakommune[[#This Row],[Totalareal]]</f>
        <v>59.990662931839395</v>
      </c>
      <c r="O283" s="39">
        <f>Rådatakommune[[#This Row],[B14]]/Rådatakommune[[#This Row],[B04]]-1</f>
        <v>4.691164972634887E-3</v>
      </c>
      <c r="P283" s="26">
        <f>Rådatakommune[[#This Row],[Kvinner20-39]]/Rådatakommune[[#This Row],[B14]]</f>
        <v>8.9494163424124515E-2</v>
      </c>
      <c r="Q283" s="26">
        <f>Rådatakommune[[#This Row],[Eldre67+]]/Rådatakommune[[#This Row],[B14]]</f>
        <v>0.18599221789883269</v>
      </c>
      <c r="R283" s="26">
        <f>Rådatakommune[[#This Row],[S13]]/Rådatakommune[[#This Row],[S03]]-1</f>
        <v>0.13926174496644306</v>
      </c>
      <c r="S283" s="26">
        <f>Rådatakommune[[#This Row],[Y13]]/Rådatakommune[[#This Row],[Folk20-64]]</f>
        <v>0.98701298701298701</v>
      </c>
    </row>
    <row r="284" spans="1:19">
      <c r="A284" s="2" t="s">
        <v>282</v>
      </c>
      <c r="B284" s="38">
        <v>3055</v>
      </c>
      <c r="C284" s="38">
        <v>3377</v>
      </c>
      <c r="D284" s="38">
        <v>1697</v>
      </c>
      <c r="E284" s="38">
        <v>538</v>
      </c>
      <c r="F284" s="4">
        <v>400</v>
      </c>
      <c r="G284" s="4">
        <v>1840</v>
      </c>
      <c r="H284" s="38">
        <v>1081</v>
      </c>
      <c r="I284" s="38">
        <v>1365</v>
      </c>
      <c r="J284" s="7">
        <v>59.07</v>
      </c>
      <c r="K284" s="38">
        <v>387900</v>
      </c>
      <c r="L284">
        <v>186.91059359010001</v>
      </c>
      <c r="M284">
        <v>4</v>
      </c>
      <c r="N284" s="37">
        <f>Rådatakommune[[#This Row],[B14]]/Rådatakommune[[#This Row],[Totalareal]]</f>
        <v>57.169459962756051</v>
      </c>
      <c r="O284" s="39">
        <f>Rådatakommune[[#This Row],[B14]]/Rådatakommune[[#This Row],[B04]]-1</f>
        <v>0.10540098199672676</v>
      </c>
      <c r="P284" s="26">
        <f>Rådatakommune[[#This Row],[Kvinner20-39]]/Rådatakommune[[#This Row],[B14]]</f>
        <v>0.11844832691738229</v>
      </c>
      <c r="Q284" s="26">
        <f>Rådatakommune[[#This Row],[Eldre67+]]/Rådatakommune[[#This Row],[B14]]</f>
        <v>0.15931299970387919</v>
      </c>
      <c r="R284" s="26">
        <f>Rådatakommune[[#This Row],[S13]]/Rådatakommune[[#This Row],[S03]]-1</f>
        <v>0.26271970397779842</v>
      </c>
      <c r="S284" s="26">
        <f>Rådatakommune[[#This Row],[Y13]]/Rådatakommune[[#This Row],[Folk20-64]]</f>
        <v>0.92228260869565215</v>
      </c>
    </row>
    <row r="285" spans="1:19">
      <c r="A285" s="2" t="s">
        <v>283</v>
      </c>
      <c r="B285" s="38">
        <v>9004</v>
      </c>
      <c r="C285" s="38">
        <v>9720</v>
      </c>
      <c r="D285" s="38">
        <v>5087</v>
      </c>
      <c r="E285" s="38">
        <v>1373</v>
      </c>
      <c r="F285" s="4">
        <v>1154</v>
      </c>
      <c r="G285" s="4">
        <v>5568</v>
      </c>
      <c r="H285" s="38">
        <v>3243</v>
      </c>
      <c r="I285" s="38">
        <v>3535</v>
      </c>
      <c r="J285" s="7">
        <v>369.72</v>
      </c>
      <c r="K285" s="38">
        <v>372300</v>
      </c>
      <c r="L285">
        <v>167.65322236270001</v>
      </c>
      <c r="M285">
        <v>4</v>
      </c>
      <c r="N285" s="37">
        <f>Rådatakommune[[#This Row],[B14]]/Rådatakommune[[#This Row],[Totalareal]]</f>
        <v>26.290165530671857</v>
      </c>
      <c r="O285" s="39">
        <f>Rådatakommune[[#This Row],[B14]]/Rådatakommune[[#This Row],[B04]]-1</f>
        <v>7.9520213238560622E-2</v>
      </c>
      <c r="P285" s="26">
        <f>Rådatakommune[[#This Row],[Kvinner20-39]]/Rådatakommune[[#This Row],[B14]]</f>
        <v>0.11872427983539095</v>
      </c>
      <c r="Q285" s="26">
        <f>Rådatakommune[[#This Row],[Eldre67+]]/Rådatakommune[[#This Row],[B14]]</f>
        <v>0.1412551440329218</v>
      </c>
      <c r="R285" s="26">
        <f>Rådatakommune[[#This Row],[S13]]/Rådatakommune[[#This Row],[S03]]-1</f>
        <v>9.0040086339808756E-2</v>
      </c>
      <c r="S285" s="26">
        <f>Rådatakommune[[#This Row],[Y13]]/Rådatakommune[[#This Row],[Folk20-64]]</f>
        <v>0.91361350574712641</v>
      </c>
    </row>
    <row r="286" spans="1:19">
      <c r="A286" s="2" t="s">
        <v>284</v>
      </c>
      <c r="B286" s="38">
        <v>3287</v>
      </c>
      <c r="C286" s="38">
        <v>3471</v>
      </c>
      <c r="D286" s="38">
        <v>1801</v>
      </c>
      <c r="E286" s="38">
        <v>497</v>
      </c>
      <c r="F286" s="4">
        <v>404</v>
      </c>
      <c r="G286" s="4">
        <v>1945</v>
      </c>
      <c r="H286" s="38">
        <v>1118</v>
      </c>
      <c r="I286" s="38">
        <v>1212</v>
      </c>
      <c r="J286" s="7">
        <v>152.09</v>
      </c>
      <c r="K286" s="38">
        <v>361400</v>
      </c>
      <c r="L286">
        <v>187.30630696579999</v>
      </c>
      <c r="M286">
        <v>4</v>
      </c>
      <c r="N286" s="37">
        <f>Rådatakommune[[#This Row],[B14]]/Rådatakommune[[#This Row],[Totalareal]]</f>
        <v>22.822013281609571</v>
      </c>
      <c r="O286" s="39">
        <f>Rådatakommune[[#This Row],[B14]]/Rådatakommune[[#This Row],[B04]]-1</f>
        <v>5.5978095527836835E-2</v>
      </c>
      <c r="P286" s="26">
        <f>Rådatakommune[[#This Row],[Kvinner20-39]]/Rådatakommune[[#This Row],[B14]]</f>
        <v>0.1163929703255546</v>
      </c>
      <c r="Q286" s="26">
        <f>Rådatakommune[[#This Row],[Eldre67+]]/Rådatakommune[[#This Row],[B14]]</f>
        <v>0.1431864016133679</v>
      </c>
      <c r="R286" s="26">
        <f>Rådatakommune[[#This Row],[S13]]/Rådatakommune[[#This Row],[S03]]-1</f>
        <v>8.4078711985688726E-2</v>
      </c>
      <c r="S286" s="26">
        <f>Rådatakommune[[#This Row],[Y13]]/Rådatakommune[[#This Row],[Folk20-64]]</f>
        <v>0.92596401028277631</v>
      </c>
    </row>
    <row r="287" spans="1:19">
      <c r="A287" s="2" t="s">
        <v>285</v>
      </c>
      <c r="B287" s="38">
        <v>5472</v>
      </c>
      <c r="C287" s="38">
        <v>5687</v>
      </c>
      <c r="D287" s="38">
        <v>2964</v>
      </c>
      <c r="E287" s="38">
        <v>885</v>
      </c>
      <c r="F287" s="4">
        <v>590</v>
      </c>
      <c r="G287" s="4">
        <v>3244</v>
      </c>
      <c r="H287" s="38">
        <v>2140</v>
      </c>
      <c r="I287" s="38">
        <v>2278</v>
      </c>
      <c r="J287" s="7">
        <v>175.28</v>
      </c>
      <c r="K287" s="38">
        <v>380800</v>
      </c>
      <c r="L287">
        <v>173.6378757432</v>
      </c>
      <c r="M287">
        <v>5</v>
      </c>
      <c r="N287" s="37">
        <f>Rådatakommune[[#This Row],[B14]]/Rådatakommune[[#This Row],[Totalareal]]</f>
        <v>32.445230488361481</v>
      </c>
      <c r="O287" s="39">
        <f>Rådatakommune[[#This Row],[B14]]/Rådatakommune[[#This Row],[B04]]-1</f>
        <v>3.9290935672514626E-2</v>
      </c>
      <c r="P287" s="26">
        <f>Rådatakommune[[#This Row],[Kvinner20-39]]/Rådatakommune[[#This Row],[B14]]</f>
        <v>0.10374538420960085</v>
      </c>
      <c r="Q287" s="26">
        <f>Rådatakommune[[#This Row],[Eldre67+]]/Rådatakommune[[#This Row],[B14]]</f>
        <v>0.15561807631440128</v>
      </c>
      <c r="R287" s="26">
        <f>Rådatakommune[[#This Row],[S13]]/Rådatakommune[[#This Row],[S03]]-1</f>
        <v>6.4485981308411322E-2</v>
      </c>
      <c r="S287" s="26">
        <f>Rådatakommune[[#This Row],[Y13]]/Rådatakommune[[#This Row],[Folk20-64]]</f>
        <v>0.91368680641183719</v>
      </c>
    </row>
    <row r="288" spans="1:19">
      <c r="A288" s="2" t="s">
        <v>286</v>
      </c>
      <c r="B288" s="38">
        <v>2650</v>
      </c>
      <c r="C288" s="38">
        <v>2565</v>
      </c>
      <c r="D288" s="38">
        <v>1341</v>
      </c>
      <c r="E288" s="38">
        <v>428</v>
      </c>
      <c r="F288" s="4">
        <v>275</v>
      </c>
      <c r="G288" s="4">
        <v>1439</v>
      </c>
      <c r="H288" s="38">
        <v>804</v>
      </c>
      <c r="I288" s="38">
        <v>819</v>
      </c>
      <c r="J288" s="7">
        <v>381.63</v>
      </c>
      <c r="K288" s="38">
        <v>364600</v>
      </c>
      <c r="L288">
        <v>176.70352430949998</v>
      </c>
      <c r="M288">
        <v>4</v>
      </c>
      <c r="N288" s="37">
        <f>Rådatakommune[[#This Row],[B14]]/Rådatakommune[[#This Row],[Totalareal]]</f>
        <v>6.7211697193616855</v>
      </c>
      <c r="O288" s="39">
        <f>Rådatakommune[[#This Row],[B14]]/Rådatakommune[[#This Row],[B04]]-1</f>
        <v>-3.20754716981132E-2</v>
      </c>
      <c r="P288" s="26">
        <f>Rådatakommune[[#This Row],[Kvinner20-39]]/Rådatakommune[[#This Row],[B14]]</f>
        <v>0.10721247563352826</v>
      </c>
      <c r="Q288" s="26">
        <f>Rådatakommune[[#This Row],[Eldre67+]]/Rådatakommune[[#This Row],[B14]]</f>
        <v>0.16686159844054582</v>
      </c>
      <c r="R288" s="26">
        <f>Rådatakommune[[#This Row],[S13]]/Rådatakommune[[#This Row],[S03]]-1</f>
        <v>1.8656716417910557E-2</v>
      </c>
      <c r="S288" s="26">
        <f>Rådatakommune[[#This Row],[Y13]]/Rådatakommune[[#This Row],[Folk20-64]]</f>
        <v>0.93189715079916613</v>
      </c>
    </row>
    <row r="289" spans="1:19">
      <c r="A289" s="2" t="s">
        <v>287</v>
      </c>
      <c r="B289" s="38">
        <v>3120</v>
      </c>
      <c r="C289" s="38">
        <v>3064</v>
      </c>
      <c r="D289" s="38">
        <v>1480</v>
      </c>
      <c r="E289" s="38">
        <v>619</v>
      </c>
      <c r="F289" s="4">
        <v>291</v>
      </c>
      <c r="G289" s="4">
        <v>1687</v>
      </c>
      <c r="H289" s="38">
        <v>1053</v>
      </c>
      <c r="I289" s="38">
        <v>1023</v>
      </c>
      <c r="J289" s="7">
        <v>336.76</v>
      </c>
      <c r="K289" s="38">
        <v>331700</v>
      </c>
      <c r="L289">
        <v>195.8399490354</v>
      </c>
      <c r="M289">
        <v>5</v>
      </c>
      <c r="N289" s="37">
        <f>Rådatakommune[[#This Row],[B14]]/Rådatakommune[[#This Row],[Totalareal]]</f>
        <v>9.0984677515144323</v>
      </c>
      <c r="O289" s="39">
        <f>Rådatakommune[[#This Row],[B14]]/Rådatakommune[[#This Row],[B04]]-1</f>
        <v>-1.7948717948717996E-2</v>
      </c>
      <c r="P289" s="26">
        <f>Rådatakommune[[#This Row],[Kvinner20-39]]/Rådatakommune[[#This Row],[B14]]</f>
        <v>9.497389033942559E-2</v>
      </c>
      <c r="Q289" s="26">
        <f>Rådatakommune[[#This Row],[Eldre67+]]/Rådatakommune[[#This Row],[B14]]</f>
        <v>0.20202349869451697</v>
      </c>
      <c r="R289" s="26">
        <f>Rådatakommune[[#This Row],[S13]]/Rådatakommune[[#This Row],[S03]]-1</f>
        <v>-2.8490028490028463E-2</v>
      </c>
      <c r="S289" s="26">
        <f>Rådatakommune[[#This Row],[Y13]]/Rådatakommune[[#This Row],[Folk20-64]]</f>
        <v>0.87729697688203911</v>
      </c>
    </row>
    <row r="290" spans="1:19">
      <c r="A290" s="2" t="s">
        <v>288</v>
      </c>
      <c r="B290" s="38">
        <v>7409</v>
      </c>
      <c r="C290" s="38">
        <v>7171</v>
      </c>
      <c r="D290" s="38">
        <v>3466</v>
      </c>
      <c r="E290" s="38">
        <v>1241</v>
      </c>
      <c r="F290" s="4">
        <v>724</v>
      </c>
      <c r="G290" s="4">
        <v>4122</v>
      </c>
      <c r="H290" s="38">
        <v>3900</v>
      </c>
      <c r="I290" s="38">
        <v>3750</v>
      </c>
      <c r="J290" s="7">
        <v>1713.44</v>
      </c>
      <c r="K290" s="38">
        <v>355600</v>
      </c>
      <c r="L290">
        <v>220.9231681631</v>
      </c>
      <c r="M290">
        <v>9</v>
      </c>
      <c r="N290" s="37">
        <f>Rådatakommune[[#This Row],[B14]]/Rådatakommune[[#This Row],[Totalareal]]</f>
        <v>4.1851480063497988</v>
      </c>
      <c r="O290" s="39">
        <f>Rådatakommune[[#This Row],[B14]]/Rådatakommune[[#This Row],[B04]]-1</f>
        <v>-3.2123093534889957E-2</v>
      </c>
      <c r="P290" s="26">
        <f>Rådatakommune[[#This Row],[Kvinner20-39]]/Rådatakommune[[#This Row],[B14]]</f>
        <v>0.10096220889694603</v>
      </c>
      <c r="Q290" s="26">
        <f>Rådatakommune[[#This Row],[Eldre67+]]/Rådatakommune[[#This Row],[B14]]</f>
        <v>0.17305815088551108</v>
      </c>
      <c r="R290" s="26">
        <f>Rådatakommune[[#This Row],[S13]]/Rådatakommune[[#This Row],[S03]]-1</f>
        <v>-3.8461538461538436E-2</v>
      </c>
      <c r="S290" s="26">
        <f>Rådatakommune[[#This Row],[Y13]]/Rådatakommune[[#This Row],[Folk20-64]]</f>
        <v>0.84085395439107224</v>
      </c>
    </row>
    <row r="291" spans="1:19">
      <c r="A291" s="2" t="s">
        <v>289</v>
      </c>
      <c r="B291" s="38">
        <v>6209</v>
      </c>
      <c r="C291" s="38">
        <v>5954</v>
      </c>
      <c r="D291" s="38">
        <v>3049</v>
      </c>
      <c r="E291" s="38">
        <v>1061</v>
      </c>
      <c r="F291" s="4">
        <v>574</v>
      </c>
      <c r="G291" s="4">
        <v>3304</v>
      </c>
      <c r="H291" s="38">
        <v>2736</v>
      </c>
      <c r="I291" s="38">
        <v>2846</v>
      </c>
      <c r="J291" s="7">
        <v>1365.31</v>
      </c>
      <c r="K291" s="38">
        <v>331300</v>
      </c>
      <c r="L291">
        <v>243.89762441799999</v>
      </c>
      <c r="M291">
        <v>9</v>
      </c>
      <c r="N291" s="37">
        <f>Rådatakommune[[#This Row],[B14]]/Rådatakommune[[#This Row],[Totalareal]]</f>
        <v>4.360914371095209</v>
      </c>
      <c r="O291" s="39">
        <f>Rådatakommune[[#This Row],[B14]]/Rådatakommune[[#This Row],[B04]]-1</f>
        <v>-4.1069415364793027E-2</v>
      </c>
      <c r="P291" s="26">
        <f>Rådatakommune[[#This Row],[Kvinner20-39]]/Rådatakommune[[#This Row],[B14]]</f>
        <v>9.6405777628485054E-2</v>
      </c>
      <c r="Q291" s="26">
        <f>Rådatakommune[[#This Row],[Eldre67+]]/Rådatakommune[[#This Row],[B14]]</f>
        <v>0.178199529727914</v>
      </c>
      <c r="R291" s="26">
        <f>Rådatakommune[[#This Row],[S13]]/Rådatakommune[[#This Row],[S03]]-1</f>
        <v>4.0204678362573132E-2</v>
      </c>
      <c r="S291" s="26">
        <f>Rådatakommune[[#This Row],[Y13]]/Rådatakommune[[#This Row],[Folk20-64]]</f>
        <v>0.92282082324455206</v>
      </c>
    </row>
    <row r="292" spans="1:19">
      <c r="A292" s="2" t="s">
        <v>290</v>
      </c>
      <c r="B292" s="38">
        <v>2118</v>
      </c>
      <c r="C292" s="38">
        <v>2046</v>
      </c>
      <c r="D292" s="38">
        <v>1056</v>
      </c>
      <c r="E292" s="38">
        <v>414</v>
      </c>
      <c r="F292" s="4">
        <v>210</v>
      </c>
      <c r="G292" s="4">
        <v>1072</v>
      </c>
      <c r="H292" s="38">
        <v>954</v>
      </c>
      <c r="I292" s="38">
        <v>916</v>
      </c>
      <c r="J292" s="7">
        <v>631.84</v>
      </c>
      <c r="K292" s="38">
        <v>333500</v>
      </c>
      <c r="L292">
        <v>254.30360304050001</v>
      </c>
      <c r="M292">
        <v>9</v>
      </c>
      <c r="N292" s="37">
        <f>Rådatakommune[[#This Row],[B14]]/Rådatakommune[[#This Row],[Totalareal]]</f>
        <v>3.2381615598885793</v>
      </c>
      <c r="O292" s="39">
        <f>Rådatakommune[[#This Row],[B14]]/Rådatakommune[[#This Row],[B04]]-1</f>
        <v>-3.3994334277620442E-2</v>
      </c>
      <c r="P292" s="26">
        <f>Rådatakommune[[#This Row],[Kvinner20-39]]/Rådatakommune[[#This Row],[B14]]</f>
        <v>0.10263929618768329</v>
      </c>
      <c r="Q292" s="26">
        <f>Rådatakommune[[#This Row],[Eldre67+]]/Rådatakommune[[#This Row],[B14]]</f>
        <v>0.20234604105571846</v>
      </c>
      <c r="R292" s="26">
        <f>Rådatakommune[[#This Row],[S13]]/Rådatakommune[[#This Row],[S03]]-1</f>
        <v>-3.9832285115304011E-2</v>
      </c>
      <c r="S292" s="26">
        <f>Rådatakommune[[#This Row],[Y13]]/Rådatakommune[[#This Row],[Folk20-64]]</f>
        <v>0.9850746268656716</v>
      </c>
    </row>
    <row r="293" spans="1:19">
      <c r="A293" s="2" t="s">
        <v>291</v>
      </c>
      <c r="B293" s="38">
        <v>1714</v>
      </c>
      <c r="C293" s="38">
        <v>1581</v>
      </c>
      <c r="D293" s="38">
        <v>799</v>
      </c>
      <c r="E293" s="38">
        <v>344</v>
      </c>
      <c r="F293" s="4">
        <v>140</v>
      </c>
      <c r="G293" s="4">
        <v>850</v>
      </c>
      <c r="H293" s="38">
        <v>739</v>
      </c>
      <c r="I293" s="38">
        <v>657</v>
      </c>
      <c r="J293" s="7">
        <v>300.53000000000003</v>
      </c>
      <c r="K293" s="38">
        <v>333500</v>
      </c>
      <c r="L293">
        <v>222.7438501076</v>
      </c>
      <c r="M293">
        <v>9</v>
      </c>
      <c r="N293" s="37">
        <f>Rådatakommune[[#This Row],[B14]]/Rådatakommune[[#This Row],[Totalareal]]</f>
        <v>5.2607060859148831</v>
      </c>
      <c r="O293" s="39">
        <f>Rådatakommune[[#This Row],[B14]]/Rådatakommune[[#This Row],[B04]]-1</f>
        <v>-7.7596266044340778E-2</v>
      </c>
      <c r="P293" s="26">
        <f>Rådatakommune[[#This Row],[Kvinner20-39]]/Rådatakommune[[#This Row],[B14]]</f>
        <v>8.8551549652118908E-2</v>
      </c>
      <c r="Q293" s="26">
        <f>Rådatakommune[[#This Row],[Eldre67+]]/Rådatakommune[[#This Row],[B14]]</f>
        <v>0.21758380771663505</v>
      </c>
      <c r="R293" s="26">
        <f>Rådatakommune[[#This Row],[S13]]/Rådatakommune[[#This Row],[S03]]-1</f>
        <v>-0.11096075778078485</v>
      </c>
      <c r="S293" s="26">
        <f>Rådatakommune[[#This Row],[Y13]]/Rådatakommune[[#This Row],[Folk20-64]]</f>
        <v>0.94</v>
      </c>
    </row>
    <row r="294" spans="1:19">
      <c r="A294" s="2" t="s">
        <v>292</v>
      </c>
      <c r="B294" s="38">
        <v>2248</v>
      </c>
      <c r="C294" s="38">
        <v>2166</v>
      </c>
      <c r="D294" s="38">
        <v>1101</v>
      </c>
      <c r="E294" s="38">
        <v>441</v>
      </c>
      <c r="F294" s="4">
        <v>217</v>
      </c>
      <c r="G294" s="4">
        <v>1220</v>
      </c>
      <c r="H294" s="38">
        <v>935</v>
      </c>
      <c r="I294" s="38">
        <v>1028</v>
      </c>
      <c r="J294" s="7">
        <v>271.90999999999997</v>
      </c>
      <c r="K294" s="38">
        <v>362400</v>
      </c>
      <c r="L294">
        <v>249.9183892133</v>
      </c>
      <c r="M294">
        <v>11</v>
      </c>
      <c r="N294" s="37">
        <f>Rådatakommune[[#This Row],[B14]]/Rådatakommune[[#This Row],[Totalareal]]</f>
        <v>7.9658710602772986</v>
      </c>
      <c r="O294" s="39">
        <f>Rådatakommune[[#This Row],[B14]]/Rådatakommune[[#This Row],[B04]]-1</f>
        <v>-3.6476868327402157E-2</v>
      </c>
      <c r="P294" s="26">
        <f>Rådatakommune[[#This Row],[Kvinner20-39]]/Rådatakommune[[#This Row],[B14]]</f>
        <v>0.10018467220683287</v>
      </c>
      <c r="Q294" s="26">
        <f>Rådatakommune[[#This Row],[Eldre67+]]/Rådatakommune[[#This Row],[B14]]</f>
        <v>0.203601108033241</v>
      </c>
      <c r="R294" s="26">
        <f>Rådatakommune[[#This Row],[S13]]/Rådatakommune[[#This Row],[S03]]-1</f>
        <v>9.9465240641711139E-2</v>
      </c>
      <c r="S294" s="26">
        <f>Rådatakommune[[#This Row],[Y13]]/Rådatakommune[[#This Row],[Folk20-64]]</f>
        <v>0.90245901639344261</v>
      </c>
    </row>
    <row r="295" spans="1:19" ht="16.5">
      <c r="A295" s="2" t="s">
        <v>293</v>
      </c>
      <c r="B295" s="40">
        <v>3676</v>
      </c>
      <c r="C295" s="38">
        <v>3577</v>
      </c>
      <c r="D295" s="38">
        <v>1791</v>
      </c>
      <c r="E295" s="38">
        <v>679</v>
      </c>
      <c r="F295" s="4">
        <v>330</v>
      </c>
      <c r="G295" s="4">
        <v>1987</v>
      </c>
      <c r="H295" s="38">
        <v>1549</v>
      </c>
      <c r="I295" s="38">
        <v>1540</v>
      </c>
      <c r="J295" s="7">
        <v>641.37</v>
      </c>
      <c r="K295" s="38">
        <v>350400</v>
      </c>
      <c r="L295">
        <v>221.96109544550001</v>
      </c>
      <c r="M295">
        <v>11</v>
      </c>
      <c r="N295" s="37">
        <f>Rådatakommune[[#This Row],[B14]]/Rådatakommune[[#This Row],[Totalareal]]</f>
        <v>5.5771239690038508</v>
      </c>
      <c r="O295" s="39">
        <f>Rådatakommune[[#This Row],[B14]]/Rådatakommune[[#This Row],[B04]]-1</f>
        <v>-2.6931447225244876E-2</v>
      </c>
      <c r="P295" s="26">
        <f>Rådatakommune[[#This Row],[Kvinner20-39]]/Rådatakommune[[#This Row],[B14]]</f>
        <v>9.2256080514397543E-2</v>
      </c>
      <c r="Q295" s="26">
        <f>Rådatakommune[[#This Row],[Eldre67+]]/Rådatakommune[[#This Row],[B14]]</f>
        <v>0.18982387475538159</v>
      </c>
      <c r="R295" s="26">
        <f>Rådatakommune[[#This Row],[S13]]/Rådatakommune[[#This Row],[S03]]-1</f>
        <v>-5.8102001291155947E-3</v>
      </c>
      <c r="S295" s="26">
        <f>Rådatakommune[[#This Row],[Y13]]/Rådatakommune[[#This Row],[Folk20-64]]</f>
        <v>0.90135883241066939</v>
      </c>
    </row>
    <row r="296" spans="1:19">
      <c r="A296" s="2" t="s">
        <v>294</v>
      </c>
      <c r="B296" s="38">
        <v>154351</v>
      </c>
      <c r="C296" s="38">
        <v>182035</v>
      </c>
      <c r="D296" s="38">
        <v>97246</v>
      </c>
      <c r="E296" s="38">
        <v>21075</v>
      </c>
      <c r="F296" s="4">
        <v>27911</v>
      </c>
      <c r="G296" s="4">
        <v>114945</v>
      </c>
      <c r="H296" s="38">
        <v>93225</v>
      </c>
      <c r="I296" s="38">
        <v>112854</v>
      </c>
      <c r="J296" s="7">
        <v>341.11</v>
      </c>
      <c r="K296" s="38">
        <v>389800</v>
      </c>
      <c r="L296">
        <v>180.31742073930002</v>
      </c>
      <c r="M296">
        <v>2</v>
      </c>
      <c r="N296" s="37">
        <f>Rådatakommune[[#This Row],[B14]]/Rådatakommune[[#This Row],[Totalareal]]</f>
        <v>533.6548327518982</v>
      </c>
      <c r="O296" s="39">
        <f>Rådatakommune[[#This Row],[B14]]/Rådatakommune[[#This Row],[B04]]-1</f>
        <v>0.1793574385653478</v>
      </c>
      <c r="P296" s="26">
        <f>Rådatakommune[[#This Row],[Kvinner20-39]]/Rådatakommune[[#This Row],[B14]]</f>
        <v>0.1533276567693026</v>
      </c>
      <c r="Q296" s="26">
        <f>Rådatakommune[[#This Row],[Eldre67+]]/Rådatakommune[[#This Row],[B14]]</f>
        <v>0.11577443898151454</v>
      </c>
      <c r="R296" s="26">
        <f>Rådatakommune[[#This Row],[S13]]/Rådatakommune[[#This Row],[S03]]-1</f>
        <v>0.21055510860820603</v>
      </c>
      <c r="S296" s="26">
        <f>Rådatakommune[[#This Row],[Y13]]/Rådatakommune[[#This Row],[Folk20-64]]</f>
        <v>0.84602201052677373</v>
      </c>
    </row>
    <row r="297" spans="1:19">
      <c r="A297" s="2" t="s">
        <v>295</v>
      </c>
      <c r="B297" s="38">
        <v>4294</v>
      </c>
      <c r="C297" s="38">
        <v>4224</v>
      </c>
      <c r="D297" s="38">
        <v>2105</v>
      </c>
      <c r="E297" s="38">
        <v>746</v>
      </c>
      <c r="F297" s="4">
        <v>443</v>
      </c>
      <c r="G297" s="4">
        <v>2314</v>
      </c>
      <c r="H297" s="38">
        <v>1758</v>
      </c>
      <c r="I297" s="38">
        <v>1999</v>
      </c>
      <c r="J297" s="7">
        <v>669.61999999999989</v>
      </c>
      <c r="K297" s="38">
        <v>351100</v>
      </c>
      <c r="L297">
        <v>253.51839397929999</v>
      </c>
      <c r="M297">
        <v>9</v>
      </c>
      <c r="N297" s="37">
        <f>Rådatakommune[[#This Row],[B14]]/Rådatakommune[[#This Row],[Totalareal]]</f>
        <v>6.3080553149547516</v>
      </c>
      <c r="O297" s="39">
        <f>Rådatakommune[[#This Row],[B14]]/Rådatakommune[[#This Row],[B04]]-1</f>
        <v>-1.6301816488123011E-2</v>
      </c>
      <c r="P297" s="26">
        <f>Rådatakommune[[#This Row],[Kvinner20-39]]/Rådatakommune[[#This Row],[B14]]</f>
        <v>0.10487689393939394</v>
      </c>
      <c r="Q297" s="26">
        <f>Rådatakommune[[#This Row],[Eldre67+]]/Rådatakommune[[#This Row],[B14]]</f>
        <v>0.17660984848484848</v>
      </c>
      <c r="R297" s="26">
        <f>Rådatakommune[[#This Row],[S13]]/Rådatakommune[[#This Row],[S03]]-1</f>
        <v>0.13708759954493743</v>
      </c>
      <c r="S297" s="26">
        <f>Rådatakommune[[#This Row],[Y13]]/Rådatakommune[[#This Row],[Folk20-64]]</f>
        <v>0.90968020743301647</v>
      </c>
    </row>
    <row r="298" spans="1:19">
      <c r="A298" s="2" t="s">
        <v>296</v>
      </c>
      <c r="B298" s="38">
        <v>1033</v>
      </c>
      <c r="C298" s="38">
        <v>980</v>
      </c>
      <c r="D298" s="38">
        <v>516</v>
      </c>
      <c r="E298" s="38">
        <v>189</v>
      </c>
      <c r="F298" s="4">
        <v>89</v>
      </c>
      <c r="G298" s="4">
        <v>544</v>
      </c>
      <c r="H298" s="38">
        <v>370</v>
      </c>
      <c r="I298" s="38">
        <v>382</v>
      </c>
      <c r="J298" s="7">
        <v>508.12</v>
      </c>
      <c r="K298" s="38">
        <v>332700</v>
      </c>
      <c r="L298">
        <v>236.80215346099999</v>
      </c>
      <c r="M298">
        <v>5</v>
      </c>
      <c r="N298" s="37">
        <f>Rådatakommune[[#This Row],[B14]]/Rådatakommune[[#This Row],[Totalareal]]</f>
        <v>1.9286782649767771</v>
      </c>
      <c r="O298" s="39">
        <f>Rådatakommune[[#This Row],[B14]]/Rådatakommune[[#This Row],[B04]]-1</f>
        <v>-5.1306873184898349E-2</v>
      </c>
      <c r="P298" s="26">
        <f>Rådatakommune[[#This Row],[Kvinner20-39]]/Rådatakommune[[#This Row],[B14]]</f>
        <v>9.0816326530612251E-2</v>
      </c>
      <c r="Q298" s="26">
        <f>Rådatakommune[[#This Row],[Eldre67+]]/Rådatakommune[[#This Row],[B14]]</f>
        <v>0.19285714285714287</v>
      </c>
      <c r="R298" s="26">
        <f>Rådatakommune[[#This Row],[S13]]/Rådatakommune[[#This Row],[S03]]-1</f>
        <v>3.2432432432432323E-2</v>
      </c>
      <c r="S298" s="26">
        <f>Rådatakommune[[#This Row],[Y13]]/Rådatakommune[[#This Row],[Folk20-64]]</f>
        <v>0.94852941176470584</v>
      </c>
    </row>
    <row r="299" spans="1:19">
      <c r="A299" s="2" t="s">
        <v>297</v>
      </c>
      <c r="B299" s="38">
        <v>4090</v>
      </c>
      <c r="C299" s="38">
        <v>4522</v>
      </c>
      <c r="D299" s="38">
        <v>2310</v>
      </c>
      <c r="E299" s="38">
        <v>759</v>
      </c>
      <c r="F299" s="4">
        <v>532</v>
      </c>
      <c r="G299" s="4">
        <v>2634</v>
      </c>
      <c r="H299" s="38">
        <v>1902</v>
      </c>
      <c r="I299" s="38">
        <v>2299</v>
      </c>
      <c r="J299" s="7">
        <v>680.21</v>
      </c>
      <c r="K299" s="38">
        <v>335100</v>
      </c>
      <c r="L299">
        <v>283.11354722999999</v>
      </c>
      <c r="M299">
        <v>10</v>
      </c>
      <c r="N299" s="37">
        <f>Rådatakommune[[#This Row],[B14]]/Rådatakommune[[#This Row],[Totalareal]]</f>
        <v>6.6479469575572248</v>
      </c>
      <c r="O299" s="39">
        <f>Rådatakommune[[#This Row],[B14]]/Rådatakommune[[#This Row],[B04]]-1</f>
        <v>0.10562347188264054</v>
      </c>
      <c r="P299" s="26">
        <f>Rådatakommune[[#This Row],[Kvinner20-39]]/Rådatakommune[[#This Row],[B14]]</f>
        <v>0.11764705882352941</v>
      </c>
      <c r="Q299" s="26">
        <f>Rådatakommune[[#This Row],[Eldre67+]]/Rådatakommune[[#This Row],[B14]]</f>
        <v>0.16784608580274216</v>
      </c>
      <c r="R299" s="26">
        <f>Rådatakommune[[#This Row],[S13]]/Rådatakommune[[#This Row],[S03]]-1</f>
        <v>0.20872765509989488</v>
      </c>
      <c r="S299" s="26">
        <f>Rådatakommune[[#This Row],[Y13]]/Rådatakommune[[#This Row],[Folk20-64]]</f>
        <v>0.87699316628701596</v>
      </c>
    </row>
    <row r="300" spans="1:19">
      <c r="A300" s="2" t="s">
        <v>298</v>
      </c>
      <c r="B300" s="38">
        <v>4107</v>
      </c>
      <c r="C300" s="38">
        <v>4547</v>
      </c>
      <c r="D300" s="38">
        <v>2366</v>
      </c>
      <c r="E300" s="38">
        <v>702</v>
      </c>
      <c r="F300" s="4">
        <v>558</v>
      </c>
      <c r="G300" s="4">
        <v>2663</v>
      </c>
      <c r="H300" s="38">
        <v>2019</v>
      </c>
      <c r="I300" s="38">
        <v>2411</v>
      </c>
      <c r="J300" s="7">
        <v>240.69</v>
      </c>
      <c r="K300" s="38">
        <v>361400</v>
      </c>
      <c r="L300">
        <v>308.97379864100003</v>
      </c>
      <c r="M300">
        <v>10</v>
      </c>
      <c r="N300" s="37">
        <f>Rådatakommune[[#This Row],[B14]]/Rådatakommune[[#This Row],[Totalareal]]</f>
        <v>18.891520212721758</v>
      </c>
      <c r="O300" s="39">
        <f>Rådatakommune[[#This Row],[B14]]/Rådatakommune[[#This Row],[B04]]-1</f>
        <v>0.10713416118821528</v>
      </c>
      <c r="P300" s="26">
        <f>Rådatakommune[[#This Row],[Kvinner20-39]]/Rådatakommune[[#This Row],[B14]]</f>
        <v>0.12271827578623268</v>
      </c>
      <c r="Q300" s="26">
        <f>Rådatakommune[[#This Row],[Eldre67+]]/Rådatakommune[[#This Row],[B14]]</f>
        <v>0.15438750824719596</v>
      </c>
      <c r="R300" s="26">
        <f>Rådatakommune[[#This Row],[S13]]/Rådatakommune[[#This Row],[S03]]-1</f>
        <v>0.19415552253590884</v>
      </c>
      <c r="S300" s="26">
        <f>Rådatakommune[[#This Row],[Y13]]/Rådatakommune[[#This Row],[Folk20-64]]</f>
        <v>0.88847164851671045</v>
      </c>
    </row>
    <row r="301" spans="1:19">
      <c r="A301" s="2" t="s">
        <v>299</v>
      </c>
      <c r="B301" s="38">
        <v>5169</v>
      </c>
      <c r="C301" s="38">
        <v>5164</v>
      </c>
      <c r="D301" s="38">
        <v>2620</v>
      </c>
      <c r="E301" s="38">
        <v>859</v>
      </c>
      <c r="F301" s="4">
        <v>578</v>
      </c>
      <c r="G301" s="4">
        <v>2962</v>
      </c>
      <c r="H301" s="38">
        <v>2547</v>
      </c>
      <c r="I301" s="38">
        <v>2470</v>
      </c>
      <c r="J301" s="7">
        <v>73.179999999999993</v>
      </c>
      <c r="K301" s="38">
        <v>360200</v>
      </c>
      <c r="L301">
        <v>173.98429202072001</v>
      </c>
      <c r="M301">
        <v>10</v>
      </c>
      <c r="N301" s="37">
        <f>Rådatakommune[[#This Row],[B14]]/Rådatakommune[[#This Row],[Totalareal]]</f>
        <v>70.565728341076806</v>
      </c>
      <c r="O301" s="39">
        <f>Rådatakommune[[#This Row],[B14]]/Rådatakommune[[#This Row],[B04]]-1</f>
        <v>-9.6730508802478354E-4</v>
      </c>
      <c r="P301" s="26">
        <f>Rådatakommune[[#This Row],[Kvinner20-39]]/Rådatakommune[[#This Row],[B14]]</f>
        <v>0.11192873741285825</v>
      </c>
      <c r="Q301" s="26">
        <f>Rådatakommune[[#This Row],[Eldre67+]]/Rådatakommune[[#This Row],[B14]]</f>
        <v>0.16634391944229279</v>
      </c>
      <c r="R301" s="26">
        <f>Rådatakommune[[#This Row],[S13]]/Rådatakommune[[#This Row],[S03]]-1</f>
        <v>-3.0231645072634428E-2</v>
      </c>
      <c r="S301" s="26">
        <f>Rådatakommune[[#This Row],[Y13]]/Rådatakommune[[#This Row],[Folk20-64]]</f>
        <v>0.8845374746792708</v>
      </c>
    </row>
    <row r="302" spans="1:19">
      <c r="A302" s="2" t="s">
        <v>300</v>
      </c>
      <c r="B302" s="38">
        <v>1795</v>
      </c>
      <c r="C302" s="38">
        <v>1744</v>
      </c>
      <c r="D302" s="38">
        <v>870</v>
      </c>
      <c r="E302" s="38">
        <v>375</v>
      </c>
      <c r="F302" s="4">
        <v>157</v>
      </c>
      <c r="G302" s="4">
        <v>926</v>
      </c>
      <c r="H302" s="38">
        <v>714</v>
      </c>
      <c r="I302" s="38">
        <v>684</v>
      </c>
      <c r="J302" s="7">
        <v>317.26000000000005</v>
      </c>
      <c r="K302" s="38">
        <v>323500</v>
      </c>
      <c r="L302">
        <v>215.07900993980002</v>
      </c>
      <c r="M302">
        <v>5</v>
      </c>
      <c r="N302" s="37">
        <f>Rådatakommune[[#This Row],[B14]]/Rådatakommune[[#This Row],[Totalareal]]</f>
        <v>5.4970686503183499</v>
      </c>
      <c r="O302" s="39">
        <f>Rådatakommune[[#This Row],[B14]]/Rådatakommune[[#This Row],[B04]]-1</f>
        <v>-2.8412256267409508E-2</v>
      </c>
      <c r="P302" s="26">
        <f>Rådatakommune[[#This Row],[Kvinner20-39]]/Rådatakommune[[#This Row],[B14]]</f>
        <v>9.0022935779816515E-2</v>
      </c>
      <c r="Q302" s="26">
        <f>Rådatakommune[[#This Row],[Eldre67+]]/Rådatakommune[[#This Row],[B14]]</f>
        <v>0.21502293577981652</v>
      </c>
      <c r="R302" s="26">
        <f>Rådatakommune[[#This Row],[S13]]/Rådatakommune[[#This Row],[S03]]-1</f>
        <v>-4.2016806722689037E-2</v>
      </c>
      <c r="S302" s="26">
        <f>Rådatakommune[[#This Row],[Y13]]/Rådatakommune[[#This Row],[Folk20-64]]</f>
        <v>0.93952483801295894</v>
      </c>
    </row>
    <row r="303" spans="1:19">
      <c r="A303" s="2" t="s">
        <v>301</v>
      </c>
      <c r="B303" s="38">
        <v>6384</v>
      </c>
      <c r="C303" s="38">
        <v>6646</v>
      </c>
      <c r="D303" s="38">
        <v>3248</v>
      </c>
      <c r="E303" s="38">
        <v>1119</v>
      </c>
      <c r="F303" s="4">
        <v>682</v>
      </c>
      <c r="G303" s="4">
        <v>3697</v>
      </c>
      <c r="H303" s="38">
        <v>2530</v>
      </c>
      <c r="I303" s="38">
        <v>2905</v>
      </c>
      <c r="J303" s="7">
        <v>615.56000000000006</v>
      </c>
      <c r="K303" s="38">
        <v>331500</v>
      </c>
      <c r="L303">
        <v>231.0383793197</v>
      </c>
      <c r="M303">
        <v>2</v>
      </c>
      <c r="N303" s="37">
        <f>Rådatakommune[[#This Row],[B14]]/Rådatakommune[[#This Row],[Totalareal]]</f>
        <v>10.796672948209759</v>
      </c>
      <c r="O303" s="39">
        <f>Rådatakommune[[#This Row],[B14]]/Rådatakommune[[#This Row],[B04]]-1</f>
        <v>4.1040100250626654E-2</v>
      </c>
      <c r="P303" s="26">
        <f>Rådatakommune[[#This Row],[Kvinner20-39]]/Rådatakommune[[#This Row],[B14]]</f>
        <v>0.10261811616009629</v>
      </c>
      <c r="Q303" s="26">
        <f>Rådatakommune[[#This Row],[Eldre67+]]/Rådatakommune[[#This Row],[B14]]</f>
        <v>0.16837195305446886</v>
      </c>
      <c r="R303" s="26">
        <f>Rådatakommune[[#This Row],[S13]]/Rådatakommune[[#This Row],[S03]]-1</f>
        <v>0.14822134387351782</v>
      </c>
      <c r="S303" s="26">
        <f>Rådatakommune[[#This Row],[Y13]]/Rådatakommune[[#This Row],[Folk20-64]]</f>
        <v>0.87855017581823103</v>
      </c>
    </row>
    <row r="304" spans="1:19">
      <c r="A304" s="2" t="s">
        <v>302</v>
      </c>
      <c r="B304" s="38">
        <v>4717</v>
      </c>
      <c r="C304" s="38">
        <v>4711</v>
      </c>
      <c r="D304" s="38">
        <v>2201</v>
      </c>
      <c r="E304" s="38">
        <v>872</v>
      </c>
      <c r="F304" s="4">
        <v>503</v>
      </c>
      <c r="G304" s="4">
        <v>2582</v>
      </c>
      <c r="H304" s="38">
        <v>1676</v>
      </c>
      <c r="I304" s="38">
        <v>1781</v>
      </c>
      <c r="J304" s="7">
        <v>383.79999999999995</v>
      </c>
      <c r="K304" s="38">
        <v>334600</v>
      </c>
      <c r="L304">
        <v>185.07008828549999</v>
      </c>
      <c r="M304">
        <v>10</v>
      </c>
      <c r="N304" s="37">
        <f>Rådatakommune[[#This Row],[B14]]/Rådatakommune[[#This Row],[Totalareal]]</f>
        <v>12.274622199062012</v>
      </c>
      <c r="O304" s="39">
        <f>Rådatakommune[[#This Row],[B14]]/Rådatakommune[[#This Row],[B04]]-1</f>
        <v>-1.2719949120203466E-3</v>
      </c>
      <c r="P304" s="26">
        <f>Rådatakommune[[#This Row],[Kvinner20-39]]/Rådatakommune[[#This Row],[B14]]</f>
        <v>0.10677138611759711</v>
      </c>
      <c r="Q304" s="26">
        <f>Rådatakommune[[#This Row],[Eldre67+]]/Rådatakommune[[#This Row],[B14]]</f>
        <v>0.18509870515814053</v>
      </c>
      <c r="R304" s="26">
        <f>Rådatakommune[[#This Row],[S13]]/Rådatakommune[[#This Row],[S03]]-1</f>
        <v>6.2649164677804237E-2</v>
      </c>
      <c r="S304" s="26">
        <f>Rådatakommune[[#This Row],[Y13]]/Rådatakommune[[#This Row],[Folk20-64]]</f>
        <v>0.85243996901626651</v>
      </c>
    </row>
    <row r="305" spans="1:19">
      <c r="A305" s="2" t="s">
        <v>303</v>
      </c>
      <c r="B305" s="38">
        <v>3322</v>
      </c>
      <c r="C305" s="38">
        <v>3242</v>
      </c>
      <c r="D305" s="38">
        <v>1673</v>
      </c>
      <c r="E305" s="38">
        <v>677</v>
      </c>
      <c r="F305" s="4">
        <v>266</v>
      </c>
      <c r="G305" s="4">
        <v>1739</v>
      </c>
      <c r="H305" s="38">
        <v>1482</v>
      </c>
      <c r="I305" s="38">
        <v>1585</v>
      </c>
      <c r="J305" s="7">
        <v>954.66</v>
      </c>
      <c r="K305" s="38">
        <v>335100</v>
      </c>
      <c r="L305">
        <v>219.4843449059</v>
      </c>
      <c r="M305">
        <v>11</v>
      </c>
      <c r="N305" s="37">
        <f>Rådatakommune[[#This Row],[B14]]/Rådatakommune[[#This Row],[Totalareal]]</f>
        <v>3.3959734355686844</v>
      </c>
      <c r="O305" s="39">
        <f>Rådatakommune[[#This Row],[B14]]/Rådatakommune[[#This Row],[B04]]-1</f>
        <v>-2.40818783865141E-2</v>
      </c>
      <c r="P305" s="26">
        <f>Rådatakommune[[#This Row],[Kvinner20-39]]/Rådatakommune[[#This Row],[B14]]</f>
        <v>8.2048118445404078E-2</v>
      </c>
      <c r="Q305" s="26">
        <f>Rådatakommune[[#This Row],[Eldre67+]]/Rådatakommune[[#This Row],[B14]]</f>
        <v>0.20882171499074645</v>
      </c>
      <c r="R305" s="26">
        <f>Rådatakommune[[#This Row],[S13]]/Rådatakommune[[#This Row],[S03]]-1</f>
        <v>6.9500674763832704E-2</v>
      </c>
      <c r="S305" s="26">
        <f>Rådatakommune[[#This Row],[Y13]]/Rådatakommune[[#This Row],[Folk20-64]]</f>
        <v>0.96204715353651526</v>
      </c>
    </row>
    <row r="306" spans="1:19">
      <c r="A306" s="2" t="s">
        <v>304</v>
      </c>
      <c r="B306" s="38">
        <v>1073</v>
      </c>
      <c r="C306" s="38">
        <v>986</v>
      </c>
      <c r="D306" s="38">
        <v>507</v>
      </c>
      <c r="E306" s="38">
        <v>210</v>
      </c>
      <c r="F306" s="4">
        <v>84</v>
      </c>
      <c r="G306" s="4">
        <v>531</v>
      </c>
      <c r="H306" s="38">
        <v>430</v>
      </c>
      <c r="I306" s="38">
        <v>517</v>
      </c>
      <c r="J306" s="7">
        <v>374.61</v>
      </c>
      <c r="K306" s="38">
        <v>327300</v>
      </c>
      <c r="L306">
        <v>266.5491178876</v>
      </c>
      <c r="M306">
        <v>11</v>
      </c>
      <c r="N306" s="37">
        <f>Rådatakommune[[#This Row],[B14]]/Rådatakommune[[#This Row],[Totalareal]]</f>
        <v>2.6320706868476549</v>
      </c>
      <c r="O306" s="39">
        <f>Rådatakommune[[#This Row],[B14]]/Rådatakommune[[#This Row],[B04]]-1</f>
        <v>-8.108108108108103E-2</v>
      </c>
      <c r="P306" s="26">
        <f>Rådatakommune[[#This Row],[Kvinner20-39]]/Rådatakommune[[#This Row],[B14]]</f>
        <v>8.5192697768762676E-2</v>
      </c>
      <c r="Q306" s="26">
        <f>Rådatakommune[[#This Row],[Eldre67+]]/Rådatakommune[[#This Row],[B14]]</f>
        <v>0.2129817444219067</v>
      </c>
      <c r="R306" s="26">
        <f>Rådatakommune[[#This Row],[S13]]/Rådatakommune[[#This Row],[S03]]-1</f>
        <v>0.20232558139534884</v>
      </c>
      <c r="S306" s="26">
        <f>Rådatakommune[[#This Row],[Y13]]/Rådatakommune[[#This Row],[Folk20-64]]</f>
        <v>0.95480225988700562</v>
      </c>
    </row>
    <row r="307" spans="1:19">
      <c r="A307" s="2" t="s">
        <v>305</v>
      </c>
      <c r="B307" s="38">
        <v>1055</v>
      </c>
      <c r="C307" s="38">
        <v>997</v>
      </c>
      <c r="D307" s="38">
        <v>480</v>
      </c>
      <c r="E307" s="38">
        <v>237</v>
      </c>
      <c r="F307" s="4">
        <v>81</v>
      </c>
      <c r="G307" s="4">
        <v>507</v>
      </c>
      <c r="H307" s="38">
        <v>425</v>
      </c>
      <c r="I307" s="38">
        <v>389</v>
      </c>
      <c r="J307" s="7">
        <v>387.17</v>
      </c>
      <c r="K307" s="38">
        <v>329400</v>
      </c>
      <c r="L307">
        <v>267.2582173358</v>
      </c>
      <c r="M307">
        <v>11</v>
      </c>
      <c r="N307" s="37">
        <f>Rådatakommune[[#This Row],[B14]]/Rådatakommune[[#This Row],[Totalareal]]</f>
        <v>2.5750962109667586</v>
      </c>
      <c r="O307" s="39">
        <f>Rådatakommune[[#This Row],[B14]]/Rådatakommune[[#This Row],[B04]]-1</f>
        <v>-5.4976303317535558E-2</v>
      </c>
      <c r="P307" s="26">
        <f>Rådatakommune[[#This Row],[Kvinner20-39]]/Rådatakommune[[#This Row],[B14]]</f>
        <v>8.1243731193580748E-2</v>
      </c>
      <c r="Q307" s="26">
        <f>Rådatakommune[[#This Row],[Eldre67+]]/Rådatakommune[[#This Row],[B14]]</f>
        <v>0.23771313941825475</v>
      </c>
      <c r="R307" s="26">
        <f>Rådatakommune[[#This Row],[S13]]/Rådatakommune[[#This Row],[S03]]-1</f>
        <v>-8.4705882352941186E-2</v>
      </c>
      <c r="S307" s="26">
        <f>Rådatakommune[[#This Row],[Y13]]/Rådatakommune[[#This Row],[Folk20-64]]</f>
        <v>0.94674556213017746</v>
      </c>
    </row>
    <row r="308" spans="1:19">
      <c r="A308" s="2" t="s">
        <v>306</v>
      </c>
      <c r="B308" s="38">
        <v>6456</v>
      </c>
      <c r="C308" s="38">
        <v>6814</v>
      </c>
      <c r="D308" s="38">
        <v>3493</v>
      </c>
      <c r="E308" s="38">
        <v>1146</v>
      </c>
      <c r="F308" s="4">
        <v>741</v>
      </c>
      <c r="G308" s="4">
        <v>3828</v>
      </c>
      <c r="H308" s="38">
        <v>3271</v>
      </c>
      <c r="I308" s="38">
        <v>3212</v>
      </c>
      <c r="J308" s="7">
        <v>2274.11</v>
      </c>
      <c r="K308" s="38">
        <v>340000</v>
      </c>
      <c r="L308">
        <v>272.68556164899996</v>
      </c>
      <c r="M308">
        <v>9</v>
      </c>
      <c r="N308" s="37">
        <f>Rådatakommune[[#This Row],[B14]]/Rådatakommune[[#This Row],[Totalareal]]</f>
        <v>2.9963370285518289</v>
      </c>
      <c r="O308" s="39">
        <f>Rådatakommune[[#This Row],[B14]]/Rådatakommune[[#This Row],[B04]]-1</f>
        <v>5.5452292441140028E-2</v>
      </c>
      <c r="P308" s="26">
        <f>Rådatakommune[[#This Row],[Kvinner20-39]]/Rådatakommune[[#This Row],[B14]]</f>
        <v>0.10874669797475785</v>
      </c>
      <c r="Q308" s="26">
        <f>Rådatakommune[[#This Row],[Eldre67+]]/Rådatakommune[[#This Row],[B14]]</f>
        <v>0.16818315233343117</v>
      </c>
      <c r="R308" s="26">
        <f>Rådatakommune[[#This Row],[S13]]/Rådatakommune[[#This Row],[S03]]-1</f>
        <v>-1.8037297462549673E-2</v>
      </c>
      <c r="S308" s="26">
        <f>Rådatakommune[[#This Row],[Y13]]/Rådatakommune[[#This Row],[Folk20-64]]</f>
        <v>0.91248693834900729</v>
      </c>
    </row>
    <row r="309" spans="1:19">
      <c r="A309" s="2" t="s">
        <v>307</v>
      </c>
      <c r="B309" s="38">
        <v>2654</v>
      </c>
      <c r="C309" s="38">
        <v>2556</v>
      </c>
      <c r="D309" s="38">
        <v>1328</v>
      </c>
      <c r="E309" s="38">
        <v>519</v>
      </c>
      <c r="F309" s="4">
        <v>232</v>
      </c>
      <c r="G309" s="4">
        <v>1381</v>
      </c>
      <c r="H309" s="38">
        <v>1167</v>
      </c>
      <c r="I309" s="38">
        <v>1126</v>
      </c>
      <c r="J309" s="7">
        <v>947.97</v>
      </c>
      <c r="K309" s="38">
        <v>318500</v>
      </c>
      <c r="L309">
        <v>245.5792706599</v>
      </c>
      <c r="M309">
        <v>5</v>
      </c>
      <c r="N309" s="37">
        <f>Rådatakommune[[#This Row],[B14]]/Rådatakommune[[#This Row],[Totalareal]]</f>
        <v>2.6962878572106712</v>
      </c>
      <c r="O309" s="39">
        <f>Rådatakommune[[#This Row],[B14]]/Rådatakommune[[#This Row],[B04]]-1</f>
        <v>-3.6925395629238911E-2</v>
      </c>
      <c r="P309" s="26">
        <f>Rådatakommune[[#This Row],[Kvinner20-39]]/Rådatakommune[[#This Row],[B14]]</f>
        <v>9.0766823161189364E-2</v>
      </c>
      <c r="Q309" s="26">
        <f>Rådatakommune[[#This Row],[Eldre67+]]/Rådatakommune[[#This Row],[B14]]</f>
        <v>0.20305164319248825</v>
      </c>
      <c r="R309" s="26">
        <f>Rådatakommune[[#This Row],[S13]]/Rådatakommune[[#This Row],[S03]]-1</f>
        <v>-3.513281919451583E-2</v>
      </c>
      <c r="S309" s="26">
        <f>Rådatakommune[[#This Row],[Y13]]/Rådatakommune[[#This Row],[Folk20-64]]</f>
        <v>0.96162201303403327</v>
      </c>
    </row>
    <row r="310" spans="1:19">
      <c r="A310" s="2" t="s">
        <v>308</v>
      </c>
      <c r="B310" s="38">
        <v>3947</v>
      </c>
      <c r="C310" s="38">
        <v>3962</v>
      </c>
      <c r="D310" s="38">
        <v>1877</v>
      </c>
      <c r="E310" s="38">
        <v>737</v>
      </c>
      <c r="F310" s="4">
        <v>409</v>
      </c>
      <c r="G310" s="4">
        <v>2203</v>
      </c>
      <c r="H310" s="38">
        <v>1426</v>
      </c>
      <c r="I310" s="38">
        <v>1395</v>
      </c>
      <c r="J310" s="7">
        <v>613.34999999999991</v>
      </c>
      <c r="K310" s="38">
        <v>336200</v>
      </c>
      <c r="L310">
        <v>238.71011909399999</v>
      </c>
      <c r="M310">
        <v>5</v>
      </c>
      <c r="N310" s="37">
        <f>Rådatakommune[[#This Row],[B14]]/Rådatakommune[[#This Row],[Totalareal]]</f>
        <v>6.4596070758946773</v>
      </c>
      <c r="O310" s="39">
        <f>Rådatakommune[[#This Row],[B14]]/Rådatakommune[[#This Row],[B04]]-1</f>
        <v>3.8003546997720239E-3</v>
      </c>
      <c r="P310" s="26">
        <f>Rådatakommune[[#This Row],[Kvinner20-39]]/Rådatakommune[[#This Row],[B14]]</f>
        <v>0.10323069156991418</v>
      </c>
      <c r="Q310" s="26">
        <f>Rådatakommune[[#This Row],[Eldre67+]]/Rådatakommune[[#This Row],[B14]]</f>
        <v>0.18601716304896518</v>
      </c>
      <c r="R310" s="26">
        <f>Rådatakommune[[#This Row],[S13]]/Rådatakommune[[#This Row],[S03]]-1</f>
        <v>-2.1739130434782594E-2</v>
      </c>
      <c r="S310" s="26">
        <f>Rådatakommune[[#This Row],[Y13]]/Rådatakommune[[#This Row],[Folk20-64]]</f>
        <v>0.85201997276441221</v>
      </c>
    </row>
    <row r="311" spans="1:19">
      <c r="A311" s="2" t="s">
        <v>309</v>
      </c>
      <c r="B311" s="38">
        <v>10448</v>
      </c>
      <c r="C311" s="38">
        <v>11628</v>
      </c>
      <c r="D311" s="38">
        <v>5820</v>
      </c>
      <c r="E311" s="38">
        <v>1718</v>
      </c>
      <c r="F311" s="4">
        <v>1357</v>
      </c>
      <c r="G311" s="4">
        <v>6694</v>
      </c>
      <c r="H311" s="38">
        <v>5062</v>
      </c>
      <c r="I311" s="38">
        <v>5770</v>
      </c>
      <c r="J311" s="7">
        <v>594.59</v>
      </c>
      <c r="K311" s="38">
        <v>357600</v>
      </c>
      <c r="L311">
        <v>208.12658018320002</v>
      </c>
      <c r="M311">
        <v>5</v>
      </c>
      <c r="N311" s="37">
        <f>Rådatakommune[[#This Row],[B14]]/Rådatakommune[[#This Row],[Totalareal]]</f>
        <v>19.556332935299952</v>
      </c>
      <c r="O311" s="39">
        <f>Rådatakommune[[#This Row],[B14]]/Rådatakommune[[#This Row],[B04]]-1</f>
        <v>0.11294027565084219</v>
      </c>
      <c r="P311" s="26">
        <f>Rådatakommune[[#This Row],[Kvinner20-39]]/Rådatakommune[[#This Row],[B14]]</f>
        <v>0.11670106639146886</v>
      </c>
      <c r="Q311" s="26">
        <f>Rådatakommune[[#This Row],[Eldre67+]]/Rådatakommune[[#This Row],[B14]]</f>
        <v>0.14774681802545581</v>
      </c>
      <c r="R311" s="26">
        <f>Rådatakommune[[#This Row],[S13]]/Rådatakommune[[#This Row],[S03]]-1</f>
        <v>0.139865665744765</v>
      </c>
      <c r="S311" s="26">
        <f>Rådatakommune[[#This Row],[Y13]]/Rådatakommune[[#This Row],[Folk20-64]]</f>
        <v>0.86943531520764861</v>
      </c>
    </row>
    <row r="312" spans="1:19">
      <c r="A312" s="2" t="s">
        <v>310</v>
      </c>
      <c r="B312" s="38">
        <v>5632</v>
      </c>
      <c r="C312" s="38">
        <v>5583</v>
      </c>
      <c r="D312" s="38">
        <v>3014</v>
      </c>
      <c r="E312" s="38">
        <v>1046</v>
      </c>
      <c r="F312" s="4">
        <v>576</v>
      </c>
      <c r="G312" s="4">
        <v>3146</v>
      </c>
      <c r="H312" s="38">
        <v>3128</v>
      </c>
      <c r="I312" s="38">
        <v>3352</v>
      </c>
      <c r="J312" s="7">
        <v>1956.46</v>
      </c>
      <c r="K312" s="38">
        <v>350300</v>
      </c>
      <c r="L312">
        <v>153.59273603817002</v>
      </c>
      <c r="M312">
        <v>9</v>
      </c>
      <c r="N312" s="37">
        <f>Rådatakommune[[#This Row],[B14]]/Rådatakommune[[#This Row],[Totalareal]]</f>
        <v>2.8536233810044673</v>
      </c>
      <c r="O312" s="39">
        <f>Rådatakommune[[#This Row],[B14]]/Rådatakommune[[#This Row],[B04]]-1</f>
        <v>-8.7002840909090606E-3</v>
      </c>
      <c r="P312" s="26">
        <f>Rådatakommune[[#This Row],[Kvinner20-39]]/Rådatakommune[[#This Row],[B14]]</f>
        <v>0.10317033852767329</v>
      </c>
      <c r="Q312" s="26">
        <f>Rådatakommune[[#This Row],[Eldre67+]]/Rådatakommune[[#This Row],[B14]]</f>
        <v>0.18735446892351781</v>
      </c>
      <c r="R312" s="26">
        <f>Rådatakommune[[#This Row],[S13]]/Rådatakommune[[#This Row],[S03]]-1</f>
        <v>7.1611253196930846E-2</v>
      </c>
      <c r="S312" s="26">
        <f>Rådatakommune[[#This Row],[Y13]]/Rådatakommune[[#This Row],[Folk20-64]]</f>
        <v>0.95804195804195802</v>
      </c>
    </row>
    <row r="313" spans="1:19">
      <c r="A313" s="2" t="s">
        <v>311</v>
      </c>
      <c r="B313" s="38">
        <v>2172</v>
      </c>
      <c r="C313" s="38">
        <v>2024</v>
      </c>
      <c r="D313" s="38">
        <v>1011</v>
      </c>
      <c r="E313" s="38">
        <v>451</v>
      </c>
      <c r="F313" s="4">
        <v>198</v>
      </c>
      <c r="G313" s="4">
        <v>1085</v>
      </c>
      <c r="H313" s="38">
        <v>770</v>
      </c>
      <c r="I313" s="38">
        <v>639</v>
      </c>
      <c r="J313" s="7">
        <v>1209.5</v>
      </c>
      <c r="K313" s="38">
        <v>329300</v>
      </c>
      <c r="L313">
        <v>178.62639368219999</v>
      </c>
      <c r="M313">
        <v>9</v>
      </c>
      <c r="N313" s="37">
        <f>Rådatakommune[[#This Row],[B14]]/Rådatakommune[[#This Row],[Totalareal]]</f>
        <v>1.673418768085986</v>
      </c>
      <c r="O313" s="39">
        <f>Rådatakommune[[#This Row],[B14]]/Rådatakommune[[#This Row],[B04]]-1</f>
        <v>-6.8139963167587525E-2</v>
      </c>
      <c r="P313" s="26">
        <f>Rådatakommune[[#This Row],[Kvinner20-39]]/Rådatakommune[[#This Row],[B14]]</f>
        <v>9.7826086956521743E-2</v>
      </c>
      <c r="Q313" s="26">
        <f>Rådatakommune[[#This Row],[Eldre67+]]/Rådatakommune[[#This Row],[B14]]</f>
        <v>0.22282608695652173</v>
      </c>
      <c r="R313" s="26">
        <f>Rådatakommune[[#This Row],[S13]]/Rådatakommune[[#This Row],[S03]]-1</f>
        <v>-0.17012987012987013</v>
      </c>
      <c r="S313" s="26">
        <f>Rådatakommune[[#This Row],[Y13]]/Rådatakommune[[#This Row],[Folk20-64]]</f>
        <v>0.93179723502304146</v>
      </c>
    </row>
    <row r="314" spans="1:19">
      <c r="A314" s="2" t="s">
        <v>312</v>
      </c>
      <c r="B314" s="38">
        <v>5806</v>
      </c>
      <c r="C314" s="38">
        <v>6361</v>
      </c>
      <c r="D314" s="38">
        <v>3436</v>
      </c>
      <c r="E314" s="38">
        <v>1039</v>
      </c>
      <c r="F314" s="4">
        <v>787</v>
      </c>
      <c r="G314" s="4">
        <v>3682</v>
      </c>
      <c r="H314" s="38">
        <v>2621</v>
      </c>
      <c r="I314" s="38">
        <v>3122</v>
      </c>
      <c r="J314" s="7">
        <v>1860.51</v>
      </c>
      <c r="K314" s="38">
        <v>331000</v>
      </c>
      <c r="L314">
        <v>218.69589747340001</v>
      </c>
      <c r="M314">
        <v>2</v>
      </c>
      <c r="N314" s="37">
        <f>Rådatakommune[[#This Row],[B14]]/Rådatakommune[[#This Row],[Totalareal]]</f>
        <v>3.4189550177101977</v>
      </c>
      <c r="O314" s="39">
        <f>Rådatakommune[[#This Row],[B14]]/Rådatakommune[[#This Row],[B04]]-1</f>
        <v>9.5590768170857654E-2</v>
      </c>
      <c r="P314" s="26">
        <f>Rådatakommune[[#This Row],[Kvinner20-39]]/Rådatakommune[[#This Row],[B14]]</f>
        <v>0.12372268511240371</v>
      </c>
      <c r="Q314" s="26">
        <f>Rådatakommune[[#This Row],[Eldre67+]]/Rådatakommune[[#This Row],[B14]]</f>
        <v>0.16333909762615942</v>
      </c>
      <c r="R314" s="26">
        <f>Rådatakommune[[#This Row],[S13]]/Rådatakommune[[#This Row],[S03]]-1</f>
        <v>0.19114841663487225</v>
      </c>
      <c r="S314" s="26">
        <f>Rådatakommune[[#This Row],[Y13]]/Rådatakommune[[#This Row],[Folk20-64]]</f>
        <v>0.93318848451928305</v>
      </c>
    </row>
    <row r="315" spans="1:19">
      <c r="A315" s="2" t="s">
        <v>313</v>
      </c>
      <c r="B315" s="38">
        <v>13782</v>
      </c>
      <c r="C315" s="38">
        <v>15844</v>
      </c>
      <c r="D315" s="38">
        <v>8234</v>
      </c>
      <c r="E315" s="38">
        <v>2102</v>
      </c>
      <c r="F315" s="4">
        <v>1993</v>
      </c>
      <c r="G315" s="4">
        <v>9084</v>
      </c>
      <c r="H315" s="38">
        <v>4119</v>
      </c>
      <c r="I315" s="38">
        <v>4745</v>
      </c>
      <c r="J315" s="7">
        <v>693.82999999999993</v>
      </c>
      <c r="K315" s="38">
        <v>360100</v>
      </c>
      <c r="L315">
        <v>192.3089549231</v>
      </c>
      <c r="M315">
        <v>2</v>
      </c>
      <c r="N315" s="37">
        <f>Rådatakommune[[#This Row],[B14]]/Rådatakommune[[#This Row],[Totalareal]]</f>
        <v>22.835564907830452</v>
      </c>
      <c r="O315" s="39">
        <f>Rådatakommune[[#This Row],[B14]]/Rådatakommune[[#This Row],[B04]]-1</f>
        <v>0.14961544042954578</v>
      </c>
      <c r="P315" s="26">
        <f>Rådatakommune[[#This Row],[Kvinner20-39]]/Rådatakommune[[#This Row],[B14]]</f>
        <v>0.12578894218631659</v>
      </c>
      <c r="Q315" s="26">
        <f>Rådatakommune[[#This Row],[Eldre67+]]/Rådatakommune[[#This Row],[B14]]</f>
        <v>0.13266851805099722</v>
      </c>
      <c r="R315" s="26">
        <f>Rådatakommune[[#This Row],[S13]]/Rådatakommune[[#This Row],[S03]]-1</f>
        <v>0.15197863559116298</v>
      </c>
      <c r="S315" s="26">
        <f>Rådatakommune[[#This Row],[Y13]]/Rådatakommune[[#This Row],[Folk20-64]]</f>
        <v>0.90642888595332449</v>
      </c>
    </row>
    <row r="316" spans="1:19">
      <c r="A316" s="2" t="s">
        <v>314</v>
      </c>
      <c r="B316" s="38">
        <v>5989</v>
      </c>
      <c r="C316" s="38">
        <v>7392</v>
      </c>
      <c r="D316" s="38">
        <v>3831</v>
      </c>
      <c r="E316" s="38">
        <v>876</v>
      </c>
      <c r="F316" s="4">
        <v>945</v>
      </c>
      <c r="G316" s="4">
        <v>4296</v>
      </c>
      <c r="H316" s="38">
        <v>1212</v>
      </c>
      <c r="I316" s="38">
        <v>1445</v>
      </c>
      <c r="J316" s="7">
        <v>224.21</v>
      </c>
      <c r="K316" s="38">
        <v>367900</v>
      </c>
      <c r="L316">
        <v>198.54591583799998</v>
      </c>
      <c r="M316">
        <v>2</v>
      </c>
      <c r="N316" s="37">
        <f>Rådatakommune[[#This Row],[B14]]/Rådatakommune[[#This Row],[Totalareal]]</f>
        <v>32.969091476740552</v>
      </c>
      <c r="O316" s="39">
        <f>Rådatakommune[[#This Row],[B14]]/Rådatakommune[[#This Row],[B04]]-1</f>
        <v>0.23426281516112879</v>
      </c>
      <c r="P316" s="26">
        <f>Rådatakommune[[#This Row],[Kvinner20-39]]/Rådatakommune[[#This Row],[B14]]</f>
        <v>0.12784090909090909</v>
      </c>
      <c r="Q316" s="26">
        <f>Rådatakommune[[#This Row],[Eldre67+]]/Rådatakommune[[#This Row],[B14]]</f>
        <v>0.1185064935064935</v>
      </c>
      <c r="R316" s="26">
        <f>Rådatakommune[[#This Row],[S13]]/Rådatakommune[[#This Row],[S03]]-1</f>
        <v>0.19224422442244227</v>
      </c>
      <c r="S316" s="26">
        <f>Rådatakommune[[#This Row],[Y13]]/Rådatakommune[[#This Row],[Folk20-64]]</f>
        <v>0.89175977653631289</v>
      </c>
    </row>
    <row r="317" spans="1:19">
      <c r="A317" s="2" t="s">
        <v>315</v>
      </c>
      <c r="B317" s="38">
        <v>5261</v>
      </c>
      <c r="C317" s="38">
        <v>5970</v>
      </c>
      <c r="D317" s="38">
        <v>3111</v>
      </c>
      <c r="E317" s="38">
        <v>602</v>
      </c>
      <c r="F317" s="4">
        <v>740</v>
      </c>
      <c r="G317" s="4">
        <v>3421</v>
      </c>
      <c r="H317" s="38">
        <v>1161</v>
      </c>
      <c r="I317" s="38">
        <v>1228</v>
      </c>
      <c r="J317" s="7">
        <v>186.36</v>
      </c>
      <c r="K317" s="38">
        <v>375200</v>
      </c>
      <c r="L317">
        <v>188.01275223900001</v>
      </c>
      <c r="M317">
        <v>2</v>
      </c>
      <c r="N317" s="37">
        <f>Rådatakommune[[#This Row],[B14]]/Rådatakommune[[#This Row],[Totalareal]]</f>
        <v>32.034771410173853</v>
      </c>
      <c r="O317" s="39">
        <f>Rådatakommune[[#This Row],[B14]]/Rådatakommune[[#This Row],[B04]]-1</f>
        <v>0.13476525375403914</v>
      </c>
      <c r="P317" s="26">
        <f>Rådatakommune[[#This Row],[Kvinner20-39]]/Rådatakommune[[#This Row],[B14]]</f>
        <v>0.12395309882747069</v>
      </c>
      <c r="Q317" s="26">
        <f>Rådatakommune[[#This Row],[Eldre67+]]/Rådatakommune[[#This Row],[B14]]</f>
        <v>0.10083752093802345</v>
      </c>
      <c r="R317" s="26">
        <f>Rådatakommune[[#This Row],[S13]]/Rådatakommune[[#This Row],[S03]]-1</f>
        <v>5.770887166235994E-2</v>
      </c>
      <c r="S317" s="26">
        <f>Rådatakommune[[#This Row],[Y13]]/Rådatakommune[[#This Row],[Folk20-64]]</f>
        <v>0.90938322128032734</v>
      </c>
    </row>
    <row r="318" spans="1:19">
      <c r="A318" s="2" t="s">
        <v>316</v>
      </c>
      <c r="B318" s="38">
        <v>11884</v>
      </c>
      <c r="C318" s="38">
        <v>13371</v>
      </c>
      <c r="D318" s="38">
        <v>6878</v>
      </c>
      <c r="E318" s="38">
        <v>1453</v>
      </c>
      <c r="F318" s="4">
        <v>1589</v>
      </c>
      <c r="G318" s="4">
        <v>7809</v>
      </c>
      <c r="H318" s="38">
        <v>2526</v>
      </c>
      <c r="I318" s="38">
        <v>3391</v>
      </c>
      <c r="J318" s="7">
        <v>168.44</v>
      </c>
      <c r="K318" s="38">
        <v>403500</v>
      </c>
      <c r="L318">
        <v>162.96855958935001</v>
      </c>
      <c r="M318">
        <v>2</v>
      </c>
      <c r="N318" s="37">
        <f>Rådatakommune[[#This Row],[B14]]/Rådatakommune[[#This Row],[Totalareal]]</f>
        <v>79.381382094514365</v>
      </c>
      <c r="O318" s="39">
        <f>Rådatakommune[[#This Row],[B14]]/Rådatakommune[[#This Row],[B04]]-1</f>
        <v>0.12512622012790309</v>
      </c>
      <c r="P318" s="26">
        <f>Rådatakommune[[#This Row],[Kvinner20-39]]/Rådatakommune[[#This Row],[B14]]</f>
        <v>0.11883927903672126</v>
      </c>
      <c r="Q318" s="26">
        <f>Rådatakommune[[#This Row],[Eldre67+]]/Rådatakommune[[#This Row],[B14]]</f>
        <v>0.10866801286366017</v>
      </c>
      <c r="R318" s="26">
        <f>Rådatakommune[[#This Row],[S13]]/Rådatakommune[[#This Row],[S03]]-1</f>
        <v>0.34243863816310371</v>
      </c>
      <c r="S318" s="26">
        <f>Rådatakommune[[#This Row],[Y13]]/Rådatakommune[[#This Row],[Folk20-64]]</f>
        <v>0.88077858880778592</v>
      </c>
    </row>
    <row r="319" spans="1:19">
      <c r="A319" s="2" t="s">
        <v>317</v>
      </c>
      <c r="B319" s="38">
        <v>3944</v>
      </c>
      <c r="C319" s="38">
        <v>4030</v>
      </c>
      <c r="D319" s="38">
        <v>2119</v>
      </c>
      <c r="E319" s="38">
        <v>738</v>
      </c>
      <c r="F319" s="4">
        <v>416</v>
      </c>
      <c r="G319" s="4">
        <v>2239</v>
      </c>
      <c r="H319" s="38">
        <v>1595</v>
      </c>
      <c r="I319" s="38">
        <v>1697</v>
      </c>
      <c r="J319" s="7">
        <v>1234.8500000000001</v>
      </c>
      <c r="K319" s="38">
        <v>338000</v>
      </c>
      <c r="L319">
        <v>186.36396387899998</v>
      </c>
      <c r="M319">
        <v>2</v>
      </c>
      <c r="N319" s="37">
        <f>Rådatakommune[[#This Row],[B14]]/Rådatakommune[[#This Row],[Totalareal]]</f>
        <v>3.2635542778475113</v>
      </c>
      <c r="O319" s="39">
        <f>Rådatakommune[[#This Row],[B14]]/Rådatakommune[[#This Row],[B04]]-1</f>
        <v>2.1805273833671368E-2</v>
      </c>
      <c r="P319" s="26">
        <f>Rådatakommune[[#This Row],[Kvinner20-39]]/Rådatakommune[[#This Row],[B14]]</f>
        <v>0.1032258064516129</v>
      </c>
      <c r="Q319" s="26">
        <f>Rådatakommune[[#This Row],[Eldre67+]]/Rådatakommune[[#This Row],[B14]]</f>
        <v>0.18312655086848637</v>
      </c>
      <c r="R319" s="26">
        <f>Rådatakommune[[#This Row],[S13]]/Rådatakommune[[#This Row],[S03]]-1</f>
        <v>6.3949843260188155E-2</v>
      </c>
      <c r="S319" s="26">
        <f>Rådatakommune[[#This Row],[Y13]]/Rådatakommune[[#This Row],[Folk20-64]]</f>
        <v>0.9464046449307727</v>
      </c>
    </row>
    <row r="320" spans="1:19">
      <c r="A320" s="2" t="s">
        <v>318</v>
      </c>
      <c r="B320" s="38">
        <v>901</v>
      </c>
      <c r="C320" s="38">
        <v>864</v>
      </c>
      <c r="D320" s="38">
        <v>471</v>
      </c>
      <c r="E320" s="38">
        <v>197</v>
      </c>
      <c r="F320" s="4">
        <v>85</v>
      </c>
      <c r="G320" s="4">
        <v>468</v>
      </c>
      <c r="H320" s="38">
        <v>383</v>
      </c>
      <c r="I320" s="38">
        <v>393</v>
      </c>
      <c r="J320" s="7">
        <v>1329.21</v>
      </c>
      <c r="K320" s="38">
        <v>323800</v>
      </c>
      <c r="L320">
        <v>203.073546593</v>
      </c>
      <c r="M320">
        <v>11</v>
      </c>
      <c r="N320" s="37">
        <f>Rådatakommune[[#This Row],[B14]]/Rådatakommune[[#This Row],[Totalareal]]</f>
        <v>0.65001015640869386</v>
      </c>
      <c r="O320" s="39">
        <f>Rådatakommune[[#This Row],[B14]]/Rådatakommune[[#This Row],[B04]]-1</f>
        <v>-4.1065482796892372E-2</v>
      </c>
      <c r="P320" s="26">
        <f>Rådatakommune[[#This Row],[Kvinner20-39]]/Rådatakommune[[#This Row],[B14]]</f>
        <v>9.8379629629629636E-2</v>
      </c>
      <c r="Q320" s="26">
        <f>Rådatakommune[[#This Row],[Eldre67+]]/Rådatakommune[[#This Row],[B14]]</f>
        <v>0.22800925925925927</v>
      </c>
      <c r="R320" s="26">
        <f>Rådatakommune[[#This Row],[S13]]/Rådatakommune[[#This Row],[S03]]-1</f>
        <v>2.6109660574412441E-2</v>
      </c>
      <c r="S320" s="26">
        <f>Rådatakommune[[#This Row],[Y13]]/Rådatakommune[[#This Row],[Folk20-64]]</f>
        <v>1.0064102564102564</v>
      </c>
    </row>
    <row r="321" spans="1:19">
      <c r="A321" s="2" t="s">
        <v>319</v>
      </c>
      <c r="B321" s="38">
        <v>20451</v>
      </c>
      <c r="C321" s="38">
        <v>21555</v>
      </c>
      <c r="D321" s="38">
        <v>10515</v>
      </c>
      <c r="E321" s="38">
        <v>3620</v>
      </c>
      <c r="F321" s="4">
        <v>2384</v>
      </c>
      <c r="G321" s="4">
        <v>12125</v>
      </c>
      <c r="H321" s="38">
        <v>9558</v>
      </c>
      <c r="I321" s="38">
        <v>10554</v>
      </c>
      <c r="J321" s="7">
        <v>1564.3899999999999</v>
      </c>
      <c r="K321" s="38">
        <v>342000</v>
      </c>
      <c r="L321">
        <v>225.75932197589998</v>
      </c>
      <c r="M321">
        <v>6</v>
      </c>
      <c r="N321" s="37">
        <f>Rådatakommune[[#This Row],[B14]]/Rådatakommune[[#This Row],[Totalareal]]</f>
        <v>13.778533485895462</v>
      </c>
      <c r="O321" s="39">
        <f>Rådatakommune[[#This Row],[B14]]/Rådatakommune[[#This Row],[B04]]-1</f>
        <v>5.3982690332990968E-2</v>
      </c>
      <c r="P321" s="26">
        <f>Rådatakommune[[#This Row],[Kvinner20-39]]/Rådatakommune[[#This Row],[B14]]</f>
        <v>0.11060078868012062</v>
      </c>
      <c r="Q321" s="26">
        <f>Rådatakommune[[#This Row],[Eldre67+]]/Rådatakommune[[#This Row],[B14]]</f>
        <v>0.1679424727441429</v>
      </c>
      <c r="R321" s="26">
        <f>Rådatakommune[[#This Row],[S13]]/Rådatakommune[[#This Row],[S03]]-1</f>
        <v>0.10420590081607028</v>
      </c>
      <c r="S321" s="26">
        <f>Rådatakommune[[#This Row],[Y13]]/Rådatakommune[[#This Row],[Folk20-64]]</f>
        <v>0.86721649484536079</v>
      </c>
    </row>
    <row r="322" spans="1:19">
      <c r="A322" s="2" t="s">
        <v>320</v>
      </c>
      <c r="B322" s="38">
        <v>12426</v>
      </c>
      <c r="C322" s="38">
        <v>13083</v>
      </c>
      <c r="D322" s="38">
        <v>6504</v>
      </c>
      <c r="E322" s="38">
        <v>1919</v>
      </c>
      <c r="F322" s="4">
        <v>1566</v>
      </c>
      <c r="G322" s="4">
        <v>7360</v>
      </c>
      <c r="H322" s="38">
        <v>6281</v>
      </c>
      <c r="I322" s="38">
        <v>7077</v>
      </c>
      <c r="J322" s="7">
        <v>777.20999999999992</v>
      </c>
      <c r="K322" s="38">
        <v>361100</v>
      </c>
      <c r="L322">
        <v>214.90047083640002</v>
      </c>
      <c r="M322">
        <v>6</v>
      </c>
      <c r="N322" s="37">
        <f>Rådatakommune[[#This Row],[B14]]/Rådatakommune[[#This Row],[Totalareal]]</f>
        <v>16.833288300459337</v>
      </c>
      <c r="O322" s="39">
        <f>Rådatakommune[[#This Row],[B14]]/Rådatakommune[[#This Row],[B04]]-1</f>
        <v>5.2873008208594863E-2</v>
      </c>
      <c r="P322" s="26">
        <f>Rådatakommune[[#This Row],[Kvinner20-39]]/Rådatakommune[[#This Row],[B14]]</f>
        <v>0.11969731712909883</v>
      </c>
      <c r="Q322" s="26">
        <f>Rådatakommune[[#This Row],[Eldre67+]]/Rådatakommune[[#This Row],[B14]]</f>
        <v>0.14667889627761216</v>
      </c>
      <c r="R322" s="26">
        <f>Rådatakommune[[#This Row],[S13]]/Rådatakommune[[#This Row],[S03]]-1</f>
        <v>0.12673141219551032</v>
      </c>
      <c r="S322" s="26">
        <f>Rådatakommune[[#This Row],[Y13]]/Rådatakommune[[#This Row],[Folk20-64]]</f>
        <v>0.88369565217391299</v>
      </c>
    </row>
    <row r="323" spans="1:19">
      <c r="A323" s="2" t="s">
        <v>321</v>
      </c>
      <c r="B323" s="38">
        <v>2539</v>
      </c>
      <c r="C323" s="38">
        <v>2553</v>
      </c>
      <c r="D323" s="38">
        <v>1130</v>
      </c>
      <c r="E323" s="38">
        <v>463</v>
      </c>
      <c r="F323" s="4">
        <v>276</v>
      </c>
      <c r="G323" s="4">
        <v>1419</v>
      </c>
      <c r="H323" s="38">
        <v>1057</v>
      </c>
      <c r="I323" s="38">
        <v>920</v>
      </c>
      <c r="J323" s="7">
        <v>1273.42</v>
      </c>
      <c r="K323" s="38">
        <v>308300</v>
      </c>
      <c r="L323">
        <v>198.31502900409998</v>
      </c>
      <c r="M323">
        <v>5</v>
      </c>
      <c r="N323" s="37">
        <f>Rådatakommune[[#This Row],[B14]]/Rådatakommune[[#This Row],[Totalareal]]</f>
        <v>2.004837367090198</v>
      </c>
      <c r="O323" s="39">
        <f>Rådatakommune[[#This Row],[B14]]/Rådatakommune[[#This Row],[B04]]-1</f>
        <v>5.5139818826308584E-3</v>
      </c>
      <c r="P323" s="26">
        <f>Rådatakommune[[#This Row],[Kvinner20-39]]/Rådatakommune[[#This Row],[B14]]</f>
        <v>0.10810810810810811</v>
      </c>
      <c r="Q323" s="26">
        <f>Rådatakommune[[#This Row],[Eldre67+]]/Rådatakommune[[#This Row],[B14]]</f>
        <v>0.18135526831179005</v>
      </c>
      <c r="R323" s="26">
        <f>Rådatakommune[[#This Row],[S13]]/Rådatakommune[[#This Row],[S03]]-1</f>
        <v>-0.12961210974456006</v>
      </c>
      <c r="S323" s="26">
        <f>Rådatakommune[[#This Row],[Y13]]/Rådatakommune[[#This Row],[Folk20-64]]</f>
        <v>0.79633544749823815</v>
      </c>
    </row>
    <row r="324" spans="1:19">
      <c r="A324" s="2" t="s">
        <v>322</v>
      </c>
      <c r="B324" s="38">
        <v>19199</v>
      </c>
      <c r="C324" s="38">
        <v>22683</v>
      </c>
      <c r="D324" s="38">
        <v>11440</v>
      </c>
      <c r="E324" s="38">
        <v>3166</v>
      </c>
      <c r="F324" s="4">
        <v>2658</v>
      </c>
      <c r="G324" s="4">
        <v>12803</v>
      </c>
      <c r="H324" s="38">
        <v>8349</v>
      </c>
      <c r="I324" s="38">
        <v>11015</v>
      </c>
      <c r="J324" s="7">
        <v>938.18000000000006</v>
      </c>
      <c r="K324" s="38">
        <v>369200</v>
      </c>
      <c r="L324">
        <v>158.03299314513001</v>
      </c>
      <c r="M324">
        <v>2</v>
      </c>
      <c r="N324" s="37">
        <f>Rådatakommune[[#This Row],[B14]]/Rådatakommune[[#This Row],[Totalareal]]</f>
        <v>24.177663135006075</v>
      </c>
      <c r="O324" s="39">
        <f>Rådatakommune[[#This Row],[B14]]/Rådatakommune[[#This Row],[B04]]-1</f>
        <v>0.18146778478045733</v>
      </c>
      <c r="P324" s="26">
        <f>Rådatakommune[[#This Row],[Kvinner20-39]]/Rådatakommune[[#This Row],[B14]]</f>
        <v>0.11718026716042851</v>
      </c>
      <c r="Q324" s="26">
        <f>Rådatakommune[[#This Row],[Eldre67+]]/Rådatakommune[[#This Row],[B14]]</f>
        <v>0.13957589384120267</v>
      </c>
      <c r="R324" s="26">
        <f>Rådatakommune[[#This Row],[S13]]/Rådatakommune[[#This Row],[S03]]-1</f>
        <v>0.31931967900347358</v>
      </c>
      <c r="S324" s="26">
        <f>Rådatakommune[[#This Row],[Y13]]/Rådatakommune[[#This Row],[Folk20-64]]</f>
        <v>0.89354057642739981</v>
      </c>
    </row>
    <row r="325" spans="1:19">
      <c r="A325" s="2" t="s">
        <v>323</v>
      </c>
      <c r="B325" s="38">
        <v>2454</v>
      </c>
      <c r="C325" s="38">
        <v>2653</v>
      </c>
      <c r="D325" s="38">
        <v>1252</v>
      </c>
      <c r="E325" s="38">
        <v>480</v>
      </c>
      <c r="F325" s="4">
        <v>277</v>
      </c>
      <c r="G325" s="4">
        <v>1417</v>
      </c>
      <c r="H325" s="38">
        <v>920</v>
      </c>
      <c r="I325" s="38">
        <v>950</v>
      </c>
      <c r="J325" s="7">
        <v>76.320000000000007</v>
      </c>
      <c r="K325" s="38">
        <v>314800</v>
      </c>
      <c r="L325">
        <v>190.60556382199999</v>
      </c>
      <c r="M325">
        <v>5</v>
      </c>
      <c r="N325" s="37">
        <f>Rådatakommune[[#This Row],[B14]]/Rådatakommune[[#This Row],[Totalareal]]</f>
        <v>34.761530398322847</v>
      </c>
      <c r="O325" s="39">
        <f>Rådatakommune[[#This Row],[B14]]/Rådatakommune[[#This Row],[B04]]-1</f>
        <v>8.109209453952726E-2</v>
      </c>
      <c r="P325" s="26">
        <f>Rådatakommune[[#This Row],[Kvinner20-39]]/Rådatakommune[[#This Row],[B14]]</f>
        <v>0.10441010177157935</v>
      </c>
      <c r="Q325" s="26">
        <f>Rådatakommune[[#This Row],[Eldre67+]]/Rådatakommune[[#This Row],[B14]]</f>
        <v>0.18092725216735772</v>
      </c>
      <c r="R325" s="26">
        <f>Rådatakommune[[#This Row],[S13]]/Rådatakommune[[#This Row],[S03]]-1</f>
        <v>3.2608695652173836E-2</v>
      </c>
      <c r="S325" s="26">
        <f>Rådatakommune[[#This Row],[Y13]]/Rådatakommune[[#This Row],[Folk20-64]]</f>
        <v>0.8835568101623148</v>
      </c>
    </row>
    <row r="326" spans="1:19">
      <c r="A326" s="2" t="s">
        <v>324</v>
      </c>
      <c r="B326" s="38">
        <v>3511</v>
      </c>
      <c r="C326" s="38">
        <v>3555</v>
      </c>
      <c r="D326" s="38">
        <v>1718</v>
      </c>
      <c r="E326" s="38">
        <v>627</v>
      </c>
      <c r="F326" s="4">
        <v>408</v>
      </c>
      <c r="G326" s="4">
        <v>1945</v>
      </c>
      <c r="H326" s="38">
        <v>1484</v>
      </c>
      <c r="I326" s="38">
        <v>1412</v>
      </c>
      <c r="J326" s="7">
        <v>430.21</v>
      </c>
      <c r="K326" s="38">
        <v>336100</v>
      </c>
      <c r="L326">
        <v>238.41247688819999</v>
      </c>
      <c r="M326">
        <v>2</v>
      </c>
      <c r="N326" s="37">
        <f>Rådatakommune[[#This Row],[B14]]/Rådatakommune[[#This Row],[Totalareal]]</f>
        <v>8.2634062434624962</v>
      </c>
      <c r="O326" s="39">
        <f>Rådatakommune[[#This Row],[B14]]/Rådatakommune[[#This Row],[B04]]-1</f>
        <v>1.253204215323267E-2</v>
      </c>
      <c r="P326" s="26">
        <f>Rådatakommune[[#This Row],[Kvinner20-39]]/Rådatakommune[[#This Row],[B14]]</f>
        <v>0.11476793248945148</v>
      </c>
      <c r="Q326" s="26">
        <f>Rådatakommune[[#This Row],[Eldre67+]]/Rådatakommune[[#This Row],[B14]]</f>
        <v>0.17637130801687764</v>
      </c>
      <c r="R326" s="26">
        <f>Rådatakommune[[#This Row],[S13]]/Rådatakommune[[#This Row],[S03]]-1</f>
        <v>-4.8517520215633381E-2</v>
      </c>
      <c r="S326" s="26">
        <f>Rådatakommune[[#This Row],[Y13]]/Rådatakommune[[#This Row],[Folk20-64]]</f>
        <v>0.88329048843187663</v>
      </c>
    </row>
    <row r="327" spans="1:19">
      <c r="A327" s="2" t="s">
        <v>325</v>
      </c>
      <c r="B327" s="38">
        <v>17875</v>
      </c>
      <c r="C327" s="38">
        <v>19212</v>
      </c>
      <c r="D327" s="38">
        <v>9793</v>
      </c>
      <c r="E327" s="38">
        <v>2766</v>
      </c>
      <c r="F327" s="4">
        <v>2308</v>
      </c>
      <c r="G327" s="4">
        <v>11025</v>
      </c>
      <c r="H327" s="38">
        <v>8576</v>
      </c>
      <c r="I327" s="38">
        <v>9433</v>
      </c>
      <c r="J327" s="7">
        <v>645.79</v>
      </c>
      <c r="K327" s="38">
        <v>354500</v>
      </c>
      <c r="L327">
        <v>194.6274715525</v>
      </c>
      <c r="M327">
        <v>5</v>
      </c>
      <c r="N327" s="37">
        <f>Rådatakommune[[#This Row],[B14]]/Rådatakommune[[#This Row],[Totalareal]]</f>
        <v>29.749609006023633</v>
      </c>
      <c r="O327" s="39">
        <f>Rådatakommune[[#This Row],[B14]]/Rådatakommune[[#This Row],[B04]]-1</f>
        <v>7.4797202797202811E-2</v>
      </c>
      <c r="P327" s="26">
        <f>Rådatakommune[[#This Row],[Kvinner20-39]]/Rådatakommune[[#This Row],[B14]]</f>
        <v>0.12013325005205081</v>
      </c>
      <c r="Q327" s="26">
        <f>Rådatakommune[[#This Row],[Eldre67+]]/Rådatakommune[[#This Row],[B14]]</f>
        <v>0.14397251717676451</v>
      </c>
      <c r="R327" s="26">
        <f>Rådatakommune[[#This Row],[S13]]/Rådatakommune[[#This Row],[S03]]-1</f>
        <v>9.9930037313432862E-2</v>
      </c>
      <c r="S327" s="26">
        <f>Rådatakommune[[#This Row],[Y13]]/Rådatakommune[[#This Row],[Folk20-64]]</f>
        <v>0.8882539682539683</v>
      </c>
    </row>
    <row r="328" spans="1:19">
      <c r="A328" s="2" t="s">
        <v>326</v>
      </c>
      <c r="B328" s="38">
        <v>13827</v>
      </c>
      <c r="C328" s="38">
        <v>14788</v>
      </c>
      <c r="D328" s="38">
        <v>7287</v>
      </c>
      <c r="E328" s="38">
        <v>2133</v>
      </c>
      <c r="F328" s="4">
        <v>1713</v>
      </c>
      <c r="G328" s="4">
        <v>8459</v>
      </c>
      <c r="H328" s="38">
        <v>5589</v>
      </c>
      <c r="I328" s="38">
        <v>6785</v>
      </c>
      <c r="J328" s="7">
        <v>1546.78</v>
      </c>
      <c r="K328" s="38">
        <v>338800</v>
      </c>
      <c r="L328">
        <v>203.48505490790001</v>
      </c>
      <c r="M328">
        <v>5</v>
      </c>
      <c r="N328" s="37">
        <f>Rådatakommune[[#This Row],[B14]]/Rådatakommune[[#This Row],[Totalareal]]</f>
        <v>9.5605063422076828</v>
      </c>
      <c r="O328" s="39">
        <f>Rådatakommune[[#This Row],[B14]]/Rådatakommune[[#This Row],[B04]]-1</f>
        <v>6.9501699573298659E-2</v>
      </c>
      <c r="P328" s="26">
        <f>Rådatakommune[[#This Row],[Kvinner20-39]]/Rådatakommune[[#This Row],[B14]]</f>
        <v>0.11583716526913714</v>
      </c>
      <c r="Q328" s="26">
        <f>Rådatakommune[[#This Row],[Eldre67+]]/Rådatakommune[[#This Row],[B14]]</f>
        <v>0.14423857181498512</v>
      </c>
      <c r="R328" s="26">
        <f>Rådatakommune[[#This Row],[S13]]/Rådatakommune[[#This Row],[S03]]-1</f>
        <v>0.21399176954732502</v>
      </c>
      <c r="S328" s="26">
        <f>Rådatakommune[[#This Row],[Y13]]/Rådatakommune[[#This Row],[Folk20-64]]</f>
        <v>0.86144934389407735</v>
      </c>
    </row>
    <row r="329" spans="1:19">
      <c r="A329" s="2" t="s">
        <v>327</v>
      </c>
      <c r="B329" s="38">
        <v>2684</v>
      </c>
      <c r="C329" s="38">
        <v>2562</v>
      </c>
      <c r="D329" s="38">
        <v>1088</v>
      </c>
      <c r="E329" s="38">
        <v>515</v>
      </c>
      <c r="F329" s="4">
        <v>228</v>
      </c>
      <c r="G329" s="4">
        <v>1433</v>
      </c>
      <c r="H329" s="38">
        <v>932</v>
      </c>
      <c r="I329" s="38">
        <v>1088</v>
      </c>
      <c r="J329" s="7">
        <v>601.66</v>
      </c>
      <c r="K329" s="38">
        <v>300300</v>
      </c>
      <c r="L329">
        <v>253.16932119419999</v>
      </c>
      <c r="M329">
        <v>6</v>
      </c>
      <c r="N329" s="37">
        <f>Rådatakommune[[#This Row],[B14]]/Rådatakommune[[#This Row],[Totalareal]]</f>
        <v>4.2582189276335471</v>
      </c>
      <c r="O329" s="39">
        <f>Rådatakommune[[#This Row],[B14]]/Rådatakommune[[#This Row],[B04]]-1</f>
        <v>-4.5454545454545414E-2</v>
      </c>
      <c r="P329" s="26">
        <f>Rådatakommune[[#This Row],[Kvinner20-39]]/Rådatakommune[[#This Row],[B14]]</f>
        <v>8.899297423887588E-2</v>
      </c>
      <c r="Q329" s="26">
        <f>Rådatakommune[[#This Row],[Eldre67+]]/Rådatakommune[[#This Row],[B14]]</f>
        <v>0.20101483216237315</v>
      </c>
      <c r="R329" s="26">
        <f>Rådatakommune[[#This Row],[S13]]/Rådatakommune[[#This Row],[S03]]-1</f>
        <v>0.16738197424892709</v>
      </c>
      <c r="S329" s="26">
        <f>Rådatakommune[[#This Row],[Y13]]/Rådatakommune[[#This Row],[Folk20-64]]</f>
        <v>0.75924633635729244</v>
      </c>
    </row>
    <row r="330" spans="1:19">
      <c r="A330" s="2" t="s">
        <v>328</v>
      </c>
      <c r="B330" s="38">
        <v>1779</v>
      </c>
      <c r="C330" s="38">
        <v>1676</v>
      </c>
      <c r="D330" s="38">
        <v>851</v>
      </c>
      <c r="E330" s="38">
        <v>323</v>
      </c>
      <c r="F330" s="4">
        <v>160</v>
      </c>
      <c r="G330" s="4">
        <v>924</v>
      </c>
      <c r="H330" s="38">
        <v>709</v>
      </c>
      <c r="I330" s="38">
        <v>638</v>
      </c>
      <c r="J330" s="7">
        <v>769.53</v>
      </c>
      <c r="K330" s="38">
        <v>324900</v>
      </c>
      <c r="L330">
        <v>243.65759730939999</v>
      </c>
      <c r="M330">
        <v>6</v>
      </c>
      <c r="N330" s="37">
        <f>Rådatakommune[[#This Row],[B14]]/Rådatakommune[[#This Row],[Totalareal]]</f>
        <v>2.1779527763699922</v>
      </c>
      <c r="O330" s="39">
        <f>Rådatakommune[[#This Row],[B14]]/Rådatakommune[[#This Row],[B04]]-1</f>
        <v>-5.7897695334457544E-2</v>
      </c>
      <c r="P330" s="26">
        <f>Rådatakommune[[#This Row],[Kvinner20-39]]/Rådatakommune[[#This Row],[B14]]</f>
        <v>9.5465393794749401E-2</v>
      </c>
      <c r="Q330" s="26">
        <f>Rådatakommune[[#This Row],[Eldre67+]]/Rådatakommune[[#This Row],[B14]]</f>
        <v>0.19272076372315036</v>
      </c>
      <c r="R330" s="26">
        <f>Rådatakommune[[#This Row],[S13]]/Rådatakommune[[#This Row],[S03]]-1</f>
        <v>-0.10014104372355426</v>
      </c>
      <c r="S330" s="26">
        <f>Rådatakommune[[#This Row],[Y13]]/Rådatakommune[[#This Row],[Folk20-64]]</f>
        <v>0.92099567099567103</v>
      </c>
    </row>
    <row r="331" spans="1:19">
      <c r="A331" s="2" t="s">
        <v>329</v>
      </c>
      <c r="B331" s="38">
        <v>2296</v>
      </c>
      <c r="C331" s="38">
        <v>2156</v>
      </c>
      <c r="D331" s="38">
        <v>1125</v>
      </c>
      <c r="E331" s="38">
        <v>431</v>
      </c>
      <c r="F331" s="4">
        <v>201</v>
      </c>
      <c r="G331" s="4">
        <v>1151</v>
      </c>
      <c r="H331" s="38">
        <v>950</v>
      </c>
      <c r="I331" s="38">
        <v>894</v>
      </c>
      <c r="J331" s="7">
        <v>2342.6600000000003</v>
      </c>
      <c r="K331" s="38">
        <v>326800</v>
      </c>
      <c r="L331">
        <v>268.61344268339997</v>
      </c>
      <c r="M331">
        <v>6</v>
      </c>
      <c r="N331" s="37">
        <f>Rådatakommune[[#This Row],[B14]]/Rådatakommune[[#This Row],[Totalareal]]</f>
        <v>0.92032134411310207</v>
      </c>
      <c r="O331" s="39">
        <f>Rådatakommune[[#This Row],[B14]]/Rådatakommune[[#This Row],[B04]]-1</f>
        <v>-6.0975609756097615E-2</v>
      </c>
      <c r="P331" s="26">
        <f>Rådatakommune[[#This Row],[Kvinner20-39]]/Rådatakommune[[#This Row],[B14]]</f>
        <v>9.3228200371057515E-2</v>
      </c>
      <c r="Q331" s="26">
        <f>Rådatakommune[[#This Row],[Eldre67+]]/Rådatakommune[[#This Row],[B14]]</f>
        <v>0.19990723562152132</v>
      </c>
      <c r="R331" s="26">
        <f>Rådatakommune[[#This Row],[S13]]/Rådatakommune[[#This Row],[S03]]-1</f>
        <v>-5.8947368421052637E-2</v>
      </c>
      <c r="S331" s="26">
        <f>Rådatakommune[[#This Row],[Y13]]/Rådatakommune[[#This Row],[Folk20-64]]</f>
        <v>0.97741094700260645</v>
      </c>
    </row>
    <row r="332" spans="1:19">
      <c r="A332" s="2" t="s">
        <v>330</v>
      </c>
      <c r="B332" s="38">
        <v>1535</v>
      </c>
      <c r="C332" s="38">
        <v>1385</v>
      </c>
      <c r="D332" s="38">
        <v>751</v>
      </c>
      <c r="E332" s="38">
        <v>281</v>
      </c>
      <c r="F332" s="4">
        <v>127</v>
      </c>
      <c r="G332" s="4">
        <v>740</v>
      </c>
      <c r="H332" s="38">
        <v>668</v>
      </c>
      <c r="I332" s="38">
        <v>644</v>
      </c>
      <c r="J332" s="7">
        <v>2961.7</v>
      </c>
      <c r="K332" s="38">
        <v>342000</v>
      </c>
      <c r="L332">
        <v>304.97622563970003</v>
      </c>
      <c r="M332">
        <v>11</v>
      </c>
      <c r="N332" s="37">
        <f>Rådatakommune[[#This Row],[B14]]/Rådatakommune[[#This Row],[Totalareal]]</f>
        <v>0.46763683019887231</v>
      </c>
      <c r="O332" s="39">
        <f>Rådatakommune[[#This Row],[B14]]/Rådatakommune[[#This Row],[B04]]-1</f>
        <v>-9.7719869706840434E-2</v>
      </c>
      <c r="P332" s="26">
        <f>Rådatakommune[[#This Row],[Kvinner20-39]]/Rådatakommune[[#This Row],[B14]]</f>
        <v>9.1696750902527074E-2</v>
      </c>
      <c r="Q332" s="26">
        <f>Rådatakommune[[#This Row],[Eldre67+]]/Rådatakommune[[#This Row],[B14]]</f>
        <v>0.20288808664259927</v>
      </c>
      <c r="R332" s="26">
        <f>Rådatakommune[[#This Row],[S13]]/Rådatakommune[[#This Row],[S03]]-1</f>
        <v>-3.59281437125748E-2</v>
      </c>
      <c r="S332" s="26">
        <f>Rådatakommune[[#This Row],[Y13]]/Rådatakommune[[#This Row],[Folk20-64]]</f>
        <v>1.0148648648648648</v>
      </c>
    </row>
    <row r="333" spans="1:19">
      <c r="A333" s="2" t="s">
        <v>331</v>
      </c>
      <c r="B333" s="38">
        <v>539</v>
      </c>
      <c r="C333" s="38">
        <v>498</v>
      </c>
      <c r="D333" s="38">
        <v>259</v>
      </c>
      <c r="E333" s="38">
        <v>104</v>
      </c>
      <c r="F333" s="4">
        <v>44</v>
      </c>
      <c r="G333" s="4">
        <v>266</v>
      </c>
      <c r="H333" s="38">
        <v>213</v>
      </c>
      <c r="I333" s="38">
        <v>211</v>
      </c>
      <c r="J333" s="7">
        <v>1584.7600000000002</v>
      </c>
      <c r="K333" s="38">
        <v>338300</v>
      </c>
      <c r="L333">
        <v>317.791532485</v>
      </c>
      <c r="M333">
        <v>11</v>
      </c>
      <c r="N333" s="37">
        <f>Rådatakommune[[#This Row],[B14]]/Rådatakommune[[#This Row],[Totalareal]]</f>
        <v>0.31424316615765158</v>
      </c>
      <c r="O333" s="39">
        <f>Rådatakommune[[#This Row],[B14]]/Rådatakommune[[#This Row],[B04]]-1</f>
        <v>-7.6066790352504632E-2</v>
      </c>
      <c r="P333" s="26">
        <f>Rådatakommune[[#This Row],[Kvinner20-39]]/Rådatakommune[[#This Row],[B14]]</f>
        <v>8.8353413654618476E-2</v>
      </c>
      <c r="Q333" s="26">
        <f>Rådatakommune[[#This Row],[Eldre67+]]/Rådatakommune[[#This Row],[B14]]</f>
        <v>0.20883534136546184</v>
      </c>
      <c r="R333" s="26">
        <f>Rådatakommune[[#This Row],[S13]]/Rådatakommune[[#This Row],[S03]]-1</f>
        <v>-9.3896713615023719E-3</v>
      </c>
      <c r="S333" s="26">
        <f>Rådatakommune[[#This Row],[Y13]]/Rådatakommune[[#This Row],[Folk20-64]]</f>
        <v>0.97368421052631582</v>
      </c>
    </row>
    <row r="334" spans="1:19">
      <c r="A334" s="2" t="s">
        <v>332</v>
      </c>
      <c r="B334" s="38">
        <v>958</v>
      </c>
      <c r="C334" s="38">
        <v>922</v>
      </c>
      <c r="D334" s="38">
        <v>441</v>
      </c>
      <c r="E334" s="38">
        <v>219</v>
      </c>
      <c r="F334" s="4">
        <v>74</v>
      </c>
      <c r="G334" s="4">
        <v>466</v>
      </c>
      <c r="H334" s="38">
        <v>419</v>
      </c>
      <c r="I334" s="38">
        <v>401</v>
      </c>
      <c r="J334" s="7">
        <v>1417.16</v>
      </c>
      <c r="K334" s="38">
        <v>320800</v>
      </c>
      <c r="L334">
        <v>303.3758842766</v>
      </c>
      <c r="M334">
        <v>11</v>
      </c>
      <c r="N334" s="37">
        <f>Rådatakommune[[#This Row],[B14]]/Rådatakommune[[#This Row],[Totalareal]]</f>
        <v>0.65059696858505744</v>
      </c>
      <c r="O334" s="39">
        <f>Rådatakommune[[#This Row],[B14]]/Rådatakommune[[#This Row],[B04]]-1</f>
        <v>-3.7578288100208801E-2</v>
      </c>
      <c r="P334" s="26">
        <f>Rådatakommune[[#This Row],[Kvinner20-39]]/Rådatakommune[[#This Row],[B14]]</f>
        <v>8.0260303687635579E-2</v>
      </c>
      <c r="Q334" s="26">
        <f>Rådatakommune[[#This Row],[Eldre67+]]/Rådatakommune[[#This Row],[B14]]</f>
        <v>0.23752711496746204</v>
      </c>
      <c r="R334" s="26">
        <f>Rådatakommune[[#This Row],[S13]]/Rådatakommune[[#This Row],[S03]]-1</f>
        <v>-4.2959427207637235E-2</v>
      </c>
      <c r="S334" s="26">
        <f>Rådatakommune[[#This Row],[Y13]]/Rådatakommune[[#This Row],[Folk20-64]]</f>
        <v>0.94635193133047213</v>
      </c>
    </row>
    <row r="335" spans="1:19">
      <c r="A335" s="2" t="s">
        <v>333</v>
      </c>
      <c r="B335" s="38">
        <v>2530</v>
      </c>
      <c r="C335" s="38">
        <v>2449</v>
      </c>
      <c r="D335" s="38">
        <v>1183</v>
      </c>
      <c r="E335" s="38">
        <v>463</v>
      </c>
      <c r="F335" s="4">
        <v>235</v>
      </c>
      <c r="G335" s="4">
        <v>1353</v>
      </c>
      <c r="H335" s="38">
        <v>1196</v>
      </c>
      <c r="I335" s="38">
        <v>1197</v>
      </c>
      <c r="J335" s="7">
        <v>1136.1600000000001</v>
      </c>
      <c r="K335" s="38">
        <v>322500</v>
      </c>
      <c r="L335">
        <v>247.30639267710001</v>
      </c>
      <c r="M335">
        <v>6</v>
      </c>
      <c r="N335" s="37">
        <f>Rådatakommune[[#This Row],[B14]]/Rådatakommune[[#This Row],[Totalareal]]</f>
        <v>2.1555062667229965</v>
      </c>
      <c r="O335" s="39">
        <f>Rådatakommune[[#This Row],[B14]]/Rådatakommune[[#This Row],[B04]]-1</f>
        <v>-3.2015810276679879E-2</v>
      </c>
      <c r="P335" s="26">
        <f>Rådatakommune[[#This Row],[Kvinner20-39]]/Rådatakommune[[#This Row],[B14]]</f>
        <v>9.5957533687219279E-2</v>
      </c>
      <c r="Q335" s="26">
        <f>Rådatakommune[[#This Row],[Eldre67+]]/Rådatakommune[[#This Row],[B14]]</f>
        <v>0.18905675786035117</v>
      </c>
      <c r="R335" s="26">
        <f>Rådatakommune[[#This Row],[S13]]/Rådatakommune[[#This Row],[S03]]-1</f>
        <v>8.361204013378476E-4</v>
      </c>
      <c r="S335" s="26">
        <f>Rådatakommune[[#This Row],[Y13]]/Rådatakommune[[#This Row],[Folk20-64]]</f>
        <v>0.87435328898743536</v>
      </c>
    </row>
    <row r="336" spans="1:19">
      <c r="A336" s="2" t="s">
        <v>334</v>
      </c>
      <c r="B336" s="38">
        <v>1258</v>
      </c>
      <c r="C336" s="38">
        <v>1257</v>
      </c>
      <c r="D336" s="38">
        <v>670</v>
      </c>
      <c r="E336" s="38">
        <v>237</v>
      </c>
      <c r="F336" s="4">
        <v>124</v>
      </c>
      <c r="G336" s="4">
        <v>651</v>
      </c>
      <c r="H336" s="38">
        <v>483</v>
      </c>
      <c r="I336" s="38">
        <v>544</v>
      </c>
      <c r="J336" s="7">
        <v>754.42000000000007</v>
      </c>
      <c r="K336" s="38">
        <v>366900</v>
      </c>
      <c r="L336">
        <v>250.0222845996</v>
      </c>
      <c r="M336">
        <v>6</v>
      </c>
      <c r="N336" s="37">
        <f>Rådatakommune[[#This Row],[B14]]/Rådatakommune[[#This Row],[Totalareal]]</f>
        <v>1.6661806420826593</v>
      </c>
      <c r="O336" s="39">
        <f>Rådatakommune[[#This Row],[B14]]/Rådatakommune[[#This Row],[B04]]-1</f>
        <v>-7.9491255961838814E-4</v>
      </c>
      <c r="P336" s="26">
        <f>Rådatakommune[[#This Row],[Kvinner20-39]]/Rådatakommune[[#This Row],[B14]]</f>
        <v>9.8647573587907711E-2</v>
      </c>
      <c r="Q336" s="26">
        <f>Rådatakommune[[#This Row],[Eldre67+]]/Rådatakommune[[#This Row],[B14]]</f>
        <v>0.18854415274463007</v>
      </c>
      <c r="R336" s="26">
        <f>Rådatakommune[[#This Row],[S13]]/Rådatakommune[[#This Row],[S03]]-1</f>
        <v>0.1262939958592133</v>
      </c>
      <c r="S336" s="26">
        <f>Rådatakommune[[#This Row],[Y13]]/Rådatakommune[[#This Row],[Folk20-64]]</f>
        <v>1.0291858678955452</v>
      </c>
    </row>
    <row r="337" spans="1:19">
      <c r="A337" s="2" t="s">
        <v>335</v>
      </c>
      <c r="B337" s="38">
        <v>3540</v>
      </c>
      <c r="C337" s="38">
        <v>3732</v>
      </c>
      <c r="D337" s="38">
        <v>1956</v>
      </c>
      <c r="E337" s="38">
        <v>559</v>
      </c>
      <c r="F337" s="4">
        <v>455</v>
      </c>
      <c r="G337" s="4">
        <v>2102</v>
      </c>
      <c r="H337" s="38">
        <v>1284</v>
      </c>
      <c r="I337" s="38">
        <v>1437</v>
      </c>
      <c r="J337" s="7">
        <v>729.79</v>
      </c>
      <c r="K337" s="38">
        <v>348900</v>
      </c>
      <c r="L337">
        <v>227.46589099229999</v>
      </c>
      <c r="M337">
        <v>6</v>
      </c>
      <c r="N337" s="37">
        <f>Rådatakommune[[#This Row],[B14]]/Rådatakommune[[#This Row],[Totalareal]]</f>
        <v>5.1137998602337662</v>
      </c>
      <c r="O337" s="39">
        <f>Rådatakommune[[#This Row],[B14]]/Rådatakommune[[#This Row],[B04]]-1</f>
        <v>5.4237288135593253E-2</v>
      </c>
      <c r="P337" s="26">
        <f>Rådatakommune[[#This Row],[Kvinner20-39]]/Rådatakommune[[#This Row],[B14]]</f>
        <v>0.12191854233654877</v>
      </c>
      <c r="Q337" s="26">
        <f>Rådatakommune[[#This Row],[Eldre67+]]/Rådatakommune[[#This Row],[B14]]</f>
        <v>0.14978563772775991</v>
      </c>
      <c r="R337" s="26">
        <f>Rådatakommune[[#This Row],[S13]]/Rådatakommune[[#This Row],[S03]]-1</f>
        <v>0.11915887850467288</v>
      </c>
      <c r="S337" s="26">
        <f>Rådatakommune[[#This Row],[Y13]]/Rådatakommune[[#This Row],[Folk20-64]]</f>
        <v>0.93054234062797336</v>
      </c>
    </row>
    <row r="338" spans="1:19">
      <c r="A338" s="2" t="s">
        <v>336</v>
      </c>
      <c r="B338" s="38">
        <v>748</v>
      </c>
      <c r="C338" s="38">
        <v>642</v>
      </c>
      <c r="D338" s="38">
        <v>304</v>
      </c>
      <c r="E338" s="38">
        <v>139</v>
      </c>
      <c r="F338" s="4">
        <v>59</v>
      </c>
      <c r="G338" s="4">
        <v>349</v>
      </c>
      <c r="H338" s="38">
        <v>254</v>
      </c>
      <c r="I338" s="38">
        <v>246</v>
      </c>
      <c r="J338" s="7">
        <v>544.26</v>
      </c>
      <c r="K338" s="38">
        <v>311100</v>
      </c>
      <c r="L338">
        <v>250.8279621305</v>
      </c>
      <c r="M338">
        <v>6</v>
      </c>
      <c r="N338" s="37">
        <f>Rådatakommune[[#This Row],[B14]]/Rådatakommune[[#This Row],[Totalareal]]</f>
        <v>1.1795832873994048</v>
      </c>
      <c r="O338" s="39">
        <f>Rådatakommune[[#This Row],[B14]]/Rådatakommune[[#This Row],[B04]]-1</f>
        <v>-0.14171122994652408</v>
      </c>
      <c r="P338" s="26">
        <f>Rådatakommune[[#This Row],[Kvinner20-39]]/Rådatakommune[[#This Row],[B14]]</f>
        <v>9.1900311526479747E-2</v>
      </c>
      <c r="Q338" s="26">
        <f>Rådatakommune[[#This Row],[Eldre67+]]/Rådatakommune[[#This Row],[B14]]</f>
        <v>0.21651090342679127</v>
      </c>
      <c r="R338" s="26">
        <f>Rådatakommune[[#This Row],[S13]]/Rådatakommune[[#This Row],[S03]]-1</f>
        <v>-3.1496062992126039E-2</v>
      </c>
      <c r="S338" s="26">
        <f>Rådatakommune[[#This Row],[Y13]]/Rådatakommune[[#This Row],[Folk20-64]]</f>
        <v>0.87106017191977081</v>
      </c>
    </row>
    <row r="339" spans="1:19">
      <c r="A339" s="2" t="s">
        <v>337</v>
      </c>
      <c r="B339" s="38">
        <v>1221</v>
      </c>
      <c r="C339" s="38">
        <v>1120</v>
      </c>
      <c r="D339" s="38">
        <v>599</v>
      </c>
      <c r="E339" s="38">
        <v>223</v>
      </c>
      <c r="F339" s="4">
        <v>97</v>
      </c>
      <c r="G339" s="4">
        <v>622</v>
      </c>
      <c r="H339" s="38">
        <v>436</v>
      </c>
      <c r="I339" s="38">
        <v>502</v>
      </c>
      <c r="J339" s="7">
        <v>458.71</v>
      </c>
      <c r="K339" s="38">
        <v>310100</v>
      </c>
      <c r="L339">
        <v>266.4131057852</v>
      </c>
      <c r="M339">
        <v>11</v>
      </c>
      <c r="N339" s="37">
        <f>Rådatakommune[[#This Row],[B14]]/Rådatakommune[[#This Row],[Totalareal]]</f>
        <v>2.4416297878834121</v>
      </c>
      <c r="O339" s="39">
        <f>Rådatakommune[[#This Row],[B14]]/Rådatakommune[[#This Row],[B04]]-1</f>
        <v>-8.2719082719082682E-2</v>
      </c>
      <c r="P339" s="26">
        <f>Rådatakommune[[#This Row],[Kvinner20-39]]/Rådatakommune[[#This Row],[B14]]</f>
        <v>8.6607142857142855E-2</v>
      </c>
      <c r="Q339" s="26">
        <f>Rådatakommune[[#This Row],[Eldre67+]]/Rådatakommune[[#This Row],[B14]]</f>
        <v>0.19910714285714284</v>
      </c>
      <c r="R339" s="26">
        <f>Rådatakommune[[#This Row],[S13]]/Rådatakommune[[#This Row],[S03]]-1</f>
        <v>0.15137614678899092</v>
      </c>
      <c r="S339" s="26">
        <f>Rådatakommune[[#This Row],[Y13]]/Rådatakommune[[#This Row],[Folk20-64]]</f>
        <v>0.96302250803858525</v>
      </c>
    </row>
    <row r="340" spans="1:19">
      <c r="A340" s="2" t="s">
        <v>338</v>
      </c>
      <c r="B340" s="38">
        <v>4021</v>
      </c>
      <c r="C340" s="38">
        <v>4321</v>
      </c>
      <c r="D340" s="38">
        <v>2254</v>
      </c>
      <c r="E340" s="38">
        <v>620</v>
      </c>
      <c r="F340" s="4">
        <v>509</v>
      </c>
      <c r="G340" s="4">
        <v>2430</v>
      </c>
      <c r="H340" s="38">
        <v>2175</v>
      </c>
      <c r="I340" s="38">
        <v>2514</v>
      </c>
      <c r="J340" s="7">
        <v>318.65999999999997</v>
      </c>
      <c r="K340" s="38">
        <v>368900</v>
      </c>
      <c r="L340">
        <v>219.66315842007</v>
      </c>
      <c r="M340">
        <v>9</v>
      </c>
      <c r="N340" s="37">
        <f>Rådatakommune[[#This Row],[B14]]/Rådatakommune[[#This Row],[Totalareal]]</f>
        <v>13.559907111027428</v>
      </c>
      <c r="O340" s="39">
        <f>Rådatakommune[[#This Row],[B14]]/Rådatakommune[[#This Row],[B04]]-1</f>
        <v>7.460830639144489E-2</v>
      </c>
      <c r="P340" s="26">
        <f>Rådatakommune[[#This Row],[Kvinner20-39]]/Rådatakommune[[#This Row],[B14]]</f>
        <v>0.11779680629483916</v>
      </c>
      <c r="Q340" s="26">
        <f>Rådatakommune[[#This Row],[Eldre67+]]/Rådatakommune[[#This Row],[B14]]</f>
        <v>0.14348530432770193</v>
      </c>
      <c r="R340" s="26">
        <f>Rådatakommune[[#This Row],[S13]]/Rådatakommune[[#This Row],[S03]]-1</f>
        <v>0.15586206896551724</v>
      </c>
      <c r="S340" s="26">
        <f>Rådatakommune[[#This Row],[Y13]]/Rådatakommune[[#This Row],[Folk20-64]]</f>
        <v>0.92757201646090537</v>
      </c>
    </row>
    <row r="341" spans="1:19">
      <c r="A341" s="2" t="s">
        <v>339</v>
      </c>
      <c r="B341" s="38">
        <v>5240</v>
      </c>
      <c r="C341" s="38">
        <v>5064</v>
      </c>
      <c r="D341" s="38">
        <v>2519</v>
      </c>
      <c r="E341" s="38">
        <v>886</v>
      </c>
      <c r="F341" s="4">
        <v>493</v>
      </c>
      <c r="G341" s="4">
        <v>2809</v>
      </c>
      <c r="H341" s="38">
        <v>2024</v>
      </c>
      <c r="I341" s="38">
        <v>1940</v>
      </c>
      <c r="J341" s="7">
        <v>1067.55</v>
      </c>
      <c r="K341" s="38">
        <v>339200</v>
      </c>
      <c r="L341">
        <v>233.0825890966</v>
      </c>
      <c r="M341">
        <v>9</v>
      </c>
      <c r="N341" s="37">
        <f>Rådatakommune[[#This Row],[B14]]/Rådatakommune[[#This Row],[Totalareal]]</f>
        <v>4.7435717296613742</v>
      </c>
      <c r="O341" s="39">
        <f>Rådatakommune[[#This Row],[B14]]/Rådatakommune[[#This Row],[B04]]-1</f>
        <v>-3.3587786259541952E-2</v>
      </c>
      <c r="P341" s="26">
        <f>Rådatakommune[[#This Row],[Kvinner20-39]]/Rådatakommune[[#This Row],[B14]]</f>
        <v>9.7353870458135858E-2</v>
      </c>
      <c r="Q341" s="26">
        <f>Rådatakommune[[#This Row],[Eldre67+]]/Rådatakommune[[#This Row],[B14]]</f>
        <v>0.1749605055292259</v>
      </c>
      <c r="R341" s="26">
        <f>Rådatakommune[[#This Row],[S13]]/Rådatakommune[[#This Row],[S03]]-1</f>
        <v>-4.1501976284584963E-2</v>
      </c>
      <c r="S341" s="26">
        <f>Rådatakommune[[#This Row],[Y13]]/Rådatakommune[[#This Row],[Folk20-64]]</f>
        <v>0.89676041295834819</v>
      </c>
    </row>
    <row r="342" spans="1:19">
      <c r="A342" s="2" t="s">
        <v>340</v>
      </c>
      <c r="B342" s="38">
        <v>636</v>
      </c>
      <c r="C342" s="38">
        <v>556</v>
      </c>
      <c r="D342" s="38">
        <v>279</v>
      </c>
      <c r="E342" s="38">
        <v>150</v>
      </c>
      <c r="F342" s="4">
        <v>43</v>
      </c>
      <c r="G342" s="4">
        <v>287</v>
      </c>
      <c r="H342" s="38">
        <v>251</v>
      </c>
      <c r="I342" s="38">
        <v>261</v>
      </c>
      <c r="J342" s="7">
        <v>109.94999999999999</v>
      </c>
      <c r="K342" s="38">
        <v>327100</v>
      </c>
      <c r="L342">
        <v>296.17561002799999</v>
      </c>
      <c r="M342">
        <v>11</v>
      </c>
      <c r="N342" s="37">
        <f>Rådatakommune[[#This Row],[B14]]/Rådatakommune[[#This Row],[Totalareal]]</f>
        <v>5.0568440200090956</v>
      </c>
      <c r="O342" s="39">
        <f>Rådatakommune[[#This Row],[B14]]/Rådatakommune[[#This Row],[B04]]-1</f>
        <v>-0.12578616352201255</v>
      </c>
      <c r="P342" s="26">
        <f>Rådatakommune[[#This Row],[Kvinner20-39]]/Rådatakommune[[#This Row],[B14]]</f>
        <v>7.7338129496402883E-2</v>
      </c>
      <c r="Q342" s="26">
        <f>Rådatakommune[[#This Row],[Eldre67+]]/Rådatakommune[[#This Row],[B14]]</f>
        <v>0.26978417266187049</v>
      </c>
      <c r="R342" s="26">
        <f>Rådatakommune[[#This Row],[S13]]/Rådatakommune[[#This Row],[S03]]-1</f>
        <v>3.9840637450199168E-2</v>
      </c>
      <c r="S342" s="26">
        <f>Rådatakommune[[#This Row],[Y13]]/Rådatakommune[[#This Row],[Folk20-64]]</f>
        <v>0.97212543554006969</v>
      </c>
    </row>
    <row r="343" spans="1:19" ht="16.5">
      <c r="A343" s="2" t="s">
        <v>341</v>
      </c>
      <c r="B343" s="40">
        <v>6706</v>
      </c>
      <c r="C343" s="38">
        <v>6720</v>
      </c>
      <c r="D343" s="38">
        <v>3367</v>
      </c>
      <c r="E343" s="38">
        <v>1057</v>
      </c>
      <c r="F343" s="4">
        <v>684</v>
      </c>
      <c r="G343" s="4">
        <v>3745</v>
      </c>
      <c r="H343" s="38">
        <v>2154</v>
      </c>
      <c r="I343" s="38">
        <v>2278</v>
      </c>
      <c r="J343" s="7">
        <v>365.67</v>
      </c>
      <c r="K343" s="38">
        <v>347000</v>
      </c>
      <c r="L343">
        <v>214.90922345249999</v>
      </c>
      <c r="M343">
        <v>6</v>
      </c>
      <c r="N343" s="37">
        <f>Rådatakommune[[#This Row],[B14]]/Rådatakommune[[#This Row],[Totalareal]]</f>
        <v>18.377225367134301</v>
      </c>
      <c r="O343" s="39">
        <f>Rådatakommune[[#This Row],[B14]]/Rådatakommune[[#This Row],[B04]]-1</f>
        <v>2.0876826722338038E-3</v>
      </c>
      <c r="P343" s="26">
        <f>Rådatakommune[[#This Row],[Kvinner20-39]]/Rådatakommune[[#This Row],[B14]]</f>
        <v>0.10178571428571428</v>
      </c>
      <c r="Q343" s="26">
        <f>Rådatakommune[[#This Row],[Eldre67+]]/Rådatakommune[[#This Row],[B14]]</f>
        <v>0.15729166666666666</v>
      </c>
      <c r="R343" s="26">
        <f>Rådatakommune[[#This Row],[S13]]/Rådatakommune[[#This Row],[S03]]-1</f>
        <v>5.7567316620241504E-2</v>
      </c>
      <c r="S343" s="26">
        <f>Rådatakommune[[#This Row],[Y13]]/Rådatakommune[[#This Row],[Folk20-64]]</f>
        <v>0.89906542056074767</v>
      </c>
    </row>
    <row r="344" spans="1:19">
      <c r="A344" s="2" t="s">
        <v>342</v>
      </c>
      <c r="B344" s="38">
        <v>43775</v>
      </c>
      <c r="C344" s="38">
        <v>49731</v>
      </c>
      <c r="D344" s="38">
        <v>26781</v>
      </c>
      <c r="E344" s="38">
        <v>5972</v>
      </c>
      <c r="F344" s="4">
        <v>6667</v>
      </c>
      <c r="G344" s="4">
        <v>30273</v>
      </c>
      <c r="H344" s="38">
        <v>24894</v>
      </c>
      <c r="I344" s="38">
        <v>27671</v>
      </c>
      <c r="J344" s="7">
        <v>1395.26</v>
      </c>
      <c r="K344" s="38">
        <v>389100</v>
      </c>
      <c r="L344">
        <v>192.87954273911998</v>
      </c>
      <c r="M344">
        <v>4</v>
      </c>
      <c r="N344" s="37">
        <f>Rådatakommune[[#This Row],[B14]]/Rådatakommune[[#This Row],[Totalareal]]</f>
        <v>35.642819259492853</v>
      </c>
      <c r="O344" s="41">
        <f>Rådatakommune[[#This Row],[B14]]/Rådatakommune[[#This Row],[B04]]-1</f>
        <v>0.13605939463163907</v>
      </c>
      <c r="P344" s="26">
        <f>Rådatakommune[[#This Row],[Kvinner20-39]]/Rådatakommune[[#This Row],[B14]]</f>
        <v>0.13406124952243068</v>
      </c>
      <c r="Q344" s="26">
        <f>Rådatakommune[[#This Row],[Eldre67+]]/Rådatakommune[[#This Row],[B14]]</f>
        <v>0.12008606301904245</v>
      </c>
      <c r="R344" s="26">
        <f>Rådatakommune[[#This Row],[S13]]/Rådatakommune[[#This Row],[S03]]-1</f>
        <v>0.11155298465493702</v>
      </c>
      <c r="S344" s="26">
        <f>Rådatakommune[[#This Row],[Y13]]/Rådatakommune[[#This Row],[Folk20-64]]</f>
        <v>0.88464968784065012</v>
      </c>
    </row>
    <row r="345" spans="1:19">
      <c r="A345" s="2" t="s">
        <v>343</v>
      </c>
      <c r="B345" s="38">
        <v>18542</v>
      </c>
      <c r="C345" s="38">
        <v>18705</v>
      </c>
      <c r="D345" s="38">
        <v>9178</v>
      </c>
      <c r="E345" s="38">
        <v>2974</v>
      </c>
      <c r="F345" s="4">
        <v>2225</v>
      </c>
      <c r="G345" s="4">
        <v>10970</v>
      </c>
      <c r="H345" s="38">
        <v>8652</v>
      </c>
      <c r="I345" s="38">
        <v>9290</v>
      </c>
      <c r="J345" s="7">
        <v>2022.98</v>
      </c>
      <c r="K345" s="38">
        <v>364800</v>
      </c>
      <c r="L345">
        <v>256.59525666288999</v>
      </c>
      <c r="M345">
        <v>5</v>
      </c>
      <c r="N345" s="37">
        <f>Rådatakommune[[#This Row],[B14]]/Rådatakommune[[#This Row],[Totalareal]]</f>
        <v>9.2462604672315098</v>
      </c>
      <c r="O345" s="39">
        <f>Rådatakommune[[#This Row],[B14]]/Rådatakommune[[#This Row],[B04]]-1</f>
        <v>8.7908531981446547E-3</v>
      </c>
      <c r="P345" s="26">
        <f>Rådatakommune[[#This Row],[Kvinner20-39]]/Rådatakommune[[#This Row],[B14]]</f>
        <v>0.11895215183106121</v>
      </c>
      <c r="Q345" s="26">
        <f>Rådatakommune[[#This Row],[Eldre67+]]/Rådatakommune[[#This Row],[B14]]</f>
        <v>0.15899492114407912</v>
      </c>
      <c r="R345" s="26">
        <f>Rådatakommune[[#This Row],[S13]]/Rådatakommune[[#This Row],[S03]]-1</f>
        <v>7.3740175681923148E-2</v>
      </c>
      <c r="S345" s="26">
        <f>Rådatakommune[[#This Row],[Y13]]/Rådatakommune[[#This Row],[Folk20-64]]</f>
        <v>0.83664539653600734</v>
      </c>
    </row>
    <row r="346" spans="1:19">
      <c r="A346" s="2" t="s">
        <v>344</v>
      </c>
      <c r="B346" s="38">
        <v>1804</v>
      </c>
      <c r="C346" s="38">
        <v>1503</v>
      </c>
      <c r="D346" s="38">
        <v>657</v>
      </c>
      <c r="E346" s="38">
        <v>330</v>
      </c>
      <c r="F346" s="4">
        <v>123</v>
      </c>
      <c r="G346" s="4">
        <v>791</v>
      </c>
      <c r="H346" s="38">
        <v>674</v>
      </c>
      <c r="I346" s="38">
        <v>508</v>
      </c>
      <c r="J346" s="7">
        <v>1264.25</v>
      </c>
      <c r="K346" s="38">
        <v>307200</v>
      </c>
      <c r="L346">
        <v>275.81586618590001</v>
      </c>
      <c r="M346">
        <v>11</v>
      </c>
      <c r="N346" s="37">
        <f>Rådatakommune[[#This Row],[B14]]/Rådatakommune[[#This Row],[Totalareal]]</f>
        <v>1.188847142574649</v>
      </c>
      <c r="O346" s="39">
        <f>Rådatakommune[[#This Row],[B14]]/Rådatakommune[[#This Row],[B04]]-1</f>
        <v>-0.16685144124168516</v>
      </c>
      <c r="P346" s="26">
        <f>Rådatakommune[[#This Row],[Kvinner20-39]]/Rådatakommune[[#This Row],[B14]]</f>
        <v>8.1836327345309379E-2</v>
      </c>
      <c r="Q346" s="26">
        <f>Rådatakommune[[#This Row],[Eldre67+]]/Rådatakommune[[#This Row],[B14]]</f>
        <v>0.21956087824351297</v>
      </c>
      <c r="R346" s="26">
        <f>Rådatakommune[[#This Row],[S13]]/Rådatakommune[[#This Row],[S03]]-1</f>
        <v>-0.24629080118694358</v>
      </c>
      <c r="S346" s="26">
        <f>Rådatakommune[[#This Row],[Y13]]/Rådatakommune[[#This Row],[Folk20-64]]</f>
        <v>0.83059418457648548</v>
      </c>
    </row>
    <row r="347" spans="1:19">
      <c r="A347" s="2" t="s">
        <v>345</v>
      </c>
      <c r="B347" s="38">
        <v>2077</v>
      </c>
      <c r="C347" s="38">
        <v>2047</v>
      </c>
      <c r="D347" s="38">
        <v>1022</v>
      </c>
      <c r="E347" s="38">
        <v>359</v>
      </c>
      <c r="F347" s="4">
        <v>209</v>
      </c>
      <c r="G347" s="4">
        <v>1134</v>
      </c>
      <c r="H347" s="38">
        <v>886</v>
      </c>
      <c r="I347" s="38">
        <v>855</v>
      </c>
      <c r="J347" s="7">
        <v>195.26</v>
      </c>
      <c r="K347" s="38">
        <v>328400</v>
      </c>
      <c r="L347">
        <v>229.63464325800001</v>
      </c>
      <c r="M347">
        <v>7</v>
      </c>
      <c r="N347" s="37">
        <f>Rådatakommune[[#This Row],[B14]]/Rådatakommune[[#This Row],[Totalareal]]</f>
        <v>10.483457953497901</v>
      </c>
      <c r="O347" s="39">
        <f>Rådatakommune[[#This Row],[B14]]/Rådatakommune[[#This Row],[B04]]-1</f>
        <v>-1.4443909484833872E-2</v>
      </c>
      <c r="P347" s="26">
        <f>Rådatakommune[[#This Row],[Kvinner20-39]]/Rådatakommune[[#This Row],[B14]]</f>
        <v>0.10210063507572056</v>
      </c>
      <c r="Q347" s="26">
        <f>Rådatakommune[[#This Row],[Eldre67+]]/Rådatakommune[[#This Row],[B14]]</f>
        <v>0.17537860283341475</v>
      </c>
      <c r="R347" s="26">
        <f>Rådatakommune[[#This Row],[S13]]/Rådatakommune[[#This Row],[S03]]-1</f>
        <v>-3.4988713318284459E-2</v>
      </c>
      <c r="S347" s="26">
        <f>Rådatakommune[[#This Row],[Y13]]/Rådatakommune[[#This Row],[Folk20-64]]</f>
        <v>0.90123456790123457</v>
      </c>
    </row>
    <row r="348" spans="1:19">
      <c r="A348" s="2" t="s">
        <v>346</v>
      </c>
      <c r="B348" s="38">
        <v>7565</v>
      </c>
      <c r="C348" s="38">
        <v>7897</v>
      </c>
      <c r="D348" s="38">
        <v>3949</v>
      </c>
      <c r="E348" s="38">
        <v>1146</v>
      </c>
      <c r="F348" s="4">
        <v>909</v>
      </c>
      <c r="G348" s="4">
        <v>4515</v>
      </c>
      <c r="H348" s="38">
        <v>3364</v>
      </c>
      <c r="I348" s="38">
        <v>3843</v>
      </c>
      <c r="J348" s="7">
        <v>1046.4000000000001</v>
      </c>
      <c r="K348" s="38">
        <v>353700</v>
      </c>
      <c r="L348">
        <v>196.32096432962999</v>
      </c>
      <c r="M348">
        <v>7</v>
      </c>
      <c r="N348" s="37">
        <f>Rådatakommune[[#This Row],[B14]]/Rådatakommune[[#This Row],[Totalareal]]</f>
        <v>7.5468272171253812</v>
      </c>
      <c r="O348" s="39">
        <f>Rådatakommune[[#This Row],[B14]]/Rådatakommune[[#This Row],[B04]]-1</f>
        <v>4.3886318572372796E-2</v>
      </c>
      <c r="P348" s="26">
        <f>Rådatakommune[[#This Row],[Kvinner20-39]]/Rådatakommune[[#This Row],[B14]]</f>
        <v>0.11510700265923768</v>
      </c>
      <c r="Q348" s="26">
        <f>Rådatakommune[[#This Row],[Eldre67+]]/Rådatakommune[[#This Row],[B14]]</f>
        <v>0.14511839939217425</v>
      </c>
      <c r="R348" s="26">
        <f>Rådatakommune[[#This Row],[S13]]/Rådatakommune[[#This Row],[S03]]-1</f>
        <v>0.14239001189060652</v>
      </c>
      <c r="S348" s="26">
        <f>Rådatakommune[[#This Row],[Y13]]/Rådatakommune[[#This Row],[Folk20-64]]</f>
        <v>0.874640088593577</v>
      </c>
    </row>
    <row r="349" spans="1:19">
      <c r="A349" s="2" t="s">
        <v>347</v>
      </c>
      <c r="B349" s="38">
        <v>1380</v>
      </c>
      <c r="C349" s="38">
        <v>1223</v>
      </c>
      <c r="D349" s="38">
        <v>611</v>
      </c>
      <c r="E349" s="38">
        <v>244</v>
      </c>
      <c r="F349" s="4">
        <v>111</v>
      </c>
      <c r="G349" s="4">
        <v>659</v>
      </c>
      <c r="H349" s="38">
        <v>499</v>
      </c>
      <c r="I349" s="38">
        <v>485</v>
      </c>
      <c r="J349" s="7">
        <v>164.94</v>
      </c>
      <c r="K349" s="38">
        <v>334700</v>
      </c>
      <c r="L349">
        <v>272.6458556522</v>
      </c>
      <c r="M349">
        <v>9</v>
      </c>
      <c r="N349" s="37">
        <f>Rådatakommune[[#This Row],[B14]]/Rådatakommune[[#This Row],[Totalareal]]</f>
        <v>7.4148175093973565</v>
      </c>
      <c r="O349" s="39">
        <f>Rådatakommune[[#This Row],[B14]]/Rådatakommune[[#This Row],[B04]]-1</f>
        <v>-0.11376811594202896</v>
      </c>
      <c r="P349" s="26">
        <f>Rådatakommune[[#This Row],[Kvinner20-39]]/Rådatakommune[[#This Row],[B14]]</f>
        <v>9.0760425183973828E-2</v>
      </c>
      <c r="Q349" s="26">
        <f>Rådatakommune[[#This Row],[Eldre67+]]/Rådatakommune[[#This Row],[B14]]</f>
        <v>0.19950940310711365</v>
      </c>
      <c r="R349" s="26">
        <f>Rådatakommune[[#This Row],[S13]]/Rådatakommune[[#This Row],[S03]]-1</f>
        <v>-2.8056112224448926E-2</v>
      </c>
      <c r="S349" s="26">
        <f>Rådatakommune[[#This Row],[Y13]]/Rådatakommune[[#This Row],[Folk20-64]]</f>
        <v>0.92716236722306522</v>
      </c>
    </row>
    <row r="350" spans="1:19">
      <c r="A350" s="2" t="s">
        <v>348</v>
      </c>
      <c r="B350" s="38">
        <v>525</v>
      </c>
      <c r="C350" s="38">
        <v>495</v>
      </c>
      <c r="D350" s="38">
        <v>255</v>
      </c>
      <c r="E350" s="38">
        <v>100</v>
      </c>
      <c r="F350" s="4">
        <v>51</v>
      </c>
      <c r="G350" s="4">
        <v>272</v>
      </c>
      <c r="H350" s="38">
        <v>220</v>
      </c>
      <c r="I350" s="38">
        <v>202</v>
      </c>
      <c r="J350" s="7">
        <v>538.9</v>
      </c>
      <c r="K350" s="38">
        <v>320100</v>
      </c>
      <c r="L350">
        <v>242.3409988976</v>
      </c>
      <c r="M350">
        <v>7</v>
      </c>
      <c r="N350" s="37">
        <f>Rådatakommune[[#This Row],[B14]]/Rådatakommune[[#This Row],[Totalareal]]</f>
        <v>0.91853776210799776</v>
      </c>
      <c r="O350" s="39">
        <f>Rådatakommune[[#This Row],[B14]]/Rådatakommune[[#This Row],[B04]]-1</f>
        <v>-5.7142857142857162E-2</v>
      </c>
      <c r="P350" s="26">
        <f>Rådatakommune[[#This Row],[Kvinner20-39]]/Rådatakommune[[#This Row],[B14]]</f>
        <v>0.10303030303030303</v>
      </c>
      <c r="Q350" s="26">
        <f>Rådatakommune[[#This Row],[Eldre67+]]/Rådatakommune[[#This Row],[B14]]</f>
        <v>0.20202020202020202</v>
      </c>
      <c r="R350" s="26">
        <f>Rådatakommune[[#This Row],[S13]]/Rådatakommune[[#This Row],[S03]]-1</f>
        <v>-8.181818181818179E-2</v>
      </c>
      <c r="S350" s="26">
        <f>Rådatakommune[[#This Row],[Y13]]/Rådatakommune[[#This Row],[Folk20-64]]</f>
        <v>0.9375</v>
      </c>
    </row>
    <row r="351" spans="1:19">
      <c r="A351" s="2" t="s">
        <v>349</v>
      </c>
      <c r="B351" s="38">
        <v>1748</v>
      </c>
      <c r="C351" s="38">
        <v>1733</v>
      </c>
      <c r="D351" s="38">
        <v>838</v>
      </c>
      <c r="E351" s="38">
        <v>319</v>
      </c>
      <c r="F351" s="4">
        <v>170</v>
      </c>
      <c r="G351" s="4">
        <v>992</v>
      </c>
      <c r="H351" s="38">
        <v>790</v>
      </c>
      <c r="I351" s="38">
        <v>837</v>
      </c>
      <c r="J351" s="7">
        <v>64.37</v>
      </c>
      <c r="K351" s="38">
        <v>329700</v>
      </c>
      <c r="L351">
        <v>270.98604873260001</v>
      </c>
      <c r="M351">
        <v>9</v>
      </c>
      <c r="N351" s="37">
        <f>Rådatakommune[[#This Row],[B14]]/Rådatakommune[[#This Row],[Totalareal]]</f>
        <v>26.92247941587696</v>
      </c>
      <c r="O351" s="39">
        <f>Rådatakommune[[#This Row],[B14]]/Rådatakommune[[#This Row],[B04]]-1</f>
        <v>-8.581235697940448E-3</v>
      </c>
      <c r="P351" s="26">
        <f>Rådatakommune[[#This Row],[Kvinner20-39]]/Rådatakommune[[#This Row],[B14]]</f>
        <v>9.8095787651471436E-2</v>
      </c>
      <c r="Q351" s="26">
        <f>Rådatakommune[[#This Row],[Eldre67+]]/Rådatakommune[[#This Row],[B14]]</f>
        <v>0.1840738603577611</v>
      </c>
      <c r="R351" s="26">
        <f>Rådatakommune[[#This Row],[S13]]/Rådatakommune[[#This Row],[S03]]-1</f>
        <v>5.9493670886076044E-2</v>
      </c>
      <c r="S351" s="26">
        <f>Rådatakommune[[#This Row],[Y13]]/Rådatakommune[[#This Row],[Folk20-64]]</f>
        <v>0.844758064516129</v>
      </c>
    </row>
    <row r="352" spans="1:19">
      <c r="A352" s="2" t="s">
        <v>350</v>
      </c>
      <c r="B352" s="38">
        <v>7378</v>
      </c>
      <c r="C352" s="38">
        <v>7394</v>
      </c>
      <c r="D352" s="38">
        <v>3723</v>
      </c>
      <c r="E352" s="38">
        <v>1107</v>
      </c>
      <c r="F352" s="4">
        <v>840</v>
      </c>
      <c r="G352" s="4">
        <v>4276</v>
      </c>
      <c r="H352" s="38">
        <v>3511</v>
      </c>
      <c r="I352" s="38">
        <v>4076</v>
      </c>
      <c r="J352" s="7">
        <v>187.60999999999999</v>
      </c>
      <c r="K352" s="38">
        <v>357000</v>
      </c>
      <c r="L352">
        <v>238.84614432312</v>
      </c>
      <c r="M352">
        <v>7</v>
      </c>
      <c r="N352" s="37">
        <f>Rådatakommune[[#This Row],[B14]]/Rådatakommune[[#This Row],[Totalareal]]</f>
        <v>39.411545226800278</v>
      </c>
      <c r="O352" s="39">
        <f>Rådatakommune[[#This Row],[B14]]/Rådatakommune[[#This Row],[B04]]-1</f>
        <v>2.1686093792354644E-3</v>
      </c>
      <c r="P352" s="26">
        <f>Rådatakommune[[#This Row],[Kvinner20-39]]/Rådatakommune[[#This Row],[B14]]</f>
        <v>0.11360562618339194</v>
      </c>
      <c r="Q352" s="26">
        <f>Rådatakommune[[#This Row],[Eldre67+]]/Rådatakommune[[#This Row],[B14]]</f>
        <v>0.14971598593454152</v>
      </c>
      <c r="R352" s="26">
        <f>Rådatakommune[[#This Row],[S13]]/Rådatakommune[[#This Row],[S03]]-1</f>
        <v>0.1609228140131016</v>
      </c>
      <c r="S352" s="26">
        <f>Rådatakommune[[#This Row],[Y13]]/Rådatakommune[[#This Row],[Folk20-64]]</f>
        <v>0.8706735266604303</v>
      </c>
    </row>
    <row r="353" spans="1:19">
      <c r="A353" s="2" t="s">
        <v>351</v>
      </c>
      <c r="B353" s="38">
        <v>2227</v>
      </c>
      <c r="C353" s="38">
        <v>2188</v>
      </c>
      <c r="D353" s="38">
        <v>1073</v>
      </c>
      <c r="E353" s="38">
        <v>339</v>
      </c>
      <c r="F353" s="4">
        <v>241</v>
      </c>
      <c r="G353" s="4">
        <v>1268</v>
      </c>
      <c r="H353" s="38">
        <v>712</v>
      </c>
      <c r="I353" s="38">
        <v>692</v>
      </c>
      <c r="J353" s="7">
        <v>465.23</v>
      </c>
      <c r="K353" s="38">
        <v>331000</v>
      </c>
      <c r="L353">
        <v>252.1181483842</v>
      </c>
      <c r="M353">
        <v>7</v>
      </c>
      <c r="N353" s="37">
        <f>Rådatakommune[[#This Row],[B14]]/Rådatakommune[[#This Row],[Totalareal]]</f>
        <v>4.7030501042495105</v>
      </c>
      <c r="O353" s="39">
        <f>Rådatakommune[[#This Row],[B14]]/Rådatakommune[[#This Row],[B04]]-1</f>
        <v>-1.7512348450830717E-2</v>
      </c>
      <c r="P353" s="26">
        <f>Rådatakommune[[#This Row],[Kvinner20-39]]/Rådatakommune[[#This Row],[B14]]</f>
        <v>0.11014625228519195</v>
      </c>
      <c r="Q353" s="26">
        <f>Rådatakommune[[#This Row],[Eldre67+]]/Rådatakommune[[#This Row],[B14]]</f>
        <v>0.15493601462522852</v>
      </c>
      <c r="R353" s="26">
        <f>Rådatakommune[[#This Row],[S13]]/Rådatakommune[[#This Row],[S03]]-1</f>
        <v>-2.8089887640449396E-2</v>
      </c>
      <c r="S353" s="26">
        <f>Rådatakommune[[#This Row],[Y13]]/Rådatakommune[[#This Row],[Folk20-64]]</f>
        <v>0.84621451104100942</v>
      </c>
    </row>
    <row r="354" spans="1:19">
      <c r="A354" s="2" t="s">
        <v>352</v>
      </c>
      <c r="B354" s="38">
        <v>13473</v>
      </c>
      <c r="C354" s="38">
        <v>13286</v>
      </c>
      <c r="D354" s="38">
        <v>6675</v>
      </c>
      <c r="E354" s="38">
        <v>2257</v>
      </c>
      <c r="F354" s="4">
        <v>1454</v>
      </c>
      <c r="G354" s="4">
        <v>7594</v>
      </c>
      <c r="H354" s="38">
        <v>6564</v>
      </c>
      <c r="I354" s="38">
        <v>6824</v>
      </c>
      <c r="J354" s="7">
        <v>1928.81</v>
      </c>
      <c r="K354" s="38">
        <v>353600</v>
      </c>
      <c r="L354">
        <v>236.07147719433999</v>
      </c>
      <c r="M354">
        <v>6</v>
      </c>
      <c r="N354" s="37">
        <f>Rådatakommune[[#This Row],[B14]]/Rådatakommune[[#This Row],[Totalareal]]</f>
        <v>6.8881849430477864</v>
      </c>
      <c r="O354" s="39">
        <f>Rådatakommune[[#This Row],[B14]]/Rådatakommune[[#This Row],[B04]]-1</f>
        <v>-1.387961107399982E-2</v>
      </c>
      <c r="P354" s="26">
        <f>Rådatakommune[[#This Row],[Kvinner20-39]]/Rådatakommune[[#This Row],[B14]]</f>
        <v>0.10943850669878068</v>
      </c>
      <c r="Q354" s="26">
        <f>Rådatakommune[[#This Row],[Eldre67+]]/Rådatakommune[[#This Row],[B14]]</f>
        <v>0.16987806713834111</v>
      </c>
      <c r="R354" s="26">
        <f>Rådatakommune[[#This Row],[S13]]/Rådatakommune[[#This Row],[S03]]-1</f>
        <v>3.9609993906154717E-2</v>
      </c>
      <c r="S354" s="26">
        <f>Rådatakommune[[#This Row],[Y13]]/Rådatakommune[[#This Row],[Folk20-64]]</f>
        <v>0.8789834079536476</v>
      </c>
    </row>
    <row r="355" spans="1:19">
      <c r="A355" s="2" t="s">
        <v>353</v>
      </c>
      <c r="B355" s="38">
        <v>1536</v>
      </c>
      <c r="C355" s="38">
        <v>1465</v>
      </c>
      <c r="D355" s="38">
        <v>711</v>
      </c>
      <c r="E355" s="38">
        <v>305</v>
      </c>
      <c r="F355" s="4">
        <v>138</v>
      </c>
      <c r="G355" s="4">
        <v>791</v>
      </c>
      <c r="H355" s="38">
        <v>549</v>
      </c>
      <c r="I355" s="38">
        <v>506</v>
      </c>
      <c r="J355" s="7">
        <v>2004.15</v>
      </c>
      <c r="K355" s="38">
        <v>328100</v>
      </c>
      <c r="L355">
        <v>260.79449851359999</v>
      </c>
      <c r="M355">
        <v>6</v>
      </c>
      <c r="N355" s="37">
        <f>Rådatakommune[[#This Row],[B14]]/Rådatakommune[[#This Row],[Totalareal]]</f>
        <v>0.73098320983958287</v>
      </c>
      <c r="O355" s="39">
        <f>Rådatakommune[[#This Row],[B14]]/Rådatakommune[[#This Row],[B04]]-1</f>
        <v>-4.622395833333337E-2</v>
      </c>
      <c r="P355" s="26">
        <f>Rådatakommune[[#This Row],[Kvinner20-39]]/Rådatakommune[[#This Row],[B14]]</f>
        <v>9.4197952218430039E-2</v>
      </c>
      <c r="Q355" s="26">
        <f>Rådatakommune[[#This Row],[Eldre67+]]/Rådatakommune[[#This Row],[B14]]</f>
        <v>0.20819112627986347</v>
      </c>
      <c r="R355" s="26">
        <f>Rådatakommune[[#This Row],[S13]]/Rådatakommune[[#This Row],[S03]]-1</f>
        <v>-7.8324225865209485E-2</v>
      </c>
      <c r="S355" s="26">
        <f>Rådatakommune[[#This Row],[Y13]]/Rådatakommune[[#This Row],[Folk20-64]]</f>
        <v>0.89886219974715553</v>
      </c>
    </row>
    <row r="356" spans="1:19">
      <c r="A356" s="2" t="s">
        <v>354</v>
      </c>
      <c r="B356" s="38">
        <v>1562</v>
      </c>
      <c r="C356" s="38">
        <v>1500</v>
      </c>
      <c r="D356" s="38">
        <v>711</v>
      </c>
      <c r="E356" s="38">
        <v>312</v>
      </c>
      <c r="F356" s="4">
        <v>140</v>
      </c>
      <c r="G356" s="4">
        <v>797</v>
      </c>
      <c r="H356" s="38">
        <v>590</v>
      </c>
      <c r="I356" s="38">
        <v>622</v>
      </c>
      <c r="J356" s="7">
        <v>2684.3199999999997</v>
      </c>
      <c r="K356" s="38">
        <v>296400</v>
      </c>
      <c r="L356">
        <v>286.58460247689999</v>
      </c>
      <c r="M356">
        <v>11</v>
      </c>
      <c r="N356" s="37">
        <f>Rådatakommune[[#This Row],[B14]]/Rådatakommune[[#This Row],[Totalareal]]</f>
        <v>0.55880073910711103</v>
      </c>
      <c r="O356" s="39">
        <f>Rådatakommune[[#This Row],[B14]]/Rådatakommune[[#This Row],[B04]]-1</f>
        <v>-3.9692701664532648E-2</v>
      </c>
      <c r="P356" s="26">
        <f>Rådatakommune[[#This Row],[Kvinner20-39]]/Rådatakommune[[#This Row],[B14]]</f>
        <v>9.3333333333333338E-2</v>
      </c>
      <c r="Q356" s="26">
        <f>Rådatakommune[[#This Row],[Eldre67+]]/Rådatakommune[[#This Row],[B14]]</f>
        <v>0.20799999999999999</v>
      </c>
      <c r="R356" s="26">
        <f>Rådatakommune[[#This Row],[S13]]/Rådatakommune[[#This Row],[S03]]-1</f>
        <v>5.4237288135593253E-2</v>
      </c>
      <c r="S356" s="26">
        <f>Rådatakommune[[#This Row],[Y13]]/Rådatakommune[[#This Row],[Folk20-64]]</f>
        <v>0.89209535759096614</v>
      </c>
    </row>
    <row r="357" spans="1:19">
      <c r="A357" s="2" t="s">
        <v>355</v>
      </c>
      <c r="B357" s="38">
        <v>1543</v>
      </c>
      <c r="C357" s="38">
        <v>1420</v>
      </c>
      <c r="D357" s="38">
        <v>663</v>
      </c>
      <c r="E357" s="38">
        <v>270</v>
      </c>
      <c r="F357" s="4">
        <v>126</v>
      </c>
      <c r="G357" s="4">
        <v>777</v>
      </c>
      <c r="H357" s="38">
        <v>637</v>
      </c>
      <c r="I357" s="38">
        <v>509</v>
      </c>
      <c r="J357" s="7">
        <v>191.94</v>
      </c>
      <c r="K357" s="38">
        <v>332700</v>
      </c>
      <c r="L357">
        <v>278.3886906546</v>
      </c>
      <c r="M357">
        <v>7</v>
      </c>
      <c r="N357" s="37">
        <f>Rådatakommune[[#This Row],[B14]]/Rådatakommune[[#This Row],[Totalareal]]</f>
        <v>7.3981452537251222</v>
      </c>
      <c r="O357" s="39">
        <f>Rådatakommune[[#This Row],[B14]]/Rådatakommune[[#This Row],[B04]]-1</f>
        <v>-7.9714841218405663E-2</v>
      </c>
      <c r="P357" s="26">
        <f>Rådatakommune[[#This Row],[Kvinner20-39]]/Rådatakommune[[#This Row],[B14]]</f>
        <v>8.873239436619719E-2</v>
      </c>
      <c r="Q357" s="26">
        <f>Rådatakommune[[#This Row],[Eldre67+]]/Rådatakommune[[#This Row],[B14]]</f>
        <v>0.19014084507042253</v>
      </c>
      <c r="R357" s="26">
        <f>Rådatakommune[[#This Row],[S13]]/Rådatakommune[[#This Row],[S03]]-1</f>
        <v>-0.2009419152276295</v>
      </c>
      <c r="S357" s="26">
        <f>Rådatakommune[[#This Row],[Y13]]/Rådatakommune[[#This Row],[Folk20-64]]</f>
        <v>0.85328185328185324</v>
      </c>
    </row>
    <row r="358" spans="1:19">
      <c r="A358" s="2" t="s">
        <v>356</v>
      </c>
      <c r="B358" s="38">
        <v>1822</v>
      </c>
      <c r="C358" s="38">
        <v>1902</v>
      </c>
      <c r="D358" s="38">
        <v>866</v>
      </c>
      <c r="E358" s="38">
        <v>286</v>
      </c>
      <c r="F358" s="4">
        <v>248</v>
      </c>
      <c r="G358" s="4">
        <v>1096</v>
      </c>
      <c r="H358" s="38">
        <v>865</v>
      </c>
      <c r="I358" s="38">
        <v>870</v>
      </c>
      <c r="J358" s="7">
        <v>183.18</v>
      </c>
      <c r="K358" s="38">
        <v>310400</v>
      </c>
      <c r="L358">
        <v>297.9812655298</v>
      </c>
      <c r="M358">
        <v>5</v>
      </c>
      <c r="N358" s="37">
        <f>Rådatakommune[[#This Row],[B14]]/Rådatakommune[[#This Row],[Totalareal]]</f>
        <v>10.383229610219455</v>
      </c>
      <c r="O358" s="39">
        <f>Rådatakommune[[#This Row],[B14]]/Rådatakommune[[#This Row],[B04]]-1</f>
        <v>4.3907793633369829E-2</v>
      </c>
      <c r="P358" s="26">
        <f>Rådatakommune[[#This Row],[Kvinner20-39]]/Rådatakommune[[#This Row],[B14]]</f>
        <v>0.13038906414300735</v>
      </c>
      <c r="Q358" s="26">
        <f>Rådatakommune[[#This Row],[Eldre67+]]/Rådatakommune[[#This Row],[B14]]</f>
        <v>0.15036803364879076</v>
      </c>
      <c r="R358" s="26">
        <f>Rådatakommune[[#This Row],[S13]]/Rådatakommune[[#This Row],[S03]]-1</f>
        <v>5.7803468208093012E-3</v>
      </c>
      <c r="S358" s="26">
        <f>Rådatakommune[[#This Row],[Y13]]/Rådatakommune[[#This Row],[Folk20-64]]</f>
        <v>0.79014598540145986</v>
      </c>
    </row>
    <row r="359" spans="1:19">
      <c r="A359" s="2" t="s">
        <v>357</v>
      </c>
      <c r="B359" s="38">
        <v>4562</v>
      </c>
      <c r="C359" s="38">
        <v>4553</v>
      </c>
      <c r="D359" s="38">
        <v>2138</v>
      </c>
      <c r="E359" s="38">
        <v>873</v>
      </c>
      <c r="F359" s="4">
        <v>460</v>
      </c>
      <c r="G359" s="4">
        <v>2465</v>
      </c>
      <c r="H359" s="38">
        <v>1538</v>
      </c>
      <c r="I359" s="38">
        <v>1626</v>
      </c>
      <c r="J359" s="7">
        <v>1588.73</v>
      </c>
      <c r="K359" s="38">
        <v>326500</v>
      </c>
      <c r="L359">
        <v>275.5096024769</v>
      </c>
      <c r="M359">
        <v>5</v>
      </c>
      <c r="N359" s="37">
        <f>Rådatakommune[[#This Row],[B14]]/Rådatakommune[[#This Row],[Totalareal]]</f>
        <v>2.8658110566301387</v>
      </c>
      <c r="O359" s="39">
        <f>Rådatakommune[[#This Row],[B14]]/Rådatakommune[[#This Row],[B04]]-1</f>
        <v>-1.9728189390617601E-3</v>
      </c>
      <c r="P359" s="26">
        <f>Rådatakommune[[#This Row],[Kvinner20-39]]/Rådatakommune[[#This Row],[B14]]</f>
        <v>0.10103228640456842</v>
      </c>
      <c r="Q359" s="26">
        <f>Rådatakommune[[#This Row],[Eldre67+]]/Rådatakommune[[#This Row],[B14]]</f>
        <v>0.19174170876345267</v>
      </c>
      <c r="R359" s="26">
        <f>Rådatakommune[[#This Row],[S13]]/Rådatakommune[[#This Row],[S03]]-1</f>
        <v>5.721716514954478E-2</v>
      </c>
      <c r="S359" s="26">
        <f>Rådatakommune[[#This Row],[Y13]]/Rådatakommune[[#This Row],[Folk20-64]]</f>
        <v>0.86734279918864099</v>
      </c>
    </row>
    <row r="360" spans="1:19">
      <c r="A360" s="2" t="s">
        <v>358</v>
      </c>
      <c r="B360" s="38">
        <v>25309</v>
      </c>
      <c r="C360" s="38">
        <v>25943</v>
      </c>
      <c r="D360" s="38">
        <v>12824</v>
      </c>
      <c r="E360" s="38">
        <v>4002</v>
      </c>
      <c r="F360" s="4">
        <v>2887</v>
      </c>
      <c r="G360" s="4">
        <v>14947</v>
      </c>
      <c r="H360" s="38">
        <v>11331</v>
      </c>
      <c r="I360" s="38">
        <v>12908</v>
      </c>
      <c r="J360" s="7">
        <v>4459.83</v>
      </c>
      <c r="K360" s="38">
        <v>354800</v>
      </c>
      <c r="L360">
        <v>254.2271157701</v>
      </c>
      <c r="M360">
        <v>5</v>
      </c>
      <c r="N360" s="37">
        <f>Rådatakommune[[#This Row],[B14]]/Rådatakommune[[#This Row],[Totalareal]]</f>
        <v>5.8170378691564482</v>
      </c>
      <c r="O360" s="39">
        <f>Rådatakommune[[#This Row],[B14]]/Rådatakommune[[#This Row],[B04]]-1</f>
        <v>2.5050377336125473E-2</v>
      </c>
      <c r="P360" s="26">
        <f>Rådatakommune[[#This Row],[Kvinner20-39]]/Rådatakommune[[#This Row],[B14]]</f>
        <v>0.11128242685888294</v>
      </c>
      <c r="Q360" s="26">
        <f>Rådatakommune[[#This Row],[Eldre67+]]/Rådatakommune[[#This Row],[B14]]</f>
        <v>0.15426126508113941</v>
      </c>
      <c r="R360" s="26">
        <f>Rådatakommune[[#This Row],[S13]]/Rådatakommune[[#This Row],[S03]]-1</f>
        <v>0.13917571264672146</v>
      </c>
      <c r="S360" s="26">
        <f>Rådatakommune[[#This Row],[Y13]]/Rådatakommune[[#This Row],[Folk20-64]]</f>
        <v>0.85796480899177097</v>
      </c>
    </row>
    <row r="361" spans="1:19">
      <c r="A361" s="2" t="s">
        <v>359</v>
      </c>
      <c r="B361" s="38">
        <v>2024</v>
      </c>
      <c r="C361" s="38">
        <v>1901</v>
      </c>
      <c r="D361" s="38">
        <v>929</v>
      </c>
      <c r="E361" s="38">
        <v>382</v>
      </c>
      <c r="F361" s="4">
        <v>180</v>
      </c>
      <c r="G361" s="4">
        <v>1020</v>
      </c>
      <c r="H361" s="38">
        <v>848</v>
      </c>
      <c r="I361" s="38">
        <v>881</v>
      </c>
      <c r="J361" s="7">
        <v>265.18</v>
      </c>
      <c r="K361" s="38">
        <v>358100</v>
      </c>
      <c r="L361">
        <v>367.19264821299998</v>
      </c>
      <c r="M361">
        <v>11</v>
      </c>
      <c r="N361" s="37">
        <f>Rådatakommune[[#This Row],[B14]]/Rådatakommune[[#This Row],[Totalareal]]</f>
        <v>7.168715589410966</v>
      </c>
      <c r="O361" s="39">
        <f>Rådatakommune[[#This Row],[B14]]/Rådatakommune[[#This Row],[B04]]-1</f>
        <v>-6.077075098814233E-2</v>
      </c>
      <c r="P361" s="26">
        <f>Rådatakommune[[#This Row],[Kvinner20-39]]/Rådatakommune[[#This Row],[B14]]</f>
        <v>9.4687006838506046E-2</v>
      </c>
      <c r="Q361" s="26">
        <f>Rådatakommune[[#This Row],[Eldre67+]]/Rådatakommune[[#This Row],[B14]]</f>
        <v>0.20094687006838505</v>
      </c>
      <c r="R361" s="26">
        <f>Rådatakommune[[#This Row],[S13]]/Rådatakommune[[#This Row],[S03]]-1</f>
        <v>3.8915094339622591E-2</v>
      </c>
      <c r="S361" s="26">
        <f>Rådatakommune[[#This Row],[Y13]]/Rådatakommune[[#This Row],[Folk20-64]]</f>
        <v>0.91078431372549018</v>
      </c>
    </row>
    <row r="362" spans="1:19">
      <c r="A362" s="2" t="s">
        <v>360</v>
      </c>
      <c r="B362" s="38">
        <v>456</v>
      </c>
      <c r="C362" s="38">
        <v>489</v>
      </c>
      <c r="D362" s="38">
        <v>259</v>
      </c>
      <c r="E362" s="38">
        <v>71</v>
      </c>
      <c r="F362" s="4">
        <v>58</v>
      </c>
      <c r="G362" s="4">
        <v>277</v>
      </c>
      <c r="H362" s="38">
        <v>225</v>
      </c>
      <c r="I362" s="38">
        <v>239</v>
      </c>
      <c r="J362" s="7">
        <v>16.52</v>
      </c>
      <c r="K362" s="38">
        <v>386000</v>
      </c>
      <c r="L362">
        <v>399</v>
      </c>
      <c r="M362">
        <v>11</v>
      </c>
      <c r="N362" s="37">
        <f>Rådatakommune[[#This Row],[B14]]/Rådatakommune[[#This Row],[Totalareal]]</f>
        <v>29.600484261501212</v>
      </c>
      <c r="O362" s="39">
        <f>Rådatakommune[[#This Row],[B14]]/Rådatakommune[[#This Row],[B04]]-1</f>
        <v>7.2368421052631637E-2</v>
      </c>
      <c r="P362" s="26">
        <f>Rådatakommune[[#This Row],[Kvinner20-39]]/Rådatakommune[[#This Row],[B14]]</f>
        <v>0.11860940695296524</v>
      </c>
      <c r="Q362" s="26">
        <f>Rådatakommune[[#This Row],[Eldre67+]]/Rådatakommune[[#This Row],[B14]]</f>
        <v>0.14519427402862986</v>
      </c>
      <c r="R362" s="26">
        <f>Rådatakommune[[#This Row],[S13]]/Rådatakommune[[#This Row],[S03]]-1</f>
        <v>6.2222222222222179E-2</v>
      </c>
      <c r="S362" s="26">
        <f>Rådatakommune[[#This Row],[Y13]]/Rådatakommune[[#This Row],[Folk20-64]]</f>
        <v>0.93501805054151621</v>
      </c>
    </row>
    <row r="363" spans="1:19">
      <c r="A363" s="2" t="s">
        <v>361</v>
      </c>
      <c r="B363" s="38">
        <v>1441</v>
      </c>
      <c r="C363" s="38">
        <v>1305</v>
      </c>
      <c r="D363" s="38">
        <v>645</v>
      </c>
      <c r="E363" s="38">
        <v>218</v>
      </c>
      <c r="F363" s="4">
        <v>128</v>
      </c>
      <c r="G363" s="4">
        <v>687</v>
      </c>
      <c r="H363" s="38">
        <v>579</v>
      </c>
      <c r="I363" s="38">
        <v>560</v>
      </c>
      <c r="J363" s="7">
        <v>711.29</v>
      </c>
      <c r="K363" s="38">
        <v>334800</v>
      </c>
      <c r="L363">
        <v>356.49084885899998</v>
      </c>
      <c r="M363">
        <v>11</v>
      </c>
      <c r="N363" s="37">
        <f>Rådatakommune[[#This Row],[B14]]/Rådatakommune[[#This Row],[Totalareal]]</f>
        <v>1.8346947096121133</v>
      </c>
      <c r="O363" s="39">
        <f>Rådatakommune[[#This Row],[B14]]/Rådatakommune[[#This Row],[B04]]-1</f>
        <v>-9.4378903539208858E-2</v>
      </c>
      <c r="P363" s="26">
        <f>Rådatakommune[[#This Row],[Kvinner20-39]]/Rådatakommune[[#This Row],[B14]]</f>
        <v>9.8084291187739467E-2</v>
      </c>
      <c r="Q363" s="26">
        <f>Rådatakommune[[#This Row],[Eldre67+]]/Rådatakommune[[#This Row],[B14]]</f>
        <v>0.16704980842911876</v>
      </c>
      <c r="R363" s="26">
        <f>Rådatakommune[[#This Row],[S13]]/Rådatakommune[[#This Row],[S03]]-1</f>
        <v>-3.2815198618307395E-2</v>
      </c>
      <c r="S363" s="26">
        <f>Rådatakommune[[#This Row],[Y13]]/Rådatakommune[[#This Row],[Folk20-64]]</f>
        <v>0.93886462882096067</v>
      </c>
    </row>
    <row r="364" spans="1:19">
      <c r="A364" s="2" t="s">
        <v>362</v>
      </c>
      <c r="B364" s="38">
        <v>6772</v>
      </c>
      <c r="C364" s="38">
        <v>6491</v>
      </c>
      <c r="D364" s="38">
        <v>3096</v>
      </c>
      <c r="E364" s="38">
        <v>1107</v>
      </c>
      <c r="F364" s="4">
        <v>665</v>
      </c>
      <c r="G364" s="4">
        <v>3579</v>
      </c>
      <c r="H364" s="38">
        <v>2933</v>
      </c>
      <c r="I364" s="38">
        <v>2892</v>
      </c>
      <c r="J364" s="7">
        <v>873.83</v>
      </c>
      <c r="K364" s="38">
        <v>372300</v>
      </c>
      <c r="L364">
        <v>289.23257691110001</v>
      </c>
      <c r="M364">
        <v>10</v>
      </c>
      <c r="N364" s="37">
        <f>Rådatakommune[[#This Row],[B14]]/Rådatakommune[[#This Row],[Totalareal]]</f>
        <v>7.4282183033313114</v>
      </c>
      <c r="O364" s="39">
        <f>Rådatakommune[[#This Row],[B14]]/Rådatakommune[[#This Row],[B04]]-1</f>
        <v>-4.1494388659184867E-2</v>
      </c>
      <c r="P364" s="26">
        <f>Rådatakommune[[#This Row],[Kvinner20-39]]/Rådatakommune[[#This Row],[B14]]</f>
        <v>0.10244954552457249</v>
      </c>
      <c r="Q364" s="26">
        <f>Rådatakommune[[#This Row],[Eldre67+]]/Rådatakommune[[#This Row],[B14]]</f>
        <v>0.17054382991834849</v>
      </c>
      <c r="R364" s="26">
        <f>Rådatakommune[[#This Row],[S13]]/Rådatakommune[[#This Row],[S03]]-1</f>
        <v>-1.3978861234231199E-2</v>
      </c>
      <c r="S364" s="26">
        <f>Rådatakommune[[#This Row],[Y13]]/Rådatakommune[[#This Row],[Folk20-64]]</f>
        <v>0.865046102263202</v>
      </c>
    </row>
    <row r="365" spans="1:19">
      <c r="A365" s="2" t="s">
        <v>363</v>
      </c>
      <c r="B365" s="38">
        <v>2215</v>
      </c>
      <c r="C365" s="38">
        <v>2023</v>
      </c>
      <c r="D365" s="38">
        <v>963</v>
      </c>
      <c r="E365" s="38">
        <v>414</v>
      </c>
      <c r="F365" s="4">
        <v>199</v>
      </c>
      <c r="G365" s="4">
        <v>1096</v>
      </c>
      <c r="H365" s="38">
        <v>791</v>
      </c>
      <c r="I365" s="38">
        <v>780</v>
      </c>
      <c r="J365" s="7">
        <v>664.65</v>
      </c>
      <c r="K365" s="38">
        <v>334500</v>
      </c>
      <c r="L365">
        <v>266.56705235760001</v>
      </c>
      <c r="M365">
        <v>8</v>
      </c>
      <c r="N365" s="37">
        <f>Rådatakommune[[#This Row],[B14]]/Rådatakommune[[#This Row],[Totalareal]]</f>
        <v>3.0437072143233284</v>
      </c>
      <c r="O365" s="39">
        <f>Rådatakommune[[#This Row],[B14]]/Rådatakommune[[#This Row],[B04]]-1</f>
        <v>-8.6681715575620766E-2</v>
      </c>
      <c r="P365" s="26">
        <f>Rådatakommune[[#This Row],[Kvinner20-39]]/Rådatakommune[[#This Row],[B14]]</f>
        <v>9.836875926841325E-2</v>
      </c>
      <c r="Q365" s="26">
        <f>Rådatakommune[[#This Row],[Eldre67+]]/Rådatakommune[[#This Row],[B14]]</f>
        <v>0.20464656450815621</v>
      </c>
      <c r="R365" s="26">
        <f>Rådatakommune[[#This Row],[S13]]/Rådatakommune[[#This Row],[S03]]-1</f>
        <v>-1.3906447534766109E-2</v>
      </c>
      <c r="S365" s="26">
        <f>Rådatakommune[[#This Row],[Y13]]/Rådatakommune[[#This Row],[Folk20-64]]</f>
        <v>0.8786496350364964</v>
      </c>
    </row>
    <row r="366" spans="1:19">
      <c r="A366" s="2" t="s">
        <v>364</v>
      </c>
      <c r="B366" s="38">
        <v>1183</v>
      </c>
      <c r="C366" s="38">
        <v>1088</v>
      </c>
      <c r="D366" s="38">
        <v>522</v>
      </c>
      <c r="E366" s="38">
        <v>256</v>
      </c>
      <c r="F366" s="4">
        <v>85</v>
      </c>
      <c r="G366" s="4">
        <v>577</v>
      </c>
      <c r="H366" s="38">
        <v>417</v>
      </c>
      <c r="I366" s="38">
        <v>450</v>
      </c>
      <c r="J366" s="7">
        <v>1221.76</v>
      </c>
      <c r="K366" s="38">
        <v>301600</v>
      </c>
      <c r="L366">
        <v>280.86956907180002</v>
      </c>
      <c r="M366">
        <v>11</v>
      </c>
      <c r="N366" s="37">
        <f>Rådatakommune[[#This Row],[B14]]/Rådatakommune[[#This Row],[Totalareal]]</f>
        <v>0.89051859612362494</v>
      </c>
      <c r="O366" s="39">
        <f>Rådatakommune[[#This Row],[B14]]/Rådatakommune[[#This Row],[B04]]-1</f>
        <v>-8.0304311073541856E-2</v>
      </c>
      <c r="P366" s="26">
        <f>Rådatakommune[[#This Row],[Kvinner20-39]]/Rådatakommune[[#This Row],[B14]]</f>
        <v>7.8125E-2</v>
      </c>
      <c r="Q366" s="26">
        <f>Rådatakommune[[#This Row],[Eldre67+]]/Rådatakommune[[#This Row],[B14]]</f>
        <v>0.23529411764705882</v>
      </c>
      <c r="R366" s="26">
        <f>Rådatakommune[[#This Row],[S13]]/Rådatakommune[[#This Row],[S03]]-1</f>
        <v>7.9136690647481966E-2</v>
      </c>
      <c r="S366" s="26">
        <f>Rådatakommune[[#This Row],[Y13]]/Rådatakommune[[#This Row],[Folk20-64]]</f>
        <v>0.90467937608318894</v>
      </c>
    </row>
    <row r="367" spans="1:19">
      <c r="A367" s="2" t="s">
        <v>365</v>
      </c>
      <c r="B367" s="38">
        <v>4823</v>
      </c>
      <c r="C367" s="38">
        <v>4690</v>
      </c>
      <c r="D367" s="38">
        <v>2293</v>
      </c>
      <c r="E367" s="38">
        <v>815</v>
      </c>
      <c r="F367" s="4">
        <v>488</v>
      </c>
      <c r="G367" s="4">
        <v>2708</v>
      </c>
      <c r="H367" s="38">
        <v>2027</v>
      </c>
      <c r="I367" s="38">
        <v>2067</v>
      </c>
      <c r="J367" s="7">
        <v>2216.16</v>
      </c>
      <c r="K367" s="38">
        <v>324000</v>
      </c>
      <c r="L367">
        <v>265.28826460210001</v>
      </c>
      <c r="M367">
        <v>6</v>
      </c>
      <c r="N367" s="37">
        <f>Rådatakommune[[#This Row],[B14]]/Rådatakommune[[#This Row],[Totalareal]]</f>
        <v>2.116273193271244</v>
      </c>
      <c r="O367" s="39">
        <f>Rådatakommune[[#This Row],[B14]]/Rådatakommune[[#This Row],[B04]]-1</f>
        <v>-2.7576197387518153E-2</v>
      </c>
      <c r="P367" s="26">
        <f>Rådatakommune[[#This Row],[Kvinner20-39]]/Rådatakommune[[#This Row],[B14]]</f>
        <v>0.10405117270788912</v>
      </c>
      <c r="Q367" s="26">
        <f>Rådatakommune[[#This Row],[Eldre67+]]/Rådatakommune[[#This Row],[B14]]</f>
        <v>0.17377398720682302</v>
      </c>
      <c r="R367" s="26">
        <f>Rådatakommune[[#This Row],[S13]]/Rådatakommune[[#This Row],[S03]]-1</f>
        <v>1.9733596447952584E-2</v>
      </c>
      <c r="S367" s="26">
        <f>Rådatakommune[[#This Row],[Y13]]/Rådatakommune[[#This Row],[Folk20-64]]</f>
        <v>0.84675036927621861</v>
      </c>
    </row>
    <row r="368" spans="1:19">
      <c r="A368" s="2" t="s">
        <v>366</v>
      </c>
      <c r="B368" s="38">
        <v>9627</v>
      </c>
      <c r="C368" s="38">
        <v>9556</v>
      </c>
      <c r="D368" s="38">
        <v>4678</v>
      </c>
      <c r="E368" s="38">
        <v>1634</v>
      </c>
      <c r="F368" s="4">
        <v>1014</v>
      </c>
      <c r="G368" s="4">
        <v>5428</v>
      </c>
      <c r="H368" s="38">
        <v>3420</v>
      </c>
      <c r="I368" s="38">
        <v>3834</v>
      </c>
      <c r="J368" s="7">
        <v>1209.58</v>
      </c>
      <c r="K368" s="38">
        <v>350300</v>
      </c>
      <c r="L368">
        <v>239.2403969138</v>
      </c>
      <c r="M368">
        <v>5</v>
      </c>
      <c r="N368" s="37">
        <f>Rådatakommune[[#This Row],[B14]]/Rådatakommune[[#This Row],[Totalareal]]</f>
        <v>7.900262901172308</v>
      </c>
      <c r="O368" s="39">
        <f>Rådatakommune[[#This Row],[B14]]/Rådatakommune[[#This Row],[B04]]-1</f>
        <v>-7.3750908902046053E-3</v>
      </c>
      <c r="P368" s="26">
        <f>Rådatakommune[[#This Row],[Kvinner20-39]]/Rådatakommune[[#This Row],[B14]]</f>
        <v>0.1061113436584345</v>
      </c>
      <c r="Q368" s="26">
        <f>Rådatakommune[[#This Row],[Eldre67+]]/Rådatakommune[[#This Row],[B14]]</f>
        <v>0.1709920468815404</v>
      </c>
      <c r="R368" s="26">
        <f>Rådatakommune[[#This Row],[S13]]/Rådatakommune[[#This Row],[S03]]-1</f>
        <v>0.1210526315789473</v>
      </c>
      <c r="S368" s="26">
        <f>Rådatakommune[[#This Row],[Y13]]/Rådatakommune[[#This Row],[Folk20-64]]</f>
        <v>0.8618275607958733</v>
      </c>
    </row>
    <row r="369" spans="1:19">
      <c r="A369" s="2" t="s">
        <v>367</v>
      </c>
      <c r="B369" s="38">
        <v>2184</v>
      </c>
      <c r="C369" s="38">
        <v>1987</v>
      </c>
      <c r="D369" s="38">
        <v>902</v>
      </c>
      <c r="E369" s="38">
        <v>404</v>
      </c>
      <c r="F369" s="4">
        <v>180</v>
      </c>
      <c r="G369" s="4">
        <v>1071</v>
      </c>
      <c r="H369" s="38">
        <v>817</v>
      </c>
      <c r="I369" s="38">
        <v>879</v>
      </c>
      <c r="J369" s="7">
        <v>1637.72</v>
      </c>
      <c r="K369" s="38">
        <v>329600</v>
      </c>
      <c r="L369">
        <v>252.41741302689999</v>
      </c>
      <c r="M369">
        <v>6</v>
      </c>
      <c r="N369" s="37">
        <f>Rådatakommune[[#This Row],[B14]]/Rådatakommune[[#This Row],[Totalareal]]</f>
        <v>1.2132721100065944</v>
      </c>
      <c r="O369" s="39">
        <f>Rådatakommune[[#This Row],[B14]]/Rådatakommune[[#This Row],[B04]]-1</f>
        <v>-9.0201465201465214E-2</v>
      </c>
      <c r="P369" s="26">
        <f>Rådatakommune[[#This Row],[Kvinner20-39]]/Rådatakommune[[#This Row],[B14]]</f>
        <v>9.0588827377956718E-2</v>
      </c>
      <c r="Q369" s="26">
        <f>Rådatakommune[[#This Row],[Eldre67+]]/Rådatakommune[[#This Row],[B14]]</f>
        <v>0.20332159033719174</v>
      </c>
      <c r="R369" s="26">
        <f>Rådatakommune[[#This Row],[S13]]/Rådatakommune[[#This Row],[S03]]-1</f>
        <v>7.5887392900856776E-2</v>
      </c>
      <c r="S369" s="26">
        <f>Rådatakommune[[#This Row],[Y13]]/Rådatakommune[[#This Row],[Folk20-64]]</f>
        <v>0.84220354808590103</v>
      </c>
    </row>
    <row r="370" spans="1:19">
      <c r="A370" s="2" t="s">
        <v>368</v>
      </c>
      <c r="B370" s="38">
        <v>2863</v>
      </c>
      <c r="C370" s="38">
        <v>2579</v>
      </c>
      <c r="D370" s="38">
        <v>1243</v>
      </c>
      <c r="E370" s="38">
        <v>530</v>
      </c>
      <c r="F370" s="4">
        <v>230</v>
      </c>
      <c r="G370" s="4">
        <v>1415</v>
      </c>
      <c r="H370" s="38">
        <v>1114</v>
      </c>
      <c r="I370" s="38">
        <v>1129</v>
      </c>
      <c r="J370" s="7">
        <v>1009.08</v>
      </c>
      <c r="K370" s="38">
        <v>329600</v>
      </c>
      <c r="L370">
        <v>361.76036978000002</v>
      </c>
      <c r="M370">
        <v>11</v>
      </c>
      <c r="N370" s="37">
        <f>Rådatakommune[[#This Row],[B14]]/Rådatakommune[[#This Row],[Totalareal]]</f>
        <v>2.5557933959646411</v>
      </c>
      <c r="O370" s="39">
        <f>Rådatakommune[[#This Row],[B14]]/Rådatakommune[[#This Row],[B04]]-1</f>
        <v>-9.9196646873908501E-2</v>
      </c>
      <c r="P370" s="26">
        <f>Rådatakommune[[#This Row],[Kvinner20-39]]/Rådatakommune[[#This Row],[B14]]</f>
        <v>8.9181853431562624E-2</v>
      </c>
      <c r="Q370" s="26">
        <f>Rådatakommune[[#This Row],[Eldre67+]]/Rådatakommune[[#This Row],[B14]]</f>
        <v>0.20550601008142691</v>
      </c>
      <c r="R370" s="26">
        <f>Rådatakommune[[#This Row],[S13]]/Rådatakommune[[#This Row],[S03]]-1</f>
        <v>1.3464991023339312E-2</v>
      </c>
      <c r="S370" s="26">
        <f>Rådatakommune[[#This Row],[Y13]]/Rådatakommune[[#This Row],[Folk20-64]]</f>
        <v>0.8784452296819788</v>
      </c>
    </row>
    <row r="371" spans="1:19">
      <c r="A371" s="2" t="s">
        <v>369</v>
      </c>
      <c r="B371" s="38">
        <v>1872</v>
      </c>
      <c r="C371" s="38">
        <v>1820</v>
      </c>
      <c r="D371" s="38">
        <v>883</v>
      </c>
      <c r="E371" s="38">
        <v>363</v>
      </c>
      <c r="F371" s="4">
        <v>186</v>
      </c>
      <c r="G371" s="4">
        <v>1008</v>
      </c>
      <c r="H371" s="38">
        <v>757</v>
      </c>
      <c r="I371" s="38">
        <v>834</v>
      </c>
      <c r="J371" s="7">
        <v>1033.55</v>
      </c>
      <c r="K371" s="38">
        <v>331100</v>
      </c>
      <c r="L371">
        <v>362.16962157699999</v>
      </c>
      <c r="M371">
        <v>11</v>
      </c>
      <c r="N371" s="37">
        <f>Rådatakommune[[#This Row],[B14]]/Rådatakommune[[#This Row],[Totalareal]]</f>
        <v>1.760921097189299</v>
      </c>
      <c r="O371" s="39">
        <f>Rådatakommune[[#This Row],[B14]]/Rådatakommune[[#This Row],[B04]]-1</f>
        <v>-2.777777777777779E-2</v>
      </c>
      <c r="P371" s="26">
        <f>Rådatakommune[[#This Row],[Kvinner20-39]]/Rådatakommune[[#This Row],[B14]]</f>
        <v>0.1021978021978022</v>
      </c>
      <c r="Q371" s="26">
        <f>Rådatakommune[[#This Row],[Eldre67+]]/Rådatakommune[[#This Row],[B14]]</f>
        <v>0.19945054945054946</v>
      </c>
      <c r="R371" s="26">
        <f>Rådatakommune[[#This Row],[S13]]/Rådatakommune[[#This Row],[S03]]-1</f>
        <v>0.10171730515191535</v>
      </c>
      <c r="S371" s="26">
        <f>Rådatakommune[[#This Row],[Y13]]/Rådatakommune[[#This Row],[Folk20-64]]</f>
        <v>0.87599206349206349</v>
      </c>
    </row>
    <row r="372" spans="1:19">
      <c r="A372" s="2" t="s">
        <v>370</v>
      </c>
      <c r="B372" s="38">
        <v>2209</v>
      </c>
      <c r="C372" s="38">
        <v>2000</v>
      </c>
      <c r="D372" s="38">
        <v>902</v>
      </c>
      <c r="E372" s="38">
        <v>384</v>
      </c>
      <c r="F372" s="4">
        <v>190</v>
      </c>
      <c r="G372" s="4">
        <v>1131</v>
      </c>
      <c r="H372" s="38">
        <v>849</v>
      </c>
      <c r="I372" s="38">
        <v>836</v>
      </c>
      <c r="J372" s="7">
        <v>1463.63</v>
      </c>
      <c r="K372" s="38">
        <v>318400</v>
      </c>
      <c r="L372">
        <v>333.8756979186</v>
      </c>
      <c r="M372">
        <v>11</v>
      </c>
      <c r="N372" s="37">
        <f>Rådatakommune[[#This Row],[B14]]/Rådatakommune[[#This Row],[Totalareal]]</f>
        <v>1.366465568483838</v>
      </c>
      <c r="O372" s="39">
        <f>Rådatakommune[[#This Row],[B14]]/Rådatakommune[[#This Row],[B04]]-1</f>
        <v>-9.4612947034857453E-2</v>
      </c>
      <c r="P372" s="26">
        <f>Rådatakommune[[#This Row],[Kvinner20-39]]/Rådatakommune[[#This Row],[B14]]</f>
        <v>9.5000000000000001E-2</v>
      </c>
      <c r="Q372" s="26">
        <f>Rådatakommune[[#This Row],[Eldre67+]]/Rådatakommune[[#This Row],[B14]]</f>
        <v>0.192</v>
      </c>
      <c r="R372" s="26">
        <f>Rådatakommune[[#This Row],[S13]]/Rådatakommune[[#This Row],[S03]]-1</f>
        <v>-1.5312131919905769E-2</v>
      </c>
      <c r="S372" s="26">
        <f>Rådatakommune[[#This Row],[Y13]]/Rådatakommune[[#This Row],[Folk20-64]]</f>
        <v>0.79752431476569408</v>
      </c>
    </row>
    <row r="373" spans="1:19">
      <c r="A373" s="2" t="s">
        <v>371</v>
      </c>
      <c r="B373" s="38">
        <v>2386</v>
      </c>
      <c r="C373" s="38">
        <v>2248</v>
      </c>
      <c r="D373" s="38">
        <v>1000</v>
      </c>
      <c r="E373" s="38">
        <v>480</v>
      </c>
      <c r="F373" s="4">
        <v>205</v>
      </c>
      <c r="G373" s="4">
        <v>1232</v>
      </c>
      <c r="H373" s="38">
        <v>988</v>
      </c>
      <c r="I373" s="38">
        <v>949</v>
      </c>
      <c r="J373" s="7">
        <v>527.48</v>
      </c>
      <c r="K373" s="38">
        <v>327200</v>
      </c>
      <c r="L373">
        <v>258.49374085709997</v>
      </c>
      <c r="M373">
        <v>11</v>
      </c>
      <c r="N373" s="37">
        <f>Rådatakommune[[#This Row],[B14]]/Rådatakommune[[#This Row],[Totalareal]]</f>
        <v>4.261772958216425</v>
      </c>
      <c r="O373" s="39">
        <f>Rådatakommune[[#This Row],[B14]]/Rådatakommune[[#This Row],[B04]]-1</f>
        <v>-5.7837384744341969E-2</v>
      </c>
      <c r="P373" s="26">
        <f>Rådatakommune[[#This Row],[Kvinner20-39]]/Rådatakommune[[#This Row],[B14]]</f>
        <v>9.1192170818505336E-2</v>
      </c>
      <c r="Q373" s="26">
        <f>Rådatakommune[[#This Row],[Eldre67+]]/Rådatakommune[[#This Row],[B14]]</f>
        <v>0.21352313167259787</v>
      </c>
      <c r="R373" s="26">
        <f>Rådatakommune[[#This Row],[S13]]/Rådatakommune[[#This Row],[S03]]-1</f>
        <v>-3.9473684210526327E-2</v>
      </c>
      <c r="S373" s="26">
        <f>Rådatakommune[[#This Row],[Y13]]/Rådatakommune[[#This Row],[Folk20-64]]</f>
        <v>0.81168831168831168</v>
      </c>
    </row>
    <row r="374" spans="1:19">
      <c r="A374" s="2" t="s">
        <v>372</v>
      </c>
      <c r="B374" s="38">
        <v>1448</v>
      </c>
      <c r="C374" s="38">
        <v>1256</v>
      </c>
      <c r="D374" s="38">
        <v>573</v>
      </c>
      <c r="E374" s="38">
        <v>301</v>
      </c>
      <c r="F374" s="4">
        <v>100</v>
      </c>
      <c r="G374" s="4">
        <v>663</v>
      </c>
      <c r="H374" s="38">
        <v>527</v>
      </c>
      <c r="I374" s="38">
        <v>500</v>
      </c>
      <c r="J374" s="7">
        <v>319.27</v>
      </c>
      <c r="K374" s="38">
        <v>331100</v>
      </c>
      <c r="L374">
        <v>223.53373469069999</v>
      </c>
      <c r="M374">
        <v>5</v>
      </c>
      <c r="N374" s="37">
        <f>Rådatakommune[[#This Row],[B14]]/Rådatakommune[[#This Row],[Totalareal]]</f>
        <v>3.9339743790522133</v>
      </c>
      <c r="O374" s="39">
        <f>Rådatakommune[[#This Row],[B14]]/Rådatakommune[[#This Row],[B04]]-1</f>
        <v>-0.13259668508287292</v>
      </c>
      <c r="P374" s="26">
        <f>Rådatakommune[[#This Row],[Kvinner20-39]]/Rådatakommune[[#This Row],[B14]]</f>
        <v>7.9617834394904455E-2</v>
      </c>
      <c r="Q374" s="26">
        <f>Rådatakommune[[#This Row],[Eldre67+]]/Rådatakommune[[#This Row],[B14]]</f>
        <v>0.23964968152866242</v>
      </c>
      <c r="R374" s="26">
        <f>Rådatakommune[[#This Row],[S13]]/Rådatakommune[[#This Row],[S03]]-1</f>
        <v>-5.1233396584440261E-2</v>
      </c>
      <c r="S374" s="26">
        <f>Rådatakommune[[#This Row],[Y13]]/Rådatakommune[[#This Row],[Folk20-64]]</f>
        <v>0.86425339366515841</v>
      </c>
    </row>
    <row r="375" spans="1:19">
      <c r="A375" s="2" t="s">
        <v>373</v>
      </c>
      <c r="B375" s="38">
        <v>1444</v>
      </c>
      <c r="C375" s="38">
        <v>1391</v>
      </c>
      <c r="D375" s="38">
        <v>580</v>
      </c>
      <c r="E375" s="38">
        <v>294</v>
      </c>
      <c r="F375" s="4">
        <v>132</v>
      </c>
      <c r="G375" s="4">
        <v>726</v>
      </c>
      <c r="H375" s="38">
        <v>654</v>
      </c>
      <c r="I375" s="38">
        <v>610</v>
      </c>
      <c r="J375" s="7">
        <v>252.77</v>
      </c>
      <c r="K375" s="38">
        <v>328000</v>
      </c>
      <c r="L375">
        <v>210.87046246760002</v>
      </c>
      <c r="M375">
        <v>5</v>
      </c>
      <c r="N375" s="37">
        <f>Rådatakommune[[#This Row],[B14]]/Rådatakommune[[#This Row],[Totalareal]]</f>
        <v>5.5030264667484268</v>
      </c>
      <c r="O375" s="39">
        <f>Rådatakommune[[#This Row],[B14]]/Rådatakommune[[#This Row],[B04]]-1</f>
        <v>-3.6703601108033279E-2</v>
      </c>
      <c r="P375" s="26">
        <f>Rådatakommune[[#This Row],[Kvinner20-39]]/Rådatakommune[[#This Row],[B14]]</f>
        <v>9.4895758447160319E-2</v>
      </c>
      <c r="Q375" s="26">
        <f>Rådatakommune[[#This Row],[Eldre67+]]/Rådatakommune[[#This Row],[B14]]</f>
        <v>0.2113587347232207</v>
      </c>
      <c r="R375" s="26">
        <f>Rådatakommune[[#This Row],[S13]]/Rådatakommune[[#This Row],[S03]]-1</f>
        <v>-6.7278287461773667E-2</v>
      </c>
      <c r="S375" s="26">
        <f>Rådatakommune[[#This Row],[Y13]]/Rådatakommune[[#This Row],[Folk20-64]]</f>
        <v>0.79889807162534432</v>
      </c>
    </row>
    <row r="376" spans="1:19">
      <c r="A376" s="2" t="s">
        <v>374</v>
      </c>
      <c r="B376" s="38">
        <v>2693</v>
      </c>
      <c r="C376" s="38">
        <v>2591</v>
      </c>
      <c r="D376" s="38">
        <v>1119</v>
      </c>
      <c r="E376" s="38">
        <v>504</v>
      </c>
      <c r="F376" s="4">
        <v>252</v>
      </c>
      <c r="G376" s="4">
        <v>1420</v>
      </c>
      <c r="H376" s="38">
        <v>876</v>
      </c>
      <c r="I376" s="38">
        <v>811</v>
      </c>
      <c r="J376" s="7">
        <v>932.19999999999993</v>
      </c>
      <c r="K376" s="38">
        <v>320800</v>
      </c>
      <c r="L376">
        <v>292.82049093099999</v>
      </c>
      <c r="M376">
        <v>5</v>
      </c>
      <c r="N376" s="37">
        <f>Rådatakommune[[#This Row],[B14]]/Rådatakommune[[#This Row],[Totalareal]]</f>
        <v>2.7794464707144391</v>
      </c>
      <c r="O376" s="39">
        <f>Rådatakommune[[#This Row],[B14]]/Rådatakommune[[#This Row],[B04]]-1</f>
        <v>-3.7875974749350116E-2</v>
      </c>
      <c r="P376" s="26">
        <f>Rådatakommune[[#This Row],[Kvinner20-39]]/Rådatakommune[[#This Row],[B14]]</f>
        <v>9.7259745272095716E-2</v>
      </c>
      <c r="Q376" s="26">
        <f>Rådatakommune[[#This Row],[Eldre67+]]/Rådatakommune[[#This Row],[B14]]</f>
        <v>0.19451949054419143</v>
      </c>
      <c r="R376" s="26">
        <f>Rådatakommune[[#This Row],[S13]]/Rådatakommune[[#This Row],[S03]]-1</f>
        <v>-7.420091324200917E-2</v>
      </c>
      <c r="S376" s="26">
        <f>Rådatakommune[[#This Row],[Y13]]/Rådatakommune[[#This Row],[Folk20-64]]</f>
        <v>0.78802816901408446</v>
      </c>
    </row>
    <row r="377" spans="1:19">
      <c r="A377" s="2" t="s">
        <v>375</v>
      </c>
      <c r="B377" s="38">
        <v>617</v>
      </c>
      <c r="C377" s="38">
        <v>566</v>
      </c>
      <c r="D377" s="38">
        <v>295</v>
      </c>
      <c r="E377" s="38">
        <v>94</v>
      </c>
      <c r="F377" s="4">
        <v>55</v>
      </c>
      <c r="G377" s="4">
        <v>334</v>
      </c>
      <c r="H377" s="38">
        <v>311</v>
      </c>
      <c r="I377" s="38">
        <v>276</v>
      </c>
      <c r="J377" s="7">
        <v>10.130000000000001</v>
      </c>
      <c r="K377" s="38">
        <v>359800</v>
      </c>
      <c r="L377">
        <v>241.53038907685001</v>
      </c>
      <c r="M377">
        <v>11</v>
      </c>
      <c r="N377" s="37">
        <f>Rådatakommune[[#This Row],[B14]]/Rådatakommune[[#This Row],[Totalareal]]</f>
        <v>55.873642645607106</v>
      </c>
      <c r="O377" s="39">
        <f>Rådatakommune[[#This Row],[B14]]/Rådatakommune[[#This Row],[B04]]-1</f>
        <v>-8.2658022690437649E-2</v>
      </c>
      <c r="P377" s="26">
        <f>Rådatakommune[[#This Row],[Kvinner20-39]]/Rådatakommune[[#This Row],[B14]]</f>
        <v>9.7173144876325085E-2</v>
      </c>
      <c r="Q377" s="26">
        <f>Rådatakommune[[#This Row],[Eldre67+]]/Rådatakommune[[#This Row],[B14]]</f>
        <v>0.16607773851590105</v>
      </c>
      <c r="R377" s="26">
        <f>Rådatakommune[[#This Row],[S13]]/Rådatakommune[[#This Row],[S03]]-1</f>
        <v>-0.112540192926045</v>
      </c>
      <c r="S377" s="26">
        <f>Rådatakommune[[#This Row],[Y13]]/Rådatakommune[[#This Row],[Folk20-64]]</f>
        <v>0.88323353293413176</v>
      </c>
    </row>
    <row r="378" spans="1:19">
      <c r="A378" s="2" t="s">
        <v>376</v>
      </c>
      <c r="B378" s="38">
        <v>759</v>
      </c>
      <c r="C378" s="38">
        <v>777</v>
      </c>
      <c r="D378" s="38">
        <v>408</v>
      </c>
      <c r="E378" s="38">
        <v>129</v>
      </c>
      <c r="F378" s="4">
        <v>86</v>
      </c>
      <c r="G378" s="4">
        <v>436</v>
      </c>
      <c r="H378" s="38">
        <v>371</v>
      </c>
      <c r="I378" s="38">
        <v>387</v>
      </c>
      <c r="J378" s="7">
        <v>18.64</v>
      </c>
      <c r="K378" s="38">
        <v>347700</v>
      </c>
      <c r="L378">
        <v>248.39309006892</v>
      </c>
      <c r="M378">
        <v>11</v>
      </c>
      <c r="N378" s="37">
        <f>Rådatakommune[[#This Row],[B14]]/Rådatakommune[[#This Row],[Totalareal]]</f>
        <v>41.684549356223172</v>
      </c>
      <c r="O378" s="39">
        <f>Rådatakommune[[#This Row],[B14]]/Rådatakommune[[#This Row],[B04]]-1</f>
        <v>2.3715415019762931E-2</v>
      </c>
      <c r="P378" s="26">
        <f>Rådatakommune[[#This Row],[Kvinner20-39]]/Rådatakommune[[#This Row],[B14]]</f>
        <v>0.11068211068211069</v>
      </c>
      <c r="Q378" s="26">
        <f>Rådatakommune[[#This Row],[Eldre67+]]/Rådatakommune[[#This Row],[B14]]</f>
        <v>0.16602316602316602</v>
      </c>
      <c r="R378" s="26">
        <f>Rådatakommune[[#This Row],[S13]]/Rådatakommune[[#This Row],[S03]]-1</f>
        <v>4.3126684636118684E-2</v>
      </c>
      <c r="S378" s="26">
        <f>Rådatakommune[[#This Row],[Y13]]/Rådatakommune[[#This Row],[Folk20-64]]</f>
        <v>0.93577981651376152</v>
      </c>
    </row>
    <row r="379" spans="1:19">
      <c r="A379" s="2" t="s">
        <v>377</v>
      </c>
      <c r="B379" s="38">
        <v>1484</v>
      </c>
      <c r="C379" s="38">
        <v>1368</v>
      </c>
      <c r="D379" s="38">
        <v>633</v>
      </c>
      <c r="E379" s="38">
        <v>277</v>
      </c>
      <c r="F379" s="4">
        <v>128</v>
      </c>
      <c r="G379" s="4">
        <v>728</v>
      </c>
      <c r="H379" s="38">
        <v>612</v>
      </c>
      <c r="I379" s="38">
        <v>565</v>
      </c>
      <c r="J379" s="7">
        <v>178.38</v>
      </c>
      <c r="K379" s="38">
        <v>337100</v>
      </c>
      <c r="L379">
        <v>267.30795825280001</v>
      </c>
      <c r="M379">
        <v>9</v>
      </c>
      <c r="N379" s="37">
        <f>Rådatakommune[[#This Row],[B14]]/Rådatakommune[[#This Row],[Totalareal]]</f>
        <v>7.6690211907164478</v>
      </c>
      <c r="O379" s="39">
        <f>Rådatakommune[[#This Row],[B14]]/Rådatakommune[[#This Row],[B04]]-1</f>
        <v>-7.816711590296499E-2</v>
      </c>
      <c r="P379" s="26">
        <f>Rådatakommune[[#This Row],[Kvinner20-39]]/Rådatakommune[[#This Row],[B14]]</f>
        <v>9.3567251461988299E-2</v>
      </c>
      <c r="Q379" s="26">
        <f>Rådatakommune[[#This Row],[Eldre67+]]/Rådatakommune[[#This Row],[B14]]</f>
        <v>0.20248538011695907</v>
      </c>
      <c r="R379" s="26">
        <f>Rådatakommune[[#This Row],[S13]]/Rådatakommune[[#This Row],[S03]]-1</f>
        <v>-7.6797385620914982E-2</v>
      </c>
      <c r="S379" s="26">
        <f>Rådatakommune[[#This Row],[Y13]]/Rådatakommune[[#This Row],[Folk20-64]]</f>
        <v>0.86950549450549453</v>
      </c>
    </row>
    <row r="380" spans="1:19">
      <c r="A380" s="2" t="s">
        <v>378</v>
      </c>
      <c r="B380" s="38">
        <v>10813</v>
      </c>
      <c r="C380" s="38">
        <v>10997</v>
      </c>
      <c r="D380" s="38">
        <v>5390</v>
      </c>
      <c r="E380" s="38">
        <v>1716</v>
      </c>
      <c r="F380" s="4">
        <v>1233</v>
      </c>
      <c r="G380" s="4">
        <v>6136</v>
      </c>
      <c r="H380" s="38">
        <v>4315</v>
      </c>
      <c r="I380" s="38">
        <v>5273</v>
      </c>
      <c r="J380" s="7">
        <v>424.63</v>
      </c>
      <c r="K380" s="38">
        <v>344100</v>
      </c>
      <c r="L380">
        <v>241.53765751212001</v>
      </c>
      <c r="M380">
        <v>9</v>
      </c>
      <c r="N380" s="37">
        <f>Rådatakommune[[#This Row],[B14]]/Rådatakommune[[#This Row],[Totalareal]]</f>
        <v>25.897840472882276</v>
      </c>
      <c r="O380" s="39">
        <f>Rådatakommune[[#This Row],[B14]]/Rådatakommune[[#This Row],[B04]]-1</f>
        <v>1.7016554147785135E-2</v>
      </c>
      <c r="P380" s="26">
        <f>Rådatakommune[[#This Row],[Kvinner20-39]]/Rådatakommune[[#This Row],[B14]]</f>
        <v>0.11212148767845777</v>
      </c>
      <c r="Q380" s="26">
        <f>Rådatakommune[[#This Row],[Eldre67+]]/Rådatakommune[[#This Row],[B14]]</f>
        <v>0.15604255706101663</v>
      </c>
      <c r="R380" s="26">
        <f>Rådatakommune[[#This Row],[S13]]/Rådatakommune[[#This Row],[S03]]-1</f>
        <v>0.22201622247972197</v>
      </c>
      <c r="S380" s="26">
        <f>Rådatakommune[[#This Row],[Y13]]/Rådatakommune[[#This Row],[Folk20-64]]</f>
        <v>0.87842242503259449</v>
      </c>
    </row>
    <row r="381" spans="1:19">
      <c r="A381" s="2" t="s">
        <v>379</v>
      </c>
      <c r="B381" s="38">
        <v>9052</v>
      </c>
      <c r="C381" s="38">
        <v>9223</v>
      </c>
      <c r="D381" s="38">
        <v>4630</v>
      </c>
      <c r="E381" s="38">
        <v>1444</v>
      </c>
      <c r="F381" s="4">
        <v>1081</v>
      </c>
      <c r="G381" s="4">
        <v>5366</v>
      </c>
      <c r="H381" s="38">
        <v>4087</v>
      </c>
      <c r="I381" s="38">
        <v>4436</v>
      </c>
      <c r="J381" s="7">
        <v>479.13</v>
      </c>
      <c r="K381" s="38">
        <v>344600</v>
      </c>
      <c r="L381">
        <v>245.31326180874001</v>
      </c>
      <c r="M381">
        <v>7</v>
      </c>
      <c r="N381" s="37">
        <f>Rådatakommune[[#This Row],[B14]]/Rådatakommune[[#This Row],[Totalareal]]</f>
        <v>19.249473003151547</v>
      </c>
      <c r="O381" s="39">
        <f>Rådatakommune[[#This Row],[B14]]/Rådatakommune[[#This Row],[B04]]-1</f>
        <v>1.8890852850198758E-2</v>
      </c>
      <c r="P381" s="26">
        <f>Rådatakommune[[#This Row],[Kvinner20-39]]/Rådatakommune[[#This Row],[B14]]</f>
        <v>0.1172069825436409</v>
      </c>
      <c r="Q381" s="26">
        <f>Rådatakommune[[#This Row],[Eldre67+]]/Rådatakommune[[#This Row],[B14]]</f>
        <v>0.15656510896671366</v>
      </c>
      <c r="R381" s="26">
        <f>Rådatakommune[[#This Row],[S13]]/Rådatakommune[[#This Row],[S03]]-1</f>
        <v>8.5392708588206467E-2</v>
      </c>
      <c r="S381" s="26">
        <f>Rådatakommune[[#This Row],[Y13]]/Rådatakommune[[#This Row],[Folk20-64]]</f>
        <v>0.86284010436079017</v>
      </c>
    </row>
    <row r="382" spans="1:19">
      <c r="A382" s="2" t="s">
        <v>380</v>
      </c>
      <c r="B382" s="38">
        <v>8039</v>
      </c>
      <c r="C382" s="38">
        <v>8112</v>
      </c>
      <c r="D382" s="38">
        <v>3907</v>
      </c>
      <c r="E382" s="38">
        <v>1434</v>
      </c>
      <c r="F382" s="4">
        <v>841</v>
      </c>
      <c r="G382" s="4">
        <v>4532</v>
      </c>
      <c r="H382" s="38">
        <v>3407</v>
      </c>
      <c r="I382" s="38">
        <v>3691</v>
      </c>
      <c r="J382" s="7">
        <v>566.55999999999995</v>
      </c>
      <c r="K382" s="38">
        <v>344100</v>
      </c>
      <c r="L382">
        <v>253.85781869707</v>
      </c>
      <c r="M382">
        <v>8</v>
      </c>
      <c r="N382" s="37">
        <f>Rådatakommune[[#This Row],[B14]]/Rådatakommune[[#This Row],[Totalareal]]</f>
        <v>14.317989268568203</v>
      </c>
      <c r="O382" s="39">
        <f>Rådatakommune[[#This Row],[B14]]/Rådatakommune[[#This Row],[B04]]-1</f>
        <v>9.080731434258027E-3</v>
      </c>
      <c r="P382" s="26">
        <f>Rådatakommune[[#This Row],[Kvinner20-39]]/Rådatakommune[[#This Row],[B14]]</f>
        <v>0.10367357001972387</v>
      </c>
      <c r="Q382" s="26">
        <f>Rådatakommune[[#This Row],[Eldre67+]]/Rådatakommune[[#This Row],[B14]]</f>
        <v>0.17677514792899407</v>
      </c>
      <c r="R382" s="26">
        <f>Rådatakommune[[#This Row],[S13]]/Rådatakommune[[#This Row],[S03]]-1</f>
        <v>8.3357792779571449E-2</v>
      </c>
      <c r="S382" s="26">
        <f>Rådatakommune[[#This Row],[Y13]]/Rådatakommune[[#This Row],[Folk20-64]]</f>
        <v>0.86209179170344219</v>
      </c>
    </row>
    <row r="383" spans="1:19">
      <c r="A383" s="2" t="s">
        <v>381</v>
      </c>
      <c r="B383" s="38">
        <v>3041</v>
      </c>
      <c r="C383" s="38">
        <v>2642</v>
      </c>
      <c r="D383" s="38">
        <v>1129</v>
      </c>
      <c r="E383" s="38">
        <v>684</v>
      </c>
      <c r="F383" s="4">
        <v>208</v>
      </c>
      <c r="G383" s="4">
        <v>1366</v>
      </c>
      <c r="H383" s="38">
        <v>1061</v>
      </c>
      <c r="I383" s="38">
        <v>938</v>
      </c>
      <c r="J383" s="7">
        <v>246.67</v>
      </c>
      <c r="K383" s="38">
        <v>309300</v>
      </c>
      <c r="L383">
        <v>311.784187116</v>
      </c>
      <c r="M383">
        <v>8</v>
      </c>
      <c r="N383" s="37">
        <f>Rådatakommune[[#This Row],[B14]]/Rådatakommune[[#This Row],[Totalareal]]</f>
        <v>10.710666072080107</v>
      </c>
      <c r="O383" s="39">
        <f>Rådatakommune[[#This Row],[B14]]/Rådatakommune[[#This Row],[B04]]-1</f>
        <v>-0.13120683985531079</v>
      </c>
      <c r="P383" s="26">
        <f>Rådatakommune[[#This Row],[Kvinner20-39]]/Rådatakommune[[#This Row],[B14]]</f>
        <v>7.8728236184708561E-2</v>
      </c>
      <c r="Q383" s="26">
        <f>Rådatakommune[[#This Row],[Eldre67+]]/Rådatakommune[[#This Row],[B14]]</f>
        <v>0.25889477668433003</v>
      </c>
      <c r="R383" s="26">
        <f>Rådatakommune[[#This Row],[S13]]/Rådatakommune[[#This Row],[S03]]-1</f>
        <v>-0.11592836946277096</v>
      </c>
      <c r="S383" s="26">
        <f>Rådatakommune[[#This Row],[Y13]]/Rådatakommune[[#This Row],[Folk20-64]]</f>
        <v>0.82650073206442165</v>
      </c>
    </row>
    <row r="384" spans="1:19">
      <c r="A384" s="2" t="s">
        <v>382</v>
      </c>
      <c r="B384" s="38">
        <v>4633</v>
      </c>
      <c r="C384" s="38">
        <v>4562</v>
      </c>
      <c r="D384" s="38">
        <v>2200</v>
      </c>
      <c r="E384" s="38">
        <v>713</v>
      </c>
      <c r="F384" s="4">
        <v>497</v>
      </c>
      <c r="G384" s="4">
        <v>2602</v>
      </c>
      <c r="H384" s="38">
        <v>1975</v>
      </c>
      <c r="I384" s="38">
        <v>1993</v>
      </c>
      <c r="J384" s="7">
        <v>319.5</v>
      </c>
      <c r="K384" s="38">
        <v>351300</v>
      </c>
      <c r="L384">
        <v>301.65483854989998</v>
      </c>
      <c r="M384">
        <v>8</v>
      </c>
      <c r="N384" s="37">
        <f>Rådatakommune[[#This Row],[B14]]/Rådatakommune[[#This Row],[Totalareal]]</f>
        <v>14.278560250391235</v>
      </c>
      <c r="O384" s="39">
        <f>Rådatakommune[[#This Row],[B14]]/Rådatakommune[[#This Row],[B04]]-1</f>
        <v>-1.5324843513921826E-2</v>
      </c>
      <c r="P384" s="26">
        <f>Rådatakommune[[#This Row],[Kvinner20-39]]/Rådatakommune[[#This Row],[B14]]</f>
        <v>0.10894344585708023</v>
      </c>
      <c r="Q384" s="26">
        <f>Rådatakommune[[#This Row],[Eldre67+]]/Rådatakommune[[#This Row],[B14]]</f>
        <v>0.15629110039456379</v>
      </c>
      <c r="R384" s="26">
        <f>Rådatakommune[[#This Row],[S13]]/Rådatakommune[[#This Row],[S03]]-1</f>
        <v>9.1139240506328267E-3</v>
      </c>
      <c r="S384" s="26">
        <f>Rådatakommune[[#This Row],[Y13]]/Rådatakommune[[#This Row],[Folk20-64]]</f>
        <v>0.84550345887778633</v>
      </c>
    </row>
    <row r="385" spans="1:19">
      <c r="A385" s="2" t="s">
        <v>383</v>
      </c>
      <c r="B385" s="38">
        <v>9509</v>
      </c>
      <c r="C385" s="38">
        <v>10129</v>
      </c>
      <c r="D385" s="38">
        <v>5060</v>
      </c>
      <c r="E385" s="38">
        <v>1403</v>
      </c>
      <c r="F385" s="4">
        <v>1157</v>
      </c>
      <c r="G385" s="4">
        <v>5847</v>
      </c>
      <c r="H385" s="38">
        <v>4825</v>
      </c>
      <c r="I385" s="38">
        <v>5183</v>
      </c>
      <c r="J385" s="7">
        <v>721.91</v>
      </c>
      <c r="K385" s="38">
        <v>351000</v>
      </c>
      <c r="L385">
        <v>266.07809050419996</v>
      </c>
      <c r="M385">
        <v>8</v>
      </c>
      <c r="N385" s="37">
        <f>Rådatakommune[[#This Row],[B14]]/Rådatakommune[[#This Row],[Totalareal]]</f>
        <v>14.030834868612432</v>
      </c>
      <c r="O385" s="39">
        <f>Rådatakommune[[#This Row],[B14]]/Rådatakommune[[#This Row],[B04]]-1</f>
        <v>6.5201388158586671E-2</v>
      </c>
      <c r="P385" s="26">
        <f>Rådatakommune[[#This Row],[Kvinner20-39]]/Rådatakommune[[#This Row],[B14]]</f>
        <v>0.11422647842827525</v>
      </c>
      <c r="Q385" s="26">
        <f>Rådatakommune[[#This Row],[Eldre67+]]/Rådatakommune[[#This Row],[B14]]</f>
        <v>0.13851317997828019</v>
      </c>
      <c r="R385" s="26">
        <f>Rådatakommune[[#This Row],[S13]]/Rådatakommune[[#This Row],[S03]]-1</f>
        <v>7.4196891191709913E-2</v>
      </c>
      <c r="S385" s="26">
        <f>Rådatakommune[[#This Row],[Y13]]/Rådatakommune[[#This Row],[Folk20-64]]</f>
        <v>0.86540106037284081</v>
      </c>
    </row>
    <row r="386" spans="1:19">
      <c r="A386" s="2" t="s">
        <v>384</v>
      </c>
      <c r="B386" s="38">
        <v>5430</v>
      </c>
      <c r="C386" s="38">
        <v>4993</v>
      </c>
      <c r="D386" s="38">
        <v>2323</v>
      </c>
      <c r="E386" s="38">
        <v>986</v>
      </c>
      <c r="F386" s="4">
        <v>480</v>
      </c>
      <c r="G386" s="4">
        <v>2694</v>
      </c>
      <c r="H386" s="38">
        <v>2616</v>
      </c>
      <c r="I386" s="38">
        <v>2517</v>
      </c>
      <c r="J386" s="7">
        <v>656.12</v>
      </c>
      <c r="K386" s="38">
        <v>350700</v>
      </c>
      <c r="L386">
        <v>251.44344475393001</v>
      </c>
      <c r="M386">
        <v>9</v>
      </c>
      <c r="N386" s="37">
        <f>Rådatakommune[[#This Row],[B14]]/Rådatakommune[[#This Row],[Totalareal]]</f>
        <v>7.6098884350423699</v>
      </c>
      <c r="O386" s="39">
        <f>Rådatakommune[[#This Row],[B14]]/Rådatakommune[[#This Row],[B04]]-1</f>
        <v>-8.0478821362799269E-2</v>
      </c>
      <c r="P386" s="26">
        <f>Rådatakommune[[#This Row],[Kvinner20-39]]/Rådatakommune[[#This Row],[B14]]</f>
        <v>9.6134588423793313E-2</v>
      </c>
      <c r="Q386" s="26">
        <f>Rådatakommune[[#This Row],[Eldre67+]]/Rådatakommune[[#This Row],[B14]]</f>
        <v>0.19747646705387542</v>
      </c>
      <c r="R386" s="26">
        <f>Rådatakommune[[#This Row],[S13]]/Rådatakommune[[#This Row],[S03]]-1</f>
        <v>-3.7844036697247674E-2</v>
      </c>
      <c r="S386" s="26">
        <f>Rådatakommune[[#This Row],[Y13]]/Rådatakommune[[#This Row],[Folk20-64]]</f>
        <v>0.862286562731997</v>
      </c>
    </row>
    <row r="387" spans="1:19">
      <c r="A387" s="2" t="s">
        <v>385</v>
      </c>
      <c r="B387" s="38">
        <v>1212</v>
      </c>
      <c r="C387" s="38">
        <v>1108</v>
      </c>
      <c r="D387" s="38">
        <v>549</v>
      </c>
      <c r="E387" s="38">
        <v>242</v>
      </c>
      <c r="F387" s="4">
        <v>106</v>
      </c>
      <c r="G387" s="4">
        <v>606</v>
      </c>
      <c r="H387" s="38">
        <v>517</v>
      </c>
      <c r="I387" s="38">
        <v>477</v>
      </c>
      <c r="J387" s="7">
        <v>118.62</v>
      </c>
      <c r="K387" s="38">
        <v>349400</v>
      </c>
      <c r="L387">
        <v>290.22977776059997</v>
      </c>
      <c r="M387">
        <v>11</v>
      </c>
      <c r="N387" s="37">
        <f>Rådatakommune[[#This Row],[B14]]/Rådatakommune[[#This Row],[Totalareal]]</f>
        <v>9.3407519811161688</v>
      </c>
      <c r="O387" s="39">
        <f>Rådatakommune[[#This Row],[B14]]/Rådatakommune[[#This Row],[B04]]-1</f>
        <v>-8.5808580858085848E-2</v>
      </c>
      <c r="P387" s="26">
        <f>Rådatakommune[[#This Row],[Kvinner20-39]]/Rådatakommune[[#This Row],[B14]]</f>
        <v>9.5667870036101083E-2</v>
      </c>
      <c r="Q387" s="26">
        <f>Rådatakommune[[#This Row],[Eldre67+]]/Rådatakommune[[#This Row],[B14]]</f>
        <v>0.21841155234657039</v>
      </c>
      <c r="R387" s="26">
        <f>Rådatakommune[[#This Row],[S13]]/Rådatakommune[[#This Row],[S03]]-1</f>
        <v>-7.7369439071566681E-2</v>
      </c>
      <c r="S387" s="26">
        <f>Rådatakommune[[#This Row],[Y13]]/Rådatakommune[[#This Row],[Folk20-64]]</f>
        <v>0.90594059405940597</v>
      </c>
    </row>
    <row r="388" spans="1:19">
      <c r="A388" s="2" t="s">
        <v>386</v>
      </c>
      <c r="B388" s="38">
        <v>61897</v>
      </c>
      <c r="C388" s="38">
        <v>71590</v>
      </c>
      <c r="D388" s="38">
        <v>39609</v>
      </c>
      <c r="E388" s="38">
        <v>7103</v>
      </c>
      <c r="F388" s="4">
        <v>10681</v>
      </c>
      <c r="G388" s="4">
        <v>45398</v>
      </c>
      <c r="H388" s="38">
        <v>35915</v>
      </c>
      <c r="I388" s="38">
        <v>41707</v>
      </c>
      <c r="J388" s="7">
        <v>2520.6000000000004</v>
      </c>
      <c r="K388" s="38">
        <v>389400</v>
      </c>
      <c r="L388">
        <v>216.34609367482</v>
      </c>
      <c r="M388">
        <v>4</v>
      </c>
      <c r="N388" s="37">
        <f>Rådatakommune[[#This Row],[B14]]/Rådatakommune[[#This Row],[Totalareal]]</f>
        <v>28.401967785447905</v>
      </c>
      <c r="O388" s="39">
        <f>Rådatakommune[[#This Row],[B14]]/Rådatakommune[[#This Row],[B04]]-1</f>
        <v>0.15659886585779592</v>
      </c>
      <c r="P388" s="26">
        <f>Rådatakommune[[#This Row],[Kvinner20-39]]/Rådatakommune[[#This Row],[B14]]</f>
        <v>0.14919681519765329</v>
      </c>
      <c r="Q388" s="26">
        <f>Rådatakommune[[#This Row],[Eldre67+]]/Rådatakommune[[#This Row],[B14]]</f>
        <v>9.921776784467104E-2</v>
      </c>
      <c r="R388" s="26">
        <f>Rådatakommune[[#This Row],[S13]]/Rådatakommune[[#This Row],[S03]]-1</f>
        <v>0.16126966448559088</v>
      </c>
      <c r="S388" s="26">
        <f>Rådatakommune[[#This Row],[Y13]]/Rådatakommune[[#This Row],[Folk20-64]]</f>
        <v>0.87248336931142345</v>
      </c>
    </row>
    <row r="389" spans="1:19" ht="16.5">
      <c r="A389" s="2" t="s">
        <v>387</v>
      </c>
      <c r="B389" s="40">
        <v>23692</v>
      </c>
      <c r="C389" s="38">
        <v>24441</v>
      </c>
      <c r="D389" s="38">
        <v>12344</v>
      </c>
      <c r="E389" s="38">
        <v>3627</v>
      </c>
      <c r="F389" s="4">
        <v>2997</v>
      </c>
      <c r="G389" s="4">
        <v>14294</v>
      </c>
      <c r="H389" s="38">
        <v>11635</v>
      </c>
      <c r="I389" s="38">
        <v>12352</v>
      </c>
      <c r="J389" s="7">
        <v>445.14000000000004</v>
      </c>
      <c r="K389" s="38">
        <v>369000</v>
      </c>
      <c r="L389">
        <v>235.3452336666</v>
      </c>
      <c r="M389">
        <v>5</v>
      </c>
      <c r="N389" s="37">
        <f>Rådatakommune[[#This Row],[B14]]/Rådatakommune[[#This Row],[Totalareal]]</f>
        <v>54.90632160668553</v>
      </c>
      <c r="O389" s="39">
        <f>Rådatakommune[[#This Row],[B14]]/Rådatakommune[[#This Row],[B04]]-1</f>
        <v>3.1614046935674489E-2</v>
      </c>
      <c r="P389" s="26">
        <f>Rådatakommune[[#This Row],[Kvinner20-39]]/Rådatakommune[[#This Row],[B14]]</f>
        <v>0.1226218239842887</v>
      </c>
      <c r="Q389" s="26">
        <f>Rådatakommune[[#This Row],[Eldre67+]]/Rådatakommune[[#This Row],[B14]]</f>
        <v>0.14839818338038541</v>
      </c>
      <c r="R389" s="26">
        <f>Rådatakommune[[#This Row],[S13]]/Rådatakommune[[#This Row],[S03]]-1</f>
        <v>6.1624409110442535E-2</v>
      </c>
      <c r="S389" s="26">
        <f>Rådatakommune[[#This Row],[Y13]]/Rådatakommune[[#This Row],[Folk20-64]]</f>
        <v>0.8635791241080174</v>
      </c>
    </row>
    <row r="390" spans="1:19">
      <c r="A390" s="2" t="s">
        <v>388</v>
      </c>
      <c r="B390" s="38">
        <v>3072</v>
      </c>
      <c r="C390" s="38">
        <v>3107</v>
      </c>
      <c r="D390" s="38">
        <v>1436</v>
      </c>
      <c r="E390" s="38">
        <v>512</v>
      </c>
      <c r="F390" s="4">
        <v>344</v>
      </c>
      <c r="G390" s="4">
        <v>1736</v>
      </c>
      <c r="H390" s="38">
        <v>1356</v>
      </c>
      <c r="I390" s="38">
        <v>1230</v>
      </c>
      <c r="J390" s="7">
        <v>512.55000000000007</v>
      </c>
      <c r="K390" s="38">
        <v>324000</v>
      </c>
      <c r="L390">
        <v>248.80440292559999</v>
      </c>
      <c r="M390">
        <v>5</v>
      </c>
      <c r="N390" s="37">
        <f>Rådatakommune[[#This Row],[B14]]/Rådatakommune[[#This Row],[Totalareal]]</f>
        <v>6.0618476246219872</v>
      </c>
      <c r="O390" s="39">
        <f>Rådatakommune[[#This Row],[B14]]/Rådatakommune[[#This Row],[B04]]-1</f>
        <v>1.1393229166666741E-2</v>
      </c>
      <c r="P390" s="26">
        <f>Rådatakommune[[#This Row],[Kvinner20-39]]/Rådatakommune[[#This Row],[B14]]</f>
        <v>0.1107177341486965</v>
      </c>
      <c r="Q390" s="26">
        <f>Rådatakommune[[#This Row],[Eldre67+]]/Rådatakommune[[#This Row],[B14]]</f>
        <v>0.16478918570968781</v>
      </c>
      <c r="R390" s="26">
        <f>Rådatakommune[[#This Row],[S13]]/Rådatakommune[[#This Row],[S03]]-1</f>
        <v>-9.2920353982300918E-2</v>
      </c>
      <c r="S390" s="26">
        <f>Rådatakommune[[#This Row],[Y13]]/Rådatakommune[[#This Row],[Folk20-64]]</f>
        <v>0.82718894009216593</v>
      </c>
    </row>
    <row r="391" spans="1:19">
      <c r="A391" s="2" t="s">
        <v>389</v>
      </c>
      <c r="B391" s="38">
        <v>3005</v>
      </c>
      <c r="C391" s="38">
        <v>2951</v>
      </c>
      <c r="D391" s="38">
        <v>1395</v>
      </c>
      <c r="E391" s="38">
        <v>550</v>
      </c>
      <c r="F391" s="4">
        <v>303</v>
      </c>
      <c r="G391" s="4">
        <v>1668</v>
      </c>
      <c r="H391" s="38">
        <v>1045</v>
      </c>
      <c r="I391" s="38">
        <v>930</v>
      </c>
      <c r="J391" s="7">
        <v>494.99</v>
      </c>
      <c r="K391" s="38">
        <v>334000</v>
      </c>
      <c r="L391">
        <v>212.67000667799999</v>
      </c>
      <c r="M391">
        <v>5</v>
      </c>
      <c r="N391" s="37">
        <f>Rådatakommune[[#This Row],[B14]]/Rådatakommune[[#This Row],[Totalareal]]</f>
        <v>5.9617366007394086</v>
      </c>
      <c r="O391" s="39">
        <f>Rådatakommune[[#This Row],[B14]]/Rådatakommune[[#This Row],[B04]]-1</f>
        <v>-1.7970049916805286E-2</v>
      </c>
      <c r="P391" s="26">
        <f>Rådatakommune[[#This Row],[Kvinner20-39]]/Rådatakommune[[#This Row],[B14]]</f>
        <v>0.10267705862419518</v>
      </c>
      <c r="Q391" s="26">
        <f>Rådatakommune[[#This Row],[Eldre67+]]/Rådatakommune[[#This Row],[B14]]</f>
        <v>0.18637749915282956</v>
      </c>
      <c r="R391" s="26">
        <f>Rådatakommune[[#This Row],[S13]]/Rådatakommune[[#This Row],[S03]]-1</f>
        <v>-0.11004784688995217</v>
      </c>
      <c r="S391" s="26">
        <f>Rådatakommune[[#This Row],[Y13]]/Rådatakommune[[#This Row],[Folk20-64]]</f>
        <v>0.83633093525179858</v>
      </c>
    </row>
    <row r="392" spans="1:19">
      <c r="A392" s="2" t="s">
        <v>390</v>
      </c>
      <c r="B392" s="38">
        <v>1696</v>
      </c>
      <c r="C392" s="38">
        <v>1436</v>
      </c>
      <c r="D392" s="38">
        <v>656</v>
      </c>
      <c r="E392" s="38">
        <v>374</v>
      </c>
      <c r="F392" s="4">
        <v>112</v>
      </c>
      <c r="G392" s="4">
        <v>738</v>
      </c>
      <c r="H392" s="38">
        <v>628</v>
      </c>
      <c r="I392" s="38">
        <v>568</v>
      </c>
      <c r="J392" s="7">
        <v>241.06</v>
      </c>
      <c r="K392" s="38">
        <v>316300</v>
      </c>
      <c r="L392">
        <v>289.06791315190003</v>
      </c>
      <c r="M392">
        <v>11</v>
      </c>
      <c r="N392" s="37">
        <f>Rådatakommune[[#This Row],[B14]]/Rådatakommune[[#This Row],[Totalareal]]</f>
        <v>5.9570231477640423</v>
      </c>
      <c r="O392" s="39">
        <f>Rådatakommune[[#This Row],[B14]]/Rådatakommune[[#This Row],[B04]]-1</f>
        <v>-0.15330188679245282</v>
      </c>
      <c r="P392" s="26">
        <f>Rådatakommune[[#This Row],[Kvinner20-39]]/Rådatakommune[[#This Row],[B14]]</f>
        <v>7.7994428969359333E-2</v>
      </c>
      <c r="Q392" s="26">
        <f>Rådatakommune[[#This Row],[Eldre67+]]/Rådatakommune[[#This Row],[B14]]</f>
        <v>0.26044568245125349</v>
      </c>
      <c r="R392" s="26">
        <f>Rådatakommune[[#This Row],[S13]]/Rådatakommune[[#This Row],[S03]]-1</f>
        <v>-9.5541401273885329E-2</v>
      </c>
      <c r="S392" s="26">
        <f>Rådatakommune[[#This Row],[Y13]]/Rådatakommune[[#This Row],[Folk20-64]]</f>
        <v>0.88888888888888884</v>
      </c>
    </row>
    <row r="393" spans="1:19">
      <c r="A393" s="2" t="s">
        <v>391</v>
      </c>
      <c r="B393" s="38">
        <v>1282</v>
      </c>
      <c r="C393" s="38">
        <v>1135</v>
      </c>
      <c r="D393" s="38">
        <v>523</v>
      </c>
      <c r="E393" s="38">
        <v>264</v>
      </c>
      <c r="F393" s="4">
        <v>100</v>
      </c>
      <c r="G393" s="4">
        <v>610</v>
      </c>
      <c r="H393" s="38">
        <v>428</v>
      </c>
      <c r="I393" s="38">
        <v>425</v>
      </c>
      <c r="J393" s="7">
        <v>312.73999999999995</v>
      </c>
      <c r="K393" s="38">
        <v>309000</v>
      </c>
      <c r="L393">
        <v>251.9552515629</v>
      </c>
      <c r="M393">
        <v>5</v>
      </c>
      <c r="N393" s="37">
        <f>Rådatakommune[[#This Row],[B14]]/Rådatakommune[[#This Row],[Totalareal]]</f>
        <v>3.6292127645967902</v>
      </c>
      <c r="O393" s="39">
        <f>Rådatakommune[[#This Row],[B14]]/Rådatakommune[[#This Row],[B04]]-1</f>
        <v>-0.11466458658346335</v>
      </c>
      <c r="P393" s="26">
        <f>Rådatakommune[[#This Row],[Kvinner20-39]]/Rådatakommune[[#This Row],[B14]]</f>
        <v>8.8105726872246701E-2</v>
      </c>
      <c r="Q393" s="26">
        <f>Rådatakommune[[#This Row],[Eldre67+]]/Rådatakommune[[#This Row],[B14]]</f>
        <v>0.23259911894273128</v>
      </c>
      <c r="R393" s="26">
        <f>Rådatakommune[[#This Row],[S13]]/Rådatakommune[[#This Row],[S03]]-1</f>
        <v>-7.0093457943924964E-3</v>
      </c>
      <c r="S393" s="26">
        <f>Rådatakommune[[#This Row],[Y13]]/Rådatakommune[[#This Row],[Folk20-64]]</f>
        <v>0.85737704918032787</v>
      </c>
    </row>
    <row r="394" spans="1:19">
      <c r="A394" s="2" t="s">
        <v>392</v>
      </c>
      <c r="B394" s="38">
        <v>1063</v>
      </c>
      <c r="C394" s="38">
        <v>1014</v>
      </c>
      <c r="D394" s="38">
        <v>441</v>
      </c>
      <c r="E394" s="38">
        <v>208</v>
      </c>
      <c r="F394" s="4">
        <v>100</v>
      </c>
      <c r="G394" s="4">
        <v>520</v>
      </c>
      <c r="H394" s="38">
        <v>366</v>
      </c>
      <c r="I394" s="38">
        <v>341</v>
      </c>
      <c r="J394" s="7">
        <v>301.63</v>
      </c>
      <c r="K394" s="38">
        <v>308300</v>
      </c>
      <c r="L394">
        <v>261.32889302299998</v>
      </c>
      <c r="M394">
        <v>11</v>
      </c>
      <c r="N394" s="37">
        <f>Rådatakommune[[#This Row],[B14]]/Rådatakommune[[#This Row],[Totalareal]]</f>
        <v>3.3617345754732622</v>
      </c>
      <c r="O394" s="39">
        <f>Rådatakommune[[#This Row],[B14]]/Rådatakommune[[#This Row],[B04]]-1</f>
        <v>-4.6095954844778908E-2</v>
      </c>
      <c r="P394" s="26">
        <f>Rådatakommune[[#This Row],[Kvinner20-39]]/Rådatakommune[[#This Row],[B14]]</f>
        <v>9.8619329388560162E-2</v>
      </c>
      <c r="Q394" s="26">
        <f>Rådatakommune[[#This Row],[Eldre67+]]/Rådatakommune[[#This Row],[B14]]</f>
        <v>0.20512820512820512</v>
      </c>
      <c r="R394" s="26">
        <f>Rådatakommune[[#This Row],[S13]]/Rådatakommune[[#This Row],[S03]]-1</f>
        <v>-6.8306010928961713E-2</v>
      </c>
      <c r="S394" s="26">
        <f>Rådatakommune[[#This Row],[Y13]]/Rådatakommune[[#This Row],[Folk20-64]]</f>
        <v>0.84807692307692306</v>
      </c>
    </row>
    <row r="395" spans="1:19">
      <c r="A395" s="2" t="s">
        <v>393</v>
      </c>
      <c r="B395" s="38">
        <v>3855</v>
      </c>
      <c r="C395" s="38">
        <v>3985</v>
      </c>
      <c r="D395" s="38">
        <v>2114</v>
      </c>
      <c r="E395" s="38">
        <v>621</v>
      </c>
      <c r="F395" s="4">
        <v>491</v>
      </c>
      <c r="G395" s="4">
        <v>2300</v>
      </c>
      <c r="H395" s="38">
        <v>1812</v>
      </c>
      <c r="I395" s="38">
        <v>1935</v>
      </c>
      <c r="J395" s="7">
        <v>2703.8700000000003</v>
      </c>
      <c r="K395" s="38">
        <v>372900</v>
      </c>
      <c r="L395">
        <v>228.4405748053</v>
      </c>
      <c r="M395">
        <v>9</v>
      </c>
      <c r="N395" s="37">
        <f>Rådatakommune[[#This Row],[B14]]/Rådatakommune[[#This Row],[Totalareal]]</f>
        <v>1.4738134599666401</v>
      </c>
      <c r="O395" s="39">
        <f>Rådatakommune[[#This Row],[B14]]/Rådatakommune[[#This Row],[B04]]-1</f>
        <v>3.3722438391699194E-2</v>
      </c>
      <c r="P395" s="26">
        <f>Rådatakommune[[#This Row],[Kvinner20-39]]/Rådatakommune[[#This Row],[B14]]</f>
        <v>0.12321204516938519</v>
      </c>
      <c r="Q395" s="26">
        <f>Rådatakommune[[#This Row],[Eldre67+]]/Rådatakommune[[#This Row],[B14]]</f>
        <v>0.15583437892095359</v>
      </c>
      <c r="R395" s="26">
        <f>Rådatakommune[[#This Row],[S13]]/Rådatakommune[[#This Row],[S03]]-1</f>
        <v>6.7880794701986824E-2</v>
      </c>
      <c r="S395" s="26">
        <f>Rådatakommune[[#This Row],[Y13]]/Rådatakommune[[#This Row],[Folk20-64]]</f>
        <v>0.9191304347826087</v>
      </c>
    </row>
    <row r="396" spans="1:19">
      <c r="A396" s="2" t="s">
        <v>394</v>
      </c>
      <c r="B396" s="38">
        <v>2265</v>
      </c>
      <c r="C396" s="38">
        <v>2223</v>
      </c>
      <c r="D396" s="38">
        <v>1062</v>
      </c>
      <c r="E396" s="38">
        <v>373</v>
      </c>
      <c r="F396" s="4">
        <v>224</v>
      </c>
      <c r="G396" s="4">
        <v>1210</v>
      </c>
      <c r="H396" s="38">
        <v>905</v>
      </c>
      <c r="I396" s="38">
        <v>974</v>
      </c>
      <c r="J396" s="7">
        <v>457.95000000000005</v>
      </c>
      <c r="K396" s="38">
        <v>313500</v>
      </c>
      <c r="L396">
        <v>252.56021968030001</v>
      </c>
      <c r="M396">
        <v>11</v>
      </c>
      <c r="N396" s="37">
        <f>Rådatakommune[[#This Row],[B14]]/Rådatakommune[[#This Row],[Totalareal]]</f>
        <v>4.8542417294464455</v>
      </c>
      <c r="O396" s="39">
        <f>Rådatakommune[[#This Row],[B14]]/Rådatakommune[[#This Row],[B04]]-1</f>
        <v>-1.8543046357615944E-2</v>
      </c>
      <c r="P396" s="26">
        <f>Rådatakommune[[#This Row],[Kvinner20-39]]/Rådatakommune[[#This Row],[B14]]</f>
        <v>0.10076473234367971</v>
      </c>
      <c r="Q396" s="26">
        <f>Rådatakommune[[#This Row],[Eldre67+]]/Rådatakommune[[#This Row],[B14]]</f>
        <v>0.16779127305443095</v>
      </c>
      <c r="R396" s="26">
        <f>Rådatakommune[[#This Row],[S13]]/Rådatakommune[[#This Row],[S03]]-1</f>
        <v>7.6243093922651939E-2</v>
      </c>
      <c r="S396" s="26">
        <f>Rådatakommune[[#This Row],[Y13]]/Rådatakommune[[#This Row],[Folk20-64]]</f>
        <v>0.87768595041322317</v>
      </c>
    </row>
    <row r="397" spans="1:19">
      <c r="A397" s="2" t="s">
        <v>395</v>
      </c>
      <c r="B397" s="38">
        <v>6739</v>
      </c>
      <c r="C397" s="38">
        <v>6634</v>
      </c>
      <c r="D397" s="38">
        <v>3512</v>
      </c>
      <c r="E397" s="38">
        <v>1038</v>
      </c>
      <c r="F397" s="4">
        <v>739</v>
      </c>
      <c r="G397" s="4">
        <v>3880</v>
      </c>
      <c r="H397" s="38">
        <v>3695</v>
      </c>
      <c r="I397" s="38">
        <v>3754</v>
      </c>
      <c r="J397" s="7">
        <v>3322.0899999999997</v>
      </c>
      <c r="K397" s="38">
        <v>374300</v>
      </c>
      <c r="L397">
        <v>216.8616996666</v>
      </c>
      <c r="M397">
        <v>9</v>
      </c>
      <c r="N397" s="37">
        <f>Rådatakommune[[#This Row],[B14]]/Rådatakommune[[#This Row],[Totalareal]]</f>
        <v>1.9969356639946541</v>
      </c>
      <c r="O397" s="39">
        <f>Rådatakommune[[#This Row],[B14]]/Rådatakommune[[#This Row],[B04]]-1</f>
        <v>-1.5580946728001144E-2</v>
      </c>
      <c r="P397" s="26">
        <f>Rådatakommune[[#This Row],[Kvinner20-39]]/Rådatakommune[[#This Row],[B14]]</f>
        <v>0.11139583961410914</v>
      </c>
      <c r="Q397" s="26">
        <f>Rådatakommune[[#This Row],[Eldre67+]]/Rådatakommune[[#This Row],[B14]]</f>
        <v>0.15646668676514924</v>
      </c>
      <c r="R397" s="26">
        <f>Rådatakommune[[#This Row],[S13]]/Rådatakommune[[#This Row],[S03]]-1</f>
        <v>1.5967523680649576E-2</v>
      </c>
      <c r="S397" s="26">
        <f>Rådatakommune[[#This Row],[Y13]]/Rådatakommune[[#This Row],[Folk20-64]]</f>
        <v>0.90515463917525774</v>
      </c>
    </row>
    <row r="398" spans="1:19">
      <c r="A398" s="2" t="s">
        <v>396</v>
      </c>
      <c r="B398" s="38">
        <v>3326</v>
      </c>
      <c r="C398" s="38">
        <v>3450</v>
      </c>
      <c r="D398" s="38">
        <v>1704</v>
      </c>
      <c r="E398" s="38">
        <v>534</v>
      </c>
      <c r="F398" s="4">
        <v>362</v>
      </c>
      <c r="G398" s="4">
        <v>1943</v>
      </c>
      <c r="H398" s="38">
        <v>1150</v>
      </c>
      <c r="I398" s="38">
        <v>1056</v>
      </c>
      <c r="J398" s="7">
        <v>361.15999999999997</v>
      </c>
      <c r="K398" s="38">
        <v>355700</v>
      </c>
      <c r="L398">
        <v>226.4939345464</v>
      </c>
      <c r="M398">
        <v>8</v>
      </c>
      <c r="N398" s="37">
        <f>Rådatakommune[[#This Row],[B14]]/Rådatakommune[[#This Row],[Totalareal]]</f>
        <v>9.5525528851478576</v>
      </c>
      <c r="O398" s="39">
        <f>Rådatakommune[[#This Row],[B14]]/Rådatakommune[[#This Row],[B04]]-1</f>
        <v>3.7282020444978858E-2</v>
      </c>
      <c r="P398" s="26">
        <f>Rådatakommune[[#This Row],[Kvinner20-39]]/Rådatakommune[[#This Row],[B14]]</f>
        <v>0.10492753623188406</v>
      </c>
      <c r="Q398" s="26">
        <f>Rådatakommune[[#This Row],[Eldre67+]]/Rådatakommune[[#This Row],[B14]]</f>
        <v>0.15478260869565216</v>
      </c>
      <c r="R398" s="26">
        <f>Rådatakommune[[#This Row],[S13]]/Rådatakommune[[#This Row],[S03]]-1</f>
        <v>-8.1739130434782648E-2</v>
      </c>
      <c r="S398" s="26">
        <f>Rådatakommune[[#This Row],[Y13]]/Rådatakommune[[#This Row],[Folk20-64]]</f>
        <v>0.87699433865156973</v>
      </c>
    </row>
    <row r="399" spans="1:19">
      <c r="A399" s="2" t="s">
        <v>397</v>
      </c>
      <c r="B399" s="38">
        <v>1303</v>
      </c>
      <c r="C399" s="38">
        <v>1171</v>
      </c>
      <c r="D399" s="38">
        <v>527</v>
      </c>
      <c r="E399" s="38">
        <v>257</v>
      </c>
      <c r="F399" s="4">
        <v>96</v>
      </c>
      <c r="G399" s="4">
        <v>625</v>
      </c>
      <c r="H399" s="38">
        <v>410</v>
      </c>
      <c r="I399" s="38">
        <v>380</v>
      </c>
      <c r="J399" s="7">
        <v>288.53999999999996</v>
      </c>
      <c r="K399" s="38">
        <v>320400</v>
      </c>
      <c r="L399">
        <v>251.21005640039999</v>
      </c>
      <c r="M399">
        <v>8</v>
      </c>
      <c r="N399" s="37">
        <f>Rådatakommune[[#This Row],[B14]]/Rådatakommune[[#This Row],[Totalareal]]</f>
        <v>4.0583627919872463</v>
      </c>
      <c r="O399" s="39">
        <f>Rådatakommune[[#This Row],[B14]]/Rådatakommune[[#This Row],[B04]]-1</f>
        <v>-0.10130468150422101</v>
      </c>
      <c r="P399" s="26">
        <f>Rådatakommune[[#This Row],[Kvinner20-39]]/Rådatakommune[[#This Row],[B14]]</f>
        <v>8.1981212638770284E-2</v>
      </c>
      <c r="Q399" s="26">
        <f>Rådatakommune[[#This Row],[Eldre67+]]/Rådatakommune[[#This Row],[B14]]</f>
        <v>0.21947053800170793</v>
      </c>
      <c r="R399" s="26">
        <f>Rådatakommune[[#This Row],[S13]]/Rådatakommune[[#This Row],[S03]]-1</f>
        <v>-7.3170731707317027E-2</v>
      </c>
      <c r="S399" s="26">
        <f>Rådatakommune[[#This Row],[Y13]]/Rådatakommune[[#This Row],[Folk20-64]]</f>
        <v>0.84319999999999995</v>
      </c>
    </row>
    <row r="400" spans="1:19">
      <c r="A400" s="2" t="s">
        <v>398</v>
      </c>
      <c r="B400" s="38">
        <v>1662</v>
      </c>
      <c r="C400" s="38">
        <v>1510</v>
      </c>
      <c r="D400" s="38">
        <v>662</v>
      </c>
      <c r="E400" s="38">
        <v>336</v>
      </c>
      <c r="F400" s="4">
        <v>139</v>
      </c>
      <c r="G400" s="4">
        <v>773</v>
      </c>
      <c r="H400" s="38">
        <v>544</v>
      </c>
      <c r="I400" s="38">
        <v>528</v>
      </c>
      <c r="J400" s="7">
        <v>523.87</v>
      </c>
      <c r="K400" s="38">
        <v>326700</v>
      </c>
      <c r="L400">
        <v>262.17896690919997</v>
      </c>
      <c r="M400">
        <v>8</v>
      </c>
      <c r="N400" s="37">
        <f>Rådatakommune[[#This Row],[B14]]/Rådatakommune[[#This Row],[Totalareal]]</f>
        <v>2.8823944871819345</v>
      </c>
      <c r="O400" s="39">
        <f>Rådatakommune[[#This Row],[B14]]/Rådatakommune[[#This Row],[B04]]-1</f>
        <v>-9.1456077015643844E-2</v>
      </c>
      <c r="P400" s="26">
        <f>Rådatakommune[[#This Row],[Kvinner20-39]]/Rådatakommune[[#This Row],[B14]]</f>
        <v>9.2052980132450335E-2</v>
      </c>
      <c r="Q400" s="26">
        <f>Rådatakommune[[#This Row],[Eldre67+]]/Rådatakommune[[#This Row],[B14]]</f>
        <v>0.22251655629139072</v>
      </c>
      <c r="R400" s="26">
        <f>Rådatakommune[[#This Row],[S13]]/Rådatakommune[[#This Row],[S03]]-1</f>
        <v>-2.9411764705882359E-2</v>
      </c>
      <c r="S400" s="26">
        <f>Rådatakommune[[#This Row],[Y13]]/Rådatakommune[[#This Row],[Folk20-64]]</f>
        <v>0.85640362225097022</v>
      </c>
    </row>
    <row r="401" spans="1:19">
      <c r="A401" s="2" t="s">
        <v>399</v>
      </c>
      <c r="B401" s="38">
        <v>1087</v>
      </c>
      <c r="C401" s="38">
        <v>878</v>
      </c>
      <c r="D401" s="38">
        <v>412</v>
      </c>
      <c r="E401" s="38">
        <v>209</v>
      </c>
      <c r="F401" s="4">
        <v>74</v>
      </c>
      <c r="G401" s="4">
        <v>467</v>
      </c>
      <c r="H401" s="38">
        <v>477</v>
      </c>
      <c r="I401" s="38">
        <v>350</v>
      </c>
      <c r="J401" s="7">
        <v>243.42000000000002</v>
      </c>
      <c r="K401" s="38">
        <v>324800</v>
      </c>
      <c r="L401">
        <v>302.26115858259999</v>
      </c>
      <c r="M401">
        <v>11</v>
      </c>
      <c r="N401" s="37">
        <f>Rådatakommune[[#This Row],[B14]]/Rådatakommune[[#This Row],[Totalareal]]</f>
        <v>3.6069345164735847</v>
      </c>
      <c r="O401" s="39">
        <f>Rådatakommune[[#This Row],[B14]]/Rådatakommune[[#This Row],[B04]]-1</f>
        <v>-0.19227230910763571</v>
      </c>
      <c r="P401" s="26">
        <f>Rådatakommune[[#This Row],[Kvinner20-39]]/Rådatakommune[[#This Row],[B14]]</f>
        <v>8.4282460136674259E-2</v>
      </c>
      <c r="Q401" s="26">
        <f>Rådatakommune[[#This Row],[Eldre67+]]/Rådatakommune[[#This Row],[B14]]</f>
        <v>0.23804100227790434</v>
      </c>
      <c r="R401" s="26">
        <f>Rådatakommune[[#This Row],[S13]]/Rådatakommune[[#This Row],[S03]]-1</f>
        <v>-0.2662473794549266</v>
      </c>
      <c r="S401" s="26">
        <f>Rådatakommune[[#This Row],[Y13]]/Rådatakommune[[#This Row],[Folk20-64]]</f>
        <v>0.88222698072805139</v>
      </c>
    </row>
    <row r="402" spans="1:19">
      <c r="A402" s="2" t="s">
        <v>400</v>
      </c>
      <c r="B402" s="38">
        <v>1043</v>
      </c>
      <c r="C402" s="38">
        <v>918</v>
      </c>
      <c r="D402" s="38">
        <v>453</v>
      </c>
      <c r="E402" s="38">
        <v>182</v>
      </c>
      <c r="F402" s="4">
        <v>96</v>
      </c>
      <c r="G402" s="4">
        <v>535</v>
      </c>
      <c r="H402" s="38">
        <v>378</v>
      </c>
      <c r="I402" s="38">
        <v>458</v>
      </c>
      <c r="J402" s="7">
        <v>293.89</v>
      </c>
      <c r="K402" s="38">
        <v>335500</v>
      </c>
      <c r="L402">
        <v>295.20740193410001</v>
      </c>
      <c r="M402">
        <v>11</v>
      </c>
      <c r="N402" s="37">
        <f>Rådatakommune[[#This Row],[B14]]/Rådatakommune[[#This Row],[Totalareal]]</f>
        <v>3.1236176800843856</v>
      </c>
      <c r="O402" s="39">
        <f>Rådatakommune[[#This Row],[B14]]/Rådatakommune[[#This Row],[B04]]-1</f>
        <v>-0.1198465963566635</v>
      </c>
      <c r="P402" s="26">
        <f>Rådatakommune[[#This Row],[Kvinner20-39]]/Rådatakommune[[#This Row],[B14]]</f>
        <v>0.10457516339869281</v>
      </c>
      <c r="Q402" s="26">
        <f>Rådatakommune[[#This Row],[Eldre67+]]/Rådatakommune[[#This Row],[B14]]</f>
        <v>0.19825708061002179</v>
      </c>
      <c r="R402" s="26">
        <f>Rådatakommune[[#This Row],[S13]]/Rådatakommune[[#This Row],[S03]]-1</f>
        <v>0.21164021164021163</v>
      </c>
      <c r="S402" s="26">
        <f>Rådatakommune[[#This Row],[Y13]]/Rådatakommune[[#This Row],[Folk20-64]]</f>
        <v>0.84672897196261687</v>
      </c>
    </row>
    <row r="403" spans="1:19">
      <c r="A403" s="2" t="s">
        <v>401</v>
      </c>
      <c r="B403" s="38">
        <v>11107</v>
      </c>
      <c r="C403" s="38">
        <v>11557</v>
      </c>
      <c r="D403" s="38">
        <v>5595</v>
      </c>
      <c r="E403" s="38">
        <v>1704</v>
      </c>
      <c r="F403" s="4">
        <v>1278</v>
      </c>
      <c r="G403" s="4">
        <v>6480</v>
      </c>
      <c r="H403" s="38">
        <v>5285</v>
      </c>
      <c r="I403" s="38">
        <v>5866</v>
      </c>
      <c r="J403" s="7">
        <v>883.73</v>
      </c>
      <c r="K403" s="38">
        <v>352900</v>
      </c>
      <c r="L403">
        <v>244.79775534800001</v>
      </c>
      <c r="M403">
        <v>8</v>
      </c>
      <c r="N403" s="37">
        <f>Rådatakommune[[#This Row],[B14]]/Rådatakommune[[#This Row],[Totalareal]]</f>
        <v>13.077523678046463</v>
      </c>
      <c r="O403" s="39">
        <f>Rådatakommune[[#This Row],[B14]]/Rådatakommune[[#This Row],[B04]]-1</f>
        <v>4.0514990546502316E-2</v>
      </c>
      <c r="P403" s="26">
        <f>Rådatakommune[[#This Row],[Kvinner20-39]]/Rådatakommune[[#This Row],[B14]]</f>
        <v>0.110582331054772</v>
      </c>
      <c r="Q403" s="26">
        <f>Rådatakommune[[#This Row],[Eldre67+]]/Rådatakommune[[#This Row],[B14]]</f>
        <v>0.14744310807302932</v>
      </c>
      <c r="R403" s="26">
        <f>Rådatakommune[[#This Row],[S13]]/Rådatakommune[[#This Row],[S03]]-1</f>
        <v>0.10993377483443711</v>
      </c>
      <c r="S403" s="26">
        <f>Rådatakommune[[#This Row],[Y13]]/Rådatakommune[[#This Row],[Folk20-64]]</f>
        <v>0.86342592592592593</v>
      </c>
    </row>
    <row r="404" spans="1:19">
      <c r="A404" s="2" t="s">
        <v>402</v>
      </c>
      <c r="B404" s="38">
        <v>5611</v>
      </c>
      <c r="C404" s="38">
        <v>5593</v>
      </c>
      <c r="D404" s="38">
        <v>2698</v>
      </c>
      <c r="E404" s="38">
        <v>1110</v>
      </c>
      <c r="F404" s="4">
        <v>517</v>
      </c>
      <c r="G404" s="4">
        <v>3048</v>
      </c>
      <c r="H404" s="38">
        <v>2226</v>
      </c>
      <c r="I404" s="38">
        <v>2412</v>
      </c>
      <c r="J404" s="7">
        <v>1496.9</v>
      </c>
      <c r="K404" s="38">
        <v>327100</v>
      </c>
      <c r="L404">
        <v>245.63374009559999</v>
      </c>
      <c r="M404">
        <v>5</v>
      </c>
      <c r="N404" s="37">
        <f>Rådatakommune[[#This Row],[B14]]/Rådatakommune[[#This Row],[Totalareal]]</f>
        <v>3.7363885363083704</v>
      </c>
      <c r="O404" s="39">
        <f>Rådatakommune[[#This Row],[B14]]/Rådatakommune[[#This Row],[B04]]-1</f>
        <v>-3.2079843165211397E-3</v>
      </c>
      <c r="P404" s="26">
        <f>Rådatakommune[[#This Row],[Kvinner20-39]]/Rådatakommune[[#This Row],[B14]]</f>
        <v>9.2436974789915971E-2</v>
      </c>
      <c r="Q404" s="26">
        <f>Rådatakommune[[#This Row],[Eldre67+]]/Rådatakommune[[#This Row],[B14]]</f>
        <v>0.19846236366887179</v>
      </c>
      <c r="R404" s="26">
        <f>Rådatakommune[[#This Row],[S13]]/Rådatakommune[[#This Row],[S03]]-1</f>
        <v>8.3557951482479798E-2</v>
      </c>
      <c r="S404" s="26">
        <f>Rådatakommune[[#This Row],[Y13]]/Rådatakommune[[#This Row],[Folk20-64]]</f>
        <v>0.8851706036745407</v>
      </c>
    </row>
    <row r="405" spans="1:19">
      <c r="A405" s="2" t="s">
        <v>403</v>
      </c>
      <c r="B405" s="38">
        <v>2406</v>
      </c>
      <c r="C405" s="38">
        <v>2334</v>
      </c>
      <c r="D405" s="38">
        <v>1164</v>
      </c>
      <c r="E405" s="38">
        <v>487</v>
      </c>
      <c r="F405" s="4">
        <v>228</v>
      </c>
      <c r="G405" s="4">
        <v>1315</v>
      </c>
      <c r="H405" s="38">
        <v>966</v>
      </c>
      <c r="I405" s="38">
        <v>974</v>
      </c>
      <c r="J405" s="7">
        <v>1091.5900000000001</v>
      </c>
      <c r="K405" s="38">
        <v>330100</v>
      </c>
      <c r="L405">
        <v>260.99889813959999</v>
      </c>
      <c r="M405">
        <v>4</v>
      </c>
      <c r="N405" s="37">
        <f>Rådatakommune[[#This Row],[B14]]/Rådatakommune[[#This Row],[Totalareal]]</f>
        <v>2.1381654284117659</v>
      </c>
      <c r="O405" s="39">
        <f>Rådatakommune[[#This Row],[B14]]/Rådatakommune[[#This Row],[B04]]-1</f>
        <v>-2.9925187032418976E-2</v>
      </c>
      <c r="P405" s="26">
        <f>Rådatakommune[[#This Row],[Kvinner20-39]]/Rådatakommune[[#This Row],[B14]]</f>
        <v>9.7686375321336755E-2</v>
      </c>
      <c r="Q405" s="26">
        <f>Rådatakommune[[#This Row],[Eldre67+]]/Rådatakommune[[#This Row],[B14]]</f>
        <v>0.20865467009425878</v>
      </c>
      <c r="R405" s="26">
        <f>Rådatakommune[[#This Row],[S13]]/Rådatakommune[[#This Row],[S03]]-1</f>
        <v>8.2815734989647449E-3</v>
      </c>
      <c r="S405" s="26">
        <f>Rådatakommune[[#This Row],[Y13]]/Rådatakommune[[#This Row],[Folk20-64]]</f>
        <v>0.88517110266159693</v>
      </c>
    </row>
    <row r="406" spans="1:19">
      <c r="A406" s="2" t="s">
        <v>404</v>
      </c>
      <c r="B406" s="38">
        <v>3167</v>
      </c>
      <c r="C406" s="38">
        <v>2992</v>
      </c>
      <c r="D406" s="38">
        <v>1442</v>
      </c>
      <c r="E406" s="38">
        <v>618</v>
      </c>
      <c r="F406" s="4">
        <v>288</v>
      </c>
      <c r="G406" s="4">
        <v>1600</v>
      </c>
      <c r="H406" s="38">
        <v>1293</v>
      </c>
      <c r="I406" s="38">
        <v>1304</v>
      </c>
      <c r="J406" s="7">
        <v>812.57</v>
      </c>
      <c r="K406" s="38">
        <v>328800</v>
      </c>
      <c r="L406">
        <v>297.40674266389999</v>
      </c>
      <c r="M406">
        <v>11</v>
      </c>
      <c r="N406" s="37">
        <f>Rådatakommune[[#This Row],[B14]]/Rådatakommune[[#This Row],[Totalareal]]</f>
        <v>3.6821443075673477</v>
      </c>
      <c r="O406" s="39">
        <f>Rådatakommune[[#This Row],[B14]]/Rådatakommune[[#This Row],[B04]]-1</f>
        <v>-5.5257341332491272E-2</v>
      </c>
      <c r="P406" s="26">
        <f>Rådatakommune[[#This Row],[Kvinner20-39]]/Rådatakommune[[#This Row],[B14]]</f>
        <v>9.6256684491978606E-2</v>
      </c>
      <c r="Q406" s="26">
        <f>Rådatakommune[[#This Row],[Eldre67+]]/Rådatakommune[[#This Row],[B14]]</f>
        <v>0.20655080213903743</v>
      </c>
      <c r="R406" s="26">
        <f>Rådatakommune[[#This Row],[S13]]/Rådatakommune[[#This Row],[S03]]-1</f>
        <v>8.5073472544470174E-3</v>
      </c>
      <c r="S406" s="26">
        <f>Rådatakommune[[#This Row],[Y13]]/Rådatakommune[[#This Row],[Folk20-64]]</f>
        <v>0.90125</v>
      </c>
    </row>
    <row r="407" spans="1:19">
      <c r="A407" s="2" t="s">
        <v>405</v>
      </c>
      <c r="B407" s="38">
        <v>1912</v>
      </c>
      <c r="C407" s="38">
        <v>1941</v>
      </c>
      <c r="D407" s="38">
        <v>934</v>
      </c>
      <c r="E407" s="38">
        <v>288</v>
      </c>
      <c r="F407" s="4">
        <v>194</v>
      </c>
      <c r="G407" s="4">
        <v>1114</v>
      </c>
      <c r="H407" s="38">
        <v>644</v>
      </c>
      <c r="I407" s="38">
        <v>723</v>
      </c>
      <c r="J407" s="7">
        <v>1542.83</v>
      </c>
      <c r="K407" s="38">
        <v>318000</v>
      </c>
      <c r="L407">
        <v>271.22734960870002</v>
      </c>
      <c r="M407">
        <v>10</v>
      </c>
      <c r="N407" s="37">
        <f>Rådatakommune[[#This Row],[B14]]/Rådatakommune[[#This Row],[Totalareal]]</f>
        <v>1.2580776884037774</v>
      </c>
      <c r="O407" s="39">
        <f>Rådatakommune[[#This Row],[B14]]/Rådatakommune[[#This Row],[B04]]-1</f>
        <v>1.5167364016736462E-2</v>
      </c>
      <c r="P407" s="26">
        <f>Rådatakommune[[#This Row],[Kvinner20-39]]/Rådatakommune[[#This Row],[B14]]</f>
        <v>9.9948480164863476E-2</v>
      </c>
      <c r="Q407" s="26">
        <f>Rådatakommune[[#This Row],[Eldre67+]]/Rådatakommune[[#This Row],[B14]]</f>
        <v>0.14837712519319937</v>
      </c>
      <c r="R407" s="26">
        <f>Rådatakommune[[#This Row],[S13]]/Rådatakommune[[#This Row],[S03]]-1</f>
        <v>0.12267080745341619</v>
      </c>
      <c r="S407" s="26">
        <f>Rådatakommune[[#This Row],[Y13]]/Rådatakommune[[#This Row],[Folk20-64]]</f>
        <v>0.83842010771992814</v>
      </c>
    </row>
    <row r="408" spans="1:19">
      <c r="A408" s="2" t="s">
        <v>406</v>
      </c>
      <c r="B408" s="38">
        <v>2332</v>
      </c>
      <c r="C408" s="38">
        <v>2221</v>
      </c>
      <c r="D408" s="38">
        <v>1031</v>
      </c>
      <c r="E408" s="38">
        <v>460</v>
      </c>
      <c r="F408" s="4">
        <v>210</v>
      </c>
      <c r="G408" s="4">
        <v>1229</v>
      </c>
      <c r="H408" s="38">
        <v>692</v>
      </c>
      <c r="I408" s="38">
        <v>718</v>
      </c>
      <c r="J408" s="7">
        <v>991.18000000000006</v>
      </c>
      <c r="K408" s="38">
        <v>293100</v>
      </c>
      <c r="L408">
        <v>297.9257134513</v>
      </c>
      <c r="M408">
        <v>11</v>
      </c>
      <c r="N408" s="37">
        <f>Rådatakommune[[#This Row],[B14]]/Rådatakommune[[#This Row],[Totalareal]]</f>
        <v>2.2407635343731713</v>
      </c>
      <c r="O408" s="39">
        <f>Rådatakommune[[#This Row],[B14]]/Rådatakommune[[#This Row],[B04]]-1</f>
        <v>-4.7598627787307057E-2</v>
      </c>
      <c r="P408" s="26">
        <f>Rådatakommune[[#This Row],[Kvinner20-39]]/Rådatakommune[[#This Row],[B14]]</f>
        <v>9.4552003601981086E-2</v>
      </c>
      <c r="Q408" s="26">
        <f>Rådatakommune[[#This Row],[Eldre67+]]/Rådatakommune[[#This Row],[B14]]</f>
        <v>0.20711391265195858</v>
      </c>
      <c r="R408" s="26">
        <f>Rådatakommune[[#This Row],[S13]]/Rådatakommune[[#This Row],[S03]]-1</f>
        <v>3.7572254335260125E-2</v>
      </c>
      <c r="S408" s="26">
        <f>Rådatakommune[[#This Row],[Y13]]/Rådatakommune[[#This Row],[Folk20-64]]</f>
        <v>0.838893409275834</v>
      </c>
    </row>
    <row r="409" spans="1:19">
      <c r="A409" s="2" t="s">
        <v>407</v>
      </c>
      <c r="B409" s="38">
        <v>3002</v>
      </c>
      <c r="C409" s="38">
        <v>2881</v>
      </c>
      <c r="D409" s="38">
        <v>1393</v>
      </c>
      <c r="E409" s="38">
        <v>509</v>
      </c>
      <c r="F409" s="4">
        <v>311</v>
      </c>
      <c r="G409" s="4">
        <v>1577</v>
      </c>
      <c r="H409" s="38">
        <v>1336</v>
      </c>
      <c r="I409" s="38">
        <v>1301</v>
      </c>
      <c r="J409" s="7">
        <v>473.7</v>
      </c>
      <c r="K409" s="38">
        <v>325500</v>
      </c>
      <c r="L409">
        <v>295.1057286651</v>
      </c>
      <c r="M409">
        <v>9</v>
      </c>
      <c r="N409" s="37">
        <f>Rådatakommune[[#This Row],[B14]]/Rådatakommune[[#This Row],[Totalareal]]</f>
        <v>6.0819083808317504</v>
      </c>
      <c r="O409" s="39">
        <f>Rådatakommune[[#This Row],[B14]]/Rådatakommune[[#This Row],[B04]]-1</f>
        <v>-4.0306462358427719E-2</v>
      </c>
      <c r="P409" s="26">
        <f>Rådatakommune[[#This Row],[Kvinner20-39]]/Rådatakommune[[#This Row],[B14]]</f>
        <v>0.10794862894828185</v>
      </c>
      <c r="Q409" s="26">
        <f>Rådatakommune[[#This Row],[Eldre67+]]/Rådatakommune[[#This Row],[B14]]</f>
        <v>0.17667476570635196</v>
      </c>
      <c r="R409" s="26">
        <f>Rådatakommune[[#This Row],[S13]]/Rådatakommune[[#This Row],[S03]]-1</f>
        <v>-2.6197604790419216E-2</v>
      </c>
      <c r="S409" s="26">
        <f>Rådatakommune[[#This Row],[Y13]]/Rådatakommune[[#This Row],[Folk20-64]]</f>
        <v>0.88332276474318328</v>
      </c>
    </row>
    <row r="410" spans="1:19">
      <c r="A410" s="2" t="s">
        <v>408</v>
      </c>
      <c r="B410" s="38">
        <v>4710</v>
      </c>
      <c r="C410" s="38">
        <v>4854</v>
      </c>
      <c r="D410" s="38">
        <v>2357</v>
      </c>
      <c r="E410" s="38">
        <v>796</v>
      </c>
      <c r="F410" s="4">
        <v>536</v>
      </c>
      <c r="G410" s="4">
        <v>2716</v>
      </c>
      <c r="H410" s="38">
        <v>2059</v>
      </c>
      <c r="I410" s="38">
        <v>2089</v>
      </c>
      <c r="J410" s="7">
        <v>3437.46</v>
      </c>
      <c r="K410" s="38">
        <v>334500</v>
      </c>
      <c r="L410">
        <v>263.52970868245001</v>
      </c>
      <c r="M410">
        <v>9</v>
      </c>
      <c r="N410" s="37">
        <f>Rådatakommune[[#This Row],[B14]]/Rådatakommune[[#This Row],[Totalareal]]</f>
        <v>1.4120891588556668</v>
      </c>
      <c r="O410" s="39">
        <f>Rådatakommune[[#This Row],[B14]]/Rådatakommune[[#This Row],[B04]]-1</f>
        <v>3.0573248407643305E-2</v>
      </c>
      <c r="P410" s="26">
        <f>Rådatakommune[[#This Row],[Kvinner20-39]]/Rådatakommune[[#This Row],[B14]]</f>
        <v>0.11042439225381129</v>
      </c>
      <c r="Q410" s="26">
        <f>Rådatakommune[[#This Row],[Eldre67+]]/Rådatakommune[[#This Row],[B14]]</f>
        <v>0.16398846312319737</v>
      </c>
      <c r="R410" s="26">
        <f>Rådatakommune[[#This Row],[S13]]/Rådatakommune[[#This Row],[S03]]-1</f>
        <v>1.4570179698882857E-2</v>
      </c>
      <c r="S410" s="26">
        <f>Rådatakommune[[#This Row],[Y13]]/Rådatakommune[[#This Row],[Folk20-64]]</f>
        <v>0.86782032400589104</v>
      </c>
    </row>
    <row r="411" spans="1:19">
      <c r="A411" s="2" t="s">
        <v>409</v>
      </c>
      <c r="B411" s="38">
        <v>1394</v>
      </c>
      <c r="C411" s="38">
        <v>1234</v>
      </c>
      <c r="D411" s="38">
        <v>574</v>
      </c>
      <c r="E411" s="38">
        <v>270</v>
      </c>
      <c r="F411" s="4">
        <v>114</v>
      </c>
      <c r="G411" s="4">
        <v>660</v>
      </c>
      <c r="H411" s="38">
        <v>539</v>
      </c>
      <c r="I411" s="38">
        <v>490</v>
      </c>
      <c r="J411" s="7">
        <v>2109.4700000000003</v>
      </c>
      <c r="K411" s="38">
        <v>314500</v>
      </c>
      <c r="L411">
        <v>305.6538932638</v>
      </c>
      <c r="M411">
        <v>11</v>
      </c>
      <c r="N411" s="37">
        <f>Rådatakommune[[#This Row],[B14]]/Rådatakommune[[#This Row],[Totalareal]]</f>
        <v>0.58498106159367036</v>
      </c>
      <c r="O411" s="39">
        <f>Rådatakommune[[#This Row],[B14]]/Rådatakommune[[#This Row],[B04]]-1</f>
        <v>-0.11477761836441891</v>
      </c>
      <c r="P411" s="26">
        <f>Rådatakommune[[#This Row],[Kvinner20-39]]/Rådatakommune[[#This Row],[B14]]</f>
        <v>9.2382495948136148E-2</v>
      </c>
      <c r="Q411" s="26">
        <f>Rådatakommune[[#This Row],[Eldre67+]]/Rådatakommune[[#This Row],[B14]]</f>
        <v>0.21880064829821719</v>
      </c>
      <c r="R411" s="26">
        <f>Rådatakommune[[#This Row],[S13]]/Rådatakommune[[#This Row],[S03]]-1</f>
        <v>-9.0909090909090939E-2</v>
      </c>
      <c r="S411" s="26">
        <f>Rådatakommune[[#This Row],[Y13]]/Rådatakommune[[#This Row],[Folk20-64]]</f>
        <v>0.86969696969696975</v>
      </c>
    </row>
    <row r="412" spans="1:19">
      <c r="A412" s="2" t="s">
        <v>410</v>
      </c>
      <c r="B412" s="38">
        <v>2396</v>
      </c>
      <c r="C412" s="38">
        <v>2119</v>
      </c>
      <c r="D412" s="38">
        <v>1003</v>
      </c>
      <c r="E412" s="38">
        <v>380</v>
      </c>
      <c r="F412" s="4">
        <v>222</v>
      </c>
      <c r="G412" s="4">
        <v>1266</v>
      </c>
      <c r="H412" s="38">
        <v>933</v>
      </c>
      <c r="I412" s="38">
        <v>925</v>
      </c>
      <c r="J412" s="7">
        <v>600.61</v>
      </c>
      <c r="K412" s="38">
        <v>326800</v>
      </c>
      <c r="L412">
        <v>281.11028675544003</v>
      </c>
      <c r="M412">
        <v>11</v>
      </c>
      <c r="N412" s="37">
        <f>Rådatakommune[[#This Row],[B14]]/Rådatakommune[[#This Row],[Totalareal]]</f>
        <v>3.5280797855513559</v>
      </c>
      <c r="O412" s="39">
        <f>Rådatakommune[[#This Row],[B14]]/Rådatakommune[[#This Row],[B04]]-1</f>
        <v>-0.11560934891485808</v>
      </c>
      <c r="P412" s="26">
        <f>Rådatakommune[[#This Row],[Kvinner20-39]]/Rådatakommune[[#This Row],[B14]]</f>
        <v>0.10476639924492685</v>
      </c>
      <c r="Q412" s="26">
        <f>Rådatakommune[[#This Row],[Eldre67+]]/Rådatakommune[[#This Row],[B14]]</f>
        <v>0.17932987258140631</v>
      </c>
      <c r="R412" s="26">
        <f>Rådatakommune[[#This Row],[S13]]/Rådatakommune[[#This Row],[S03]]-1</f>
        <v>-8.5744908896033811E-3</v>
      </c>
      <c r="S412" s="26">
        <f>Rådatakommune[[#This Row],[Y13]]/Rådatakommune[[#This Row],[Folk20-64]]</f>
        <v>0.79225908372827802</v>
      </c>
    </row>
    <row r="413" spans="1:19">
      <c r="A413" s="2" t="s">
        <v>411</v>
      </c>
      <c r="B413" s="38">
        <v>6186</v>
      </c>
      <c r="C413" s="38">
        <v>6223</v>
      </c>
      <c r="D413" s="38">
        <v>3095</v>
      </c>
      <c r="E413" s="38">
        <v>822</v>
      </c>
      <c r="F413" s="4">
        <v>697</v>
      </c>
      <c r="G413" s="4">
        <v>3638</v>
      </c>
      <c r="H413" s="38">
        <v>3187</v>
      </c>
      <c r="I413" s="38">
        <v>3095</v>
      </c>
      <c r="J413" s="7">
        <v>1257.6400000000001</v>
      </c>
      <c r="K413" s="38">
        <v>355000</v>
      </c>
      <c r="L413">
        <v>273.86776009536999</v>
      </c>
      <c r="M413">
        <v>7</v>
      </c>
      <c r="N413" s="37">
        <f>Rådatakommune[[#This Row],[B14]]/Rådatakommune[[#This Row],[Totalareal]]</f>
        <v>4.948156865239655</v>
      </c>
      <c r="O413" s="39">
        <f>Rådatakommune[[#This Row],[B14]]/Rådatakommune[[#This Row],[B04]]-1</f>
        <v>5.9812479793082129E-3</v>
      </c>
      <c r="P413" s="26">
        <f>Rådatakommune[[#This Row],[Kvinner20-39]]/Rådatakommune[[#This Row],[B14]]</f>
        <v>0.11200385666077455</v>
      </c>
      <c r="Q413" s="26">
        <f>Rådatakommune[[#This Row],[Eldre67+]]/Rådatakommune[[#This Row],[B14]]</f>
        <v>0.13209063152820183</v>
      </c>
      <c r="R413" s="26">
        <f>Rådatakommune[[#This Row],[S13]]/Rådatakommune[[#This Row],[S03]]-1</f>
        <v>-2.8867273297772167E-2</v>
      </c>
      <c r="S413" s="26">
        <f>Rådatakommune[[#This Row],[Y13]]/Rådatakommune[[#This Row],[Folk20-64]]</f>
        <v>0.85074216602528863</v>
      </c>
    </row>
    <row r="414" spans="1:19">
      <c r="A414" s="2" t="s">
        <v>412</v>
      </c>
      <c r="B414" s="38">
        <v>9157</v>
      </c>
      <c r="C414" s="38">
        <v>10287</v>
      </c>
      <c r="D414" s="38">
        <v>5704</v>
      </c>
      <c r="E414" s="38">
        <v>1179</v>
      </c>
      <c r="F414" s="4">
        <v>1378</v>
      </c>
      <c r="G414" s="4">
        <v>6354</v>
      </c>
      <c r="H414" s="38">
        <v>5155</v>
      </c>
      <c r="I414" s="38">
        <v>5856</v>
      </c>
      <c r="J414" s="7">
        <v>848.2</v>
      </c>
      <c r="K414" s="38">
        <v>393500</v>
      </c>
      <c r="L414">
        <v>272.23804677576999</v>
      </c>
      <c r="M414">
        <v>6</v>
      </c>
      <c r="N414" s="37">
        <f>Rådatakommune[[#This Row],[B14]]/Rådatakommune[[#This Row],[Totalareal]]</f>
        <v>12.12803584060363</v>
      </c>
      <c r="O414" s="39">
        <f>Rådatakommune[[#This Row],[B14]]/Rådatakommune[[#This Row],[B04]]-1</f>
        <v>0.12340286119908273</v>
      </c>
      <c r="P414" s="26">
        <f>Rådatakommune[[#This Row],[Kvinner20-39]]/Rådatakommune[[#This Row],[B14]]</f>
        <v>0.13395547778749878</v>
      </c>
      <c r="Q414" s="26">
        <f>Rådatakommune[[#This Row],[Eldre67+]]/Rådatakommune[[#This Row],[B14]]</f>
        <v>0.11461067366579178</v>
      </c>
      <c r="R414" s="26">
        <f>Rådatakommune[[#This Row],[S13]]/Rådatakommune[[#This Row],[S03]]-1</f>
        <v>0.13598448108632399</v>
      </c>
      <c r="S414" s="26">
        <f>Rådatakommune[[#This Row],[Y13]]/Rådatakommune[[#This Row],[Folk20-64]]</f>
        <v>0.89770223481271638</v>
      </c>
    </row>
    <row r="415" spans="1:19">
      <c r="A415" s="2" t="s">
        <v>413</v>
      </c>
      <c r="B415" s="38">
        <v>3002</v>
      </c>
      <c r="C415" s="38">
        <v>2931</v>
      </c>
      <c r="D415" s="38">
        <v>1477</v>
      </c>
      <c r="E415" s="38">
        <v>354</v>
      </c>
      <c r="F415" s="4">
        <v>358</v>
      </c>
      <c r="G415" s="4">
        <v>1764</v>
      </c>
      <c r="H415" s="38">
        <v>1261</v>
      </c>
      <c r="I415" s="38">
        <v>1299</v>
      </c>
      <c r="J415" s="7">
        <v>9707.34</v>
      </c>
      <c r="K415" s="38">
        <v>283600</v>
      </c>
      <c r="L415">
        <v>321.33023933200002</v>
      </c>
      <c r="M415">
        <v>11</v>
      </c>
      <c r="N415" s="37">
        <f>Rådatakommune[[#This Row],[B14]]/Rådatakommune[[#This Row],[Totalareal]]</f>
        <v>0.30193647281335567</v>
      </c>
      <c r="O415" s="39">
        <f>Rådatakommune[[#This Row],[B14]]/Rådatakommune[[#This Row],[B04]]-1</f>
        <v>-2.3650899400399772E-2</v>
      </c>
      <c r="P415" s="26">
        <f>Rådatakommune[[#This Row],[Kvinner20-39]]/Rådatakommune[[#This Row],[B14]]</f>
        <v>0.12214261344251109</v>
      </c>
      <c r="Q415" s="26">
        <f>Rådatakommune[[#This Row],[Eldre67+]]/Rådatakommune[[#This Row],[B14]]</f>
        <v>0.12077789150460594</v>
      </c>
      <c r="R415" s="26">
        <f>Rådatakommune[[#This Row],[S13]]/Rådatakommune[[#This Row],[S03]]-1</f>
        <v>3.0134813639968172E-2</v>
      </c>
      <c r="S415" s="26">
        <f>Rådatakommune[[#This Row],[Y13]]/Rådatakommune[[#This Row],[Folk20-64]]</f>
        <v>0.83730158730158732</v>
      </c>
    </row>
    <row r="416" spans="1:19">
      <c r="A416" s="2" t="s">
        <v>414</v>
      </c>
      <c r="B416" s="38">
        <v>17440</v>
      </c>
      <c r="C416" s="38">
        <v>19822</v>
      </c>
      <c r="D416" s="38">
        <v>9949</v>
      </c>
      <c r="E416" s="38">
        <v>2040</v>
      </c>
      <c r="F416" s="4">
        <v>2548</v>
      </c>
      <c r="G416" s="4">
        <v>11651</v>
      </c>
      <c r="H416" s="38">
        <v>8255</v>
      </c>
      <c r="I416" s="38">
        <v>9852</v>
      </c>
      <c r="J416" s="7">
        <v>3849.43</v>
      </c>
      <c r="K416" s="38">
        <v>360600</v>
      </c>
      <c r="L416">
        <v>224.65280796330001</v>
      </c>
      <c r="M416">
        <v>6</v>
      </c>
      <c r="N416" s="37">
        <f>Rådatakommune[[#This Row],[B14]]/Rådatakommune[[#This Row],[Totalareal]]</f>
        <v>5.1493337974713143</v>
      </c>
      <c r="O416" s="39">
        <f>Rådatakommune[[#This Row],[B14]]/Rådatakommune[[#This Row],[B04]]-1</f>
        <v>0.13658256880733943</v>
      </c>
      <c r="P416" s="26">
        <f>Rådatakommune[[#This Row],[Kvinner20-39]]/Rådatakommune[[#This Row],[B14]]</f>
        <v>0.12854404197356473</v>
      </c>
      <c r="Q416" s="26">
        <f>Rådatakommune[[#This Row],[Eldre67+]]/Rådatakommune[[#This Row],[B14]]</f>
        <v>0.10291595197255575</v>
      </c>
      <c r="R416" s="26">
        <f>Rådatakommune[[#This Row],[S13]]/Rådatakommune[[#This Row],[S03]]-1</f>
        <v>0.19345850999394298</v>
      </c>
      <c r="S416" s="26">
        <f>Rådatakommune[[#This Row],[Y13]]/Rådatakommune[[#This Row],[Folk20-64]]</f>
        <v>0.85391811861642775</v>
      </c>
    </row>
    <row r="417" spans="1:19">
      <c r="A417" s="2" t="s">
        <v>415</v>
      </c>
      <c r="B417" s="38">
        <v>1294</v>
      </c>
      <c r="C417" s="38">
        <v>1027</v>
      </c>
      <c r="D417" s="38">
        <v>470</v>
      </c>
      <c r="E417" s="38">
        <v>239</v>
      </c>
      <c r="F417" s="4">
        <v>79</v>
      </c>
      <c r="G417" s="4">
        <v>562</v>
      </c>
      <c r="H417" s="38">
        <v>462</v>
      </c>
      <c r="I417" s="38">
        <v>401</v>
      </c>
      <c r="J417" s="7">
        <v>688.87</v>
      </c>
      <c r="K417" s="38">
        <v>323900</v>
      </c>
      <c r="L417">
        <v>325.56230259400002</v>
      </c>
      <c r="M417">
        <v>11</v>
      </c>
      <c r="N417" s="37">
        <f>Rådatakommune[[#This Row],[B14]]/Rådatakommune[[#This Row],[Totalareal]]</f>
        <v>1.4908473296848461</v>
      </c>
      <c r="O417" s="39">
        <f>Rådatakommune[[#This Row],[B14]]/Rådatakommune[[#This Row],[B04]]-1</f>
        <v>-0.2063369397217929</v>
      </c>
      <c r="P417" s="26">
        <f>Rådatakommune[[#This Row],[Kvinner20-39]]/Rådatakommune[[#This Row],[B14]]</f>
        <v>7.6923076923076927E-2</v>
      </c>
      <c r="Q417" s="26">
        <f>Rådatakommune[[#This Row],[Eldre67+]]/Rådatakommune[[#This Row],[B14]]</f>
        <v>0.23271665043816941</v>
      </c>
      <c r="R417" s="26">
        <f>Rådatakommune[[#This Row],[S13]]/Rådatakommune[[#This Row],[S03]]-1</f>
        <v>-0.13203463203463206</v>
      </c>
      <c r="S417" s="26">
        <f>Rådatakommune[[#This Row],[Y13]]/Rådatakommune[[#This Row],[Folk20-64]]</f>
        <v>0.83629893238434161</v>
      </c>
    </row>
    <row r="418" spans="1:19">
      <c r="A418" s="2" t="s">
        <v>416</v>
      </c>
      <c r="B418" s="38">
        <v>1095</v>
      </c>
      <c r="C418" s="38">
        <v>1037</v>
      </c>
      <c r="D418" s="38">
        <v>479</v>
      </c>
      <c r="E418" s="38">
        <v>168</v>
      </c>
      <c r="F418" s="4">
        <v>108</v>
      </c>
      <c r="G418" s="4">
        <v>606</v>
      </c>
      <c r="H418" s="38">
        <v>434</v>
      </c>
      <c r="I418" s="38">
        <v>434</v>
      </c>
      <c r="J418" s="7">
        <v>555.54999999999995</v>
      </c>
      <c r="K418" s="38">
        <v>319500</v>
      </c>
      <c r="L418">
        <v>280.61164024070001</v>
      </c>
      <c r="M418">
        <v>11</v>
      </c>
      <c r="N418" s="37">
        <f>Rådatakommune[[#This Row],[B14]]/Rådatakommune[[#This Row],[Totalareal]]</f>
        <v>1.8666186661866619</v>
      </c>
      <c r="O418" s="39">
        <f>Rådatakommune[[#This Row],[B14]]/Rådatakommune[[#This Row],[B04]]-1</f>
        <v>-5.2968036529680407E-2</v>
      </c>
      <c r="P418" s="26">
        <f>Rådatakommune[[#This Row],[Kvinner20-39]]/Rådatakommune[[#This Row],[B14]]</f>
        <v>0.10414657666345227</v>
      </c>
      <c r="Q418" s="26">
        <f>Rådatakommune[[#This Row],[Eldre67+]]/Rådatakommune[[#This Row],[B14]]</f>
        <v>0.16200578592092574</v>
      </c>
      <c r="R418" s="26">
        <f>Rådatakommune[[#This Row],[S13]]/Rådatakommune[[#This Row],[S03]]-1</f>
        <v>0</v>
      </c>
      <c r="S418" s="26">
        <f>Rådatakommune[[#This Row],[Y13]]/Rådatakommune[[#This Row],[Folk20-64]]</f>
        <v>0.79042904290429039</v>
      </c>
    </row>
    <row r="419" spans="1:19">
      <c r="A419" s="2" t="s">
        <v>417</v>
      </c>
      <c r="B419" s="38">
        <v>1093</v>
      </c>
      <c r="C419" s="38">
        <v>1051</v>
      </c>
      <c r="D419" s="38">
        <v>468</v>
      </c>
      <c r="E419" s="38">
        <v>242</v>
      </c>
      <c r="F419" s="4">
        <v>89</v>
      </c>
      <c r="G419" s="4">
        <v>560</v>
      </c>
      <c r="H419" s="38">
        <v>360</v>
      </c>
      <c r="I419" s="38">
        <v>358</v>
      </c>
      <c r="J419" s="7">
        <v>1844.29</v>
      </c>
      <c r="K419" s="38">
        <v>339200</v>
      </c>
      <c r="L419">
        <v>298.32842743369997</v>
      </c>
      <c r="M419">
        <v>6</v>
      </c>
      <c r="N419" s="37">
        <f>Rådatakommune[[#This Row],[B14]]/Rådatakommune[[#This Row],[Totalareal]]</f>
        <v>0.56986699488692127</v>
      </c>
      <c r="O419" s="39">
        <f>Rådatakommune[[#This Row],[B14]]/Rådatakommune[[#This Row],[B04]]-1</f>
        <v>-3.8426349496797796E-2</v>
      </c>
      <c r="P419" s="26">
        <f>Rådatakommune[[#This Row],[Kvinner20-39]]/Rådatakommune[[#This Row],[B14]]</f>
        <v>8.468125594671741E-2</v>
      </c>
      <c r="Q419" s="26">
        <f>Rådatakommune[[#This Row],[Eldre67+]]/Rådatakommune[[#This Row],[B14]]</f>
        <v>0.23025689819219791</v>
      </c>
      <c r="R419" s="26">
        <f>Rådatakommune[[#This Row],[S13]]/Rådatakommune[[#This Row],[S03]]-1</f>
        <v>-5.5555555555555358E-3</v>
      </c>
      <c r="S419" s="26">
        <f>Rådatakommune[[#This Row],[Y13]]/Rådatakommune[[#This Row],[Folk20-64]]</f>
        <v>0.83571428571428574</v>
      </c>
    </row>
    <row r="420" spans="1:19">
      <c r="A420" s="2" t="s">
        <v>418</v>
      </c>
      <c r="B420" s="38">
        <v>1399</v>
      </c>
      <c r="C420" s="38">
        <v>1241</v>
      </c>
      <c r="D420" s="38">
        <v>561</v>
      </c>
      <c r="E420" s="38">
        <v>260</v>
      </c>
      <c r="F420" s="4">
        <v>125</v>
      </c>
      <c r="G420" s="4">
        <v>705</v>
      </c>
      <c r="H420" s="38">
        <v>617</v>
      </c>
      <c r="I420" s="38">
        <v>513</v>
      </c>
      <c r="J420" s="7">
        <v>1135.82</v>
      </c>
      <c r="K420" s="38">
        <v>330300</v>
      </c>
      <c r="L420">
        <v>368.15059061099998</v>
      </c>
      <c r="M420">
        <v>11</v>
      </c>
      <c r="N420" s="37">
        <f>Rådatakommune[[#This Row],[B14]]/Rådatakommune[[#This Row],[Totalareal]]</f>
        <v>1.0926027011322217</v>
      </c>
      <c r="O420" s="39">
        <f>Rådatakommune[[#This Row],[B14]]/Rådatakommune[[#This Row],[B04]]-1</f>
        <v>-0.11293781272337389</v>
      </c>
      <c r="P420" s="26">
        <f>Rådatakommune[[#This Row],[Kvinner20-39]]/Rådatakommune[[#This Row],[B14]]</f>
        <v>0.10072522159548751</v>
      </c>
      <c r="Q420" s="26">
        <f>Rådatakommune[[#This Row],[Eldre67+]]/Rådatakommune[[#This Row],[B14]]</f>
        <v>0.20950846091861403</v>
      </c>
      <c r="R420" s="26">
        <f>Rådatakommune[[#This Row],[S13]]/Rådatakommune[[#This Row],[S03]]-1</f>
        <v>-0.16855753646677474</v>
      </c>
      <c r="S420" s="26">
        <f>Rådatakommune[[#This Row],[Y13]]/Rådatakommune[[#This Row],[Folk20-64]]</f>
        <v>0.79574468085106387</v>
      </c>
    </row>
    <row r="421" spans="1:19">
      <c r="A421" s="2" t="s">
        <v>419</v>
      </c>
      <c r="B421" s="38">
        <v>3468</v>
      </c>
      <c r="C421" s="38">
        <v>3213</v>
      </c>
      <c r="D421" s="38">
        <v>1574</v>
      </c>
      <c r="E421" s="38">
        <v>488</v>
      </c>
      <c r="F421" s="4">
        <v>325</v>
      </c>
      <c r="G421" s="4">
        <v>1906</v>
      </c>
      <c r="H421" s="38">
        <v>1486</v>
      </c>
      <c r="I421" s="38">
        <v>1505</v>
      </c>
      <c r="J421" s="7">
        <v>925.68000000000006</v>
      </c>
      <c r="K421" s="38">
        <v>352100</v>
      </c>
      <c r="L421">
        <v>322.34145639234998</v>
      </c>
      <c r="M421">
        <v>9</v>
      </c>
      <c r="N421" s="37">
        <f>Rådatakommune[[#This Row],[B14]]/Rådatakommune[[#This Row],[Totalareal]]</f>
        <v>3.4709618874773138</v>
      </c>
      <c r="O421" s="39">
        <f>Rådatakommune[[#This Row],[B14]]/Rådatakommune[[#This Row],[B04]]-1</f>
        <v>-7.3529411764705843E-2</v>
      </c>
      <c r="P421" s="26">
        <f>Rådatakommune[[#This Row],[Kvinner20-39]]/Rådatakommune[[#This Row],[B14]]</f>
        <v>0.10115157173980703</v>
      </c>
      <c r="Q421" s="26">
        <f>Rådatakommune[[#This Row],[Eldre67+]]/Rådatakommune[[#This Row],[B14]]</f>
        <v>0.15188297541238718</v>
      </c>
      <c r="R421" s="26">
        <f>Rådatakommune[[#This Row],[S13]]/Rådatakommune[[#This Row],[S03]]-1</f>
        <v>1.2786002691790088E-2</v>
      </c>
      <c r="S421" s="26">
        <f>Rådatakommune[[#This Row],[Y13]]/Rådatakommune[[#This Row],[Folk20-64]]</f>
        <v>0.82581322140608604</v>
      </c>
    </row>
    <row r="422" spans="1:19">
      <c r="A422" s="2" t="s">
        <v>420</v>
      </c>
      <c r="B422" s="38">
        <v>4329</v>
      </c>
      <c r="C422" s="38">
        <v>3963</v>
      </c>
      <c r="D422" s="38">
        <v>1982</v>
      </c>
      <c r="E422" s="38">
        <v>600</v>
      </c>
      <c r="F422" s="4">
        <v>409</v>
      </c>
      <c r="G422" s="4">
        <v>2358</v>
      </c>
      <c r="H422" s="38">
        <v>1952</v>
      </c>
      <c r="I422" s="38">
        <v>1902</v>
      </c>
      <c r="J422" s="7">
        <v>4872.58</v>
      </c>
      <c r="K422" s="38">
        <v>350500</v>
      </c>
      <c r="L422">
        <v>268.82159737985</v>
      </c>
      <c r="M422">
        <v>9</v>
      </c>
      <c r="N422" s="37">
        <f>Rådatakommune[[#This Row],[B14]]/Rådatakommune[[#This Row],[Totalareal]]</f>
        <v>0.81332682069868534</v>
      </c>
      <c r="O422" s="39">
        <f>Rådatakommune[[#This Row],[B14]]/Rådatakommune[[#This Row],[B04]]-1</f>
        <v>-8.4546084546084588E-2</v>
      </c>
      <c r="P422" s="26">
        <f>Rådatakommune[[#This Row],[Kvinner20-39]]/Rådatakommune[[#This Row],[B14]]</f>
        <v>0.10320464294726217</v>
      </c>
      <c r="Q422" s="26">
        <f>Rådatakommune[[#This Row],[Eldre67+]]/Rådatakommune[[#This Row],[B14]]</f>
        <v>0.15140045420136261</v>
      </c>
      <c r="R422" s="26">
        <f>Rådatakommune[[#This Row],[S13]]/Rådatakommune[[#This Row],[S03]]-1</f>
        <v>-2.561475409836067E-2</v>
      </c>
      <c r="S422" s="26">
        <f>Rådatakommune[[#This Row],[Y13]]/Rådatakommune[[#This Row],[Folk20-64]]</f>
        <v>0.84054283290924514</v>
      </c>
    </row>
    <row r="423" spans="1:19">
      <c r="A423" s="2" t="s">
        <v>421</v>
      </c>
      <c r="B423" s="38">
        <v>2865</v>
      </c>
      <c r="C423" s="38">
        <v>2698</v>
      </c>
      <c r="D423" s="38">
        <v>1406</v>
      </c>
      <c r="E423" s="38">
        <v>365</v>
      </c>
      <c r="F423" s="4">
        <v>301</v>
      </c>
      <c r="G423" s="4">
        <v>1609</v>
      </c>
      <c r="H423" s="38">
        <v>1348</v>
      </c>
      <c r="I423" s="38">
        <v>1422</v>
      </c>
      <c r="J423" s="7">
        <v>5452.95</v>
      </c>
      <c r="K423" s="38">
        <v>319100</v>
      </c>
      <c r="L423">
        <v>323.42360064299999</v>
      </c>
      <c r="M423">
        <v>11</v>
      </c>
      <c r="N423" s="37">
        <f>Rådatakommune[[#This Row],[B14]]/Rådatakommune[[#This Row],[Totalareal]]</f>
        <v>0.49477805591468837</v>
      </c>
      <c r="O423" s="39">
        <f>Rådatakommune[[#This Row],[B14]]/Rådatakommune[[#This Row],[B04]]-1</f>
        <v>-5.8289703315881347E-2</v>
      </c>
      <c r="P423" s="26">
        <f>Rådatakommune[[#This Row],[Kvinner20-39]]/Rådatakommune[[#This Row],[B14]]</f>
        <v>0.11156412157153447</v>
      </c>
      <c r="Q423" s="26">
        <f>Rådatakommune[[#This Row],[Eldre67+]]/Rådatakommune[[#This Row],[B14]]</f>
        <v>0.13528539659006672</v>
      </c>
      <c r="R423" s="26">
        <f>Rådatakommune[[#This Row],[S13]]/Rådatakommune[[#This Row],[S03]]-1</f>
        <v>5.4896142433234374E-2</v>
      </c>
      <c r="S423" s="26">
        <f>Rådatakommune[[#This Row],[Y13]]/Rådatakommune[[#This Row],[Folk20-64]]</f>
        <v>0.87383467992541952</v>
      </c>
    </row>
    <row r="424" spans="1:19">
      <c r="A424" s="2" t="s">
        <v>422</v>
      </c>
      <c r="B424" s="38">
        <v>1473</v>
      </c>
      <c r="C424" s="38">
        <v>1341</v>
      </c>
      <c r="D424" s="38">
        <v>616</v>
      </c>
      <c r="E424" s="38">
        <v>214</v>
      </c>
      <c r="F424" s="4">
        <v>131</v>
      </c>
      <c r="G424" s="4">
        <v>776</v>
      </c>
      <c r="H424" s="38">
        <v>592</v>
      </c>
      <c r="I424" s="38">
        <v>573</v>
      </c>
      <c r="J424" s="7">
        <v>3459.39</v>
      </c>
      <c r="K424" s="38">
        <v>318500</v>
      </c>
      <c r="L424">
        <v>443.67728289000001</v>
      </c>
      <c r="M424">
        <v>11</v>
      </c>
      <c r="N424" s="37">
        <f>Rådatakommune[[#This Row],[B14]]/Rådatakommune[[#This Row],[Totalareal]]</f>
        <v>0.38764059559633346</v>
      </c>
      <c r="O424" s="39">
        <f>Rådatakommune[[#This Row],[B14]]/Rådatakommune[[#This Row],[B04]]-1</f>
        <v>-8.9613034623217902E-2</v>
      </c>
      <c r="P424" s="26">
        <f>Rådatakommune[[#This Row],[Kvinner20-39]]/Rådatakommune[[#This Row],[B14]]</f>
        <v>9.7688292319164802E-2</v>
      </c>
      <c r="Q424" s="26">
        <f>Rådatakommune[[#This Row],[Eldre67+]]/Rådatakommune[[#This Row],[B14]]</f>
        <v>0.15958240119313946</v>
      </c>
      <c r="R424" s="26">
        <f>Rådatakommune[[#This Row],[S13]]/Rådatakommune[[#This Row],[S03]]-1</f>
        <v>-3.2094594594594628E-2</v>
      </c>
      <c r="S424" s="26">
        <f>Rådatakommune[[#This Row],[Y13]]/Rådatakommune[[#This Row],[Folk20-64]]</f>
        <v>0.79381443298969068</v>
      </c>
    </row>
    <row r="425" spans="1:19">
      <c r="A425" s="2" t="s">
        <v>423</v>
      </c>
      <c r="B425" s="38">
        <v>1134</v>
      </c>
      <c r="C425" s="38">
        <v>1098</v>
      </c>
      <c r="D425" s="38">
        <v>546</v>
      </c>
      <c r="E425" s="38">
        <v>179</v>
      </c>
      <c r="F425" s="4">
        <v>121</v>
      </c>
      <c r="G425" s="4">
        <v>669</v>
      </c>
      <c r="H425" s="38">
        <v>441</v>
      </c>
      <c r="I425" s="38">
        <v>468</v>
      </c>
      <c r="J425" s="7">
        <v>1416.34</v>
      </c>
      <c r="K425" s="38">
        <v>316000</v>
      </c>
      <c r="L425">
        <v>434.60745669599999</v>
      </c>
      <c r="M425">
        <v>11</v>
      </c>
      <c r="N425" s="37">
        <f>Rådatakommune[[#This Row],[B14]]/Rådatakommune[[#This Row],[Totalareal]]</f>
        <v>0.77523758419588518</v>
      </c>
      <c r="O425" s="39">
        <f>Rådatakommune[[#This Row],[B14]]/Rådatakommune[[#This Row],[B04]]-1</f>
        <v>-3.1746031746031744E-2</v>
      </c>
      <c r="P425" s="26">
        <f>Rådatakommune[[#This Row],[Kvinner20-39]]/Rådatakommune[[#This Row],[B14]]</f>
        <v>0.11020036429872496</v>
      </c>
      <c r="Q425" s="26">
        <f>Rådatakommune[[#This Row],[Eldre67+]]/Rådatakommune[[#This Row],[B14]]</f>
        <v>0.16302367941712204</v>
      </c>
      <c r="R425" s="26">
        <f>Rådatakommune[[#This Row],[S13]]/Rådatakommune[[#This Row],[S03]]-1</f>
        <v>6.1224489795918435E-2</v>
      </c>
      <c r="S425" s="26">
        <f>Rådatakommune[[#This Row],[Y13]]/Rådatakommune[[#This Row],[Folk20-64]]</f>
        <v>0.81614349775784756</v>
      </c>
    </row>
    <row r="426" spans="1:19">
      <c r="A426" s="2" t="s">
        <v>424</v>
      </c>
      <c r="B426" s="38">
        <v>1158</v>
      </c>
      <c r="C426" s="38">
        <v>1057</v>
      </c>
      <c r="D426" s="38">
        <v>534</v>
      </c>
      <c r="E426" s="38">
        <v>199</v>
      </c>
      <c r="F426" s="4">
        <v>91</v>
      </c>
      <c r="G426" s="4">
        <v>612</v>
      </c>
      <c r="H426" s="38">
        <v>426</v>
      </c>
      <c r="I426" s="38">
        <v>469</v>
      </c>
      <c r="J426" s="7">
        <v>1121.78</v>
      </c>
      <c r="K426" s="38">
        <v>335000</v>
      </c>
      <c r="L426">
        <v>333.68457024922998</v>
      </c>
      <c r="M426">
        <v>11</v>
      </c>
      <c r="N426" s="37">
        <f>Rådatakommune[[#This Row],[B14]]/Rådatakommune[[#This Row],[Totalareal]]</f>
        <v>0.94225249157588831</v>
      </c>
      <c r="O426" s="39">
        <f>Rådatakommune[[#This Row],[B14]]/Rådatakommune[[#This Row],[B04]]-1</f>
        <v>-8.7219343696027685E-2</v>
      </c>
      <c r="P426" s="26">
        <f>Rådatakommune[[#This Row],[Kvinner20-39]]/Rådatakommune[[#This Row],[B14]]</f>
        <v>8.6092715231788075E-2</v>
      </c>
      <c r="Q426" s="26">
        <f>Rådatakommune[[#This Row],[Eldre67+]]/Rådatakommune[[#This Row],[B14]]</f>
        <v>0.18826868495742669</v>
      </c>
      <c r="R426" s="26">
        <f>Rådatakommune[[#This Row],[S13]]/Rådatakommune[[#This Row],[S03]]-1</f>
        <v>0.10093896713615025</v>
      </c>
      <c r="S426" s="26">
        <f>Rådatakommune[[#This Row],[Y13]]/Rådatakommune[[#This Row],[Folk20-64]]</f>
        <v>0.87254901960784315</v>
      </c>
    </row>
    <row r="427" spans="1:19">
      <c r="A427" s="2" t="s">
        <v>425</v>
      </c>
      <c r="B427" s="38">
        <v>3004</v>
      </c>
      <c r="C427" s="38">
        <v>2883</v>
      </c>
      <c r="D427" s="38">
        <v>1482</v>
      </c>
      <c r="E427" s="38">
        <v>493</v>
      </c>
      <c r="F427" s="4">
        <v>286</v>
      </c>
      <c r="G427" s="4">
        <v>1701</v>
      </c>
      <c r="H427" s="38">
        <v>1299</v>
      </c>
      <c r="I427" s="38">
        <v>1401</v>
      </c>
      <c r="J427" s="7">
        <v>4051.3599999999997</v>
      </c>
      <c r="K427" s="38">
        <v>342900</v>
      </c>
      <c r="L427">
        <v>328.30938772490003</v>
      </c>
      <c r="M427">
        <v>11</v>
      </c>
      <c r="N427" s="37">
        <f>Rådatakommune[[#This Row],[B14]]/Rådatakommune[[#This Row],[Totalareal]]</f>
        <v>0.71161289048615783</v>
      </c>
      <c r="O427" s="39">
        <f>Rådatakommune[[#This Row],[B14]]/Rådatakommune[[#This Row],[B04]]-1</f>
        <v>-4.0279627163781639E-2</v>
      </c>
      <c r="P427" s="26">
        <f>Rådatakommune[[#This Row],[Kvinner20-39]]/Rådatakommune[[#This Row],[B14]]</f>
        <v>9.9202219909816161E-2</v>
      </c>
      <c r="Q427" s="26">
        <f>Rådatakommune[[#This Row],[Eldre67+]]/Rådatakommune[[#This Row],[B14]]</f>
        <v>0.17100242802636142</v>
      </c>
      <c r="R427" s="26">
        <f>Rådatakommune[[#This Row],[S13]]/Rådatakommune[[#This Row],[S03]]-1</f>
        <v>7.8521939953810627E-2</v>
      </c>
      <c r="S427" s="26">
        <f>Rådatakommune[[#This Row],[Y13]]/Rådatakommune[[#This Row],[Folk20-64]]</f>
        <v>0.87125220458553787</v>
      </c>
    </row>
    <row r="428" spans="1:19">
      <c r="A428" s="2" t="s">
        <v>426</v>
      </c>
      <c r="B428" s="38">
        <v>927</v>
      </c>
      <c r="C428" s="38">
        <v>919</v>
      </c>
      <c r="D428" s="38">
        <v>461</v>
      </c>
      <c r="E428" s="38">
        <v>185</v>
      </c>
      <c r="F428" s="4">
        <v>92</v>
      </c>
      <c r="G428" s="4">
        <v>519</v>
      </c>
      <c r="H428" s="38">
        <v>312</v>
      </c>
      <c r="I428" s="38">
        <v>373</v>
      </c>
      <c r="J428" s="7">
        <v>1436.9</v>
      </c>
      <c r="K428" s="38">
        <v>314900</v>
      </c>
      <c r="L428">
        <v>314.00916310809998</v>
      </c>
      <c r="M428">
        <v>7</v>
      </c>
      <c r="N428" s="37">
        <f>Rådatakommune[[#This Row],[B14]]/Rådatakommune[[#This Row],[Totalareal]]</f>
        <v>0.63957129932493562</v>
      </c>
      <c r="O428" s="39">
        <f>Rådatakommune[[#This Row],[B14]]/Rådatakommune[[#This Row],[B04]]-1</f>
        <v>-8.6299892125134559E-3</v>
      </c>
      <c r="P428" s="26">
        <f>Rådatakommune[[#This Row],[Kvinner20-39]]/Rådatakommune[[#This Row],[B14]]</f>
        <v>0.10010881392818281</v>
      </c>
      <c r="Q428" s="26">
        <f>Rådatakommune[[#This Row],[Eldre67+]]/Rådatakommune[[#This Row],[B14]]</f>
        <v>0.20130576713819368</v>
      </c>
      <c r="R428" s="26">
        <f>Rådatakommune[[#This Row],[S13]]/Rådatakommune[[#This Row],[S03]]-1</f>
        <v>0.19551282051282048</v>
      </c>
      <c r="S428" s="26">
        <f>Rådatakommune[[#This Row],[Y13]]/Rådatakommune[[#This Row],[Folk20-64]]</f>
        <v>0.88824662813102118</v>
      </c>
    </row>
    <row r="429" spans="1:19">
      <c r="A429" s="2" t="s">
        <v>427</v>
      </c>
      <c r="B429" s="38">
        <v>2290</v>
      </c>
      <c r="C429" s="38">
        <v>2207</v>
      </c>
      <c r="D429" s="38">
        <v>1141</v>
      </c>
      <c r="E429" s="38">
        <v>280</v>
      </c>
      <c r="F429" s="4">
        <v>244</v>
      </c>
      <c r="G429" s="4">
        <v>1366</v>
      </c>
      <c r="H429" s="38">
        <v>1082</v>
      </c>
      <c r="I429" s="38">
        <v>1109</v>
      </c>
      <c r="J429" s="7">
        <v>1434.72</v>
      </c>
      <c r="K429" s="38">
        <v>340300</v>
      </c>
      <c r="L429">
        <v>323.55824695064001</v>
      </c>
      <c r="M429">
        <v>9</v>
      </c>
      <c r="N429" s="37">
        <f>Rådatakommune[[#This Row],[B14]]/Rådatakommune[[#This Row],[Totalareal]]</f>
        <v>1.5382792461246793</v>
      </c>
      <c r="O429" s="39">
        <f>Rådatakommune[[#This Row],[B14]]/Rådatakommune[[#This Row],[B04]]-1</f>
        <v>-3.624454148471612E-2</v>
      </c>
      <c r="P429" s="26">
        <f>Rådatakommune[[#This Row],[Kvinner20-39]]/Rådatakommune[[#This Row],[B14]]</f>
        <v>0.1105573176257363</v>
      </c>
      <c r="Q429" s="26">
        <f>Rådatakommune[[#This Row],[Eldre67+]]/Rådatakommune[[#This Row],[B14]]</f>
        <v>0.12686905301314</v>
      </c>
      <c r="R429" s="26">
        <f>Rådatakommune[[#This Row],[S13]]/Rådatakommune[[#This Row],[S03]]-1</f>
        <v>2.4953789279112737E-2</v>
      </c>
      <c r="S429" s="26">
        <f>Rådatakommune[[#This Row],[Y13]]/Rådatakommune[[#This Row],[Folk20-64]]</f>
        <v>0.83528550512445099</v>
      </c>
    </row>
    <row r="430" spans="1:19">
      <c r="A430" s="2" t="s">
        <v>428</v>
      </c>
      <c r="B430" s="38">
        <v>9500</v>
      </c>
      <c r="C430" s="38">
        <v>10090</v>
      </c>
      <c r="D430" s="38">
        <v>5475</v>
      </c>
      <c r="E430" s="38">
        <v>1375</v>
      </c>
      <c r="F430" s="4">
        <v>1271</v>
      </c>
      <c r="G430" s="4">
        <v>6136</v>
      </c>
      <c r="H430" s="38">
        <v>4176</v>
      </c>
      <c r="I430" s="38">
        <v>5720</v>
      </c>
      <c r="J430" s="7">
        <v>3971.62</v>
      </c>
      <c r="K430" s="38">
        <v>371000</v>
      </c>
      <c r="L430">
        <v>241.72333793760001</v>
      </c>
      <c r="M430">
        <v>9</v>
      </c>
      <c r="N430" s="37">
        <f>Rådatakommune[[#This Row],[B14]]/Rådatakommune[[#This Row],[Totalareal]]</f>
        <v>2.5405250250527494</v>
      </c>
      <c r="O430" s="39">
        <f>Rådatakommune[[#This Row],[B14]]/Rådatakommune[[#This Row],[B04]]-1</f>
        <v>6.2105263157894663E-2</v>
      </c>
      <c r="P430" s="26">
        <f>Rådatakommune[[#This Row],[Kvinner20-39]]/Rådatakommune[[#This Row],[B14]]</f>
        <v>0.12596630327056491</v>
      </c>
      <c r="Q430" s="26">
        <f>Rådatakommune[[#This Row],[Eldre67+]]/Rådatakommune[[#This Row],[B14]]</f>
        <v>0.13627353815659068</v>
      </c>
      <c r="R430" s="26">
        <f>Rådatakommune[[#This Row],[S13]]/Rådatakommune[[#This Row],[S03]]-1</f>
        <v>0.36973180076628354</v>
      </c>
      <c r="S430" s="26">
        <f>Rådatakommune[[#This Row],[Y13]]/Rådatakommune[[#This Row],[Folk20-64]]</f>
        <v>0.89227509778357239</v>
      </c>
    </row>
  </sheetData>
  <mergeCells count="3">
    <mergeCell ref="B1:J1"/>
    <mergeCell ref="K1:M1"/>
    <mergeCell ref="N1:S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P4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I162" sqref="I162"/>
    </sheetView>
  </sheetViews>
  <sheetFormatPr baseColWidth="10" defaultRowHeight="15"/>
  <cols>
    <col min="1" max="1" width="25" bestFit="1" customWidth="1"/>
    <col min="2" max="2" width="16.85546875" customWidth="1"/>
    <col min="3" max="3" width="14.42578125" customWidth="1"/>
    <col min="4" max="4" width="13.28515625" customWidth="1"/>
    <col min="5" max="5" width="12.85546875" customWidth="1"/>
    <col min="6" max="6" width="14.28515625" customWidth="1"/>
    <col min="7" max="7" width="12.7109375" customWidth="1"/>
    <col min="8" max="8" width="22.28515625" customWidth="1"/>
    <col min="9" max="9" width="17.140625" customWidth="1"/>
    <col min="10" max="10" width="12.140625" customWidth="1"/>
    <col min="11" max="11" width="11.140625" bestFit="1" customWidth="1"/>
    <col min="12" max="12" width="15.42578125" customWidth="1"/>
    <col min="13" max="13" width="14.28515625" customWidth="1"/>
    <col min="14" max="14" width="13.85546875" customWidth="1"/>
    <col min="15" max="15" width="15.28515625" customWidth="1"/>
    <col min="16" max="16" width="13.7109375" customWidth="1"/>
    <col min="17" max="17" width="23.28515625" customWidth="1"/>
    <col min="18" max="18" width="18.140625" customWidth="1"/>
    <col min="19" max="19" width="11.5703125" customWidth="1"/>
    <col min="20" max="20" width="10.7109375" bestFit="1" customWidth="1"/>
    <col min="21" max="21" width="15.85546875" bestFit="1" customWidth="1"/>
    <col min="22" max="22" width="14.7109375" customWidth="1"/>
    <col min="23" max="23" width="14.28515625" bestFit="1" customWidth="1"/>
    <col min="24" max="24" width="15.7109375" bestFit="1" customWidth="1"/>
    <col min="25" max="25" width="14.140625" bestFit="1" customWidth="1"/>
    <col min="26" max="26" width="24" bestFit="1" customWidth="1"/>
    <col min="27" max="27" width="18.85546875" bestFit="1" customWidth="1"/>
    <col min="28" max="28" width="11" bestFit="1" customWidth="1"/>
    <col min="29" max="37" width="11" style="43" customWidth="1"/>
    <col min="38" max="38" width="18.85546875" bestFit="1" customWidth="1"/>
  </cols>
  <sheetData>
    <row r="1" spans="1:42">
      <c r="B1" s="67" t="s">
        <v>503</v>
      </c>
      <c r="C1" s="68"/>
      <c r="D1" s="68"/>
      <c r="E1" s="68"/>
      <c r="F1" s="68"/>
      <c r="G1" s="68"/>
      <c r="H1" s="68"/>
      <c r="I1" s="68"/>
      <c r="J1" s="69"/>
      <c r="K1" s="70" t="s">
        <v>453</v>
      </c>
      <c r="L1" s="71"/>
      <c r="M1" s="71"/>
      <c r="N1" s="71"/>
      <c r="O1" s="71"/>
      <c r="P1" s="71"/>
      <c r="Q1" s="71"/>
      <c r="R1" s="71"/>
      <c r="S1" s="72"/>
      <c r="T1" s="73" t="s">
        <v>462</v>
      </c>
      <c r="U1" s="74"/>
      <c r="V1" s="74"/>
      <c r="W1" s="74"/>
      <c r="X1" s="74"/>
      <c r="Y1" s="74"/>
      <c r="Z1" s="74"/>
      <c r="AA1" s="74"/>
      <c r="AB1" s="75"/>
      <c r="AC1" s="65" t="s">
        <v>491</v>
      </c>
      <c r="AD1" s="66"/>
      <c r="AE1" s="66"/>
      <c r="AF1" s="66"/>
      <c r="AG1" s="66"/>
      <c r="AH1" s="66"/>
      <c r="AI1" s="66"/>
      <c r="AJ1" s="66"/>
      <c r="AK1" s="66"/>
      <c r="AL1" s="42" t="s">
        <v>502</v>
      </c>
    </row>
    <row r="2" spans="1:42" s="50" customFormat="1" ht="15.75" thickBot="1">
      <c r="B2" s="76" t="s">
        <v>439</v>
      </c>
      <c r="C2" s="77"/>
      <c r="D2" s="77"/>
      <c r="E2" s="78" t="s">
        <v>449</v>
      </c>
      <c r="F2" s="77"/>
      <c r="G2" s="79"/>
      <c r="H2" s="78" t="s">
        <v>450</v>
      </c>
      <c r="I2" s="79"/>
      <c r="J2" s="54" t="s">
        <v>451</v>
      </c>
      <c r="K2" s="80" t="s">
        <v>439</v>
      </c>
      <c r="L2" s="81"/>
      <c r="M2" s="82"/>
      <c r="N2" s="83" t="s">
        <v>449</v>
      </c>
      <c r="O2" s="81"/>
      <c r="P2" s="82"/>
      <c r="Q2" s="83" t="s">
        <v>450</v>
      </c>
      <c r="R2" s="82"/>
      <c r="S2" s="59" t="s">
        <v>451</v>
      </c>
      <c r="T2" s="84" t="s">
        <v>439</v>
      </c>
      <c r="U2" s="85"/>
      <c r="V2" s="85"/>
      <c r="W2" s="86" t="s">
        <v>449</v>
      </c>
      <c r="X2" s="84"/>
      <c r="Y2" s="87"/>
      <c r="Z2" s="86" t="s">
        <v>450</v>
      </c>
      <c r="AA2" s="87"/>
      <c r="AB2" s="60" t="s">
        <v>451</v>
      </c>
      <c r="AC2" s="88" t="s">
        <v>439</v>
      </c>
      <c r="AD2" s="89"/>
      <c r="AE2" s="89"/>
      <c r="AF2" s="90" t="s">
        <v>449</v>
      </c>
      <c r="AG2" s="91"/>
      <c r="AH2" s="92"/>
      <c r="AI2" s="91" t="s">
        <v>450</v>
      </c>
      <c r="AJ2" s="91"/>
      <c r="AK2" s="61" t="s">
        <v>451</v>
      </c>
      <c r="AL2" s="53"/>
    </row>
    <row r="3" spans="1:42">
      <c r="A3" s="6" t="s">
        <v>0</v>
      </c>
      <c r="B3" s="22" t="s">
        <v>481</v>
      </c>
      <c r="C3" s="23" t="s">
        <v>433</v>
      </c>
      <c r="D3" s="23" t="s">
        <v>479</v>
      </c>
      <c r="E3" s="36" t="s">
        <v>442</v>
      </c>
      <c r="F3" s="24" t="s">
        <v>443</v>
      </c>
      <c r="G3" s="24" t="s">
        <v>444</v>
      </c>
      <c r="H3" s="24" t="s">
        <v>445</v>
      </c>
      <c r="I3" s="24" t="s">
        <v>446</v>
      </c>
      <c r="J3" s="25" t="s">
        <v>437</v>
      </c>
      <c r="K3" s="55" t="s">
        <v>482</v>
      </c>
      <c r="L3" s="56" t="s">
        <v>463</v>
      </c>
      <c r="M3" s="56" t="s">
        <v>480</v>
      </c>
      <c r="N3" s="57" t="s">
        <v>464</v>
      </c>
      <c r="O3" s="57" t="s">
        <v>465</v>
      </c>
      <c r="P3" s="57" t="s">
        <v>466</v>
      </c>
      <c r="Q3" s="57" t="s">
        <v>467</v>
      </c>
      <c r="R3" s="57" t="s">
        <v>468</v>
      </c>
      <c r="S3" s="58" t="s">
        <v>469</v>
      </c>
      <c r="T3" s="22" t="s">
        <v>483</v>
      </c>
      <c r="U3" s="23" t="s">
        <v>470</v>
      </c>
      <c r="V3" s="23" t="s">
        <v>478</v>
      </c>
      <c r="W3" s="31" t="s">
        <v>471</v>
      </c>
      <c r="X3" s="31" t="s">
        <v>472</v>
      </c>
      <c r="Y3" s="31" t="s">
        <v>473</v>
      </c>
      <c r="Z3" s="31" t="s">
        <v>474</v>
      </c>
      <c r="AA3" s="31" t="s">
        <v>475</v>
      </c>
      <c r="AB3" s="33" t="s">
        <v>476</v>
      </c>
      <c r="AC3" s="44" t="s">
        <v>492</v>
      </c>
      <c r="AD3" s="45" t="s">
        <v>493</v>
      </c>
      <c r="AE3" s="45" t="s">
        <v>494</v>
      </c>
      <c r="AF3" s="46" t="s">
        <v>495</v>
      </c>
      <c r="AG3" s="46" t="s">
        <v>496</v>
      </c>
      <c r="AH3" s="46" t="s">
        <v>497</v>
      </c>
      <c r="AI3" s="46" t="s">
        <v>498</v>
      </c>
      <c r="AJ3" s="46" t="s">
        <v>499</v>
      </c>
      <c r="AK3" s="47" t="s">
        <v>500</v>
      </c>
      <c r="AL3" s="49" t="s">
        <v>502</v>
      </c>
    </row>
    <row r="4" spans="1:42">
      <c r="A4" s="1" t="s">
        <v>1</v>
      </c>
      <c r="B4">
        <f>'Rådata-K'!M3</f>
        <v>5</v>
      </c>
      <c r="C4" s="9">
        <f>'Rådata-K'!L3</f>
        <v>78.917773448399998</v>
      </c>
      <c r="D4" s="51">
        <f>'Rådata-K'!N3</f>
        <v>46.917770892048019</v>
      </c>
      <c r="E4" s="51">
        <f>'Rådata-K'!O3</f>
        <v>9.714535391785617E-2</v>
      </c>
      <c r="F4" s="51">
        <f>'Rådata-K'!P3</f>
        <v>0.12023762113367849</v>
      </c>
      <c r="G4" s="51">
        <f>'Rådata-K'!Q3</f>
        <v>0.15744059471658037</v>
      </c>
      <c r="H4" s="51">
        <f>'Rådata-K'!R3</f>
        <v>5.109428309894315E-2</v>
      </c>
      <c r="I4" s="51">
        <f>'Rådata-K'!S3</f>
        <v>0.78889591355825051</v>
      </c>
      <c r="J4" s="52">
        <f>'Rådata-K'!K3</f>
        <v>339700</v>
      </c>
      <c r="K4" s="26">
        <f>Tabell2[[#This Row],[NIBR11]]</f>
        <v>5</v>
      </c>
      <c r="L4" s="52">
        <f>IF(Tabell2[[#This Row],[ReisetidOslo]]&lt;=C$434,C$434,IF(Tabell2[[#This Row],[ReisetidOslo]]&gt;=C$435,C$435,Tabell2[[#This Row],[ReisetidOslo]]))</f>
        <v>78.917773448399998</v>
      </c>
      <c r="M4" s="51">
        <f>IF(Tabell2[[#This Row],[Beftettotal]]&lt;=D$434,D$434,IF(Tabell2[[#This Row],[Beftettotal]]&gt;=D$435,D$435,Tabell2[[#This Row],[Beftettotal]]))</f>
        <v>46.917770892048019</v>
      </c>
      <c r="N4" s="51">
        <f>IF(Tabell2[[#This Row],[Befvekst10]]&lt;=E$434,E$434,IF(Tabell2[[#This Row],[Befvekst10]]&gt;=E$435,E$435,Tabell2[[#This Row],[Befvekst10]]))</f>
        <v>9.714535391785617E-2</v>
      </c>
      <c r="O4" s="51">
        <f>IF(Tabell2[[#This Row],[Kvinneandel]]&lt;=F$434,F$434,IF(Tabell2[[#This Row],[Kvinneandel]]&gt;=F$435,F$435,Tabell2[[#This Row],[Kvinneandel]]))</f>
        <v>0.12023762113367849</v>
      </c>
      <c r="P4" s="51">
        <f>IF(Tabell2[[#This Row],[Eldreandel]]&lt;=G$434,G$434,IF(Tabell2[[#This Row],[Eldreandel]]&gt;=G$435,G$435,Tabell2[[#This Row],[Eldreandel]]))</f>
        <v>0.15744059471658037</v>
      </c>
      <c r="Q4" s="51">
        <f>IF(Tabell2[[#This Row],[Sysselsettingsvekst10]]&lt;=H$434,H$434,IF(Tabell2[[#This Row],[Sysselsettingsvekst10]]&gt;=H$435,H$435,Tabell2[[#This Row],[Sysselsettingsvekst10]]))</f>
        <v>5.109428309894315E-2</v>
      </c>
      <c r="R4" s="51">
        <f>IF(Tabell2[[#This Row],[Yrkesaktivandel]]&lt;=I$434,I$434,IF(Tabell2[[#This Row],[Yrkesaktivandel]]&gt;=I$435,I$435,Tabell2[[#This Row],[Yrkesaktivandel]]))</f>
        <v>0.82803562853509294</v>
      </c>
      <c r="S4" s="52">
        <f>IF(Tabell2[[#This Row],[Inntekt]]&lt;=J$434,J$434,IF(Tabell2[[#This Row],[Inntekt]]&gt;=J$435,J$435,Tabell2[[#This Row],[Inntekt]]))</f>
        <v>339700</v>
      </c>
      <c r="T4" s="9">
        <f>IF(Tabell2[[#This Row],[NIBR11-T]]&lt;=K$437,100,IF(Tabell2[[#This Row],[NIBR11-T]]&gt;=K$436,0,100*(K$436-Tabell2[[#This Row],[NIBR11-T]])/K$439))</f>
        <v>60</v>
      </c>
      <c r="U4" s="9">
        <f>(L$436-Tabell2[[#This Row],[ReisetidOslo-T]])*100/L$439</f>
        <v>88.851295686049838</v>
      </c>
      <c r="V4" s="9">
        <f>100-(M$436-Tabell2[[#This Row],[Beftettotal-T]])*100/M$439</f>
        <v>35.900092911470125</v>
      </c>
      <c r="W4" s="9">
        <f>100-(N$436-Tabell2[[#This Row],[Befvekst10-T]])*100/N$439</f>
        <v>72.000885982628887</v>
      </c>
      <c r="X4" s="9">
        <f>100-(O$436-Tabell2[[#This Row],[Kvinneandel-T]])*100/O$439</f>
        <v>79.393932294806433</v>
      </c>
      <c r="Y4" s="9">
        <f>(P$436-Tabell2[[#This Row],[Eldreandel-T]])*100/P$439</f>
        <v>57.659337112144343</v>
      </c>
      <c r="Z4" s="9">
        <f>100-(Q$436-Tabell2[[#This Row],[Sysselsettingsvekst10-T]])*100/Q$439</f>
        <v>38.448103141886804</v>
      </c>
      <c r="AA4" s="9">
        <f>100-(R$436-Tabell2[[#This Row],[Yrkesaktivandel-T]])*100/R$439</f>
        <v>0</v>
      </c>
      <c r="AB4" s="9">
        <f>100-(S$436-Tabell2[[#This Row],[Inntekt-T]])*100/S$439</f>
        <v>24.17955488494907</v>
      </c>
      <c r="AC4" s="48">
        <f>Tabell2[[#This Row],[NIBR11-I]]*Vekter!$B$3</f>
        <v>12</v>
      </c>
      <c r="AD4" s="48">
        <f>Tabell2[[#This Row],[ReisetidOslo-I]]*Vekter!$C$3</f>
        <v>8.8851295686049845</v>
      </c>
      <c r="AE4" s="48">
        <f>Tabell2[[#This Row],[Beftettotal-I]]*Vekter!$D$3</f>
        <v>3.5900092911470125</v>
      </c>
      <c r="AF4" s="48">
        <f>Tabell2[[#This Row],[Befvekst10-I]]*Vekter!$E$3</f>
        <v>14.400177196525778</v>
      </c>
      <c r="AG4" s="48">
        <f>Tabell2[[#This Row],[Kvinneandel-I]]*Vekter!$F$3</f>
        <v>3.9696966147403216</v>
      </c>
      <c r="AH4" s="48">
        <f>Tabell2[[#This Row],[Eldreandel-I]]*Vekter!$G$3</f>
        <v>2.8829668556072172</v>
      </c>
      <c r="AI4" s="48">
        <f>Tabell2[[#This Row],[Sysselsettingsvekst10-I]]*Vekter!$H$3</f>
        <v>3.8448103141886807</v>
      </c>
      <c r="AJ4" s="48">
        <f>Tabell2[[#This Row],[Yrkesaktivandel-I]]*Vekter!$J$3</f>
        <v>0</v>
      </c>
      <c r="AK4" s="48">
        <f>Tabell2[[#This Row],[Inntekt-I]]*Vekter!$L$3</f>
        <v>2.4179554884949073</v>
      </c>
      <c r="AL4" s="37">
        <f>SUM(Tabell2[[#This Row],[NIBR11-v]:[Inntekt-v]])</f>
        <v>51.990745329308893</v>
      </c>
    </row>
    <row r="5" spans="1:42">
      <c r="A5" s="1" t="s">
        <v>2</v>
      </c>
      <c r="B5">
        <f>'Rådata-K'!M4</f>
        <v>4</v>
      </c>
      <c r="C5" s="9">
        <f>'Rådata-K'!L4</f>
        <v>43.352067609999999</v>
      </c>
      <c r="D5" s="51">
        <f>'Rådata-K'!N4</f>
        <v>492.49646059462015</v>
      </c>
      <c r="E5" s="51">
        <f>'Rådata-K'!O4</f>
        <v>0.12894850713976624</v>
      </c>
      <c r="F5" s="51">
        <f>'Rådata-K'!P4</f>
        <v>0.11623227290149482</v>
      </c>
      <c r="G5" s="51">
        <f>'Rådata-K'!Q4</f>
        <v>0.15749968059281971</v>
      </c>
      <c r="H5" s="51">
        <f>'Rådata-K'!R4</f>
        <v>-5.5133896606043287E-3</v>
      </c>
      <c r="I5" s="51">
        <f>'Rådata-K'!S4</f>
        <v>0.80017566974088716</v>
      </c>
      <c r="J5" s="52">
        <f>'Rådata-K'!K4</f>
        <v>360900</v>
      </c>
      <c r="K5" s="26">
        <f>Tabell2[[#This Row],[NIBR11]]</f>
        <v>4</v>
      </c>
      <c r="L5" s="52">
        <f>IF(Tabell2[[#This Row],[ReisetidOslo]]&lt;=C$434,C$434,IF(Tabell2[[#This Row],[ReisetidOslo]]&gt;=C$435,C$435,Tabell2[[#This Row],[ReisetidOslo]]))</f>
        <v>53.805284539509998</v>
      </c>
      <c r="M5" s="51">
        <f>IF(Tabell2[[#This Row],[Beftettotal]]&lt;=D$434,D$434,IF(Tabell2[[#This Row],[Beftettotal]]&gt;=D$435,D$435,Tabell2[[#This Row],[Beftettotal]]))</f>
        <v>128.29773514779066</v>
      </c>
      <c r="N5" s="51">
        <f>IF(Tabell2[[#This Row],[Befvekst10]]&lt;=E$434,E$434,IF(Tabell2[[#This Row],[Befvekst10]]&gt;=E$435,E$435,Tabell2[[#This Row],[Befvekst10]]))</f>
        <v>0.12894850713976624</v>
      </c>
      <c r="O5" s="51">
        <f>IF(Tabell2[[#This Row],[Kvinneandel]]&lt;=F$434,F$434,IF(Tabell2[[#This Row],[Kvinneandel]]&gt;=F$435,F$435,Tabell2[[#This Row],[Kvinneandel]]))</f>
        <v>0.11623227290149482</v>
      </c>
      <c r="P5" s="51">
        <f>IF(Tabell2[[#This Row],[Eldreandel]]&lt;=G$434,G$434,IF(Tabell2[[#This Row],[Eldreandel]]&gt;=G$435,G$435,Tabell2[[#This Row],[Eldreandel]]))</f>
        <v>0.15749968059281971</v>
      </c>
      <c r="Q5" s="51">
        <f>IF(Tabell2[[#This Row],[Sysselsettingsvekst10]]&lt;=H$434,H$434,IF(Tabell2[[#This Row],[Sysselsettingsvekst10]]&gt;=H$435,H$435,Tabell2[[#This Row],[Sysselsettingsvekst10]]))</f>
        <v>-5.5133896606043287E-3</v>
      </c>
      <c r="R5" s="51">
        <f>IF(Tabell2[[#This Row],[Yrkesaktivandel]]&lt;=I$434,I$434,IF(Tabell2[[#This Row],[Yrkesaktivandel]]&gt;=I$435,I$435,Tabell2[[#This Row],[Yrkesaktivandel]]))</f>
        <v>0.82803562853509294</v>
      </c>
      <c r="S5" s="52">
        <f>IF(Tabell2[[#This Row],[Inntekt]]&lt;=J$434,J$434,IF(Tabell2[[#This Row],[Inntekt]]&gt;=J$435,J$435,Tabell2[[#This Row],[Inntekt]]))</f>
        <v>360900</v>
      </c>
      <c r="T5" s="9">
        <f>IF(Tabell2[[#This Row],[NIBR11-T]]&lt;=K$437,100,IF(Tabell2[[#This Row],[NIBR11-T]]&gt;=K$436,0,100*(K$436-Tabell2[[#This Row],[NIBR11-T]])/K$439))</f>
        <v>70</v>
      </c>
      <c r="U5" s="9">
        <f>(L$436-Tabell2[[#This Row],[ReisetidOslo-T]])*100/L$439</f>
        <v>100</v>
      </c>
      <c r="V5" s="9">
        <f>100-(M$436-Tabell2[[#This Row],[Beftettotal-T]])*100/M$439</f>
        <v>100</v>
      </c>
      <c r="W5" s="9">
        <f>100-(N$436-Tabell2[[#This Row],[Befvekst10-T]])*100/N$439</f>
        <v>84.870214094017911</v>
      </c>
      <c r="X5" s="9">
        <f>100-(O$436-Tabell2[[#This Row],[Kvinneandel-T]])*100/O$439</f>
        <v>68.784975298818011</v>
      </c>
      <c r="Y5" s="9">
        <f>(P$436-Tabell2[[#This Row],[Eldreandel-T]])*100/P$439</f>
        <v>57.592352254277742</v>
      </c>
      <c r="Z5" s="9">
        <f>100-(Q$436-Tabell2[[#This Row],[Sysselsettingsvekst10-T]])*100/Q$439</f>
        <v>20.278672307517226</v>
      </c>
      <c r="AA5" s="9">
        <f>100-(R$436-Tabell2[[#This Row],[Yrkesaktivandel-T]])*100/R$439</f>
        <v>0</v>
      </c>
      <c r="AB5" s="9">
        <f>100-(S$436-Tabell2[[#This Row],[Inntekt-T]])*100/S$439</f>
        <v>50.836162454419714</v>
      </c>
      <c r="AC5" s="48">
        <f>Tabell2[[#This Row],[NIBR11-I]]*Vekter!$B$3</f>
        <v>14</v>
      </c>
      <c r="AD5" s="48">
        <f>Tabell2[[#This Row],[ReisetidOslo-I]]*Vekter!$C$3</f>
        <v>10</v>
      </c>
      <c r="AE5" s="48">
        <f>Tabell2[[#This Row],[Beftettotal-I]]*Vekter!$D$3</f>
        <v>10</v>
      </c>
      <c r="AF5" s="48">
        <f>Tabell2[[#This Row],[Befvekst10-I]]*Vekter!$E$3</f>
        <v>16.974042818803582</v>
      </c>
      <c r="AG5" s="48">
        <f>Tabell2[[#This Row],[Kvinneandel-I]]*Vekter!$F$3</f>
        <v>3.4392487649409009</v>
      </c>
      <c r="AH5" s="48">
        <f>Tabell2[[#This Row],[Eldreandel-I]]*Vekter!$G$3</f>
        <v>2.8796176127138873</v>
      </c>
      <c r="AI5" s="48">
        <f>Tabell2[[#This Row],[Sysselsettingsvekst10-I]]*Vekter!$H$3</f>
        <v>2.0278672307517227</v>
      </c>
      <c r="AJ5" s="48">
        <f>Tabell2[[#This Row],[Yrkesaktivandel-I]]*Vekter!$J$3</f>
        <v>0</v>
      </c>
      <c r="AK5" s="48">
        <f>Tabell2[[#This Row],[Inntekt-I]]*Vekter!$L$3</f>
        <v>5.0836162454419718</v>
      </c>
      <c r="AL5" s="37">
        <f>SUM(Tabell2[[#This Row],[NIBR11-v]:[Inntekt-v]])</f>
        <v>64.404392672652065</v>
      </c>
    </row>
    <row r="6" spans="1:42">
      <c r="A6" s="1" t="s">
        <v>3</v>
      </c>
      <c r="B6">
        <f>'Rådata-K'!M5</f>
        <v>2</v>
      </c>
      <c r="C6" s="9">
        <f>'Rådata-K'!L5</f>
        <v>61.282189696099998</v>
      </c>
      <c r="D6" s="51">
        <f>'Rådata-K'!N5</f>
        <v>133.48560422736924</v>
      </c>
      <c r="E6" s="51">
        <f>'Rådata-K'!O5</f>
        <v>9.3802480626429041E-2</v>
      </c>
      <c r="F6" s="51">
        <f>'Rådata-K'!P5</f>
        <v>0.12016500490205147</v>
      </c>
      <c r="G6" s="51">
        <f>'Rådata-K'!Q5</f>
        <v>0.15177861225697847</v>
      </c>
      <c r="H6" s="51">
        <f>'Rådata-K'!R5</f>
        <v>9.2437759820636289E-2</v>
      </c>
      <c r="I6" s="51">
        <f>'Rådata-K'!S5</f>
        <v>0.79301323975115645</v>
      </c>
      <c r="J6" s="52">
        <f>'Rådata-K'!K5</f>
        <v>338800</v>
      </c>
      <c r="K6" s="26">
        <f>Tabell2[[#This Row],[NIBR11]]</f>
        <v>2</v>
      </c>
      <c r="L6" s="52">
        <f>IF(Tabell2[[#This Row],[ReisetidOslo]]&lt;=C$434,C$434,IF(Tabell2[[#This Row],[ReisetidOslo]]&gt;=C$435,C$435,Tabell2[[#This Row],[ReisetidOslo]]))</f>
        <v>61.282189696099998</v>
      </c>
      <c r="M6" s="51">
        <f>IF(Tabell2[[#This Row],[Beftettotal]]&lt;=D$434,D$434,IF(Tabell2[[#This Row],[Beftettotal]]&gt;=D$435,D$435,Tabell2[[#This Row],[Beftettotal]]))</f>
        <v>128.29773514779066</v>
      </c>
      <c r="N6" s="51">
        <f>IF(Tabell2[[#This Row],[Befvekst10]]&lt;=E$434,E$434,IF(Tabell2[[#This Row],[Befvekst10]]&gt;=E$435,E$435,Tabell2[[#This Row],[Befvekst10]]))</f>
        <v>9.3802480626429041E-2</v>
      </c>
      <c r="O6" s="51">
        <f>IF(Tabell2[[#This Row],[Kvinneandel]]&lt;=F$434,F$434,IF(Tabell2[[#This Row],[Kvinneandel]]&gt;=F$435,F$435,Tabell2[[#This Row],[Kvinneandel]]))</f>
        <v>0.12016500490205147</v>
      </c>
      <c r="P6" s="51">
        <f>IF(Tabell2[[#This Row],[Eldreandel]]&lt;=G$434,G$434,IF(Tabell2[[#This Row],[Eldreandel]]&gt;=G$435,G$435,Tabell2[[#This Row],[Eldreandel]]))</f>
        <v>0.15177861225697847</v>
      </c>
      <c r="Q6" s="51">
        <f>IF(Tabell2[[#This Row],[Sysselsettingsvekst10]]&lt;=H$434,H$434,IF(Tabell2[[#This Row],[Sysselsettingsvekst10]]&gt;=H$435,H$435,Tabell2[[#This Row],[Sysselsettingsvekst10]]))</f>
        <v>9.2437759820636289E-2</v>
      </c>
      <c r="R6" s="51">
        <f>IF(Tabell2[[#This Row],[Yrkesaktivandel]]&lt;=I$434,I$434,IF(Tabell2[[#This Row],[Yrkesaktivandel]]&gt;=I$435,I$435,Tabell2[[#This Row],[Yrkesaktivandel]]))</f>
        <v>0.82803562853509294</v>
      </c>
      <c r="S6" s="52">
        <f>IF(Tabell2[[#This Row],[Inntekt]]&lt;=J$434,J$434,IF(Tabell2[[#This Row],[Inntekt]]&gt;=J$435,J$435,Tabell2[[#This Row],[Inntekt]]))</f>
        <v>338800</v>
      </c>
      <c r="T6" s="9">
        <f>IF(Tabell2[[#This Row],[NIBR11-T]]&lt;=K$437,100,IF(Tabell2[[#This Row],[NIBR11-T]]&gt;=K$436,0,100*(K$436-Tabell2[[#This Row],[NIBR11-T]])/K$439))</f>
        <v>90</v>
      </c>
      <c r="U6" s="9">
        <f>(L$436-Tabell2[[#This Row],[ReisetidOslo-T]])*100/L$439</f>
        <v>96.680623530519028</v>
      </c>
      <c r="V6" s="9">
        <f>100-(M$436-Tabell2[[#This Row],[Beftettotal-T]])*100/M$439</f>
        <v>100</v>
      </c>
      <c r="W6" s="9">
        <f>100-(N$436-Tabell2[[#This Row],[Befvekst10-T]])*100/N$439</f>
        <v>70.648173158149064</v>
      </c>
      <c r="X6" s="9">
        <f>100-(O$436-Tabell2[[#This Row],[Kvinneandel-T]])*100/O$439</f>
        <v>79.201593842845725</v>
      </c>
      <c r="Y6" s="9">
        <f>(P$436-Tabell2[[#This Row],[Eldreandel-T]])*100/P$439</f>
        <v>64.078249963047</v>
      </c>
      <c r="Z6" s="9">
        <f>100-(Q$436-Tabell2[[#This Row],[Sysselsettingsvekst10-T]])*100/Q$439</f>
        <v>51.71816714783867</v>
      </c>
      <c r="AA6" s="9">
        <f>100-(R$436-Tabell2[[#This Row],[Yrkesaktivandel-T]])*100/R$439</f>
        <v>0</v>
      </c>
      <c r="AB6" s="9">
        <f>100-(S$436-Tabell2[[#This Row],[Inntekt-T]])*100/S$439</f>
        <v>23.04790645039607</v>
      </c>
      <c r="AC6" s="48">
        <f>Tabell2[[#This Row],[NIBR11-I]]*Vekter!$B$3</f>
        <v>18</v>
      </c>
      <c r="AD6" s="48">
        <f>Tabell2[[#This Row],[ReisetidOslo-I]]*Vekter!$C$3</f>
        <v>9.6680623530519032</v>
      </c>
      <c r="AE6" s="48">
        <f>Tabell2[[#This Row],[Beftettotal-I]]*Vekter!$D$3</f>
        <v>10</v>
      </c>
      <c r="AF6" s="48">
        <f>Tabell2[[#This Row],[Befvekst10-I]]*Vekter!$E$3</f>
        <v>14.129634631629813</v>
      </c>
      <c r="AG6" s="48">
        <f>Tabell2[[#This Row],[Kvinneandel-I]]*Vekter!$F$3</f>
        <v>3.9600796921422865</v>
      </c>
      <c r="AH6" s="48">
        <f>Tabell2[[#This Row],[Eldreandel-I]]*Vekter!$G$3</f>
        <v>3.2039124981523504</v>
      </c>
      <c r="AI6" s="48">
        <f>Tabell2[[#This Row],[Sysselsettingsvekst10-I]]*Vekter!$H$3</f>
        <v>5.1718167147838674</v>
      </c>
      <c r="AJ6" s="48">
        <f>Tabell2[[#This Row],[Yrkesaktivandel-I]]*Vekter!$J$3</f>
        <v>0</v>
      </c>
      <c r="AK6" s="48">
        <f>Tabell2[[#This Row],[Inntekt-I]]*Vekter!$L$3</f>
        <v>2.3047906450396072</v>
      </c>
      <c r="AL6" s="37">
        <f>SUM(Tabell2[[#This Row],[NIBR11-v]:[Inntekt-v]])</f>
        <v>66.438296534799818</v>
      </c>
    </row>
    <row r="7" spans="1:42">
      <c r="A7" s="1" t="s">
        <v>4</v>
      </c>
      <c r="B7">
        <f>'Rådata-K'!M6</f>
        <v>2</v>
      </c>
      <c r="C7" s="9">
        <f>'Rådata-K'!L6</f>
        <v>65.471503438900001</v>
      </c>
      <c r="D7" s="51">
        <f>'Rådata-K'!N6</f>
        <v>270.61593191964289</v>
      </c>
      <c r="E7" s="51">
        <f>'Rådata-K'!O6</f>
        <v>0.1105529076674252</v>
      </c>
      <c r="F7" s="51">
        <f>'Rådata-K'!P6</f>
        <v>0.11849312420254926</v>
      </c>
      <c r="G7" s="51">
        <f>'Rådata-K'!Q6</f>
        <v>0.15023649650088283</v>
      </c>
      <c r="H7" s="51">
        <f>'Rådata-K'!R6</f>
        <v>7.5152212764668436E-2</v>
      </c>
      <c r="I7" s="51">
        <f>'Rådata-K'!S6</f>
        <v>0.80363540453216697</v>
      </c>
      <c r="J7" s="52">
        <f>'Rådata-K'!K6</f>
        <v>353200</v>
      </c>
      <c r="K7" s="26">
        <f>Tabell2[[#This Row],[NIBR11]]</f>
        <v>2</v>
      </c>
      <c r="L7" s="52">
        <f>IF(Tabell2[[#This Row],[ReisetidOslo]]&lt;=C$434,C$434,IF(Tabell2[[#This Row],[ReisetidOslo]]&gt;=C$435,C$435,Tabell2[[#This Row],[ReisetidOslo]]))</f>
        <v>65.471503438900001</v>
      </c>
      <c r="M7" s="51">
        <f>IF(Tabell2[[#This Row],[Beftettotal]]&lt;=D$434,D$434,IF(Tabell2[[#This Row],[Beftettotal]]&gt;=D$435,D$435,Tabell2[[#This Row],[Beftettotal]]))</f>
        <v>128.29773514779066</v>
      </c>
      <c r="N7" s="51">
        <f>IF(Tabell2[[#This Row],[Befvekst10]]&lt;=E$434,E$434,IF(Tabell2[[#This Row],[Befvekst10]]&gt;=E$435,E$435,Tabell2[[#This Row],[Befvekst10]]))</f>
        <v>0.1105529076674252</v>
      </c>
      <c r="O7" s="51">
        <f>IF(Tabell2[[#This Row],[Kvinneandel]]&lt;=F$434,F$434,IF(Tabell2[[#This Row],[Kvinneandel]]&gt;=F$435,F$435,Tabell2[[#This Row],[Kvinneandel]]))</f>
        <v>0.11849312420254926</v>
      </c>
      <c r="P7" s="51">
        <f>IF(Tabell2[[#This Row],[Eldreandel]]&lt;=G$434,G$434,IF(Tabell2[[#This Row],[Eldreandel]]&gt;=G$435,G$435,Tabell2[[#This Row],[Eldreandel]]))</f>
        <v>0.15023649650088283</v>
      </c>
      <c r="Q7" s="51">
        <f>IF(Tabell2[[#This Row],[Sysselsettingsvekst10]]&lt;=H$434,H$434,IF(Tabell2[[#This Row],[Sysselsettingsvekst10]]&gt;=H$435,H$435,Tabell2[[#This Row],[Sysselsettingsvekst10]]))</f>
        <v>7.5152212764668436E-2</v>
      </c>
      <c r="R7" s="51">
        <f>IF(Tabell2[[#This Row],[Yrkesaktivandel]]&lt;=I$434,I$434,IF(Tabell2[[#This Row],[Yrkesaktivandel]]&gt;=I$435,I$435,Tabell2[[#This Row],[Yrkesaktivandel]]))</f>
        <v>0.82803562853509294</v>
      </c>
      <c r="S7" s="52">
        <f>IF(Tabell2[[#This Row],[Inntekt]]&lt;=J$434,J$434,IF(Tabell2[[#This Row],[Inntekt]]&gt;=J$435,J$435,Tabell2[[#This Row],[Inntekt]]))</f>
        <v>353200</v>
      </c>
      <c r="T7" s="9">
        <f>IF(Tabell2[[#This Row],[NIBR11-T]]&lt;=K$437,100,IF(Tabell2[[#This Row],[NIBR11-T]]&gt;=K$436,0,100*(K$436-Tabell2[[#This Row],[NIBR11-T]])/K$439))</f>
        <v>90</v>
      </c>
      <c r="U7" s="9">
        <f>(L$436-Tabell2[[#This Row],[ReisetidOslo-T]])*100/L$439</f>
        <v>94.820775214953983</v>
      </c>
      <c r="V7" s="9">
        <f>100-(M$436-Tabell2[[#This Row],[Beftettotal-T]])*100/M$439</f>
        <v>100</v>
      </c>
      <c r="W7" s="9">
        <f>100-(N$436-Tabell2[[#This Row],[Befvekst10-T]])*100/N$439</f>
        <v>77.426329402352948</v>
      </c>
      <c r="X7" s="9">
        <f>100-(O$436-Tabell2[[#This Row],[Kvinneandel-T]])*100/O$439</f>
        <v>74.773287135098613</v>
      </c>
      <c r="Y7" s="9">
        <f>(P$436-Tabell2[[#This Row],[Eldreandel-T]])*100/P$439</f>
        <v>65.826525715402099</v>
      </c>
      <c r="Z7" s="9">
        <f>100-(Q$436-Tabell2[[#This Row],[Sysselsettingsvekst10-T]])*100/Q$439</f>
        <v>46.170004922521294</v>
      </c>
      <c r="AA7" s="9">
        <f>100-(R$436-Tabell2[[#This Row],[Yrkesaktivandel-T]])*100/R$439</f>
        <v>0</v>
      </c>
      <c r="AB7" s="9">
        <f>100-(S$436-Tabell2[[#This Row],[Inntekt-T]])*100/S$439</f>
        <v>41.154281403244056</v>
      </c>
      <c r="AC7" s="48">
        <f>Tabell2[[#This Row],[NIBR11-I]]*Vekter!$B$3</f>
        <v>18</v>
      </c>
      <c r="AD7" s="48">
        <f>Tabell2[[#This Row],[ReisetidOslo-I]]*Vekter!$C$3</f>
        <v>9.4820775214953983</v>
      </c>
      <c r="AE7" s="48">
        <f>Tabell2[[#This Row],[Beftettotal-I]]*Vekter!$D$3</f>
        <v>10</v>
      </c>
      <c r="AF7" s="48">
        <f>Tabell2[[#This Row],[Befvekst10-I]]*Vekter!$E$3</f>
        <v>15.485265880470591</v>
      </c>
      <c r="AG7" s="48">
        <f>Tabell2[[#This Row],[Kvinneandel-I]]*Vekter!$F$3</f>
        <v>3.7386643567549309</v>
      </c>
      <c r="AH7" s="48">
        <f>Tabell2[[#This Row],[Eldreandel-I]]*Vekter!$G$3</f>
        <v>3.2913262857701051</v>
      </c>
      <c r="AI7" s="48">
        <f>Tabell2[[#This Row],[Sysselsettingsvekst10-I]]*Vekter!$H$3</f>
        <v>4.6170004922521297</v>
      </c>
      <c r="AJ7" s="48">
        <f>Tabell2[[#This Row],[Yrkesaktivandel-I]]*Vekter!$J$3</f>
        <v>0</v>
      </c>
      <c r="AK7" s="48">
        <f>Tabell2[[#This Row],[Inntekt-I]]*Vekter!$L$3</f>
        <v>4.115428140324406</v>
      </c>
      <c r="AL7" s="37">
        <f>SUM(Tabell2[[#This Row],[NIBR11-v]:[Inntekt-v]])</f>
        <v>68.729762677067569</v>
      </c>
    </row>
    <row r="8" spans="1:42">
      <c r="A8" s="1" t="s">
        <v>5</v>
      </c>
      <c r="B8">
        <f>'Rådata-K'!M7</f>
        <v>3</v>
      </c>
      <c r="C8" s="9">
        <f>'Rådata-K'!L7</f>
        <v>91.602707731899997</v>
      </c>
      <c r="D8" s="51">
        <f>'Rådata-K'!N7</f>
        <v>48.66844207723036</v>
      </c>
      <c r="E8" s="51">
        <f>'Rådata-K'!O7</f>
        <v>0.1873308067135897</v>
      </c>
      <c r="F8" s="51">
        <f>'Rådata-K'!P7</f>
        <v>9.5075239398084821E-2</v>
      </c>
      <c r="G8" s="51">
        <f>'Rådata-K'!Q7</f>
        <v>0.17327861377108983</v>
      </c>
      <c r="H8" s="51">
        <f>'Rådata-K'!R7</f>
        <v>0.26927029804727654</v>
      </c>
      <c r="I8" s="51">
        <f>'Rådata-K'!S7</f>
        <v>0.84960629921259845</v>
      </c>
      <c r="J8" s="52">
        <f>'Rådata-K'!K7</f>
        <v>384800</v>
      </c>
      <c r="K8" s="26">
        <f>Tabell2[[#This Row],[NIBR11]]</f>
        <v>3</v>
      </c>
      <c r="L8" s="52">
        <f>IF(Tabell2[[#This Row],[ReisetidOslo]]&lt;=C$434,C$434,IF(Tabell2[[#This Row],[ReisetidOslo]]&gt;=C$435,C$435,Tabell2[[#This Row],[ReisetidOslo]]))</f>
        <v>91.602707731899997</v>
      </c>
      <c r="M8" s="51">
        <f>IF(Tabell2[[#This Row],[Beftettotal]]&lt;=D$434,D$434,IF(Tabell2[[#This Row],[Beftettotal]]&gt;=D$435,D$435,Tabell2[[#This Row],[Beftettotal]]))</f>
        <v>48.66844207723036</v>
      </c>
      <c r="N8" s="51">
        <f>IF(Tabell2[[#This Row],[Befvekst10]]&lt;=E$434,E$434,IF(Tabell2[[#This Row],[Befvekst10]]&gt;=E$435,E$435,Tabell2[[#This Row],[Befvekst10]]))</f>
        <v>0.16633778614624492</v>
      </c>
      <c r="O8" s="51">
        <f>IF(Tabell2[[#This Row],[Kvinneandel]]&lt;=F$434,F$434,IF(Tabell2[[#This Row],[Kvinneandel]]&gt;=F$435,F$435,Tabell2[[#This Row],[Kvinneandel]]))</f>
        <v>9.5075239398084821E-2</v>
      </c>
      <c r="P8" s="51">
        <f>IF(Tabell2[[#This Row],[Eldreandel]]&lt;=G$434,G$434,IF(Tabell2[[#This Row],[Eldreandel]]&gt;=G$435,G$435,Tabell2[[#This Row],[Eldreandel]]))</f>
        <v>0.17327861377108983</v>
      </c>
      <c r="Q8" s="51">
        <f>IF(Tabell2[[#This Row],[Sysselsettingsvekst10]]&lt;=H$434,H$434,IF(Tabell2[[#This Row],[Sysselsettingsvekst10]]&gt;=H$435,H$435,Tabell2[[#This Row],[Sysselsettingsvekst10]]))</f>
        <v>0.24286196513786068</v>
      </c>
      <c r="R8" s="51">
        <f>IF(Tabell2[[#This Row],[Yrkesaktivandel]]&lt;=I$434,I$434,IF(Tabell2[[#This Row],[Yrkesaktivandel]]&gt;=I$435,I$435,Tabell2[[#This Row],[Yrkesaktivandel]]))</f>
        <v>0.84960629921259845</v>
      </c>
      <c r="S8" s="52">
        <f>IF(Tabell2[[#This Row],[Inntekt]]&lt;=J$434,J$434,IF(Tabell2[[#This Row],[Inntekt]]&gt;=J$435,J$435,Tabell2[[#This Row],[Inntekt]]))</f>
        <v>384800</v>
      </c>
      <c r="T8" s="9">
        <f>IF(Tabell2[[#This Row],[NIBR11-T]]&lt;=K$437,100,IF(Tabell2[[#This Row],[NIBR11-T]]&gt;=K$436,0,100*(K$436-Tabell2[[#This Row],[NIBR11-T]])/K$439))</f>
        <v>80</v>
      </c>
      <c r="U8" s="9">
        <f>(L$436-Tabell2[[#This Row],[ReisetidOslo-T]])*100/L$439</f>
        <v>83.219811603300599</v>
      </c>
      <c r="V8" s="9">
        <f>100-(M$436-Tabell2[[#This Row],[Beftettotal-T]])*100/M$439</f>
        <v>37.279030114736784</v>
      </c>
      <c r="W8" s="9">
        <f>100-(N$436-Tabell2[[#This Row],[Befvekst10-T]])*100/N$439</f>
        <v>100</v>
      </c>
      <c r="X8" s="9">
        <f>100-(O$436-Tabell2[[#This Row],[Kvinneandel-T]])*100/O$439</f>
        <v>12.746387493434256</v>
      </c>
      <c r="Y8" s="9">
        <f>(P$436-Tabell2[[#This Row],[Eldreandel-T]])*100/P$439</f>
        <v>39.703989357679525</v>
      </c>
      <c r="Z8" s="9">
        <f>100-(Q$436-Tabell2[[#This Row],[Sysselsettingsvekst10-T]])*100/Q$439</f>
        <v>100</v>
      </c>
      <c r="AA8" s="9">
        <f>100-(R$436-Tabell2[[#This Row],[Yrkesaktivandel-T]])*100/R$439</f>
        <v>16.080411667729379</v>
      </c>
      <c r="AB8" s="9">
        <f>100-(S$436-Tabell2[[#This Row],[Inntekt-T]])*100/S$439</f>
        <v>80.887715327549358</v>
      </c>
      <c r="AC8" s="48">
        <f>Tabell2[[#This Row],[NIBR11-I]]*Vekter!$B$3</f>
        <v>16</v>
      </c>
      <c r="AD8" s="48">
        <f>Tabell2[[#This Row],[ReisetidOslo-I]]*Vekter!$C$3</f>
        <v>8.3219811603300595</v>
      </c>
      <c r="AE8" s="48">
        <f>Tabell2[[#This Row],[Beftettotal-I]]*Vekter!$D$3</f>
        <v>3.7279030114736784</v>
      </c>
      <c r="AF8" s="48">
        <f>Tabell2[[#This Row],[Befvekst10-I]]*Vekter!$E$3</f>
        <v>20</v>
      </c>
      <c r="AG8" s="48">
        <f>Tabell2[[#This Row],[Kvinneandel-I]]*Vekter!$F$3</f>
        <v>0.63731937467171285</v>
      </c>
      <c r="AH8" s="48">
        <f>Tabell2[[#This Row],[Eldreandel-I]]*Vekter!$G$3</f>
        <v>1.9851994678839764</v>
      </c>
      <c r="AI8" s="48">
        <f>Tabell2[[#This Row],[Sysselsettingsvekst10-I]]*Vekter!$H$3</f>
        <v>10</v>
      </c>
      <c r="AJ8" s="48">
        <f>Tabell2[[#This Row],[Yrkesaktivandel-I]]*Vekter!$J$3</f>
        <v>1.608041166772938</v>
      </c>
      <c r="AK8" s="48">
        <f>Tabell2[[#This Row],[Inntekt-I]]*Vekter!$L$3</f>
        <v>8.0887715327549365</v>
      </c>
      <c r="AL8" s="37">
        <f>SUM(Tabell2[[#This Row],[NIBR11-v]:[Inntekt-v]])</f>
        <v>70.3692157138873</v>
      </c>
    </row>
    <row r="9" spans="1:42">
      <c r="A9" s="1" t="s">
        <v>6</v>
      </c>
      <c r="B9">
        <f>'Rådata-K'!M8</f>
        <v>5</v>
      </c>
      <c r="C9" s="9">
        <f>'Rådata-K'!L8</f>
        <v>91.914837187499998</v>
      </c>
      <c r="D9" s="51">
        <f>'Rådata-K'!N8</f>
        <v>4.4100604504024812</v>
      </c>
      <c r="E9" s="51">
        <f>'Rådata-K'!O8</f>
        <v>-2.0180932498260251E-2</v>
      </c>
      <c r="F9" s="51">
        <f>'Rådata-K'!P8</f>
        <v>8.7357954545454544E-2</v>
      </c>
      <c r="G9" s="51">
        <f>'Rådata-K'!Q8</f>
        <v>0.18892045454545456</v>
      </c>
      <c r="H9" s="51">
        <f>'Rådata-K'!R8</f>
        <v>1.6620498614958512E-2</v>
      </c>
      <c r="I9" s="51">
        <f>'Rådata-K'!S8</f>
        <v>0.87660668380462725</v>
      </c>
      <c r="J9" s="52">
        <f>'Rådata-K'!K8</f>
        <v>344600</v>
      </c>
      <c r="K9" s="26">
        <f>Tabell2[[#This Row],[NIBR11]]</f>
        <v>5</v>
      </c>
      <c r="L9" s="52">
        <f>IF(Tabell2[[#This Row],[ReisetidOslo]]&lt;=C$434,C$434,IF(Tabell2[[#This Row],[ReisetidOslo]]&gt;=C$435,C$435,Tabell2[[#This Row],[ReisetidOslo]]))</f>
        <v>91.914837187499998</v>
      </c>
      <c r="M9" s="51">
        <f>IF(Tabell2[[#This Row],[Beftettotal]]&lt;=D$434,D$434,IF(Tabell2[[#This Row],[Beftettotal]]&gt;=D$435,D$435,Tabell2[[#This Row],[Beftettotal]]))</f>
        <v>4.4100604504024812</v>
      </c>
      <c r="N9" s="51">
        <f>IF(Tabell2[[#This Row],[Befvekst10]]&lt;=E$434,E$434,IF(Tabell2[[#This Row],[Befvekst10]]&gt;=E$435,E$435,Tabell2[[#This Row],[Befvekst10]]))</f>
        <v>-2.0180932498260251E-2</v>
      </c>
      <c r="O9" s="51">
        <f>IF(Tabell2[[#This Row],[Kvinneandel]]&lt;=F$434,F$434,IF(Tabell2[[#This Row],[Kvinneandel]]&gt;=F$435,F$435,Tabell2[[#This Row],[Kvinneandel]]))</f>
        <v>9.0262917071501733E-2</v>
      </c>
      <c r="P9" s="51">
        <f>IF(Tabell2[[#This Row],[Eldreandel]]&lt;=G$434,G$434,IF(Tabell2[[#This Row],[Eldreandel]]&gt;=G$435,G$435,Tabell2[[#This Row],[Eldreandel]]))</f>
        <v>0.18892045454545456</v>
      </c>
      <c r="Q9" s="51">
        <f>IF(Tabell2[[#This Row],[Sysselsettingsvekst10]]&lt;=H$434,H$434,IF(Tabell2[[#This Row],[Sysselsettingsvekst10]]&gt;=H$435,H$435,Tabell2[[#This Row],[Sysselsettingsvekst10]]))</f>
        <v>1.6620498614958512E-2</v>
      </c>
      <c r="R9" s="51">
        <f>IF(Tabell2[[#This Row],[Yrkesaktivandel]]&lt;=I$434,I$434,IF(Tabell2[[#This Row],[Yrkesaktivandel]]&gt;=I$435,I$435,Tabell2[[#This Row],[Yrkesaktivandel]]))</f>
        <v>0.87660668380462725</v>
      </c>
      <c r="S9" s="52">
        <f>IF(Tabell2[[#This Row],[Inntekt]]&lt;=J$434,J$434,IF(Tabell2[[#This Row],[Inntekt]]&gt;=J$435,J$435,Tabell2[[#This Row],[Inntekt]]))</f>
        <v>344600</v>
      </c>
      <c r="T9" s="9">
        <f>IF(Tabell2[[#This Row],[NIBR11-T]]&lt;=K$437,100,IF(Tabell2[[#This Row],[NIBR11-T]]&gt;=K$436,0,100*(K$436-Tabell2[[#This Row],[NIBR11-T]])/K$439))</f>
        <v>60</v>
      </c>
      <c r="U9" s="9">
        <f>(L$436-Tabell2[[#This Row],[ReisetidOslo-T]])*100/L$439</f>
        <v>83.081241546752906</v>
      </c>
      <c r="V9" s="9">
        <f>100-(M$436-Tabell2[[#This Row],[Beftettotal-T]])*100/M$439</f>
        <v>2.4183838105308695</v>
      </c>
      <c r="W9" s="9">
        <f>100-(N$436-Tabell2[[#This Row],[Befvekst10-T]])*100/N$439</f>
        <v>24.524132170067034</v>
      </c>
      <c r="X9" s="9">
        <f>100-(O$436-Tabell2[[#This Row],[Kvinneandel-T]])*100/O$439</f>
        <v>0</v>
      </c>
      <c r="Y9" s="9">
        <f>(P$436-Tabell2[[#This Row],[Eldreandel-T]])*100/P$439</f>
        <v>21.971046263150299</v>
      </c>
      <c r="Z9" s="9">
        <f>100-(Q$436-Tabell2[[#This Row],[Sysselsettingsvekst10-T]])*100/Q$439</f>
        <v>27.383012276177638</v>
      </c>
      <c r="AA9" s="9">
        <f>100-(R$436-Tabell2[[#This Row],[Yrkesaktivandel-T]])*100/R$439</f>
        <v>36.208543329375509</v>
      </c>
      <c r="AB9" s="9">
        <f>100-(S$436-Tabell2[[#This Row],[Inntekt-T]])*100/S$439</f>
        <v>30.340751917515405</v>
      </c>
      <c r="AC9" s="48">
        <f>Tabell2[[#This Row],[NIBR11-I]]*Vekter!$B$3</f>
        <v>12</v>
      </c>
      <c r="AD9" s="48">
        <f>Tabell2[[#This Row],[ReisetidOslo-I]]*Vekter!$C$3</f>
        <v>8.3081241546752906</v>
      </c>
      <c r="AE9" s="48">
        <f>Tabell2[[#This Row],[Beftettotal-I]]*Vekter!$D$3</f>
        <v>0.24183838105308697</v>
      </c>
      <c r="AF9" s="48">
        <f>Tabell2[[#This Row],[Befvekst10-I]]*Vekter!$E$3</f>
        <v>4.9048264340134073</v>
      </c>
      <c r="AG9" s="48">
        <f>Tabell2[[#This Row],[Kvinneandel-I]]*Vekter!$F$3</f>
        <v>0</v>
      </c>
      <c r="AH9" s="48">
        <f>Tabell2[[#This Row],[Eldreandel-I]]*Vekter!$G$3</f>
        <v>1.098552313157515</v>
      </c>
      <c r="AI9" s="48">
        <f>Tabell2[[#This Row],[Sysselsettingsvekst10-I]]*Vekter!$H$3</f>
        <v>2.7383012276177641</v>
      </c>
      <c r="AJ9" s="48">
        <f>Tabell2[[#This Row],[Yrkesaktivandel-I]]*Vekter!$J$3</f>
        <v>3.6208543329375509</v>
      </c>
      <c r="AK9" s="48">
        <f>Tabell2[[#This Row],[Inntekt-I]]*Vekter!$L$3</f>
        <v>3.0340751917515405</v>
      </c>
      <c r="AL9" s="37">
        <f>SUM(Tabell2[[#This Row],[NIBR11-v]:[Inntekt-v]])</f>
        <v>35.94657203520616</v>
      </c>
    </row>
    <row r="10" spans="1:42">
      <c r="A10" s="1" t="s">
        <v>7</v>
      </c>
      <c r="B10">
        <f>'Rådata-K'!M9</f>
        <v>5</v>
      </c>
      <c r="C10" s="9">
        <f>'Rådata-K'!L9</f>
        <v>68.578013070300003</v>
      </c>
      <c r="D10" s="51">
        <f>'Rådata-K'!N9</f>
        <v>8.709341471093996</v>
      </c>
      <c r="E10" s="51">
        <f>'Rådata-K'!O9</f>
        <v>5.4854796127896677E-2</v>
      </c>
      <c r="F10" s="51">
        <f>'Rådata-K'!P9</f>
        <v>0.10122358175750834</v>
      </c>
      <c r="G10" s="51">
        <f>'Rådata-K'!Q9</f>
        <v>0.19104560622914349</v>
      </c>
      <c r="H10" s="51">
        <f>'Rådata-K'!R9</f>
        <v>4.9668874172186239E-3</v>
      </c>
      <c r="I10" s="51">
        <f>'Rådata-K'!S9</f>
        <v>0.85513784461152886</v>
      </c>
      <c r="J10" s="52">
        <f>'Rådata-K'!K9</f>
        <v>331100</v>
      </c>
      <c r="K10" s="26">
        <f>Tabell2[[#This Row],[NIBR11]]</f>
        <v>5</v>
      </c>
      <c r="L10" s="52">
        <f>IF(Tabell2[[#This Row],[ReisetidOslo]]&lt;=C$434,C$434,IF(Tabell2[[#This Row],[ReisetidOslo]]&gt;=C$435,C$435,Tabell2[[#This Row],[ReisetidOslo]]))</f>
        <v>68.578013070300003</v>
      </c>
      <c r="M10" s="51">
        <f>IF(Tabell2[[#This Row],[Beftettotal]]&lt;=D$434,D$434,IF(Tabell2[[#This Row],[Beftettotal]]&gt;=D$435,D$435,Tabell2[[#This Row],[Beftettotal]]))</f>
        <v>8.709341471093996</v>
      </c>
      <c r="N10" s="51">
        <f>IF(Tabell2[[#This Row],[Befvekst10]]&lt;=E$434,E$434,IF(Tabell2[[#This Row],[Befvekst10]]&gt;=E$435,E$435,Tabell2[[#This Row],[Befvekst10]]))</f>
        <v>5.4854796127896677E-2</v>
      </c>
      <c r="O10" s="51">
        <f>IF(Tabell2[[#This Row],[Kvinneandel]]&lt;=F$434,F$434,IF(Tabell2[[#This Row],[Kvinneandel]]&gt;=F$435,F$435,Tabell2[[#This Row],[Kvinneandel]]))</f>
        <v>0.10122358175750834</v>
      </c>
      <c r="P10" s="51">
        <f>IF(Tabell2[[#This Row],[Eldreandel]]&lt;=G$434,G$434,IF(Tabell2[[#This Row],[Eldreandel]]&gt;=G$435,G$435,Tabell2[[#This Row],[Eldreandel]]))</f>
        <v>0.19104560622914349</v>
      </c>
      <c r="Q10" s="51">
        <f>IF(Tabell2[[#This Row],[Sysselsettingsvekst10]]&lt;=H$434,H$434,IF(Tabell2[[#This Row],[Sysselsettingsvekst10]]&gt;=H$435,H$435,Tabell2[[#This Row],[Sysselsettingsvekst10]]))</f>
        <v>4.9668874172186239E-3</v>
      </c>
      <c r="R10" s="51">
        <f>IF(Tabell2[[#This Row],[Yrkesaktivandel]]&lt;=I$434,I$434,IF(Tabell2[[#This Row],[Yrkesaktivandel]]&gt;=I$435,I$435,Tabell2[[#This Row],[Yrkesaktivandel]]))</f>
        <v>0.85513784461152886</v>
      </c>
      <c r="S10" s="52">
        <f>IF(Tabell2[[#This Row],[Inntekt]]&lt;=J$434,J$434,IF(Tabell2[[#This Row],[Inntekt]]&gt;=J$435,J$435,Tabell2[[#This Row],[Inntekt]]))</f>
        <v>331100</v>
      </c>
      <c r="T10" s="9">
        <f>IF(Tabell2[[#This Row],[NIBR11-T]]&lt;=K$437,100,IF(Tabell2[[#This Row],[NIBR11-T]]&gt;=K$436,0,100*(K$436-Tabell2[[#This Row],[NIBR11-T]])/K$439))</f>
        <v>60</v>
      </c>
      <c r="U10" s="9">
        <f>(L$436-Tabell2[[#This Row],[ReisetidOslo-T]])*100/L$439</f>
        <v>93.441638425503513</v>
      </c>
      <c r="V10" s="9">
        <f>100-(M$436-Tabell2[[#This Row],[Beftettotal-T]])*100/M$439</f>
        <v>5.8047641867591437</v>
      </c>
      <c r="W10" s="9">
        <f>100-(N$436-Tabell2[[#This Row],[Befvekst10-T]])*100/N$439</f>
        <v>54.887769543668412</v>
      </c>
      <c r="X10" s="9">
        <f>100-(O$436-Tabell2[[#This Row],[Kvinneandel-T]])*100/O$439</f>
        <v>29.031488290319757</v>
      </c>
      <c r="Y10" s="9">
        <f>(P$436-Tabell2[[#This Row],[Eldreandel-T]])*100/P$439</f>
        <v>19.56179057402062</v>
      </c>
      <c r="Z10" s="9">
        <f>100-(Q$436-Tabell2[[#This Row],[Sysselsettingsvekst10-T]])*100/Q$439</f>
        <v>23.642539080478969</v>
      </c>
      <c r="AA10" s="9">
        <f>100-(R$436-Tabell2[[#This Row],[Yrkesaktivandel-T]])*100/R$439</f>
        <v>20.204044562755428</v>
      </c>
      <c r="AB10" s="9">
        <f>100-(S$436-Tabell2[[#This Row],[Inntekt-T]])*100/S$439</f>
        <v>13.366025399220419</v>
      </c>
      <c r="AC10" s="48">
        <f>Tabell2[[#This Row],[NIBR11-I]]*Vekter!$B$3</f>
        <v>12</v>
      </c>
      <c r="AD10" s="48">
        <f>Tabell2[[#This Row],[ReisetidOslo-I]]*Vekter!$C$3</f>
        <v>9.3441638425503513</v>
      </c>
      <c r="AE10" s="48">
        <f>Tabell2[[#This Row],[Beftettotal-I]]*Vekter!$D$3</f>
        <v>0.58047641867591437</v>
      </c>
      <c r="AF10" s="48">
        <f>Tabell2[[#This Row],[Befvekst10-I]]*Vekter!$E$3</f>
        <v>10.977553908733682</v>
      </c>
      <c r="AG10" s="48">
        <f>Tabell2[[#This Row],[Kvinneandel-I]]*Vekter!$F$3</f>
        <v>1.4515744145159879</v>
      </c>
      <c r="AH10" s="48">
        <f>Tabell2[[#This Row],[Eldreandel-I]]*Vekter!$G$3</f>
        <v>0.97808952870103105</v>
      </c>
      <c r="AI10" s="48">
        <f>Tabell2[[#This Row],[Sysselsettingsvekst10-I]]*Vekter!$H$3</f>
        <v>2.364253908047897</v>
      </c>
      <c r="AJ10" s="48">
        <f>Tabell2[[#This Row],[Yrkesaktivandel-I]]*Vekter!$J$3</f>
        <v>2.0204044562755428</v>
      </c>
      <c r="AK10" s="48">
        <f>Tabell2[[#This Row],[Inntekt-I]]*Vekter!$L$3</f>
        <v>1.336602539922042</v>
      </c>
      <c r="AL10" s="37">
        <f>SUM(Tabell2[[#This Row],[NIBR11-v]:[Inntekt-v]])</f>
        <v>41.053119017422453</v>
      </c>
      <c r="AP10" s="43" t="s">
        <v>501</v>
      </c>
    </row>
    <row r="11" spans="1:42">
      <c r="A11" s="1" t="s">
        <v>8</v>
      </c>
      <c r="B11">
        <f>'Rådata-K'!M10</f>
        <v>1</v>
      </c>
      <c r="C11" s="9">
        <f>'Rådata-K'!L10</f>
        <v>68.026200476699998</v>
      </c>
      <c r="D11" s="51">
        <f>'Rådata-K'!N10</f>
        <v>3.669324014415202</v>
      </c>
      <c r="E11" s="51">
        <f>'Rådata-K'!O10</f>
        <v>5.9880239520957446E-3</v>
      </c>
      <c r="F11" s="51">
        <f>'Rådata-K'!P10</f>
        <v>8.1845238095238096E-2</v>
      </c>
      <c r="G11" s="51">
        <f>'Rådata-K'!Q10</f>
        <v>0.21428571428571427</v>
      </c>
      <c r="H11" s="51">
        <f>'Rådata-K'!R10</f>
        <v>0.33536585365853666</v>
      </c>
      <c r="I11" s="51">
        <f>'Rådata-K'!S10</f>
        <v>0.90833333333333333</v>
      </c>
      <c r="J11" s="52">
        <f>'Rådata-K'!K10</f>
        <v>354900</v>
      </c>
      <c r="K11" s="26">
        <f>Tabell2[[#This Row],[NIBR11]]</f>
        <v>1</v>
      </c>
      <c r="L11" s="52">
        <f>IF(Tabell2[[#This Row],[ReisetidOslo]]&lt;=C$434,C$434,IF(Tabell2[[#This Row],[ReisetidOslo]]&gt;=C$435,C$435,Tabell2[[#This Row],[ReisetidOslo]]))</f>
        <v>68.026200476699998</v>
      </c>
      <c r="M11" s="51">
        <f>IF(Tabell2[[#This Row],[Beftettotal]]&lt;=D$434,D$434,IF(Tabell2[[#This Row],[Beftettotal]]&gt;=D$435,D$435,Tabell2[[#This Row],[Beftettotal]]))</f>
        <v>3.669324014415202</v>
      </c>
      <c r="N11" s="51">
        <f>IF(Tabell2[[#This Row],[Befvekst10]]&lt;=E$434,E$434,IF(Tabell2[[#This Row],[Befvekst10]]&gt;=E$435,E$435,Tabell2[[#This Row],[Befvekst10]]))</f>
        <v>5.9880239520957446E-3</v>
      </c>
      <c r="O11" s="51">
        <f>IF(Tabell2[[#This Row],[Kvinneandel]]&lt;=F$434,F$434,IF(Tabell2[[#This Row],[Kvinneandel]]&gt;=F$435,F$435,Tabell2[[#This Row],[Kvinneandel]]))</f>
        <v>9.0262917071501733E-2</v>
      </c>
      <c r="P11" s="51">
        <f>IF(Tabell2[[#This Row],[Eldreandel]]&lt;=G$434,G$434,IF(Tabell2[[#This Row],[Eldreandel]]&gt;=G$435,G$435,Tabell2[[#This Row],[Eldreandel]]))</f>
        <v>0.20830063331569054</v>
      </c>
      <c r="Q11" s="51">
        <f>IF(Tabell2[[#This Row],[Sysselsettingsvekst10]]&lt;=H$434,H$434,IF(Tabell2[[#This Row],[Sysselsettingsvekst10]]&gt;=H$435,H$435,Tabell2[[#This Row],[Sysselsettingsvekst10]]))</f>
        <v>0.24286196513786068</v>
      </c>
      <c r="R11" s="51">
        <f>IF(Tabell2[[#This Row],[Yrkesaktivandel]]&lt;=I$434,I$434,IF(Tabell2[[#This Row],[Yrkesaktivandel]]&gt;=I$435,I$435,Tabell2[[#This Row],[Yrkesaktivandel]]))</f>
        <v>0.90833333333333333</v>
      </c>
      <c r="S11" s="52">
        <f>IF(Tabell2[[#This Row],[Inntekt]]&lt;=J$434,J$434,IF(Tabell2[[#This Row],[Inntekt]]&gt;=J$435,J$435,Tabell2[[#This Row],[Inntekt]]))</f>
        <v>354900</v>
      </c>
      <c r="T11" s="9">
        <f>IF(Tabell2[[#This Row],[NIBR11-T]]&lt;=K$437,100,IF(Tabell2[[#This Row],[NIBR11-T]]&gt;=K$436,0,100*(K$436-Tabell2[[#This Row],[NIBR11-T]])/K$439))</f>
        <v>100</v>
      </c>
      <c r="U11" s="9">
        <f>(L$436-Tabell2[[#This Row],[ReisetidOslo-T]])*100/L$439</f>
        <v>93.686615953023008</v>
      </c>
      <c r="V11" s="9">
        <f>100-(M$436-Tabell2[[#This Row],[Beftettotal-T]])*100/M$439</f>
        <v>1.8349338525699466</v>
      </c>
      <c r="W11" s="9">
        <f>100-(N$436-Tabell2[[#This Row],[Befvekst10-T]])*100/N$439</f>
        <v>35.113550286641285</v>
      </c>
      <c r="X11" s="9">
        <f>100-(O$436-Tabell2[[#This Row],[Kvinneandel-T]])*100/O$439</f>
        <v>0</v>
      </c>
      <c r="Y11" s="9">
        <f>(P$436-Tabell2[[#This Row],[Eldreandel-T]])*100/P$439</f>
        <v>0</v>
      </c>
      <c r="Z11" s="9">
        <f>100-(Q$436-Tabell2[[#This Row],[Sysselsettingsvekst10-T]])*100/Q$439</f>
        <v>100</v>
      </c>
      <c r="AA11" s="9">
        <f>100-(R$436-Tabell2[[#This Row],[Yrkesaktivandel-T]])*100/R$439</f>
        <v>59.859990838209505</v>
      </c>
      <c r="AB11" s="9">
        <f>100-(S$436-Tabell2[[#This Row],[Inntekt-T]])*100/S$439</f>
        <v>43.291839557399726</v>
      </c>
      <c r="AC11" s="48">
        <f>Tabell2[[#This Row],[NIBR11-I]]*Vekter!$B$3</f>
        <v>20</v>
      </c>
      <c r="AD11" s="48">
        <f>Tabell2[[#This Row],[ReisetidOslo-I]]*Vekter!$C$3</f>
        <v>9.3686615953023011</v>
      </c>
      <c r="AE11" s="48">
        <f>Tabell2[[#This Row],[Beftettotal-I]]*Vekter!$D$3</f>
        <v>0.18349338525699466</v>
      </c>
      <c r="AF11" s="48">
        <f>Tabell2[[#This Row],[Befvekst10-I]]*Vekter!$E$3</f>
        <v>7.0227100573282577</v>
      </c>
      <c r="AG11" s="48">
        <f>Tabell2[[#This Row],[Kvinneandel-I]]*Vekter!$F$3</f>
        <v>0</v>
      </c>
      <c r="AH11" s="48">
        <f>Tabell2[[#This Row],[Eldreandel-I]]*Vekter!$G$3</f>
        <v>0</v>
      </c>
      <c r="AI11" s="48">
        <f>Tabell2[[#This Row],[Sysselsettingsvekst10-I]]*Vekter!$H$3</f>
        <v>10</v>
      </c>
      <c r="AJ11" s="48">
        <f>Tabell2[[#This Row],[Yrkesaktivandel-I]]*Vekter!$J$3</f>
        <v>5.9859990838209507</v>
      </c>
      <c r="AK11" s="48">
        <f>Tabell2[[#This Row],[Inntekt-I]]*Vekter!$L$3</f>
        <v>4.3291839557399729</v>
      </c>
      <c r="AL11" s="37">
        <f>SUM(Tabell2[[#This Row],[NIBR11-v]:[Inntekt-v]])</f>
        <v>56.890048077448469</v>
      </c>
    </row>
    <row r="12" spans="1:42">
      <c r="A12" s="1" t="s">
        <v>9</v>
      </c>
      <c r="B12">
        <f>'Rådata-K'!M11</f>
        <v>5</v>
      </c>
      <c r="C12" s="9">
        <f>'Rådata-K'!L11</f>
        <v>55.735764319200001</v>
      </c>
      <c r="D12" s="51">
        <f>'Rådata-K'!N11</f>
        <v>26.246025923208606</v>
      </c>
      <c r="E12" s="51">
        <f>'Rådata-K'!O11</f>
        <v>8.3383807793256715E-2</v>
      </c>
      <c r="F12" s="51">
        <f>'Rådata-K'!P11</f>
        <v>0.10883339545285128</v>
      </c>
      <c r="G12" s="51">
        <f>'Rådata-K'!Q11</f>
        <v>0.15579575102497203</v>
      </c>
      <c r="H12" s="51">
        <f>'Rådata-K'!R11</f>
        <v>0.11641359363702097</v>
      </c>
      <c r="I12" s="51">
        <f>'Rådata-K'!S11</f>
        <v>0.86330009649404948</v>
      </c>
      <c r="J12" s="52">
        <f>'Rådata-K'!K11</f>
        <v>350900</v>
      </c>
      <c r="K12" s="26">
        <f>Tabell2[[#This Row],[NIBR11]]</f>
        <v>5</v>
      </c>
      <c r="L12" s="52">
        <f>IF(Tabell2[[#This Row],[ReisetidOslo]]&lt;=C$434,C$434,IF(Tabell2[[#This Row],[ReisetidOslo]]&gt;=C$435,C$435,Tabell2[[#This Row],[ReisetidOslo]]))</f>
        <v>55.735764319200001</v>
      </c>
      <c r="M12" s="51">
        <f>IF(Tabell2[[#This Row],[Beftettotal]]&lt;=D$434,D$434,IF(Tabell2[[#This Row],[Beftettotal]]&gt;=D$435,D$435,Tabell2[[#This Row],[Beftettotal]]))</f>
        <v>26.246025923208606</v>
      </c>
      <c r="N12" s="51">
        <f>IF(Tabell2[[#This Row],[Befvekst10]]&lt;=E$434,E$434,IF(Tabell2[[#This Row],[Befvekst10]]&gt;=E$435,E$435,Tabell2[[#This Row],[Befvekst10]]))</f>
        <v>8.3383807793256715E-2</v>
      </c>
      <c r="O12" s="51">
        <f>IF(Tabell2[[#This Row],[Kvinneandel]]&lt;=F$434,F$434,IF(Tabell2[[#This Row],[Kvinneandel]]&gt;=F$435,F$435,Tabell2[[#This Row],[Kvinneandel]]))</f>
        <v>0.10883339545285128</v>
      </c>
      <c r="P12" s="51">
        <f>IF(Tabell2[[#This Row],[Eldreandel]]&lt;=G$434,G$434,IF(Tabell2[[#This Row],[Eldreandel]]&gt;=G$435,G$435,Tabell2[[#This Row],[Eldreandel]]))</f>
        <v>0.15579575102497203</v>
      </c>
      <c r="Q12" s="51">
        <f>IF(Tabell2[[#This Row],[Sysselsettingsvekst10]]&lt;=H$434,H$434,IF(Tabell2[[#This Row],[Sysselsettingsvekst10]]&gt;=H$435,H$435,Tabell2[[#This Row],[Sysselsettingsvekst10]]))</f>
        <v>0.11641359363702097</v>
      </c>
      <c r="R12" s="51">
        <f>IF(Tabell2[[#This Row],[Yrkesaktivandel]]&lt;=I$434,I$434,IF(Tabell2[[#This Row],[Yrkesaktivandel]]&gt;=I$435,I$435,Tabell2[[#This Row],[Yrkesaktivandel]]))</f>
        <v>0.86330009649404948</v>
      </c>
      <c r="S12" s="52">
        <f>IF(Tabell2[[#This Row],[Inntekt]]&lt;=J$434,J$434,IF(Tabell2[[#This Row],[Inntekt]]&gt;=J$435,J$435,Tabell2[[#This Row],[Inntekt]]))</f>
        <v>350900</v>
      </c>
      <c r="T12" s="9">
        <f>IF(Tabell2[[#This Row],[NIBR11-T]]&lt;=K$437,100,IF(Tabell2[[#This Row],[NIBR11-T]]&gt;=K$436,0,100*(K$436-Tabell2[[#This Row],[NIBR11-T]])/K$439))</f>
        <v>60</v>
      </c>
      <c r="U12" s="9">
        <f>(L$436-Tabell2[[#This Row],[ReisetidOslo-T]])*100/L$439</f>
        <v>99.14296235925049</v>
      </c>
      <c r="V12" s="9">
        <f>100-(M$436-Tabell2[[#This Row],[Beftettotal-T]])*100/M$439</f>
        <v>19.617744498336151</v>
      </c>
      <c r="W12" s="9">
        <f>100-(N$436-Tabell2[[#This Row],[Befvekst10-T]])*100/N$439</f>
        <v>66.43219752077303</v>
      </c>
      <c r="X12" s="9">
        <f>100-(O$436-Tabell2[[#This Row],[Kvinneandel-T]])*100/O$439</f>
        <v>49.187584979411589</v>
      </c>
      <c r="Y12" s="9">
        <f>(P$436-Tabell2[[#This Row],[Eldreandel-T]])*100/P$439</f>
        <v>59.524074134048377</v>
      </c>
      <c r="Z12" s="9">
        <f>100-(Q$436-Tabell2[[#This Row],[Sysselsettingsvekst10-T]])*100/Q$439</f>
        <v>59.413718527835428</v>
      </c>
      <c r="AA12" s="9">
        <f>100-(R$436-Tabell2[[#This Row],[Yrkesaktivandel-T]])*100/R$439</f>
        <v>26.288805318178035</v>
      </c>
      <c r="AB12" s="9">
        <f>100-(S$436-Tabell2[[#This Row],[Inntekt-T]])*100/S$439</f>
        <v>38.262290959386398</v>
      </c>
      <c r="AC12" s="48">
        <f>Tabell2[[#This Row],[NIBR11-I]]*Vekter!$B$3</f>
        <v>12</v>
      </c>
      <c r="AD12" s="48">
        <f>Tabell2[[#This Row],[ReisetidOslo-I]]*Vekter!$C$3</f>
        <v>9.9142962359250504</v>
      </c>
      <c r="AE12" s="48">
        <f>Tabell2[[#This Row],[Beftettotal-I]]*Vekter!$D$3</f>
        <v>1.9617744498336152</v>
      </c>
      <c r="AF12" s="48">
        <f>Tabell2[[#This Row],[Befvekst10-I]]*Vekter!$E$3</f>
        <v>13.286439504154608</v>
      </c>
      <c r="AG12" s="48">
        <f>Tabell2[[#This Row],[Kvinneandel-I]]*Vekter!$F$3</f>
        <v>2.4593792489705795</v>
      </c>
      <c r="AH12" s="48">
        <f>Tabell2[[#This Row],[Eldreandel-I]]*Vekter!$G$3</f>
        <v>2.9762037067024192</v>
      </c>
      <c r="AI12" s="48">
        <f>Tabell2[[#This Row],[Sysselsettingsvekst10-I]]*Vekter!$H$3</f>
        <v>5.9413718527835435</v>
      </c>
      <c r="AJ12" s="48">
        <f>Tabell2[[#This Row],[Yrkesaktivandel-I]]*Vekter!$J$3</f>
        <v>2.6288805318178037</v>
      </c>
      <c r="AK12" s="48">
        <f>Tabell2[[#This Row],[Inntekt-I]]*Vekter!$L$3</f>
        <v>3.8262290959386398</v>
      </c>
      <c r="AL12" s="37">
        <f>SUM(Tabell2[[#This Row],[NIBR11-v]:[Inntekt-v]])</f>
        <v>54.994574626126266</v>
      </c>
    </row>
    <row r="13" spans="1:42">
      <c r="A13" s="1" t="s">
        <v>10</v>
      </c>
      <c r="B13">
        <f>'Rådata-K'!M12</f>
        <v>1</v>
      </c>
      <c r="C13" s="9">
        <f>'Rådata-K'!L12</f>
        <v>39.7032359146</v>
      </c>
      <c r="D13" s="51">
        <f>'Rådata-K'!N12</f>
        <v>39.569105118636905</v>
      </c>
      <c r="E13" s="51">
        <f>'Rådata-K'!O12</f>
        <v>0.19422014449638758</v>
      </c>
      <c r="F13" s="51">
        <f>'Rådata-K'!P12</f>
        <v>0.11850533807829182</v>
      </c>
      <c r="G13" s="51">
        <f>'Rådata-K'!Q12</f>
        <v>0.14697508896797154</v>
      </c>
      <c r="H13" s="51">
        <f>'Rådata-K'!R12</f>
        <v>0.26264472882388779</v>
      </c>
      <c r="I13" s="51">
        <f>'Rådata-K'!S12</f>
        <v>0.86815227483751156</v>
      </c>
      <c r="J13" s="52">
        <f>'Rådata-K'!K12</f>
        <v>372800</v>
      </c>
      <c r="K13" s="26">
        <f>Tabell2[[#This Row],[NIBR11]]</f>
        <v>1</v>
      </c>
      <c r="L13" s="52">
        <f>IF(Tabell2[[#This Row],[ReisetidOslo]]&lt;=C$434,C$434,IF(Tabell2[[#This Row],[ReisetidOslo]]&gt;=C$435,C$435,Tabell2[[#This Row],[ReisetidOslo]]))</f>
        <v>53.805284539509998</v>
      </c>
      <c r="M13" s="51">
        <f>IF(Tabell2[[#This Row],[Beftettotal]]&lt;=D$434,D$434,IF(Tabell2[[#This Row],[Beftettotal]]&gt;=D$435,D$435,Tabell2[[#This Row],[Beftettotal]]))</f>
        <v>39.569105118636905</v>
      </c>
      <c r="N13" s="51">
        <f>IF(Tabell2[[#This Row],[Befvekst10]]&lt;=E$434,E$434,IF(Tabell2[[#This Row],[Befvekst10]]&gt;=E$435,E$435,Tabell2[[#This Row],[Befvekst10]]))</f>
        <v>0.16633778614624492</v>
      </c>
      <c r="O13" s="51">
        <f>IF(Tabell2[[#This Row],[Kvinneandel]]&lt;=F$434,F$434,IF(Tabell2[[#This Row],[Kvinneandel]]&gt;=F$435,F$435,Tabell2[[#This Row],[Kvinneandel]]))</f>
        <v>0.11850533807829182</v>
      </c>
      <c r="P13" s="51">
        <f>IF(Tabell2[[#This Row],[Eldreandel]]&lt;=G$434,G$434,IF(Tabell2[[#This Row],[Eldreandel]]&gt;=G$435,G$435,Tabell2[[#This Row],[Eldreandel]]))</f>
        <v>0.14697508896797154</v>
      </c>
      <c r="Q13" s="51">
        <f>IF(Tabell2[[#This Row],[Sysselsettingsvekst10]]&lt;=H$434,H$434,IF(Tabell2[[#This Row],[Sysselsettingsvekst10]]&gt;=H$435,H$435,Tabell2[[#This Row],[Sysselsettingsvekst10]]))</f>
        <v>0.24286196513786068</v>
      </c>
      <c r="R13" s="51">
        <f>IF(Tabell2[[#This Row],[Yrkesaktivandel]]&lt;=I$434,I$434,IF(Tabell2[[#This Row],[Yrkesaktivandel]]&gt;=I$435,I$435,Tabell2[[#This Row],[Yrkesaktivandel]]))</f>
        <v>0.86815227483751156</v>
      </c>
      <c r="S13" s="52">
        <f>IF(Tabell2[[#This Row],[Inntekt]]&lt;=J$434,J$434,IF(Tabell2[[#This Row],[Inntekt]]&gt;=J$435,J$435,Tabell2[[#This Row],[Inntekt]]))</f>
        <v>372800</v>
      </c>
      <c r="T13" s="9">
        <f>IF(Tabell2[[#This Row],[NIBR11-T]]&lt;=K$437,100,IF(Tabell2[[#This Row],[NIBR11-T]]&gt;=K$436,0,100*(K$436-Tabell2[[#This Row],[NIBR11-T]])/K$439))</f>
        <v>100</v>
      </c>
      <c r="U13" s="9">
        <f>(L$436-Tabell2[[#This Row],[ReisetidOslo-T]])*100/L$439</f>
        <v>100</v>
      </c>
      <c r="V13" s="9">
        <f>100-(M$436-Tabell2[[#This Row],[Beftettotal-T]])*100/M$439</f>
        <v>30.111827979084481</v>
      </c>
      <c r="W13" s="9">
        <f>100-(N$436-Tabell2[[#This Row],[Befvekst10-T]])*100/N$439</f>
        <v>100</v>
      </c>
      <c r="X13" s="9">
        <f>100-(O$436-Tabell2[[#This Row],[Kvinneandel-T]])*100/O$439</f>
        <v>74.805638000740203</v>
      </c>
      <c r="Y13" s="9">
        <f>(P$436-Tabell2[[#This Row],[Eldreandel-T]])*100/P$439</f>
        <v>69.523939275829647</v>
      </c>
      <c r="Z13" s="9">
        <f>100-(Q$436-Tabell2[[#This Row],[Sysselsettingsvekst10-T]])*100/Q$439</f>
        <v>100</v>
      </c>
      <c r="AA13" s="9">
        <f>100-(R$436-Tabell2[[#This Row],[Yrkesaktivandel-T]])*100/R$439</f>
        <v>29.905986555360329</v>
      </c>
      <c r="AB13" s="9">
        <f>100-(S$436-Tabell2[[#This Row],[Inntekt-T]])*100/S$439</f>
        <v>65.799069533509368</v>
      </c>
      <c r="AC13" s="48">
        <f>Tabell2[[#This Row],[NIBR11-I]]*Vekter!$B$3</f>
        <v>20</v>
      </c>
      <c r="AD13" s="48">
        <f>Tabell2[[#This Row],[ReisetidOslo-I]]*Vekter!$C$3</f>
        <v>10</v>
      </c>
      <c r="AE13" s="48">
        <f>Tabell2[[#This Row],[Beftettotal-I]]*Vekter!$D$3</f>
        <v>3.0111827979084484</v>
      </c>
      <c r="AF13" s="48">
        <f>Tabell2[[#This Row],[Befvekst10-I]]*Vekter!$E$3</f>
        <v>20</v>
      </c>
      <c r="AG13" s="48">
        <f>Tabell2[[#This Row],[Kvinneandel-I]]*Vekter!$F$3</f>
        <v>3.7402819000370102</v>
      </c>
      <c r="AH13" s="48">
        <f>Tabell2[[#This Row],[Eldreandel-I]]*Vekter!$G$3</f>
        <v>3.4761969637914825</v>
      </c>
      <c r="AI13" s="48">
        <f>Tabell2[[#This Row],[Sysselsettingsvekst10-I]]*Vekter!$H$3</f>
        <v>10</v>
      </c>
      <c r="AJ13" s="48">
        <f>Tabell2[[#This Row],[Yrkesaktivandel-I]]*Vekter!$J$3</f>
        <v>2.9905986555360329</v>
      </c>
      <c r="AK13" s="48">
        <f>Tabell2[[#This Row],[Inntekt-I]]*Vekter!$L$3</f>
        <v>6.5799069533509371</v>
      </c>
      <c r="AL13" s="37">
        <f>SUM(Tabell2[[#This Row],[NIBR11-v]:[Inntekt-v]])</f>
        <v>79.798167270623907</v>
      </c>
    </row>
    <row r="14" spans="1:42">
      <c r="A14" s="1" t="s">
        <v>11</v>
      </c>
      <c r="B14">
        <f>'Rådata-K'!M13</f>
        <v>5</v>
      </c>
      <c r="C14" s="9">
        <f>'Rådata-K'!L13</f>
        <v>43.567340327499998</v>
      </c>
      <c r="D14" s="51">
        <f>'Rådata-K'!N13</f>
        <v>223.10584152689418</v>
      </c>
      <c r="E14" s="51">
        <f>'Rådata-K'!O13</f>
        <v>0.10324610324610317</v>
      </c>
      <c r="F14" s="51">
        <f>'Rådata-K'!P13</f>
        <v>0.11840570317563189</v>
      </c>
      <c r="G14" s="51">
        <f>'Rådata-K'!Q13</f>
        <v>0.14005184705119897</v>
      </c>
      <c r="H14" s="51">
        <f>'Rådata-K'!R13</f>
        <v>5.3285328532853393E-2</v>
      </c>
      <c r="I14" s="51">
        <f>'Rådata-K'!S13</f>
        <v>0.80413277643438119</v>
      </c>
      <c r="J14" s="52">
        <f>'Rådata-K'!K13</f>
        <v>347200</v>
      </c>
      <c r="K14" s="26">
        <f>Tabell2[[#This Row],[NIBR11]]</f>
        <v>5</v>
      </c>
      <c r="L14" s="52">
        <f>IF(Tabell2[[#This Row],[ReisetidOslo]]&lt;=C$434,C$434,IF(Tabell2[[#This Row],[ReisetidOslo]]&gt;=C$435,C$435,Tabell2[[#This Row],[ReisetidOslo]]))</f>
        <v>53.805284539509998</v>
      </c>
      <c r="M14" s="51">
        <f>IF(Tabell2[[#This Row],[Beftettotal]]&lt;=D$434,D$434,IF(Tabell2[[#This Row],[Beftettotal]]&gt;=D$435,D$435,Tabell2[[#This Row],[Beftettotal]]))</f>
        <v>128.29773514779066</v>
      </c>
      <c r="N14" s="51">
        <f>IF(Tabell2[[#This Row],[Befvekst10]]&lt;=E$434,E$434,IF(Tabell2[[#This Row],[Befvekst10]]&gt;=E$435,E$435,Tabell2[[#This Row],[Befvekst10]]))</f>
        <v>0.10324610324610317</v>
      </c>
      <c r="O14" s="51">
        <f>IF(Tabell2[[#This Row],[Kvinneandel]]&lt;=F$434,F$434,IF(Tabell2[[#This Row],[Kvinneandel]]&gt;=F$435,F$435,Tabell2[[#This Row],[Kvinneandel]]))</f>
        <v>0.11840570317563189</v>
      </c>
      <c r="P14" s="51">
        <f>IF(Tabell2[[#This Row],[Eldreandel]]&lt;=G$434,G$434,IF(Tabell2[[#This Row],[Eldreandel]]&gt;=G$435,G$435,Tabell2[[#This Row],[Eldreandel]]))</f>
        <v>0.14005184705119897</v>
      </c>
      <c r="Q14" s="51">
        <f>IF(Tabell2[[#This Row],[Sysselsettingsvekst10]]&lt;=H$434,H$434,IF(Tabell2[[#This Row],[Sysselsettingsvekst10]]&gt;=H$435,H$435,Tabell2[[#This Row],[Sysselsettingsvekst10]]))</f>
        <v>5.3285328532853393E-2</v>
      </c>
      <c r="R14" s="51">
        <f>IF(Tabell2[[#This Row],[Yrkesaktivandel]]&lt;=I$434,I$434,IF(Tabell2[[#This Row],[Yrkesaktivandel]]&gt;=I$435,I$435,Tabell2[[#This Row],[Yrkesaktivandel]]))</f>
        <v>0.82803562853509294</v>
      </c>
      <c r="S14" s="52">
        <f>IF(Tabell2[[#This Row],[Inntekt]]&lt;=J$434,J$434,IF(Tabell2[[#This Row],[Inntekt]]&gt;=J$435,J$435,Tabell2[[#This Row],[Inntekt]]))</f>
        <v>347200</v>
      </c>
      <c r="T14" s="9">
        <f>IF(Tabell2[[#This Row],[NIBR11-T]]&lt;=K$437,100,IF(Tabell2[[#This Row],[NIBR11-T]]&gt;=K$436,0,100*(K$436-Tabell2[[#This Row],[NIBR11-T]])/K$439))</f>
        <v>60</v>
      </c>
      <c r="U14" s="9">
        <f>(L$436-Tabell2[[#This Row],[ReisetidOslo-T]])*100/L$439</f>
        <v>100</v>
      </c>
      <c r="V14" s="9">
        <f>100-(M$436-Tabell2[[#This Row],[Beftettotal-T]])*100/M$439</f>
        <v>100</v>
      </c>
      <c r="W14" s="9">
        <f>100-(N$436-Tabell2[[#This Row],[Befvekst10-T]])*100/N$439</f>
        <v>74.469589141800455</v>
      </c>
      <c r="X14" s="9">
        <f>100-(O$436-Tabell2[[#This Row],[Kvinneandel-T]])*100/O$439</f>
        <v>74.54173525462555</v>
      </c>
      <c r="Y14" s="9">
        <f>(P$436-Tabell2[[#This Row],[Eldreandel-T]])*100/P$439</f>
        <v>77.372724895805604</v>
      </c>
      <c r="Z14" s="9">
        <f>100-(Q$436-Tabell2[[#This Row],[Sysselsettingsvekst10-T]])*100/Q$439</f>
        <v>39.151365553600762</v>
      </c>
      <c r="AA14" s="9">
        <f>100-(R$436-Tabell2[[#This Row],[Yrkesaktivandel-T]])*100/R$439</f>
        <v>0</v>
      </c>
      <c r="AB14" s="9">
        <f>100-(S$436-Tabell2[[#This Row],[Inntekt-T]])*100/S$439</f>
        <v>33.609958506224061</v>
      </c>
      <c r="AC14" s="48">
        <f>Tabell2[[#This Row],[NIBR11-I]]*Vekter!$B$3</f>
        <v>12</v>
      </c>
      <c r="AD14" s="48">
        <f>Tabell2[[#This Row],[ReisetidOslo-I]]*Vekter!$C$3</f>
        <v>10</v>
      </c>
      <c r="AE14" s="48">
        <f>Tabell2[[#This Row],[Beftettotal-I]]*Vekter!$D$3</f>
        <v>10</v>
      </c>
      <c r="AF14" s="48">
        <f>Tabell2[[#This Row],[Befvekst10-I]]*Vekter!$E$3</f>
        <v>14.893917828360092</v>
      </c>
      <c r="AG14" s="48">
        <f>Tabell2[[#This Row],[Kvinneandel-I]]*Vekter!$F$3</f>
        <v>3.7270867627312776</v>
      </c>
      <c r="AH14" s="48">
        <f>Tabell2[[#This Row],[Eldreandel-I]]*Vekter!$G$3</f>
        <v>3.8686362447902805</v>
      </c>
      <c r="AI14" s="48">
        <f>Tabell2[[#This Row],[Sysselsettingsvekst10-I]]*Vekter!$H$3</f>
        <v>3.9151365553600765</v>
      </c>
      <c r="AJ14" s="48">
        <f>Tabell2[[#This Row],[Yrkesaktivandel-I]]*Vekter!$J$3</f>
        <v>0</v>
      </c>
      <c r="AK14" s="48">
        <f>Tabell2[[#This Row],[Inntekt-I]]*Vekter!$L$3</f>
        <v>3.3609958506224062</v>
      </c>
      <c r="AL14" s="37">
        <f>SUM(Tabell2[[#This Row],[NIBR11-v]:[Inntekt-v]])</f>
        <v>61.765773241864132</v>
      </c>
    </row>
    <row r="15" spans="1:42">
      <c r="A15" s="1" t="s">
        <v>12</v>
      </c>
      <c r="B15">
        <f>'Rådata-K'!M14</f>
        <v>5</v>
      </c>
      <c r="C15" s="9">
        <f>'Rådata-K'!L14</f>
        <v>53.954692457199997</v>
      </c>
      <c r="D15" s="51">
        <f>'Rådata-K'!N14</f>
        <v>47.997117544826416</v>
      </c>
      <c r="E15" s="51">
        <f>'Rådata-K'!O14</f>
        <v>0.11876296808615749</v>
      </c>
      <c r="F15" s="51">
        <f>'Rådata-K'!P14</f>
        <v>0.11675351055374017</v>
      </c>
      <c r="G15" s="51">
        <f>'Rådata-K'!Q14</f>
        <v>0.15464099620241986</v>
      </c>
      <c r="H15" s="51">
        <f>'Rådata-K'!R14</f>
        <v>5.9015679442508739E-2</v>
      </c>
      <c r="I15" s="51">
        <f>'Rådata-K'!S14</f>
        <v>0.8301771533292609</v>
      </c>
      <c r="J15" s="52">
        <f>'Rådata-K'!K14</f>
        <v>334800</v>
      </c>
      <c r="K15" s="26">
        <f>Tabell2[[#This Row],[NIBR11]]</f>
        <v>5</v>
      </c>
      <c r="L15" s="52">
        <f>IF(Tabell2[[#This Row],[ReisetidOslo]]&lt;=C$434,C$434,IF(Tabell2[[#This Row],[ReisetidOslo]]&gt;=C$435,C$435,Tabell2[[#This Row],[ReisetidOslo]]))</f>
        <v>53.954692457199997</v>
      </c>
      <c r="M15" s="51">
        <f>IF(Tabell2[[#This Row],[Beftettotal]]&lt;=D$434,D$434,IF(Tabell2[[#This Row],[Beftettotal]]&gt;=D$435,D$435,Tabell2[[#This Row],[Beftettotal]]))</f>
        <v>47.997117544826416</v>
      </c>
      <c r="N15" s="51">
        <f>IF(Tabell2[[#This Row],[Befvekst10]]&lt;=E$434,E$434,IF(Tabell2[[#This Row],[Befvekst10]]&gt;=E$435,E$435,Tabell2[[#This Row],[Befvekst10]]))</f>
        <v>0.11876296808615749</v>
      </c>
      <c r="O15" s="51">
        <f>IF(Tabell2[[#This Row],[Kvinneandel]]&lt;=F$434,F$434,IF(Tabell2[[#This Row],[Kvinneandel]]&gt;=F$435,F$435,Tabell2[[#This Row],[Kvinneandel]]))</f>
        <v>0.11675351055374017</v>
      </c>
      <c r="P15" s="51">
        <f>IF(Tabell2[[#This Row],[Eldreandel]]&lt;=G$434,G$434,IF(Tabell2[[#This Row],[Eldreandel]]&gt;=G$435,G$435,Tabell2[[#This Row],[Eldreandel]]))</f>
        <v>0.15464099620241986</v>
      </c>
      <c r="Q15" s="51">
        <f>IF(Tabell2[[#This Row],[Sysselsettingsvekst10]]&lt;=H$434,H$434,IF(Tabell2[[#This Row],[Sysselsettingsvekst10]]&gt;=H$435,H$435,Tabell2[[#This Row],[Sysselsettingsvekst10]]))</f>
        <v>5.9015679442508739E-2</v>
      </c>
      <c r="R15" s="51">
        <f>IF(Tabell2[[#This Row],[Yrkesaktivandel]]&lt;=I$434,I$434,IF(Tabell2[[#This Row],[Yrkesaktivandel]]&gt;=I$435,I$435,Tabell2[[#This Row],[Yrkesaktivandel]]))</f>
        <v>0.8301771533292609</v>
      </c>
      <c r="S15" s="52">
        <f>IF(Tabell2[[#This Row],[Inntekt]]&lt;=J$434,J$434,IF(Tabell2[[#This Row],[Inntekt]]&gt;=J$435,J$435,Tabell2[[#This Row],[Inntekt]]))</f>
        <v>334800</v>
      </c>
      <c r="T15" s="9">
        <f>IF(Tabell2[[#This Row],[NIBR11-T]]&lt;=K$437,100,IF(Tabell2[[#This Row],[NIBR11-T]]&gt;=K$436,0,100*(K$436-Tabell2[[#This Row],[NIBR11-T]])/K$439))</f>
        <v>60</v>
      </c>
      <c r="U15" s="9">
        <f>(L$436-Tabell2[[#This Row],[ReisetidOslo-T]])*100/L$439</f>
        <v>99.933670266514326</v>
      </c>
      <c r="V15" s="9">
        <f>100-(M$436-Tabell2[[#This Row],[Beftettotal-T]])*100/M$439</f>
        <v>36.750253277011552</v>
      </c>
      <c r="W15" s="9">
        <f>100-(N$436-Tabell2[[#This Row],[Befvekst10-T]])*100/N$439</f>
        <v>80.748577375871605</v>
      </c>
      <c r="X15" s="9">
        <f>100-(O$436-Tabell2[[#This Row],[Kvinneandel-T]])*100/O$439</f>
        <v>70.165576314462058</v>
      </c>
      <c r="Y15" s="9">
        <f>(P$436-Tabell2[[#This Row],[Eldreandel-T]])*100/P$439</f>
        <v>60.833204040933168</v>
      </c>
      <c r="Z15" s="9">
        <f>100-(Q$436-Tabell2[[#This Row],[Sysselsettingsvekst10-T]])*100/Q$439</f>
        <v>40.990642977209184</v>
      </c>
      <c r="AA15" s="9">
        <f>100-(R$436-Tabell2[[#This Row],[Yrkesaktivandel-T]])*100/R$439</f>
        <v>1.5964547788855583</v>
      </c>
      <c r="AB15" s="9">
        <f>100-(S$436-Tabell2[[#This Row],[Inntekt-T]])*100/S$439</f>
        <v>18.018357852382749</v>
      </c>
      <c r="AC15" s="48">
        <f>Tabell2[[#This Row],[NIBR11-I]]*Vekter!$B$3</f>
        <v>12</v>
      </c>
      <c r="AD15" s="48">
        <f>Tabell2[[#This Row],[ReisetidOslo-I]]*Vekter!$C$3</f>
        <v>9.9933670266514341</v>
      </c>
      <c r="AE15" s="48">
        <f>Tabell2[[#This Row],[Beftettotal-I]]*Vekter!$D$3</f>
        <v>3.6750253277011553</v>
      </c>
      <c r="AF15" s="48">
        <f>Tabell2[[#This Row],[Befvekst10-I]]*Vekter!$E$3</f>
        <v>16.149715475174322</v>
      </c>
      <c r="AG15" s="48">
        <f>Tabell2[[#This Row],[Kvinneandel-I]]*Vekter!$F$3</f>
        <v>3.5082788157231031</v>
      </c>
      <c r="AH15" s="48">
        <f>Tabell2[[#This Row],[Eldreandel-I]]*Vekter!$G$3</f>
        <v>3.0416602020466588</v>
      </c>
      <c r="AI15" s="48">
        <f>Tabell2[[#This Row],[Sysselsettingsvekst10-I]]*Vekter!$H$3</f>
        <v>4.0990642977209184</v>
      </c>
      <c r="AJ15" s="48">
        <f>Tabell2[[#This Row],[Yrkesaktivandel-I]]*Vekter!$J$3</f>
        <v>0.15964547788855585</v>
      </c>
      <c r="AK15" s="48">
        <f>Tabell2[[#This Row],[Inntekt-I]]*Vekter!$L$3</f>
        <v>1.8018357852382749</v>
      </c>
      <c r="AL15" s="37">
        <f>SUM(Tabell2[[#This Row],[NIBR11-v]:[Inntekt-v]])</f>
        <v>54.428592408144411</v>
      </c>
    </row>
    <row r="16" spans="1:42">
      <c r="A16" s="1" t="s">
        <v>13</v>
      </c>
      <c r="B16">
        <f>'Rådata-K'!M15</f>
        <v>5</v>
      </c>
      <c r="C16" s="9">
        <f>'Rådata-K'!L15</f>
        <v>52.956932457199997</v>
      </c>
      <c r="D16" s="51">
        <f>'Rådata-K'!N15</f>
        <v>36.824424463985771</v>
      </c>
      <c r="E16" s="51">
        <f>'Rådata-K'!O15</f>
        <v>0.11720623501199046</v>
      </c>
      <c r="F16" s="51">
        <f>'Rådata-K'!P15</f>
        <v>0.1204722296753421</v>
      </c>
      <c r="G16" s="51">
        <f>'Rådata-K'!Q15</f>
        <v>0.13066809766568285</v>
      </c>
      <c r="H16" s="51">
        <f>'Rådata-K'!R15</f>
        <v>0.13488372093023249</v>
      </c>
      <c r="I16" s="51">
        <f>'Rådata-K'!S15</f>
        <v>0.88407821229050276</v>
      </c>
      <c r="J16" s="52">
        <f>'Rådata-K'!K15</f>
        <v>349100</v>
      </c>
      <c r="K16" s="26">
        <f>Tabell2[[#This Row],[NIBR11]]</f>
        <v>5</v>
      </c>
      <c r="L16" s="52">
        <f>IF(Tabell2[[#This Row],[ReisetidOslo]]&lt;=C$434,C$434,IF(Tabell2[[#This Row],[ReisetidOslo]]&gt;=C$435,C$435,Tabell2[[#This Row],[ReisetidOslo]]))</f>
        <v>53.805284539509998</v>
      </c>
      <c r="M16" s="51">
        <f>IF(Tabell2[[#This Row],[Beftettotal]]&lt;=D$434,D$434,IF(Tabell2[[#This Row],[Beftettotal]]&gt;=D$435,D$435,Tabell2[[#This Row],[Beftettotal]]))</f>
        <v>36.824424463985771</v>
      </c>
      <c r="N16" s="51">
        <f>IF(Tabell2[[#This Row],[Befvekst10]]&lt;=E$434,E$434,IF(Tabell2[[#This Row],[Befvekst10]]&gt;=E$435,E$435,Tabell2[[#This Row],[Befvekst10]]))</f>
        <v>0.11720623501199046</v>
      </c>
      <c r="O16" s="51">
        <f>IF(Tabell2[[#This Row],[Kvinneandel]]&lt;=F$434,F$434,IF(Tabell2[[#This Row],[Kvinneandel]]&gt;=F$435,F$435,Tabell2[[#This Row],[Kvinneandel]]))</f>
        <v>0.1204722296753421</v>
      </c>
      <c r="P16" s="51">
        <f>IF(Tabell2[[#This Row],[Eldreandel]]&lt;=G$434,G$434,IF(Tabell2[[#This Row],[Eldreandel]]&gt;=G$435,G$435,Tabell2[[#This Row],[Eldreandel]]))</f>
        <v>0.13066809766568285</v>
      </c>
      <c r="Q16" s="51">
        <f>IF(Tabell2[[#This Row],[Sysselsettingsvekst10]]&lt;=H$434,H$434,IF(Tabell2[[#This Row],[Sysselsettingsvekst10]]&gt;=H$435,H$435,Tabell2[[#This Row],[Sysselsettingsvekst10]]))</f>
        <v>0.13488372093023249</v>
      </c>
      <c r="R16" s="51">
        <f>IF(Tabell2[[#This Row],[Yrkesaktivandel]]&lt;=I$434,I$434,IF(Tabell2[[#This Row],[Yrkesaktivandel]]&gt;=I$435,I$435,Tabell2[[#This Row],[Yrkesaktivandel]]))</f>
        <v>0.88407821229050276</v>
      </c>
      <c r="S16" s="52">
        <f>IF(Tabell2[[#This Row],[Inntekt]]&lt;=J$434,J$434,IF(Tabell2[[#This Row],[Inntekt]]&gt;=J$435,J$435,Tabell2[[#This Row],[Inntekt]]))</f>
        <v>349100</v>
      </c>
      <c r="T16" s="9">
        <f>IF(Tabell2[[#This Row],[NIBR11-T]]&lt;=K$437,100,IF(Tabell2[[#This Row],[NIBR11-T]]&gt;=K$436,0,100*(K$436-Tabell2[[#This Row],[NIBR11-T]])/K$439))</f>
        <v>60</v>
      </c>
      <c r="U16" s="9">
        <f>(L$436-Tabell2[[#This Row],[ReisetidOslo-T]])*100/L$439</f>
        <v>100</v>
      </c>
      <c r="V16" s="9">
        <f>100-(M$436-Tabell2[[#This Row],[Beftettotal-T]])*100/M$439</f>
        <v>27.949947268521143</v>
      </c>
      <c r="W16" s="9">
        <f>100-(N$436-Tabell2[[#This Row],[Befvekst10-T]])*100/N$439</f>
        <v>80.118636420850038</v>
      </c>
      <c r="X16" s="9">
        <f>100-(O$436-Tabell2[[#This Row],[Kvinneandel-T]])*100/O$439</f>
        <v>80.015339419760437</v>
      </c>
      <c r="Y16" s="9">
        <f>(P$436-Tabell2[[#This Row],[Eldreandel-T]])*100/P$439</f>
        <v>88.010954517692227</v>
      </c>
      <c r="Z16" s="9">
        <f>100-(Q$436-Tabell2[[#This Row],[Sysselsettingsvekst10-T]])*100/Q$439</f>
        <v>65.342096855301776</v>
      </c>
      <c r="AA16" s="9">
        <f>100-(R$436-Tabell2[[#This Row],[Yrkesaktivandel-T]])*100/R$439</f>
        <v>41.778386550121354</v>
      </c>
      <c r="AB16" s="9">
        <f>100-(S$436-Tabell2[[#This Row],[Inntekt-T]])*100/S$439</f>
        <v>35.998994090280391</v>
      </c>
      <c r="AC16" s="48">
        <f>Tabell2[[#This Row],[NIBR11-I]]*Vekter!$B$3</f>
        <v>12</v>
      </c>
      <c r="AD16" s="48">
        <f>Tabell2[[#This Row],[ReisetidOslo-I]]*Vekter!$C$3</f>
        <v>10</v>
      </c>
      <c r="AE16" s="48">
        <f>Tabell2[[#This Row],[Beftettotal-I]]*Vekter!$D$3</f>
        <v>2.7949947268521145</v>
      </c>
      <c r="AF16" s="48">
        <f>Tabell2[[#This Row],[Befvekst10-I]]*Vekter!$E$3</f>
        <v>16.023727284170008</v>
      </c>
      <c r="AG16" s="48">
        <f>Tabell2[[#This Row],[Kvinneandel-I]]*Vekter!$F$3</f>
        <v>4.000766970988022</v>
      </c>
      <c r="AH16" s="48">
        <f>Tabell2[[#This Row],[Eldreandel-I]]*Vekter!$G$3</f>
        <v>4.4005477258846115</v>
      </c>
      <c r="AI16" s="48">
        <f>Tabell2[[#This Row],[Sysselsettingsvekst10-I]]*Vekter!$H$3</f>
        <v>6.5342096855301781</v>
      </c>
      <c r="AJ16" s="48">
        <f>Tabell2[[#This Row],[Yrkesaktivandel-I]]*Vekter!$J$3</f>
        <v>4.1778386550121356</v>
      </c>
      <c r="AK16" s="48">
        <f>Tabell2[[#This Row],[Inntekt-I]]*Vekter!$L$3</f>
        <v>3.5998994090280392</v>
      </c>
      <c r="AL16" s="37">
        <f>SUM(Tabell2[[#This Row],[NIBR11-v]:[Inntekt-v]])</f>
        <v>63.531984457465114</v>
      </c>
    </row>
    <row r="17" spans="1:38">
      <c r="A17" s="1" t="s">
        <v>14</v>
      </c>
      <c r="B17">
        <f>'Rådata-K'!M16</f>
        <v>2</v>
      </c>
      <c r="C17" s="9">
        <f>'Rådata-K'!L16</f>
        <v>61.598186693599999</v>
      </c>
      <c r="D17" s="51">
        <f>'Rådata-K'!N16</f>
        <v>18.343263324975272</v>
      </c>
      <c r="E17" s="51">
        <f>'Rådata-K'!O16</f>
        <v>0.10259955752212391</v>
      </c>
      <c r="F17" s="51">
        <f>'Rådata-K'!P16</f>
        <v>0.11524956107348884</v>
      </c>
      <c r="G17" s="51">
        <f>'Rådata-K'!Q16</f>
        <v>0.15149235013794835</v>
      </c>
      <c r="H17" s="51">
        <f>'Rådata-K'!R16</f>
        <v>0.15297741273100618</v>
      </c>
      <c r="I17" s="51">
        <f>'Rådata-K'!S16</f>
        <v>0.84607081174438692</v>
      </c>
      <c r="J17" s="52">
        <f>'Rådata-K'!K16</f>
        <v>350400</v>
      </c>
      <c r="K17" s="26">
        <f>Tabell2[[#This Row],[NIBR11]]</f>
        <v>2</v>
      </c>
      <c r="L17" s="52">
        <f>IF(Tabell2[[#This Row],[ReisetidOslo]]&lt;=C$434,C$434,IF(Tabell2[[#This Row],[ReisetidOslo]]&gt;=C$435,C$435,Tabell2[[#This Row],[ReisetidOslo]]))</f>
        <v>61.598186693599999</v>
      </c>
      <c r="M17" s="51">
        <f>IF(Tabell2[[#This Row],[Beftettotal]]&lt;=D$434,D$434,IF(Tabell2[[#This Row],[Beftettotal]]&gt;=D$435,D$435,Tabell2[[#This Row],[Beftettotal]]))</f>
        <v>18.343263324975272</v>
      </c>
      <c r="N17" s="51">
        <f>IF(Tabell2[[#This Row],[Befvekst10]]&lt;=E$434,E$434,IF(Tabell2[[#This Row],[Befvekst10]]&gt;=E$435,E$435,Tabell2[[#This Row],[Befvekst10]]))</f>
        <v>0.10259955752212391</v>
      </c>
      <c r="O17" s="51">
        <f>IF(Tabell2[[#This Row],[Kvinneandel]]&lt;=F$434,F$434,IF(Tabell2[[#This Row],[Kvinneandel]]&gt;=F$435,F$435,Tabell2[[#This Row],[Kvinneandel]]))</f>
        <v>0.11524956107348884</v>
      </c>
      <c r="P17" s="51">
        <f>IF(Tabell2[[#This Row],[Eldreandel]]&lt;=G$434,G$434,IF(Tabell2[[#This Row],[Eldreandel]]&gt;=G$435,G$435,Tabell2[[#This Row],[Eldreandel]]))</f>
        <v>0.15149235013794835</v>
      </c>
      <c r="Q17" s="51">
        <f>IF(Tabell2[[#This Row],[Sysselsettingsvekst10]]&lt;=H$434,H$434,IF(Tabell2[[#This Row],[Sysselsettingsvekst10]]&gt;=H$435,H$435,Tabell2[[#This Row],[Sysselsettingsvekst10]]))</f>
        <v>0.15297741273100618</v>
      </c>
      <c r="R17" s="51">
        <f>IF(Tabell2[[#This Row],[Yrkesaktivandel]]&lt;=I$434,I$434,IF(Tabell2[[#This Row],[Yrkesaktivandel]]&gt;=I$435,I$435,Tabell2[[#This Row],[Yrkesaktivandel]]))</f>
        <v>0.84607081174438692</v>
      </c>
      <c r="S17" s="52">
        <f>IF(Tabell2[[#This Row],[Inntekt]]&lt;=J$434,J$434,IF(Tabell2[[#This Row],[Inntekt]]&gt;=J$435,J$435,Tabell2[[#This Row],[Inntekt]]))</f>
        <v>350400</v>
      </c>
      <c r="T17" s="9">
        <f>IF(Tabell2[[#This Row],[NIBR11-T]]&lt;=K$437,100,IF(Tabell2[[#This Row],[NIBR11-T]]&gt;=K$436,0,100*(K$436-Tabell2[[#This Row],[NIBR11-T]])/K$439))</f>
        <v>90</v>
      </c>
      <c r="U17" s="9">
        <f>(L$436-Tabell2[[#This Row],[ReisetidOslo-T]])*100/L$439</f>
        <v>96.540336476455821</v>
      </c>
      <c r="V17" s="9">
        <f>100-(M$436-Tabell2[[#This Row],[Beftettotal-T]])*100/M$439</f>
        <v>13.393038541258761</v>
      </c>
      <c r="W17" s="9">
        <f>100-(N$436-Tabell2[[#This Row],[Befvekst10-T]])*100/N$439</f>
        <v>74.207960711347454</v>
      </c>
      <c r="X17" s="9">
        <f>100-(O$436-Tabell2[[#This Row],[Kvinneandel-T]])*100/O$439</f>
        <v>66.182068655397217</v>
      </c>
      <c r="Y17" s="9">
        <f>(P$436-Tabell2[[#This Row],[Eldreandel-T]])*100/P$439</f>
        <v>64.402781451386915</v>
      </c>
      <c r="Z17" s="9">
        <f>100-(Q$436-Tabell2[[#This Row],[Sysselsettingsvekst10-T]])*100/Q$439</f>
        <v>71.149650243143711</v>
      </c>
      <c r="AA17" s="9">
        <f>100-(R$436-Tabell2[[#This Row],[Yrkesaktivandel-T]])*100/R$439</f>
        <v>13.444791534034295</v>
      </c>
      <c r="AB17" s="9">
        <f>100-(S$436-Tabell2[[#This Row],[Inntekt-T]])*100/S$439</f>
        <v>37.633597384634726</v>
      </c>
      <c r="AC17" s="48">
        <f>Tabell2[[#This Row],[NIBR11-I]]*Vekter!$B$3</f>
        <v>18</v>
      </c>
      <c r="AD17" s="48">
        <f>Tabell2[[#This Row],[ReisetidOslo-I]]*Vekter!$C$3</f>
        <v>9.6540336476455835</v>
      </c>
      <c r="AE17" s="48">
        <f>Tabell2[[#This Row],[Beftettotal-I]]*Vekter!$D$3</f>
        <v>1.3393038541258762</v>
      </c>
      <c r="AF17" s="48">
        <f>Tabell2[[#This Row],[Befvekst10-I]]*Vekter!$E$3</f>
        <v>14.841592142269491</v>
      </c>
      <c r="AG17" s="48">
        <f>Tabell2[[#This Row],[Kvinneandel-I]]*Vekter!$F$3</f>
        <v>3.3091034327698612</v>
      </c>
      <c r="AH17" s="48">
        <f>Tabell2[[#This Row],[Eldreandel-I]]*Vekter!$G$3</f>
        <v>3.2201390725693457</v>
      </c>
      <c r="AI17" s="48">
        <f>Tabell2[[#This Row],[Sysselsettingsvekst10-I]]*Vekter!$H$3</f>
        <v>7.1149650243143716</v>
      </c>
      <c r="AJ17" s="48">
        <f>Tabell2[[#This Row],[Yrkesaktivandel-I]]*Vekter!$J$3</f>
        <v>1.3444791534034295</v>
      </c>
      <c r="AK17" s="48">
        <f>Tabell2[[#This Row],[Inntekt-I]]*Vekter!$L$3</f>
        <v>3.7633597384634729</v>
      </c>
      <c r="AL17" s="37">
        <f>SUM(Tabell2[[#This Row],[NIBR11-v]:[Inntekt-v]])</f>
        <v>62.58697606556143</v>
      </c>
    </row>
    <row r="18" spans="1:38">
      <c r="A18" s="1" t="s">
        <v>15</v>
      </c>
      <c r="B18">
        <f>'Rådata-K'!M17</f>
        <v>2</v>
      </c>
      <c r="C18" s="9">
        <f>'Rådata-K'!L17</f>
        <v>50.793962371500001</v>
      </c>
      <c r="D18" s="51">
        <f>'Rådata-K'!N17</f>
        <v>59.813084112149532</v>
      </c>
      <c r="E18" s="51">
        <f>'Rådata-K'!O17</f>
        <v>0.11347962382445131</v>
      </c>
      <c r="F18" s="51">
        <f>'Rådata-K'!P17</f>
        <v>0.10740427927927929</v>
      </c>
      <c r="G18" s="51">
        <f>'Rådata-K'!Q17</f>
        <v>0.16328828828828829</v>
      </c>
      <c r="H18" s="51">
        <f>'Rådata-K'!R17</f>
        <v>0.30324737344794661</v>
      </c>
      <c r="I18" s="51">
        <f>'Rådata-K'!S17</f>
        <v>0.87307786185013425</v>
      </c>
      <c r="J18" s="52">
        <f>'Rådata-K'!K17</f>
        <v>373500</v>
      </c>
      <c r="K18" s="26">
        <f>Tabell2[[#This Row],[NIBR11]]</f>
        <v>2</v>
      </c>
      <c r="L18" s="52">
        <f>IF(Tabell2[[#This Row],[ReisetidOslo]]&lt;=C$434,C$434,IF(Tabell2[[#This Row],[ReisetidOslo]]&gt;=C$435,C$435,Tabell2[[#This Row],[ReisetidOslo]]))</f>
        <v>53.805284539509998</v>
      </c>
      <c r="M18" s="51">
        <f>IF(Tabell2[[#This Row],[Beftettotal]]&lt;=D$434,D$434,IF(Tabell2[[#This Row],[Beftettotal]]&gt;=D$435,D$435,Tabell2[[#This Row],[Beftettotal]]))</f>
        <v>59.813084112149532</v>
      </c>
      <c r="N18" s="51">
        <f>IF(Tabell2[[#This Row],[Befvekst10]]&lt;=E$434,E$434,IF(Tabell2[[#This Row],[Befvekst10]]&gt;=E$435,E$435,Tabell2[[#This Row],[Befvekst10]]))</f>
        <v>0.11347962382445131</v>
      </c>
      <c r="O18" s="51">
        <f>IF(Tabell2[[#This Row],[Kvinneandel]]&lt;=F$434,F$434,IF(Tabell2[[#This Row],[Kvinneandel]]&gt;=F$435,F$435,Tabell2[[#This Row],[Kvinneandel]]))</f>
        <v>0.10740427927927929</v>
      </c>
      <c r="P18" s="51">
        <f>IF(Tabell2[[#This Row],[Eldreandel]]&lt;=G$434,G$434,IF(Tabell2[[#This Row],[Eldreandel]]&gt;=G$435,G$435,Tabell2[[#This Row],[Eldreandel]]))</f>
        <v>0.16328828828828829</v>
      </c>
      <c r="Q18" s="51">
        <f>IF(Tabell2[[#This Row],[Sysselsettingsvekst10]]&lt;=H$434,H$434,IF(Tabell2[[#This Row],[Sysselsettingsvekst10]]&gt;=H$435,H$435,Tabell2[[#This Row],[Sysselsettingsvekst10]]))</f>
        <v>0.24286196513786068</v>
      </c>
      <c r="R18" s="51">
        <f>IF(Tabell2[[#This Row],[Yrkesaktivandel]]&lt;=I$434,I$434,IF(Tabell2[[#This Row],[Yrkesaktivandel]]&gt;=I$435,I$435,Tabell2[[#This Row],[Yrkesaktivandel]]))</f>
        <v>0.87307786185013425</v>
      </c>
      <c r="S18" s="52">
        <f>IF(Tabell2[[#This Row],[Inntekt]]&lt;=J$434,J$434,IF(Tabell2[[#This Row],[Inntekt]]&gt;=J$435,J$435,Tabell2[[#This Row],[Inntekt]]))</f>
        <v>373500</v>
      </c>
      <c r="T18" s="9">
        <f>IF(Tabell2[[#This Row],[NIBR11-T]]&lt;=K$437,100,IF(Tabell2[[#This Row],[NIBR11-T]]&gt;=K$436,0,100*(K$436-Tabell2[[#This Row],[NIBR11-T]])/K$439))</f>
        <v>90</v>
      </c>
      <c r="U18" s="9">
        <f>(L$436-Tabell2[[#This Row],[ReisetidOslo-T]])*100/L$439</f>
        <v>100</v>
      </c>
      <c r="V18" s="9">
        <f>100-(M$436-Tabell2[[#This Row],[Beftettotal-T]])*100/M$439</f>
        <v>46.057241379714505</v>
      </c>
      <c r="W18" s="9">
        <f>100-(N$436-Tabell2[[#This Row],[Befvekst10-T]])*100/N$439</f>
        <v>78.610641858758186</v>
      </c>
      <c r="X18" s="9">
        <f>100-(O$436-Tabell2[[#This Row],[Kvinneandel-T]])*100/O$439</f>
        <v>45.40228813409059</v>
      </c>
      <c r="Y18" s="9">
        <f>(P$436-Tabell2[[#This Row],[Eldreandel-T]])*100/P$439</f>
        <v>51.029886087985552</v>
      </c>
      <c r="Z18" s="9">
        <f>100-(Q$436-Tabell2[[#This Row],[Sysselsettingsvekst10-T]])*100/Q$439</f>
        <v>100</v>
      </c>
      <c r="AA18" s="9">
        <f>100-(R$436-Tabell2[[#This Row],[Yrkesaktivandel-T]])*100/R$439</f>
        <v>33.577892174446717</v>
      </c>
      <c r="AB18" s="9">
        <f>100-(S$436-Tabell2[[#This Row],[Inntekt-T]])*100/S$439</f>
        <v>66.679240538161707</v>
      </c>
      <c r="AC18" s="48">
        <f>Tabell2[[#This Row],[NIBR11-I]]*Vekter!$B$3</f>
        <v>18</v>
      </c>
      <c r="AD18" s="48">
        <f>Tabell2[[#This Row],[ReisetidOslo-I]]*Vekter!$C$3</f>
        <v>10</v>
      </c>
      <c r="AE18" s="48">
        <f>Tabell2[[#This Row],[Beftettotal-I]]*Vekter!$D$3</f>
        <v>4.6057241379714506</v>
      </c>
      <c r="AF18" s="48">
        <f>Tabell2[[#This Row],[Befvekst10-I]]*Vekter!$E$3</f>
        <v>15.722128371751637</v>
      </c>
      <c r="AG18" s="48">
        <f>Tabell2[[#This Row],[Kvinneandel-I]]*Vekter!$F$3</f>
        <v>2.2701144067045296</v>
      </c>
      <c r="AH18" s="48">
        <f>Tabell2[[#This Row],[Eldreandel-I]]*Vekter!$G$3</f>
        <v>2.5514943043992777</v>
      </c>
      <c r="AI18" s="48">
        <f>Tabell2[[#This Row],[Sysselsettingsvekst10-I]]*Vekter!$H$3</f>
        <v>10</v>
      </c>
      <c r="AJ18" s="48">
        <f>Tabell2[[#This Row],[Yrkesaktivandel-I]]*Vekter!$J$3</f>
        <v>3.357789217444672</v>
      </c>
      <c r="AK18" s="48">
        <f>Tabell2[[#This Row],[Inntekt-I]]*Vekter!$L$3</f>
        <v>6.6679240538161713</v>
      </c>
      <c r="AL18" s="37">
        <f>SUM(Tabell2[[#This Row],[NIBR11-v]:[Inntekt-v]])</f>
        <v>73.175174492087734</v>
      </c>
    </row>
    <row r="19" spans="1:38">
      <c r="A19" s="1" t="s">
        <v>16</v>
      </c>
      <c r="B19">
        <f>'Rådata-K'!M18</f>
        <v>4</v>
      </c>
      <c r="C19" s="9">
        <f>'Rådata-K'!L18</f>
        <v>45.623984997800001</v>
      </c>
      <c r="D19" s="51">
        <f>'Rådata-K'!N18</f>
        <v>203.54495214988543</v>
      </c>
      <c r="E19" s="51">
        <f>'Rådata-K'!O18</f>
        <v>9.8014978550134524E-2</v>
      </c>
      <c r="F19" s="51">
        <f>'Rådata-K'!P18</f>
        <v>0.10522481954837427</v>
      </c>
      <c r="G19" s="51">
        <f>'Rådata-K'!Q18</f>
        <v>0.15144692404476526</v>
      </c>
      <c r="H19" s="51">
        <f>'Rådata-K'!R18</f>
        <v>0.24973898517435789</v>
      </c>
      <c r="I19" s="51">
        <f>'Rådata-K'!S18</f>
        <v>0.84522160664819945</v>
      </c>
      <c r="J19" s="52">
        <f>'Rådata-K'!K18</f>
        <v>379300</v>
      </c>
      <c r="K19" s="26">
        <f>Tabell2[[#This Row],[NIBR11]]</f>
        <v>4</v>
      </c>
      <c r="L19" s="52">
        <f>IF(Tabell2[[#This Row],[ReisetidOslo]]&lt;=C$434,C$434,IF(Tabell2[[#This Row],[ReisetidOslo]]&gt;=C$435,C$435,Tabell2[[#This Row],[ReisetidOslo]]))</f>
        <v>53.805284539509998</v>
      </c>
      <c r="M19" s="51">
        <f>IF(Tabell2[[#This Row],[Beftettotal]]&lt;=D$434,D$434,IF(Tabell2[[#This Row],[Beftettotal]]&gt;=D$435,D$435,Tabell2[[#This Row],[Beftettotal]]))</f>
        <v>128.29773514779066</v>
      </c>
      <c r="N19" s="51">
        <f>IF(Tabell2[[#This Row],[Befvekst10]]&lt;=E$434,E$434,IF(Tabell2[[#This Row],[Befvekst10]]&gt;=E$435,E$435,Tabell2[[#This Row],[Befvekst10]]))</f>
        <v>9.8014978550134524E-2</v>
      </c>
      <c r="O19" s="51">
        <f>IF(Tabell2[[#This Row],[Kvinneandel]]&lt;=F$434,F$434,IF(Tabell2[[#This Row],[Kvinneandel]]&gt;=F$435,F$435,Tabell2[[#This Row],[Kvinneandel]]))</f>
        <v>0.10522481954837427</v>
      </c>
      <c r="P19" s="51">
        <f>IF(Tabell2[[#This Row],[Eldreandel]]&lt;=G$434,G$434,IF(Tabell2[[#This Row],[Eldreandel]]&gt;=G$435,G$435,Tabell2[[#This Row],[Eldreandel]]))</f>
        <v>0.15144692404476526</v>
      </c>
      <c r="Q19" s="51">
        <f>IF(Tabell2[[#This Row],[Sysselsettingsvekst10]]&lt;=H$434,H$434,IF(Tabell2[[#This Row],[Sysselsettingsvekst10]]&gt;=H$435,H$435,Tabell2[[#This Row],[Sysselsettingsvekst10]]))</f>
        <v>0.24286196513786068</v>
      </c>
      <c r="R19" s="51">
        <f>IF(Tabell2[[#This Row],[Yrkesaktivandel]]&lt;=I$434,I$434,IF(Tabell2[[#This Row],[Yrkesaktivandel]]&gt;=I$435,I$435,Tabell2[[#This Row],[Yrkesaktivandel]]))</f>
        <v>0.84522160664819945</v>
      </c>
      <c r="S19" s="52">
        <f>IF(Tabell2[[#This Row],[Inntekt]]&lt;=J$434,J$434,IF(Tabell2[[#This Row],[Inntekt]]&gt;=J$435,J$435,Tabell2[[#This Row],[Inntekt]]))</f>
        <v>379300</v>
      </c>
      <c r="T19" s="9">
        <f>IF(Tabell2[[#This Row],[NIBR11-T]]&lt;=K$437,100,IF(Tabell2[[#This Row],[NIBR11-T]]&gt;=K$436,0,100*(K$436-Tabell2[[#This Row],[NIBR11-T]])/K$439))</f>
        <v>70</v>
      </c>
      <c r="U19" s="9">
        <f>(L$436-Tabell2[[#This Row],[ReisetidOslo-T]])*100/L$439</f>
        <v>100</v>
      </c>
      <c r="V19" s="9">
        <f>100-(M$436-Tabell2[[#This Row],[Beftettotal-T]])*100/M$439</f>
        <v>100</v>
      </c>
      <c r="W19" s="9">
        <f>100-(N$436-Tabell2[[#This Row],[Befvekst10-T]])*100/N$439</f>
        <v>72.352784571062756</v>
      </c>
      <c r="X19" s="9">
        <f>100-(O$436-Tabell2[[#This Row],[Kvinneandel-T]])*100/O$439</f>
        <v>39.629557969489134</v>
      </c>
      <c r="Y19" s="9">
        <f>(P$436-Tabell2[[#This Row],[Eldreandel-T]])*100/P$439</f>
        <v>64.45428039815684</v>
      </c>
      <c r="Z19" s="9">
        <f>100-(Q$436-Tabell2[[#This Row],[Sysselsettingsvekst10-T]])*100/Q$439</f>
        <v>100</v>
      </c>
      <c r="AA19" s="9">
        <f>100-(R$436-Tabell2[[#This Row],[Yrkesaktivandel-T]])*100/R$439</f>
        <v>12.811729737246097</v>
      </c>
      <c r="AB19" s="9">
        <f>100-(S$436-Tabell2[[#This Row],[Inntekt-T]])*100/S$439</f>
        <v>73.972086005281028</v>
      </c>
      <c r="AC19" s="48">
        <f>Tabell2[[#This Row],[NIBR11-I]]*Vekter!$B$3</f>
        <v>14</v>
      </c>
      <c r="AD19" s="48">
        <f>Tabell2[[#This Row],[ReisetidOslo-I]]*Vekter!$C$3</f>
        <v>10</v>
      </c>
      <c r="AE19" s="48">
        <f>Tabell2[[#This Row],[Beftettotal-I]]*Vekter!$D$3</f>
        <v>10</v>
      </c>
      <c r="AF19" s="48">
        <f>Tabell2[[#This Row],[Befvekst10-I]]*Vekter!$E$3</f>
        <v>14.470556914212551</v>
      </c>
      <c r="AG19" s="48">
        <f>Tabell2[[#This Row],[Kvinneandel-I]]*Vekter!$F$3</f>
        <v>1.9814778984744568</v>
      </c>
      <c r="AH19" s="48">
        <f>Tabell2[[#This Row],[Eldreandel-I]]*Vekter!$G$3</f>
        <v>3.2227140199078423</v>
      </c>
      <c r="AI19" s="48">
        <f>Tabell2[[#This Row],[Sysselsettingsvekst10-I]]*Vekter!$H$3</f>
        <v>10</v>
      </c>
      <c r="AJ19" s="48">
        <f>Tabell2[[#This Row],[Yrkesaktivandel-I]]*Vekter!$J$3</f>
        <v>1.2811729737246098</v>
      </c>
      <c r="AK19" s="48">
        <f>Tabell2[[#This Row],[Inntekt-I]]*Vekter!$L$3</f>
        <v>7.3972086005281028</v>
      </c>
      <c r="AL19" s="37">
        <f>SUM(Tabell2[[#This Row],[NIBR11-v]:[Inntekt-v]])</f>
        <v>72.353130406847569</v>
      </c>
    </row>
    <row r="20" spans="1:38">
      <c r="A20" s="1" t="s">
        <v>17</v>
      </c>
      <c r="B20">
        <f>'Rådata-K'!M19</f>
        <v>4</v>
      </c>
      <c r="C20" s="9">
        <f>'Rådata-K'!L19</f>
        <v>43.602192132200003</v>
      </c>
      <c r="D20" s="51">
        <f>'Rådata-K'!N19</f>
        <v>19.372665006226651</v>
      </c>
      <c r="E20" s="51">
        <f>'Rådata-K'!O19</f>
        <v>0.24356732450662011</v>
      </c>
      <c r="F20" s="51">
        <f>'Rådata-K'!P19</f>
        <v>0.12053033346725593</v>
      </c>
      <c r="G20" s="51">
        <f>'Rådata-K'!Q19</f>
        <v>0.11751707513057452</v>
      </c>
      <c r="H20" s="51">
        <f>'Rådata-K'!R19</f>
        <v>0.26345609065155817</v>
      </c>
      <c r="I20" s="51">
        <f>'Rådata-K'!S19</f>
        <v>0.88270980788675435</v>
      </c>
      <c r="J20" s="52">
        <f>'Rådata-K'!K19</f>
        <v>375000</v>
      </c>
      <c r="K20" s="26">
        <f>Tabell2[[#This Row],[NIBR11]]</f>
        <v>4</v>
      </c>
      <c r="L20" s="52">
        <f>IF(Tabell2[[#This Row],[ReisetidOslo]]&lt;=C$434,C$434,IF(Tabell2[[#This Row],[ReisetidOslo]]&gt;=C$435,C$435,Tabell2[[#This Row],[ReisetidOslo]]))</f>
        <v>53.805284539509998</v>
      </c>
      <c r="M20" s="51">
        <f>IF(Tabell2[[#This Row],[Beftettotal]]&lt;=D$434,D$434,IF(Tabell2[[#This Row],[Beftettotal]]&gt;=D$435,D$435,Tabell2[[#This Row],[Beftettotal]]))</f>
        <v>19.372665006226651</v>
      </c>
      <c r="N20" s="51">
        <f>IF(Tabell2[[#This Row],[Befvekst10]]&lt;=E$434,E$434,IF(Tabell2[[#This Row],[Befvekst10]]&gt;=E$435,E$435,Tabell2[[#This Row],[Befvekst10]]))</f>
        <v>0.16633778614624492</v>
      </c>
      <c r="O20" s="51">
        <f>IF(Tabell2[[#This Row],[Kvinneandel]]&lt;=F$434,F$434,IF(Tabell2[[#This Row],[Kvinneandel]]&gt;=F$435,F$435,Tabell2[[#This Row],[Kvinneandel]]))</f>
        <v>0.12053033346725593</v>
      </c>
      <c r="P20" s="51">
        <f>IF(Tabell2[[#This Row],[Eldreandel]]&lt;=G$434,G$434,IF(Tabell2[[#This Row],[Eldreandel]]&gt;=G$435,G$435,Tabell2[[#This Row],[Eldreandel]]))</f>
        <v>0.1200928231908705</v>
      </c>
      <c r="Q20" s="51">
        <f>IF(Tabell2[[#This Row],[Sysselsettingsvekst10]]&lt;=H$434,H$434,IF(Tabell2[[#This Row],[Sysselsettingsvekst10]]&gt;=H$435,H$435,Tabell2[[#This Row],[Sysselsettingsvekst10]]))</f>
        <v>0.24286196513786068</v>
      </c>
      <c r="R20" s="51">
        <f>IF(Tabell2[[#This Row],[Yrkesaktivandel]]&lt;=I$434,I$434,IF(Tabell2[[#This Row],[Yrkesaktivandel]]&gt;=I$435,I$435,Tabell2[[#This Row],[Yrkesaktivandel]]))</f>
        <v>0.88270980788675435</v>
      </c>
      <c r="S20" s="52">
        <f>IF(Tabell2[[#This Row],[Inntekt]]&lt;=J$434,J$434,IF(Tabell2[[#This Row],[Inntekt]]&gt;=J$435,J$435,Tabell2[[#This Row],[Inntekt]]))</f>
        <v>375000</v>
      </c>
      <c r="T20" s="9">
        <f>IF(Tabell2[[#This Row],[NIBR11-T]]&lt;=K$437,100,IF(Tabell2[[#This Row],[NIBR11-T]]&gt;=K$436,0,100*(K$436-Tabell2[[#This Row],[NIBR11-T]])/K$439))</f>
        <v>70</v>
      </c>
      <c r="U20" s="9">
        <f>(L$436-Tabell2[[#This Row],[ReisetidOslo-T]])*100/L$439</f>
        <v>100</v>
      </c>
      <c r="V20" s="9">
        <f>100-(M$436-Tabell2[[#This Row],[Beftettotal-T]])*100/M$439</f>
        <v>14.203859149604426</v>
      </c>
      <c r="W20" s="9">
        <f>100-(N$436-Tabell2[[#This Row],[Befvekst10-T]])*100/N$439</f>
        <v>100</v>
      </c>
      <c r="X20" s="9">
        <f>100-(O$436-Tabell2[[#This Row],[Kvinneandel-T]])*100/O$439</f>
        <v>80.169238804778857</v>
      </c>
      <c r="Y20" s="9">
        <f>(P$436-Tabell2[[#This Row],[Eldreandel-T]])*100/P$439</f>
        <v>100.00000000000001</v>
      </c>
      <c r="Z20" s="9">
        <f>100-(Q$436-Tabell2[[#This Row],[Sysselsettingsvekst10-T]])*100/Q$439</f>
        <v>100</v>
      </c>
      <c r="AA20" s="9">
        <f>100-(R$436-Tabell2[[#This Row],[Yrkesaktivandel-T]])*100/R$439</f>
        <v>40.758274265752036</v>
      </c>
      <c r="AB20" s="9">
        <f>100-(S$436-Tabell2[[#This Row],[Inntekt-T]])*100/S$439</f>
        <v>68.565321262416703</v>
      </c>
      <c r="AC20" s="48">
        <f>Tabell2[[#This Row],[NIBR11-I]]*Vekter!$B$3</f>
        <v>14</v>
      </c>
      <c r="AD20" s="48">
        <f>Tabell2[[#This Row],[ReisetidOslo-I]]*Vekter!$C$3</f>
        <v>10</v>
      </c>
      <c r="AE20" s="48">
        <f>Tabell2[[#This Row],[Beftettotal-I]]*Vekter!$D$3</f>
        <v>1.4203859149604428</v>
      </c>
      <c r="AF20" s="48">
        <f>Tabell2[[#This Row],[Befvekst10-I]]*Vekter!$E$3</f>
        <v>20</v>
      </c>
      <c r="AG20" s="48">
        <f>Tabell2[[#This Row],[Kvinneandel-I]]*Vekter!$F$3</f>
        <v>4.0084619402389432</v>
      </c>
      <c r="AH20" s="48">
        <f>Tabell2[[#This Row],[Eldreandel-I]]*Vekter!$G$3</f>
        <v>5.0000000000000009</v>
      </c>
      <c r="AI20" s="48">
        <f>Tabell2[[#This Row],[Sysselsettingsvekst10-I]]*Vekter!$H$3</f>
        <v>10</v>
      </c>
      <c r="AJ20" s="48">
        <f>Tabell2[[#This Row],[Yrkesaktivandel-I]]*Vekter!$J$3</f>
        <v>4.0758274265752039</v>
      </c>
      <c r="AK20" s="48">
        <f>Tabell2[[#This Row],[Inntekt-I]]*Vekter!$L$3</f>
        <v>6.856532126241671</v>
      </c>
      <c r="AL20" s="37">
        <f>SUM(Tabell2[[#This Row],[NIBR11-v]:[Inntekt-v]])</f>
        <v>75.36120740801627</v>
      </c>
    </row>
    <row r="21" spans="1:38">
      <c r="A21" s="1" t="s">
        <v>18</v>
      </c>
      <c r="B21">
        <f>'Rådata-K'!M20</f>
        <v>1</v>
      </c>
      <c r="C21" s="9">
        <f>'Rådata-K'!L20</f>
        <v>32.984666064899997</v>
      </c>
      <c r="D21" s="51">
        <f>'Rådata-K'!N20</f>
        <v>36.947076002564287</v>
      </c>
      <c r="E21" s="51">
        <f>'Rådata-K'!O20</f>
        <v>0.1516429840142095</v>
      </c>
      <c r="F21" s="51">
        <f>'Rådata-K'!P20</f>
        <v>0.12338538654328128</v>
      </c>
      <c r="G21" s="51">
        <f>'Rådata-K'!Q20</f>
        <v>0.12126470021206863</v>
      </c>
      <c r="H21" s="51">
        <f>'Rådata-K'!R20</f>
        <v>0.17905759162303658</v>
      </c>
      <c r="I21" s="51">
        <f>'Rådata-K'!S20</f>
        <v>0.85786641342196901</v>
      </c>
      <c r="J21" s="52">
        <f>'Rådata-K'!K20</f>
        <v>365600</v>
      </c>
      <c r="K21" s="26">
        <f>Tabell2[[#This Row],[NIBR11]]</f>
        <v>1</v>
      </c>
      <c r="L21" s="52">
        <f>IF(Tabell2[[#This Row],[ReisetidOslo]]&lt;=C$434,C$434,IF(Tabell2[[#This Row],[ReisetidOslo]]&gt;=C$435,C$435,Tabell2[[#This Row],[ReisetidOslo]]))</f>
        <v>53.805284539509998</v>
      </c>
      <c r="M21" s="51">
        <f>IF(Tabell2[[#This Row],[Beftettotal]]&lt;=D$434,D$434,IF(Tabell2[[#This Row],[Beftettotal]]&gt;=D$435,D$435,Tabell2[[#This Row],[Beftettotal]]))</f>
        <v>36.947076002564287</v>
      </c>
      <c r="N21" s="51">
        <f>IF(Tabell2[[#This Row],[Befvekst10]]&lt;=E$434,E$434,IF(Tabell2[[#This Row],[Befvekst10]]&gt;=E$435,E$435,Tabell2[[#This Row],[Befvekst10]]))</f>
        <v>0.1516429840142095</v>
      </c>
      <c r="O21" s="51">
        <f>IF(Tabell2[[#This Row],[Kvinneandel]]&lt;=F$434,F$434,IF(Tabell2[[#This Row],[Kvinneandel]]&gt;=F$435,F$435,Tabell2[[#This Row],[Kvinneandel]]))</f>
        <v>0.12338538654328128</v>
      </c>
      <c r="P21" s="51">
        <f>IF(Tabell2[[#This Row],[Eldreandel]]&lt;=G$434,G$434,IF(Tabell2[[#This Row],[Eldreandel]]&gt;=G$435,G$435,Tabell2[[#This Row],[Eldreandel]]))</f>
        <v>0.12126470021206863</v>
      </c>
      <c r="Q21" s="51">
        <f>IF(Tabell2[[#This Row],[Sysselsettingsvekst10]]&lt;=H$434,H$434,IF(Tabell2[[#This Row],[Sysselsettingsvekst10]]&gt;=H$435,H$435,Tabell2[[#This Row],[Sysselsettingsvekst10]]))</f>
        <v>0.17905759162303658</v>
      </c>
      <c r="R21" s="51">
        <f>IF(Tabell2[[#This Row],[Yrkesaktivandel]]&lt;=I$434,I$434,IF(Tabell2[[#This Row],[Yrkesaktivandel]]&gt;=I$435,I$435,Tabell2[[#This Row],[Yrkesaktivandel]]))</f>
        <v>0.85786641342196901</v>
      </c>
      <c r="S21" s="52">
        <f>IF(Tabell2[[#This Row],[Inntekt]]&lt;=J$434,J$434,IF(Tabell2[[#This Row],[Inntekt]]&gt;=J$435,J$435,Tabell2[[#This Row],[Inntekt]]))</f>
        <v>365600</v>
      </c>
      <c r="T21" s="9">
        <f>IF(Tabell2[[#This Row],[NIBR11-T]]&lt;=K$437,100,IF(Tabell2[[#This Row],[NIBR11-T]]&gt;=K$436,0,100*(K$436-Tabell2[[#This Row],[NIBR11-T]])/K$439))</f>
        <v>100</v>
      </c>
      <c r="U21" s="9">
        <f>(L$436-Tabell2[[#This Row],[ReisetidOslo-T]])*100/L$439</f>
        <v>100</v>
      </c>
      <c r="V21" s="9">
        <f>100-(M$436-Tabell2[[#This Row],[Beftettotal-T]])*100/M$439</f>
        <v>28.046555227237391</v>
      </c>
      <c r="W21" s="9">
        <f>100-(N$436-Tabell2[[#This Row],[Befvekst10-T]])*100/N$439</f>
        <v>94.053664149288878</v>
      </c>
      <c r="X21" s="9">
        <f>100-(O$436-Tabell2[[#This Row],[Kvinneandel-T]])*100/O$439</f>
        <v>87.731411567046806</v>
      </c>
      <c r="Y21" s="9">
        <f>(P$436-Tabell2[[#This Row],[Eldreandel-T]])*100/P$439</f>
        <v>98.671458888345768</v>
      </c>
      <c r="Z21" s="9">
        <f>100-(Q$436-Tabell2[[#This Row],[Sysselsettingsvekst10-T]])*100/Q$439</f>
        <v>79.52063571961007</v>
      </c>
      <c r="AA21" s="9">
        <f>100-(R$436-Tabell2[[#This Row],[Yrkesaktivandel-T]])*100/R$439</f>
        <v>22.238126413597456</v>
      </c>
      <c r="AB21" s="9">
        <f>100-(S$436-Tabell2[[#This Row],[Inntekt-T]])*100/S$439</f>
        <v>56.745882057085375</v>
      </c>
      <c r="AC21" s="48">
        <f>Tabell2[[#This Row],[NIBR11-I]]*Vekter!$B$3</f>
        <v>20</v>
      </c>
      <c r="AD21" s="48">
        <f>Tabell2[[#This Row],[ReisetidOslo-I]]*Vekter!$C$3</f>
        <v>10</v>
      </c>
      <c r="AE21" s="48">
        <f>Tabell2[[#This Row],[Beftettotal-I]]*Vekter!$D$3</f>
        <v>2.8046555227237393</v>
      </c>
      <c r="AF21" s="48">
        <f>Tabell2[[#This Row],[Befvekst10-I]]*Vekter!$E$3</f>
        <v>18.810732829857777</v>
      </c>
      <c r="AG21" s="48">
        <f>Tabell2[[#This Row],[Kvinneandel-I]]*Vekter!$F$3</f>
        <v>4.3865705783523401</v>
      </c>
      <c r="AH21" s="48">
        <f>Tabell2[[#This Row],[Eldreandel-I]]*Vekter!$G$3</f>
        <v>4.9335729444172891</v>
      </c>
      <c r="AI21" s="48">
        <f>Tabell2[[#This Row],[Sysselsettingsvekst10-I]]*Vekter!$H$3</f>
        <v>7.9520635719610073</v>
      </c>
      <c r="AJ21" s="48">
        <f>Tabell2[[#This Row],[Yrkesaktivandel-I]]*Vekter!$J$3</f>
        <v>2.2238126413597459</v>
      </c>
      <c r="AK21" s="48">
        <f>Tabell2[[#This Row],[Inntekt-I]]*Vekter!$L$3</f>
        <v>5.6745882057085382</v>
      </c>
      <c r="AL21" s="37">
        <f>SUM(Tabell2[[#This Row],[NIBR11-v]:[Inntekt-v]])</f>
        <v>76.785996294380425</v>
      </c>
    </row>
    <row r="22" spans="1:38">
      <c r="A22" s="2" t="s">
        <v>19</v>
      </c>
      <c r="B22">
        <f>'Rådata-K'!M21</f>
        <v>1</v>
      </c>
      <c r="C22" s="9">
        <f>'Rådata-K'!L21</f>
        <v>28.645814424499999</v>
      </c>
      <c r="D22" s="51">
        <f>'Rådata-K'!N21</f>
        <v>119.01171904157647</v>
      </c>
      <c r="E22" s="51">
        <f>'Rådata-K'!O21</f>
        <v>0.24232507402212877</v>
      </c>
      <c r="F22" s="51">
        <f>'Rådata-K'!P21</f>
        <v>0.11678374310085299</v>
      </c>
      <c r="G22" s="51">
        <f>'Rådata-K'!Q21</f>
        <v>0.12173858504766684</v>
      </c>
      <c r="H22" s="51">
        <f>'Rådata-K'!R21</f>
        <v>0.65141187925998056</v>
      </c>
      <c r="I22" s="51">
        <f>'Rådata-K'!S21</f>
        <v>0.88765994361309908</v>
      </c>
      <c r="J22" s="52">
        <f>'Rådata-K'!K21</f>
        <v>405300</v>
      </c>
      <c r="K22" s="26">
        <f>Tabell2[[#This Row],[NIBR11]]</f>
        <v>1</v>
      </c>
      <c r="L22" s="52">
        <f>IF(Tabell2[[#This Row],[ReisetidOslo]]&lt;=C$434,C$434,IF(Tabell2[[#This Row],[ReisetidOslo]]&gt;=C$435,C$435,Tabell2[[#This Row],[ReisetidOslo]]))</f>
        <v>53.805284539509998</v>
      </c>
      <c r="M22" s="51">
        <f>IF(Tabell2[[#This Row],[Beftettotal]]&lt;=D$434,D$434,IF(Tabell2[[#This Row],[Beftettotal]]&gt;=D$435,D$435,Tabell2[[#This Row],[Beftettotal]]))</f>
        <v>119.01171904157647</v>
      </c>
      <c r="N22" s="51">
        <f>IF(Tabell2[[#This Row],[Befvekst10]]&lt;=E$434,E$434,IF(Tabell2[[#This Row],[Befvekst10]]&gt;=E$435,E$435,Tabell2[[#This Row],[Befvekst10]]))</f>
        <v>0.16633778614624492</v>
      </c>
      <c r="O22" s="51">
        <f>IF(Tabell2[[#This Row],[Kvinneandel]]&lt;=F$434,F$434,IF(Tabell2[[#This Row],[Kvinneandel]]&gt;=F$435,F$435,Tabell2[[#This Row],[Kvinneandel]]))</f>
        <v>0.11678374310085299</v>
      </c>
      <c r="P22" s="51">
        <f>IF(Tabell2[[#This Row],[Eldreandel]]&lt;=G$434,G$434,IF(Tabell2[[#This Row],[Eldreandel]]&gt;=G$435,G$435,Tabell2[[#This Row],[Eldreandel]]))</f>
        <v>0.12173858504766684</v>
      </c>
      <c r="Q22" s="51">
        <f>IF(Tabell2[[#This Row],[Sysselsettingsvekst10]]&lt;=H$434,H$434,IF(Tabell2[[#This Row],[Sysselsettingsvekst10]]&gt;=H$435,H$435,Tabell2[[#This Row],[Sysselsettingsvekst10]]))</f>
        <v>0.24286196513786068</v>
      </c>
      <c r="R22" s="51">
        <f>IF(Tabell2[[#This Row],[Yrkesaktivandel]]&lt;=I$434,I$434,IF(Tabell2[[#This Row],[Yrkesaktivandel]]&gt;=I$435,I$435,Tabell2[[#This Row],[Yrkesaktivandel]]))</f>
        <v>0.88765994361309908</v>
      </c>
      <c r="S22" s="52">
        <f>IF(Tabell2[[#This Row],[Inntekt]]&lt;=J$434,J$434,IF(Tabell2[[#This Row],[Inntekt]]&gt;=J$435,J$435,Tabell2[[#This Row],[Inntekt]]))</f>
        <v>400000</v>
      </c>
      <c r="T22" s="9">
        <f>IF(Tabell2[[#This Row],[NIBR11-T]]&lt;=K$437,100,IF(Tabell2[[#This Row],[NIBR11-T]]&gt;=K$436,0,100*(K$436-Tabell2[[#This Row],[NIBR11-T]])/K$439))</f>
        <v>100</v>
      </c>
      <c r="U22" s="9">
        <f>(L$436-Tabell2[[#This Row],[ReisetidOslo-T]])*100/L$439</f>
        <v>100</v>
      </c>
      <c r="V22" s="9">
        <f>100-(M$436-Tabell2[[#This Row],[Beftettotal-T]])*100/M$439</f>
        <v>92.685757789713961</v>
      </c>
      <c r="W22" s="9">
        <f>100-(N$436-Tabell2[[#This Row],[Befvekst10-T]])*100/N$439</f>
        <v>100</v>
      </c>
      <c r="X22" s="9">
        <f>100-(O$436-Tabell2[[#This Row],[Kvinneandel-T]])*100/O$439</f>
        <v>70.245653195074325</v>
      </c>
      <c r="Y22" s="9">
        <f>(P$436-Tabell2[[#This Row],[Eldreandel-T]])*100/P$439</f>
        <v>98.134222066654317</v>
      </c>
      <c r="Z22" s="9">
        <f>100-(Q$436-Tabell2[[#This Row],[Sysselsettingsvekst10-T]])*100/Q$439</f>
        <v>100</v>
      </c>
      <c r="AA22" s="9">
        <f>100-(R$436-Tabell2[[#This Row],[Yrkesaktivandel-T]])*100/R$439</f>
        <v>44.448480355346057</v>
      </c>
      <c r="AB22" s="9">
        <f>100-(S$436-Tabell2[[#This Row],[Inntekt-T]])*100/S$439</f>
        <v>100</v>
      </c>
      <c r="AC22" s="48">
        <f>Tabell2[[#This Row],[NIBR11-I]]*Vekter!$B$3</f>
        <v>20</v>
      </c>
      <c r="AD22" s="48">
        <f>Tabell2[[#This Row],[ReisetidOslo-I]]*Vekter!$C$3</f>
        <v>10</v>
      </c>
      <c r="AE22" s="48">
        <f>Tabell2[[#This Row],[Beftettotal-I]]*Vekter!$D$3</f>
        <v>9.2685757789713961</v>
      </c>
      <c r="AF22" s="48">
        <f>Tabell2[[#This Row],[Befvekst10-I]]*Vekter!$E$3</f>
        <v>20</v>
      </c>
      <c r="AG22" s="48">
        <f>Tabell2[[#This Row],[Kvinneandel-I]]*Vekter!$F$3</f>
        <v>3.5122826597537165</v>
      </c>
      <c r="AH22" s="48">
        <f>Tabell2[[#This Row],[Eldreandel-I]]*Vekter!$G$3</f>
        <v>4.9067111033327162</v>
      </c>
      <c r="AI22" s="48">
        <f>Tabell2[[#This Row],[Sysselsettingsvekst10-I]]*Vekter!$H$3</f>
        <v>10</v>
      </c>
      <c r="AJ22" s="48">
        <f>Tabell2[[#This Row],[Yrkesaktivandel-I]]*Vekter!$J$3</f>
        <v>4.4448480355346058</v>
      </c>
      <c r="AK22" s="48">
        <f>Tabell2[[#This Row],[Inntekt-I]]*Vekter!$L$3</f>
        <v>10</v>
      </c>
      <c r="AL22" s="37">
        <f>SUM(Tabell2[[#This Row],[NIBR11-v]:[Inntekt-v]])</f>
        <v>92.132417577592435</v>
      </c>
    </row>
    <row r="23" spans="1:38">
      <c r="A23" s="2" t="s">
        <v>20</v>
      </c>
      <c r="B23">
        <f>'Rådata-K'!M22</f>
        <v>1</v>
      </c>
      <c r="C23" s="9">
        <f>'Rådata-K'!L22</f>
        <v>22.093889002600001</v>
      </c>
      <c r="D23" s="51">
        <f>'Rådata-K'!N22</f>
        <v>178.46915966894218</v>
      </c>
      <c r="E23" s="51">
        <f>'Rådata-K'!O22</f>
        <v>0.11110275312170903</v>
      </c>
      <c r="F23" s="51">
        <f>'Rådata-K'!P22</f>
        <v>0.11776453862297745</v>
      </c>
      <c r="G23" s="51">
        <f>'Rådata-K'!Q22</f>
        <v>0.12934127682621352</v>
      </c>
      <c r="H23" s="51">
        <f>'Rådata-K'!R22</f>
        <v>0.2613215221910874</v>
      </c>
      <c r="I23" s="51">
        <f>'Rådata-K'!S22</f>
        <v>0.88869257950530034</v>
      </c>
      <c r="J23" s="52">
        <f>'Rådata-K'!K22</f>
        <v>421000</v>
      </c>
      <c r="K23" s="26">
        <f>Tabell2[[#This Row],[NIBR11]]</f>
        <v>1</v>
      </c>
      <c r="L23" s="52">
        <f>IF(Tabell2[[#This Row],[ReisetidOslo]]&lt;=C$434,C$434,IF(Tabell2[[#This Row],[ReisetidOslo]]&gt;=C$435,C$435,Tabell2[[#This Row],[ReisetidOslo]]))</f>
        <v>53.805284539509998</v>
      </c>
      <c r="M23" s="51">
        <f>IF(Tabell2[[#This Row],[Beftettotal]]&lt;=D$434,D$434,IF(Tabell2[[#This Row],[Beftettotal]]&gt;=D$435,D$435,Tabell2[[#This Row],[Beftettotal]]))</f>
        <v>128.29773514779066</v>
      </c>
      <c r="N23" s="51">
        <f>IF(Tabell2[[#This Row],[Befvekst10]]&lt;=E$434,E$434,IF(Tabell2[[#This Row],[Befvekst10]]&gt;=E$435,E$435,Tabell2[[#This Row],[Befvekst10]]))</f>
        <v>0.11110275312170903</v>
      </c>
      <c r="O23" s="51">
        <f>IF(Tabell2[[#This Row],[Kvinneandel]]&lt;=F$434,F$434,IF(Tabell2[[#This Row],[Kvinneandel]]&gt;=F$435,F$435,Tabell2[[#This Row],[Kvinneandel]]))</f>
        <v>0.11776453862297745</v>
      </c>
      <c r="P23" s="51">
        <f>IF(Tabell2[[#This Row],[Eldreandel]]&lt;=G$434,G$434,IF(Tabell2[[#This Row],[Eldreandel]]&gt;=G$435,G$435,Tabell2[[#This Row],[Eldreandel]]))</f>
        <v>0.12934127682621352</v>
      </c>
      <c r="Q23" s="51">
        <f>IF(Tabell2[[#This Row],[Sysselsettingsvekst10]]&lt;=H$434,H$434,IF(Tabell2[[#This Row],[Sysselsettingsvekst10]]&gt;=H$435,H$435,Tabell2[[#This Row],[Sysselsettingsvekst10]]))</f>
        <v>0.24286196513786068</v>
      </c>
      <c r="R23" s="51">
        <f>IF(Tabell2[[#This Row],[Yrkesaktivandel]]&lt;=I$434,I$434,IF(Tabell2[[#This Row],[Yrkesaktivandel]]&gt;=I$435,I$435,Tabell2[[#This Row],[Yrkesaktivandel]]))</f>
        <v>0.88869257950530034</v>
      </c>
      <c r="S23" s="52">
        <f>IF(Tabell2[[#This Row],[Inntekt]]&lt;=J$434,J$434,IF(Tabell2[[#This Row],[Inntekt]]&gt;=J$435,J$435,Tabell2[[#This Row],[Inntekt]]))</f>
        <v>400000</v>
      </c>
      <c r="T23" s="9">
        <f>IF(Tabell2[[#This Row],[NIBR11-T]]&lt;=K$437,100,IF(Tabell2[[#This Row],[NIBR11-T]]&gt;=K$436,0,100*(K$436-Tabell2[[#This Row],[NIBR11-T]])/K$439))</f>
        <v>100</v>
      </c>
      <c r="U23" s="9">
        <f>(L$436-Tabell2[[#This Row],[ReisetidOslo-T]])*100/L$439</f>
        <v>100</v>
      </c>
      <c r="V23" s="9">
        <f>100-(M$436-Tabell2[[#This Row],[Beftettotal-T]])*100/M$439</f>
        <v>100</v>
      </c>
      <c r="W23" s="9">
        <f>100-(N$436-Tabell2[[#This Row],[Befvekst10-T]])*100/N$439</f>
        <v>77.648827514799848</v>
      </c>
      <c r="X23" s="9">
        <f>100-(O$436-Tabell2[[#This Row],[Kvinneandel-T]])*100/O$439</f>
        <v>72.843484123348844</v>
      </c>
      <c r="Y23" s="9">
        <f>(P$436-Tabell2[[#This Row],[Eldreandel-T]])*100/P$439</f>
        <v>89.515153338172865</v>
      </c>
      <c r="Z23" s="9">
        <f>100-(Q$436-Tabell2[[#This Row],[Sysselsettingsvekst10-T]])*100/Q$439</f>
        <v>100</v>
      </c>
      <c r="AA23" s="9">
        <f>100-(R$436-Tabell2[[#This Row],[Yrkesaktivandel-T]])*100/R$439</f>
        <v>45.218285360379376</v>
      </c>
      <c r="AB23" s="9">
        <f>100-(S$436-Tabell2[[#This Row],[Inntekt-T]])*100/S$439</f>
        <v>100</v>
      </c>
      <c r="AC23" s="48">
        <f>Tabell2[[#This Row],[NIBR11-I]]*Vekter!$B$3</f>
        <v>20</v>
      </c>
      <c r="AD23" s="48">
        <f>Tabell2[[#This Row],[ReisetidOslo-I]]*Vekter!$C$3</f>
        <v>10</v>
      </c>
      <c r="AE23" s="48">
        <f>Tabell2[[#This Row],[Beftettotal-I]]*Vekter!$D$3</f>
        <v>10</v>
      </c>
      <c r="AF23" s="48">
        <f>Tabell2[[#This Row],[Befvekst10-I]]*Vekter!$E$3</f>
        <v>15.52976550295997</v>
      </c>
      <c r="AG23" s="48">
        <f>Tabell2[[#This Row],[Kvinneandel-I]]*Vekter!$F$3</f>
        <v>3.6421742061674425</v>
      </c>
      <c r="AH23" s="48">
        <f>Tabell2[[#This Row],[Eldreandel-I]]*Vekter!$G$3</f>
        <v>4.4757576669086436</v>
      </c>
      <c r="AI23" s="48">
        <f>Tabell2[[#This Row],[Sysselsettingsvekst10-I]]*Vekter!$H$3</f>
        <v>10</v>
      </c>
      <c r="AJ23" s="48">
        <f>Tabell2[[#This Row],[Yrkesaktivandel-I]]*Vekter!$J$3</f>
        <v>4.5218285360379378</v>
      </c>
      <c r="AK23" s="48">
        <f>Tabell2[[#This Row],[Inntekt-I]]*Vekter!$L$3</f>
        <v>10</v>
      </c>
      <c r="AL23" s="37">
        <f>SUM(Tabell2[[#This Row],[NIBR11-v]:[Inntekt-v]])</f>
        <v>88.169525912073993</v>
      </c>
    </row>
    <row r="24" spans="1:38">
      <c r="A24" s="2" t="s">
        <v>21</v>
      </c>
      <c r="B24">
        <f>'Rådata-K'!M23</f>
        <v>1</v>
      </c>
      <c r="C24" s="9">
        <f>'Rådata-K'!L23</f>
        <v>27.831666064899999</v>
      </c>
      <c r="D24" s="51">
        <f>'Rådata-K'!N23</f>
        <v>174.2870999030068</v>
      </c>
      <c r="E24" s="51">
        <f>'Rådata-K'!O23</f>
        <v>0.25455560985826997</v>
      </c>
      <c r="F24" s="51">
        <f>'Rådata-K'!P23</f>
        <v>0.13545550670599366</v>
      </c>
      <c r="G24" s="51">
        <f>'Rådata-K'!Q23</f>
        <v>0.12009572040736824</v>
      </c>
      <c r="H24" s="51">
        <f>'Rådata-K'!R23</f>
        <v>0.24178169916038139</v>
      </c>
      <c r="I24" s="51">
        <f>'Rådata-K'!S23</f>
        <v>0.8621744369264992</v>
      </c>
      <c r="J24" s="52">
        <f>'Rådata-K'!K23</f>
        <v>384000</v>
      </c>
      <c r="K24" s="26">
        <f>Tabell2[[#This Row],[NIBR11]]</f>
        <v>1</v>
      </c>
      <c r="L24" s="52">
        <f>IF(Tabell2[[#This Row],[ReisetidOslo]]&lt;=C$434,C$434,IF(Tabell2[[#This Row],[ReisetidOslo]]&gt;=C$435,C$435,Tabell2[[#This Row],[ReisetidOslo]]))</f>
        <v>53.805284539509998</v>
      </c>
      <c r="M24" s="51">
        <f>IF(Tabell2[[#This Row],[Beftettotal]]&lt;=D$434,D$434,IF(Tabell2[[#This Row],[Beftettotal]]&gt;=D$435,D$435,Tabell2[[#This Row],[Beftettotal]]))</f>
        <v>128.29773514779066</v>
      </c>
      <c r="N24" s="51">
        <f>IF(Tabell2[[#This Row],[Befvekst10]]&lt;=E$434,E$434,IF(Tabell2[[#This Row],[Befvekst10]]&gt;=E$435,E$435,Tabell2[[#This Row],[Befvekst10]]))</f>
        <v>0.16633778614624492</v>
      </c>
      <c r="O24" s="51">
        <f>IF(Tabell2[[#This Row],[Kvinneandel]]&lt;=F$434,F$434,IF(Tabell2[[#This Row],[Kvinneandel]]&gt;=F$435,F$435,Tabell2[[#This Row],[Kvinneandel]]))</f>
        <v>0.12801731869362362</v>
      </c>
      <c r="P24" s="51">
        <f>IF(Tabell2[[#This Row],[Eldreandel]]&lt;=G$434,G$434,IF(Tabell2[[#This Row],[Eldreandel]]&gt;=G$435,G$435,Tabell2[[#This Row],[Eldreandel]]))</f>
        <v>0.12009572040736824</v>
      </c>
      <c r="Q24" s="51">
        <f>IF(Tabell2[[#This Row],[Sysselsettingsvekst10]]&lt;=H$434,H$434,IF(Tabell2[[#This Row],[Sysselsettingsvekst10]]&gt;=H$435,H$435,Tabell2[[#This Row],[Sysselsettingsvekst10]]))</f>
        <v>0.24178169916038139</v>
      </c>
      <c r="R24" s="51">
        <f>IF(Tabell2[[#This Row],[Yrkesaktivandel]]&lt;=I$434,I$434,IF(Tabell2[[#This Row],[Yrkesaktivandel]]&gt;=I$435,I$435,Tabell2[[#This Row],[Yrkesaktivandel]]))</f>
        <v>0.8621744369264992</v>
      </c>
      <c r="S24" s="52">
        <f>IF(Tabell2[[#This Row],[Inntekt]]&lt;=J$434,J$434,IF(Tabell2[[#This Row],[Inntekt]]&gt;=J$435,J$435,Tabell2[[#This Row],[Inntekt]]))</f>
        <v>384000</v>
      </c>
      <c r="T24" s="9">
        <f>IF(Tabell2[[#This Row],[NIBR11-T]]&lt;=K$437,100,IF(Tabell2[[#This Row],[NIBR11-T]]&gt;=K$436,0,100*(K$436-Tabell2[[#This Row],[NIBR11-T]])/K$439))</f>
        <v>100</v>
      </c>
      <c r="U24" s="9">
        <f>(L$436-Tabell2[[#This Row],[ReisetidOslo-T]])*100/L$439</f>
        <v>100</v>
      </c>
      <c r="V24" s="9">
        <f>100-(M$436-Tabell2[[#This Row],[Beftettotal-T]])*100/M$439</f>
        <v>100</v>
      </c>
      <c r="W24" s="9">
        <f>100-(N$436-Tabell2[[#This Row],[Befvekst10-T]])*100/N$439</f>
        <v>100</v>
      </c>
      <c r="X24" s="9">
        <f>100-(O$436-Tabell2[[#This Row],[Kvinneandel-T]])*100/O$439</f>
        <v>100</v>
      </c>
      <c r="Y24" s="9">
        <f>(P$436-Tabell2[[#This Row],[Eldreandel-T]])*100/P$439</f>
        <v>99.996715464884971</v>
      </c>
      <c r="Z24" s="9">
        <f>100-(Q$436-Tabell2[[#This Row],[Sysselsettingsvekst10-T]])*100/Q$439</f>
        <v>99.653265767630018</v>
      </c>
      <c r="AA24" s="9">
        <f>100-(R$436-Tabell2[[#This Row],[Yrkesaktivandel-T]])*100/R$439</f>
        <v>25.449653420003486</v>
      </c>
      <c r="AB24" s="9">
        <f>100-(S$436-Tabell2[[#This Row],[Inntekt-T]])*100/S$439</f>
        <v>79.881805607946688</v>
      </c>
      <c r="AC24" s="48">
        <f>Tabell2[[#This Row],[NIBR11-I]]*Vekter!$B$3</f>
        <v>20</v>
      </c>
      <c r="AD24" s="48">
        <f>Tabell2[[#This Row],[ReisetidOslo-I]]*Vekter!$C$3</f>
        <v>10</v>
      </c>
      <c r="AE24" s="48">
        <f>Tabell2[[#This Row],[Beftettotal-I]]*Vekter!$D$3</f>
        <v>10</v>
      </c>
      <c r="AF24" s="48">
        <f>Tabell2[[#This Row],[Befvekst10-I]]*Vekter!$E$3</f>
        <v>20</v>
      </c>
      <c r="AG24" s="48">
        <f>Tabell2[[#This Row],[Kvinneandel-I]]*Vekter!$F$3</f>
        <v>5</v>
      </c>
      <c r="AH24" s="48">
        <f>Tabell2[[#This Row],[Eldreandel-I]]*Vekter!$G$3</f>
        <v>4.9998357732442491</v>
      </c>
      <c r="AI24" s="48">
        <f>Tabell2[[#This Row],[Sysselsettingsvekst10-I]]*Vekter!$H$3</f>
        <v>9.9653265767630028</v>
      </c>
      <c r="AJ24" s="48">
        <f>Tabell2[[#This Row],[Yrkesaktivandel-I]]*Vekter!$J$3</f>
        <v>2.5449653420003489</v>
      </c>
      <c r="AK24" s="48">
        <f>Tabell2[[#This Row],[Inntekt-I]]*Vekter!$L$3</f>
        <v>7.9881805607946692</v>
      </c>
      <c r="AL24" s="37">
        <f>SUM(Tabell2[[#This Row],[NIBR11-v]:[Inntekt-v]])</f>
        <v>90.498308252802275</v>
      </c>
    </row>
    <row r="25" spans="1:38">
      <c r="A25" s="2" t="s">
        <v>22</v>
      </c>
      <c r="B25">
        <f>'Rådata-K'!M24</f>
        <v>1</v>
      </c>
      <c r="C25" s="9">
        <f>'Rådata-K'!L24</f>
        <v>30.311343656599998</v>
      </c>
      <c r="D25" s="51">
        <f>'Rådata-K'!N24</f>
        <v>182.85880980163361</v>
      </c>
      <c r="E25" s="51">
        <f>'Rådata-K'!O24</f>
        <v>0.19143921538812436</v>
      </c>
      <c r="F25" s="51">
        <f>'Rådata-K'!P24</f>
        <v>0.10273754068023738</v>
      </c>
      <c r="G25" s="51">
        <f>'Rådata-K'!Q24</f>
        <v>0.14734222449109821</v>
      </c>
      <c r="H25" s="51">
        <f>'Rådata-K'!R24</f>
        <v>0.19674355495251028</v>
      </c>
      <c r="I25" s="51">
        <f>'Rådata-K'!S24</f>
        <v>0.90215089713585195</v>
      </c>
      <c r="J25" s="52">
        <f>'Rådata-K'!K24</f>
        <v>448000</v>
      </c>
      <c r="K25" s="26">
        <f>Tabell2[[#This Row],[NIBR11]]</f>
        <v>1</v>
      </c>
      <c r="L25" s="52">
        <f>IF(Tabell2[[#This Row],[ReisetidOslo]]&lt;=C$434,C$434,IF(Tabell2[[#This Row],[ReisetidOslo]]&gt;=C$435,C$435,Tabell2[[#This Row],[ReisetidOslo]]))</f>
        <v>53.805284539509998</v>
      </c>
      <c r="M25" s="51">
        <f>IF(Tabell2[[#This Row],[Beftettotal]]&lt;=D$434,D$434,IF(Tabell2[[#This Row],[Beftettotal]]&gt;=D$435,D$435,Tabell2[[#This Row],[Beftettotal]]))</f>
        <v>128.29773514779066</v>
      </c>
      <c r="N25" s="51">
        <f>IF(Tabell2[[#This Row],[Befvekst10]]&lt;=E$434,E$434,IF(Tabell2[[#This Row],[Befvekst10]]&gt;=E$435,E$435,Tabell2[[#This Row],[Befvekst10]]))</f>
        <v>0.16633778614624492</v>
      </c>
      <c r="O25" s="51">
        <f>IF(Tabell2[[#This Row],[Kvinneandel]]&lt;=F$434,F$434,IF(Tabell2[[#This Row],[Kvinneandel]]&gt;=F$435,F$435,Tabell2[[#This Row],[Kvinneandel]]))</f>
        <v>0.10273754068023738</v>
      </c>
      <c r="P25" s="51">
        <f>IF(Tabell2[[#This Row],[Eldreandel]]&lt;=G$434,G$434,IF(Tabell2[[#This Row],[Eldreandel]]&gt;=G$435,G$435,Tabell2[[#This Row],[Eldreandel]]))</f>
        <v>0.14734222449109821</v>
      </c>
      <c r="Q25" s="51">
        <f>IF(Tabell2[[#This Row],[Sysselsettingsvekst10]]&lt;=H$434,H$434,IF(Tabell2[[#This Row],[Sysselsettingsvekst10]]&gt;=H$435,H$435,Tabell2[[#This Row],[Sysselsettingsvekst10]]))</f>
        <v>0.19674355495251028</v>
      </c>
      <c r="R25" s="51">
        <f>IF(Tabell2[[#This Row],[Yrkesaktivandel]]&lt;=I$434,I$434,IF(Tabell2[[#This Row],[Yrkesaktivandel]]&gt;=I$435,I$435,Tabell2[[#This Row],[Yrkesaktivandel]]))</f>
        <v>0.90215089713585195</v>
      </c>
      <c r="S25" s="52">
        <f>IF(Tabell2[[#This Row],[Inntekt]]&lt;=J$434,J$434,IF(Tabell2[[#This Row],[Inntekt]]&gt;=J$435,J$435,Tabell2[[#This Row],[Inntekt]]))</f>
        <v>400000</v>
      </c>
      <c r="T25" s="9">
        <f>IF(Tabell2[[#This Row],[NIBR11-T]]&lt;=K$437,100,IF(Tabell2[[#This Row],[NIBR11-T]]&gt;=K$436,0,100*(K$436-Tabell2[[#This Row],[NIBR11-T]])/K$439))</f>
        <v>100</v>
      </c>
      <c r="U25" s="9">
        <f>(L$436-Tabell2[[#This Row],[ReisetidOslo-T]])*100/L$439</f>
        <v>100</v>
      </c>
      <c r="V25" s="9">
        <f>100-(M$436-Tabell2[[#This Row],[Beftettotal-T]])*100/M$439</f>
        <v>100</v>
      </c>
      <c r="W25" s="9">
        <f>100-(N$436-Tabell2[[#This Row],[Befvekst10-T]])*100/N$439</f>
        <v>100</v>
      </c>
      <c r="X25" s="9">
        <f>100-(O$436-Tabell2[[#This Row],[Kvinneandel-T]])*100/O$439</f>
        <v>33.041507937517522</v>
      </c>
      <c r="Y25" s="9">
        <f>(P$436-Tabell2[[#This Row],[Eldreandel-T]])*100/P$439</f>
        <v>69.107722704295725</v>
      </c>
      <c r="Z25" s="9">
        <f>100-(Q$436-Tabell2[[#This Row],[Sysselsettingsvekst10-T]])*100/Q$439</f>
        <v>85.197320023856989</v>
      </c>
      <c r="AA25" s="9">
        <f>100-(R$436-Tabell2[[#This Row],[Yrkesaktivandel-T]])*100/R$439</f>
        <v>55.25113464401403</v>
      </c>
      <c r="AB25" s="9">
        <f>100-(S$436-Tabell2[[#This Row],[Inntekt-T]])*100/S$439</f>
        <v>100</v>
      </c>
      <c r="AC25" s="48">
        <f>Tabell2[[#This Row],[NIBR11-I]]*Vekter!$B$3</f>
        <v>20</v>
      </c>
      <c r="AD25" s="48">
        <f>Tabell2[[#This Row],[ReisetidOslo-I]]*Vekter!$C$3</f>
        <v>10</v>
      </c>
      <c r="AE25" s="48">
        <f>Tabell2[[#This Row],[Beftettotal-I]]*Vekter!$D$3</f>
        <v>10</v>
      </c>
      <c r="AF25" s="48">
        <f>Tabell2[[#This Row],[Befvekst10-I]]*Vekter!$E$3</f>
        <v>20</v>
      </c>
      <c r="AG25" s="48">
        <f>Tabell2[[#This Row],[Kvinneandel-I]]*Vekter!$F$3</f>
        <v>1.6520753968758761</v>
      </c>
      <c r="AH25" s="48">
        <f>Tabell2[[#This Row],[Eldreandel-I]]*Vekter!$G$3</f>
        <v>3.4553861352147863</v>
      </c>
      <c r="AI25" s="48">
        <f>Tabell2[[#This Row],[Sysselsettingsvekst10-I]]*Vekter!$H$3</f>
        <v>8.5197320023856999</v>
      </c>
      <c r="AJ25" s="48">
        <f>Tabell2[[#This Row],[Yrkesaktivandel-I]]*Vekter!$J$3</f>
        <v>5.5251134644014037</v>
      </c>
      <c r="AK25" s="48">
        <f>Tabell2[[#This Row],[Inntekt-I]]*Vekter!$L$3</f>
        <v>10</v>
      </c>
      <c r="AL25" s="37">
        <f>SUM(Tabell2[[#This Row],[NIBR11-v]:[Inntekt-v]])</f>
        <v>89.152306998877748</v>
      </c>
    </row>
    <row r="26" spans="1:38">
      <c r="A26" s="2" t="s">
        <v>23</v>
      </c>
      <c r="B26">
        <f>'Rådata-K'!M25</f>
        <v>1</v>
      </c>
      <c r="C26" s="9">
        <f>'Rådata-K'!L25</f>
        <v>41.235457695400001</v>
      </c>
      <c r="D26" s="51">
        <f>'Rådata-K'!N25</f>
        <v>297.70582492678164</v>
      </c>
      <c r="E26" s="51">
        <f>'Rådata-K'!O25</f>
        <v>0.13829787234042556</v>
      </c>
      <c r="F26" s="51">
        <f>'Rådata-K'!P25</f>
        <v>0.11122041864786578</v>
      </c>
      <c r="G26" s="51">
        <f>'Rådata-K'!Q25</f>
        <v>0.11734164070612668</v>
      </c>
      <c r="H26" s="51">
        <f>'Rådata-K'!R25</f>
        <v>0.13773060399292403</v>
      </c>
      <c r="I26" s="51">
        <f>'Rådata-K'!S25</f>
        <v>0.86616302928558109</v>
      </c>
      <c r="J26" s="52">
        <f>'Rådata-K'!K25</f>
        <v>419100</v>
      </c>
      <c r="K26" s="26">
        <f>Tabell2[[#This Row],[NIBR11]]</f>
        <v>1</v>
      </c>
      <c r="L26" s="52">
        <f>IF(Tabell2[[#This Row],[ReisetidOslo]]&lt;=C$434,C$434,IF(Tabell2[[#This Row],[ReisetidOslo]]&gt;=C$435,C$435,Tabell2[[#This Row],[ReisetidOslo]]))</f>
        <v>53.805284539509998</v>
      </c>
      <c r="M26" s="51">
        <f>IF(Tabell2[[#This Row],[Beftettotal]]&lt;=D$434,D$434,IF(Tabell2[[#This Row],[Beftettotal]]&gt;=D$435,D$435,Tabell2[[#This Row],[Beftettotal]]))</f>
        <v>128.29773514779066</v>
      </c>
      <c r="N26" s="51">
        <f>IF(Tabell2[[#This Row],[Befvekst10]]&lt;=E$434,E$434,IF(Tabell2[[#This Row],[Befvekst10]]&gt;=E$435,E$435,Tabell2[[#This Row],[Befvekst10]]))</f>
        <v>0.13829787234042556</v>
      </c>
      <c r="O26" s="51">
        <f>IF(Tabell2[[#This Row],[Kvinneandel]]&lt;=F$434,F$434,IF(Tabell2[[#This Row],[Kvinneandel]]&gt;=F$435,F$435,Tabell2[[#This Row],[Kvinneandel]]))</f>
        <v>0.11122041864786578</v>
      </c>
      <c r="P26" s="51">
        <f>IF(Tabell2[[#This Row],[Eldreandel]]&lt;=G$434,G$434,IF(Tabell2[[#This Row],[Eldreandel]]&gt;=G$435,G$435,Tabell2[[#This Row],[Eldreandel]]))</f>
        <v>0.1200928231908705</v>
      </c>
      <c r="Q26" s="51">
        <f>IF(Tabell2[[#This Row],[Sysselsettingsvekst10]]&lt;=H$434,H$434,IF(Tabell2[[#This Row],[Sysselsettingsvekst10]]&gt;=H$435,H$435,Tabell2[[#This Row],[Sysselsettingsvekst10]]))</f>
        <v>0.13773060399292403</v>
      </c>
      <c r="R26" s="51">
        <f>IF(Tabell2[[#This Row],[Yrkesaktivandel]]&lt;=I$434,I$434,IF(Tabell2[[#This Row],[Yrkesaktivandel]]&gt;=I$435,I$435,Tabell2[[#This Row],[Yrkesaktivandel]]))</f>
        <v>0.86616302928558109</v>
      </c>
      <c r="S26" s="52">
        <f>IF(Tabell2[[#This Row],[Inntekt]]&lt;=J$434,J$434,IF(Tabell2[[#This Row],[Inntekt]]&gt;=J$435,J$435,Tabell2[[#This Row],[Inntekt]]))</f>
        <v>400000</v>
      </c>
      <c r="T26" s="9">
        <f>IF(Tabell2[[#This Row],[NIBR11-T]]&lt;=K$437,100,IF(Tabell2[[#This Row],[NIBR11-T]]&gt;=K$436,0,100*(K$436-Tabell2[[#This Row],[NIBR11-T]])/K$439))</f>
        <v>100</v>
      </c>
      <c r="U26" s="9">
        <f>(L$436-Tabell2[[#This Row],[ReisetidOslo-T]])*100/L$439</f>
        <v>100</v>
      </c>
      <c r="V26" s="9">
        <f>100-(M$436-Tabell2[[#This Row],[Beftettotal-T]])*100/M$439</f>
        <v>100</v>
      </c>
      <c r="W26" s="9">
        <f>100-(N$436-Tabell2[[#This Row],[Befvekst10-T]])*100/N$439</f>
        <v>88.653488273183129</v>
      </c>
      <c r="X26" s="9">
        <f>100-(O$436-Tabell2[[#This Row],[Kvinneandel-T]])*100/O$439</f>
        <v>55.510088031918812</v>
      </c>
      <c r="Y26" s="9">
        <f>(P$436-Tabell2[[#This Row],[Eldreandel-T]])*100/P$439</f>
        <v>100.00000000000001</v>
      </c>
      <c r="Z26" s="9">
        <f>100-(Q$436-Tabell2[[#This Row],[Sysselsettingsvekst10-T]])*100/Q$439</f>
        <v>66.255864236639468</v>
      </c>
      <c r="AA26" s="9">
        <f>100-(R$436-Tabell2[[#This Row],[Yrkesaktivandel-T]])*100/R$439</f>
        <v>28.423052257142174</v>
      </c>
      <c r="AB26" s="9">
        <f>100-(S$436-Tabell2[[#This Row],[Inntekt-T]])*100/S$439</f>
        <v>100</v>
      </c>
      <c r="AC26" s="48">
        <f>Tabell2[[#This Row],[NIBR11-I]]*Vekter!$B$3</f>
        <v>20</v>
      </c>
      <c r="AD26" s="48">
        <f>Tabell2[[#This Row],[ReisetidOslo-I]]*Vekter!$C$3</f>
        <v>10</v>
      </c>
      <c r="AE26" s="48">
        <f>Tabell2[[#This Row],[Beftettotal-I]]*Vekter!$D$3</f>
        <v>10</v>
      </c>
      <c r="AF26" s="48">
        <f>Tabell2[[#This Row],[Befvekst10-I]]*Vekter!$E$3</f>
        <v>17.730697654636625</v>
      </c>
      <c r="AG26" s="48">
        <f>Tabell2[[#This Row],[Kvinneandel-I]]*Vekter!$F$3</f>
        <v>2.7755044015959407</v>
      </c>
      <c r="AH26" s="48">
        <f>Tabell2[[#This Row],[Eldreandel-I]]*Vekter!$G$3</f>
        <v>5.0000000000000009</v>
      </c>
      <c r="AI26" s="48">
        <f>Tabell2[[#This Row],[Sysselsettingsvekst10-I]]*Vekter!$H$3</f>
        <v>6.6255864236639468</v>
      </c>
      <c r="AJ26" s="48">
        <f>Tabell2[[#This Row],[Yrkesaktivandel-I]]*Vekter!$J$3</f>
        <v>2.8423052257142176</v>
      </c>
      <c r="AK26" s="48">
        <f>Tabell2[[#This Row],[Inntekt-I]]*Vekter!$L$3</f>
        <v>10</v>
      </c>
      <c r="AL26" s="37">
        <f>SUM(Tabell2[[#This Row],[NIBR11-v]:[Inntekt-v]])</f>
        <v>84.974093705610727</v>
      </c>
    </row>
    <row r="27" spans="1:38">
      <c r="A27" s="2" t="s">
        <v>24</v>
      </c>
      <c r="B27">
        <f>'Rådata-K'!M26</f>
        <v>1</v>
      </c>
      <c r="C27" s="9">
        <f>'Rådata-K'!L26</f>
        <v>13.6336217919</v>
      </c>
      <c r="D27" s="51">
        <f>'Rådata-K'!N26</f>
        <v>708.828293736501</v>
      </c>
      <c r="E27" s="51">
        <f>'Rådata-K'!O26</f>
        <v>0.12474831855374191</v>
      </c>
      <c r="F27" s="51">
        <f>'Rådata-K'!P26</f>
        <v>0.10721767282422395</v>
      </c>
      <c r="G27" s="51">
        <f>'Rådata-K'!Q26</f>
        <v>0.14073509807655685</v>
      </c>
      <c r="H27" s="51">
        <f>'Rådata-K'!R26</f>
        <v>1.9338807260155466E-2</v>
      </c>
      <c r="I27" s="51">
        <f>'Rådata-K'!S26</f>
        <v>0.89729149906141059</v>
      </c>
      <c r="J27" s="52">
        <f>'Rådata-K'!K26</f>
        <v>471700</v>
      </c>
      <c r="K27" s="26">
        <f>Tabell2[[#This Row],[NIBR11]]</f>
        <v>1</v>
      </c>
      <c r="L27" s="52">
        <f>IF(Tabell2[[#This Row],[ReisetidOslo]]&lt;=C$434,C$434,IF(Tabell2[[#This Row],[ReisetidOslo]]&gt;=C$435,C$435,Tabell2[[#This Row],[ReisetidOslo]]))</f>
        <v>53.805284539509998</v>
      </c>
      <c r="M27" s="51">
        <f>IF(Tabell2[[#This Row],[Beftettotal]]&lt;=D$434,D$434,IF(Tabell2[[#This Row],[Beftettotal]]&gt;=D$435,D$435,Tabell2[[#This Row],[Beftettotal]]))</f>
        <v>128.29773514779066</v>
      </c>
      <c r="N27" s="51">
        <f>IF(Tabell2[[#This Row],[Befvekst10]]&lt;=E$434,E$434,IF(Tabell2[[#This Row],[Befvekst10]]&gt;=E$435,E$435,Tabell2[[#This Row],[Befvekst10]]))</f>
        <v>0.12474831855374191</v>
      </c>
      <c r="O27" s="51">
        <f>IF(Tabell2[[#This Row],[Kvinneandel]]&lt;=F$434,F$434,IF(Tabell2[[#This Row],[Kvinneandel]]&gt;=F$435,F$435,Tabell2[[#This Row],[Kvinneandel]]))</f>
        <v>0.10721767282422395</v>
      </c>
      <c r="P27" s="51">
        <f>IF(Tabell2[[#This Row],[Eldreandel]]&lt;=G$434,G$434,IF(Tabell2[[#This Row],[Eldreandel]]&gt;=G$435,G$435,Tabell2[[#This Row],[Eldreandel]]))</f>
        <v>0.14073509807655685</v>
      </c>
      <c r="Q27" s="51">
        <f>IF(Tabell2[[#This Row],[Sysselsettingsvekst10]]&lt;=H$434,H$434,IF(Tabell2[[#This Row],[Sysselsettingsvekst10]]&gt;=H$435,H$435,Tabell2[[#This Row],[Sysselsettingsvekst10]]))</f>
        <v>1.9338807260155466E-2</v>
      </c>
      <c r="R27" s="51">
        <f>IF(Tabell2[[#This Row],[Yrkesaktivandel]]&lt;=I$434,I$434,IF(Tabell2[[#This Row],[Yrkesaktivandel]]&gt;=I$435,I$435,Tabell2[[#This Row],[Yrkesaktivandel]]))</f>
        <v>0.89729149906141059</v>
      </c>
      <c r="S27" s="52">
        <f>IF(Tabell2[[#This Row],[Inntekt]]&lt;=J$434,J$434,IF(Tabell2[[#This Row],[Inntekt]]&gt;=J$435,J$435,Tabell2[[#This Row],[Inntekt]]))</f>
        <v>400000</v>
      </c>
      <c r="T27" s="9">
        <f>IF(Tabell2[[#This Row],[NIBR11-T]]&lt;=K$437,100,IF(Tabell2[[#This Row],[NIBR11-T]]&gt;=K$436,0,100*(K$436-Tabell2[[#This Row],[NIBR11-T]])/K$439))</f>
        <v>100</v>
      </c>
      <c r="U27" s="9">
        <f>(L$436-Tabell2[[#This Row],[ReisetidOslo-T]])*100/L$439</f>
        <v>100</v>
      </c>
      <c r="V27" s="9">
        <f>100-(M$436-Tabell2[[#This Row],[Beftettotal-T]])*100/M$439</f>
        <v>100</v>
      </c>
      <c r="W27" s="9">
        <f>100-(N$436-Tabell2[[#This Row],[Befvekst10-T]])*100/N$439</f>
        <v>83.170583725101565</v>
      </c>
      <c r="X27" s="9">
        <f>100-(O$436-Tabell2[[#This Row],[Kvinneandel-T]])*100/O$439</f>
        <v>44.908024029674245</v>
      </c>
      <c r="Y27" s="9">
        <f>(P$436-Tabell2[[#This Row],[Eldreandel-T]])*100/P$439</f>
        <v>76.598132459613126</v>
      </c>
      <c r="Z27" s="9">
        <f>100-(Q$436-Tabell2[[#This Row],[Sysselsettingsvekst10-T]])*100/Q$439</f>
        <v>28.255510976577668</v>
      </c>
      <c r="AA27" s="9">
        <f>100-(R$436-Tabell2[[#This Row],[Yrkesaktivandel-T]])*100/R$439</f>
        <v>51.628571272543333</v>
      </c>
      <c r="AB27" s="9">
        <f>100-(S$436-Tabell2[[#This Row],[Inntekt-T]])*100/S$439</f>
        <v>100</v>
      </c>
      <c r="AC27" s="48">
        <f>Tabell2[[#This Row],[NIBR11-I]]*Vekter!$B$3</f>
        <v>20</v>
      </c>
      <c r="AD27" s="48">
        <f>Tabell2[[#This Row],[ReisetidOslo-I]]*Vekter!$C$3</f>
        <v>10</v>
      </c>
      <c r="AE27" s="48">
        <f>Tabell2[[#This Row],[Beftettotal-I]]*Vekter!$D$3</f>
        <v>10</v>
      </c>
      <c r="AF27" s="48">
        <f>Tabell2[[#This Row],[Befvekst10-I]]*Vekter!$E$3</f>
        <v>16.634116745020314</v>
      </c>
      <c r="AG27" s="48">
        <f>Tabell2[[#This Row],[Kvinneandel-I]]*Vekter!$F$3</f>
        <v>2.2454012014837121</v>
      </c>
      <c r="AH27" s="48">
        <f>Tabell2[[#This Row],[Eldreandel-I]]*Vekter!$G$3</f>
        <v>3.8299066229806566</v>
      </c>
      <c r="AI27" s="48">
        <f>Tabell2[[#This Row],[Sysselsettingsvekst10-I]]*Vekter!$H$3</f>
        <v>2.8255510976577671</v>
      </c>
      <c r="AJ27" s="48">
        <f>Tabell2[[#This Row],[Yrkesaktivandel-I]]*Vekter!$J$3</f>
        <v>5.162857127254334</v>
      </c>
      <c r="AK27" s="48">
        <f>Tabell2[[#This Row],[Inntekt-I]]*Vekter!$L$3</f>
        <v>10</v>
      </c>
      <c r="AL27" s="37">
        <f>SUM(Tabell2[[#This Row],[NIBR11-v]:[Inntekt-v]])</f>
        <v>80.697832794396788</v>
      </c>
    </row>
    <row r="28" spans="1:38">
      <c r="A28" s="2" t="s">
        <v>25</v>
      </c>
      <c r="B28">
        <f>'Rådata-K'!M27</f>
        <v>1</v>
      </c>
      <c r="C28" s="9">
        <f>'Rådata-K'!L27</f>
        <v>12.6966354384</v>
      </c>
      <c r="D28" s="51">
        <f>'Rådata-K'!N27</f>
        <v>616.8105690211172</v>
      </c>
      <c r="E28" s="51">
        <f>'Rådata-K'!O27</f>
        <v>0.14785167403908517</v>
      </c>
      <c r="F28" s="51">
        <f>'Rådata-K'!P27</f>
        <v>0.11844368738826863</v>
      </c>
      <c r="G28" s="51">
        <f>'Rådata-K'!Q27</f>
        <v>0.13582318615711539</v>
      </c>
      <c r="H28" s="51">
        <f>'Rådata-K'!R27</f>
        <v>0.19901120856049581</v>
      </c>
      <c r="I28" s="51">
        <f>'Rådata-K'!S27</f>
        <v>0.8887080455725157</v>
      </c>
      <c r="J28" s="52">
        <f>'Rådata-K'!K27</f>
        <v>528500</v>
      </c>
      <c r="K28" s="26">
        <f>Tabell2[[#This Row],[NIBR11]]</f>
        <v>1</v>
      </c>
      <c r="L28" s="52">
        <f>IF(Tabell2[[#This Row],[ReisetidOslo]]&lt;=C$434,C$434,IF(Tabell2[[#This Row],[ReisetidOslo]]&gt;=C$435,C$435,Tabell2[[#This Row],[ReisetidOslo]]))</f>
        <v>53.805284539509998</v>
      </c>
      <c r="M28" s="51">
        <f>IF(Tabell2[[#This Row],[Beftettotal]]&lt;=D$434,D$434,IF(Tabell2[[#This Row],[Beftettotal]]&gt;=D$435,D$435,Tabell2[[#This Row],[Beftettotal]]))</f>
        <v>128.29773514779066</v>
      </c>
      <c r="N28" s="51">
        <f>IF(Tabell2[[#This Row],[Befvekst10]]&lt;=E$434,E$434,IF(Tabell2[[#This Row],[Befvekst10]]&gt;=E$435,E$435,Tabell2[[#This Row],[Befvekst10]]))</f>
        <v>0.14785167403908517</v>
      </c>
      <c r="O28" s="51">
        <f>IF(Tabell2[[#This Row],[Kvinneandel]]&lt;=F$434,F$434,IF(Tabell2[[#This Row],[Kvinneandel]]&gt;=F$435,F$435,Tabell2[[#This Row],[Kvinneandel]]))</f>
        <v>0.11844368738826863</v>
      </c>
      <c r="P28" s="51">
        <f>IF(Tabell2[[#This Row],[Eldreandel]]&lt;=G$434,G$434,IF(Tabell2[[#This Row],[Eldreandel]]&gt;=G$435,G$435,Tabell2[[#This Row],[Eldreandel]]))</f>
        <v>0.13582318615711539</v>
      </c>
      <c r="Q28" s="51">
        <f>IF(Tabell2[[#This Row],[Sysselsettingsvekst10]]&lt;=H$434,H$434,IF(Tabell2[[#This Row],[Sysselsettingsvekst10]]&gt;=H$435,H$435,Tabell2[[#This Row],[Sysselsettingsvekst10]]))</f>
        <v>0.19901120856049581</v>
      </c>
      <c r="R28" s="51">
        <f>IF(Tabell2[[#This Row],[Yrkesaktivandel]]&lt;=I$434,I$434,IF(Tabell2[[#This Row],[Yrkesaktivandel]]&gt;=I$435,I$435,Tabell2[[#This Row],[Yrkesaktivandel]]))</f>
        <v>0.8887080455725157</v>
      </c>
      <c r="S28" s="52">
        <f>IF(Tabell2[[#This Row],[Inntekt]]&lt;=J$434,J$434,IF(Tabell2[[#This Row],[Inntekt]]&gt;=J$435,J$435,Tabell2[[#This Row],[Inntekt]]))</f>
        <v>400000</v>
      </c>
      <c r="T28" s="9">
        <f>IF(Tabell2[[#This Row],[NIBR11-T]]&lt;=K$437,100,IF(Tabell2[[#This Row],[NIBR11-T]]&gt;=K$436,0,100*(K$436-Tabell2[[#This Row],[NIBR11-T]])/K$439))</f>
        <v>100</v>
      </c>
      <c r="U28" s="9">
        <f>(L$436-Tabell2[[#This Row],[ReisetidOslo-T]])*100/L$439</f>
        <v>100</v>
      </c>
      <c r="V28" s="9">
        <f>100-(M$436-Tabell2[[#This Row],[Beftettotal-T]])*100/M$439</f>
        <v>100</v>
      </c>
      <c r="W28" s="9">
        <f>100-(N$436-Tabell2[[#This Row],[Befvekst10-T]])*100/N$439</f>
        <v>92.519488852222949</v>
      </c>
      <c r="X28" s="9">
        <f>100-(O$436-Tabell2[[#This Row],[Kvinneandel-T]])*100/O$439</f>
        <v>74.642343954551251</v>
      </c>
      <c r="Y28" s="9">
        <f>(P$436-Tabell2[[#This Row],[Eldreandel-T]])*100/P$439</f>
        <v>82.166700495131494</v>
      </c>
      <c r="Z28" s="9">
        <f>100-(Q$436-Tabell2[[#This Row],[Sysselsettingsvekst10-T]])*100/Q$439</f>
        <v>85.925171450670021</v>
      </c>
      <c r="AA28" s="9">
        <f>100-(R$436-Tabell2[[#This Row],[Yrkesaktivandel-T]])*100/R$439</f>
        <v>45.229814938268824</v>
      </c>
      <c r="AB28" s="9">
        <f>100-(S$436-Tabell2[[#This Row],[Inntekt-T]])*100/S$439</f>
        <v>100</v>
      </c>
      <c r="AC28" s="48">
        <f>Tabell2[[#This Row],[NIBR11-I]]*Vekter!$B$3</f>
        <v>20</v>
      </c>
      <c r="AD28" s="48">
        <f>Tabell2[[#This Row],[ReisetidOslo-I]]*Vekter!$C$3</f>
        <v>10</v>
      </c>
      <c r="AE28" s="48">
        <f>Tabell2[[#This Row],[Beftettotal-I]]*Vekter!$D$3</f>
        <v>10</v>
      </c>
      <c r="AF28" s="48">
        <f>Tabell2[[#This Row],[Befvekst10-I]]*Vekter!$E$3</f>
        <v>18.503897770444592</v>
      </c>
      <c r="AG28" s="48">
        <f>Tabell2[[#This Row],[Kvinneandel-I]]*Vekter!$F$3</f>
        <v>3.7321171977275629</v>
      </c>
      <c r="AH28" s="48">
        <f>Tabell2[[#This Row],[Eldreandel-I]]*Vekter!$G$3</f>
        <v>4.1083350247565749</v>
      </c>
      <c r="AI28" s="48">
        <f>Tabell2[[#This Row],[Sysselsettingsvekst10-I]]*Vekter!$H$3</f>
        <v>8.5925171450670028</v>
      </c>
      <c r="AJ28" s="48">
        <f>Tabell2[[#This Row],[Yrkesaktivandel-I]]*Vekter!$J$3</f>
        <v>4.5229814938268822</v>
      </c>
      <c r="AK28" s="48">
        <f>Tabell2[[#This Row],[Inntekt-I]]*Vekter!$L$3</f>
        <v>10</v>
      </c>
      <c r="AL28" s="37">
        <f>SUM(Tabell2[[#This Row],[NIBR11-v]:[Inntekt-v]])</f>
        <v>89.459848631822609</v>
      </c>
    </row>
    <row r="29" spans="1:38">
      <c r="A29" s="2" t="s">
        <v>26</v>
      </c>
      <c r="B29">
        <f>'Rådata-K'!M28</f>
        <v>1</v>
      </c>
      <c r="C29" s="9">
        <f>'Rådata-K'!L28</f>
        <v>18.212478322500001</v>
      </c>
      <c r="D29" s="51">
        <f>'Rådata-K'!N28</f>
        <v>579.20969023034149</v>
      </c>
      <c r="E29" s="51">
        <f>'Rådata-K'!O28</f>
        <v>0.15176403229946112</v>
      </c>
      <c r="F29" s="51">
        <f>'Rådata-K'!P28</f>
        <v>0.11423086153107752</v>
      </c>
      <c r="G29" s="51">
        <f>'Rådata-K'!Q28</f>
        <v>0.13058383900716514</v>
      </c>
      <c r="H29" s="51">
        <f>'Rådata-K'!R28</f>
        <v>0.16404308202154105</v>
      </c>
      <c r="I29" s="51">
        <f>'Rådata-K'!S28</f>
        <v>0.89021622267351574</v>
      </c>
      <c r="J29" s="52">
        <f>'Rådata-K'!K28</f>
        <v>501900</v>
      </c>
      <c r="K29" s="26">
        <f>Tabell2[[#This Row],[NIBR11]]</f>
        <v>1</v>
      </c>
      <c r="L29" s="52">
        <f>IF(Tabell2[[#This Row],[ReisetidOslo]]&lt;=C$434,C$434,IF(Tabell2[[#This Row],[ReisetidOslo]]&gt;=C$435,C$435,Tabell2[[#This Row],[ReisetidOslo]]))</f>
        <v>53.805284539509998</v>
      </c>
      <c r="M29" s="51">
        <f>IF(Tabell2[[#This Row],[Beftettotal]]&lt;=D$434,D$434,IF(Tabell2[[#This Row],[Beftettotal]]&gt;=D$435,D$435,Tabell2[[#This Row],[Beftettotal]]))</f>
        <v>128.29773514779066</v>
      </c>
      <c r="N29" s="51">
        <f>IF(Tabell2[[#This Row],[Befvekst10]]&lt;=E$434,E$434,IF(Tabell2[[#This Row],[Befvekst10]]&gt;=E$435,E$435,Tabell2[[#This Row],[Befvekst10]]))</f>
        <v>0.15176403229946112</v>
      </c>
      <c r="O29" s="51">
        <f>IF(Tabell2[[#This Row],[Kvinneandel]]&lt;=F$434,F$434,IF(Tabell2[[#This Row],[Kvinneandel]]&gt;=F$435,F$435,Tabell2[[#This Row],[Kvinneandel]]))</f>
        <v>0.11423086153107752</v>
      </c>
      <c r="P29" s="51">
        <f>IF(Tabell2[[#This Row],[Eldreandel]]&lt;=G$434,G$434,IF(Tabell2[[#This Row],[Eldreandel]]&gt;=G$435,G$435,Tabell2[[#This Row],[Eldreandel]]))</f>
        <v>0.13058383900716514</v>
      </c>
      <c r="Q29" s="51">
        <f>IF(Tabell2[[#This Row],[Sysselsettingsvekst10]]&lt;=H$434,H$434,IF(Tabell2[[#This Row],[Sysselsettingsvekst10]]&gt;=H$435,H$435,Tabell2[[#This Row],[Sysselsettingsvekst10]]))</f>
        <v>0.16404308202154105</v>
      </c>
      <c r="R29" s="51">
        <f>IF(Tabell2[[#This Row],[Yrkesaktivandel]]&lt;=I$434,I$434,IF(Tabell2[[#This Row],[Yrkesaktivandel]]&gt;=I$435,I$435,Tabell2[[#This Row],[Yrkesaktivandel]]))</f>
        <v>0.89021622267351574</v>
      </c>
      <c r="S29" s="52">
        <f>IF(Tabell2[[#This Row],[Inntekt]]&lt;=J$434,J$434,IF(Tabell2[[#This Row],[Inntekt]]&gt;=J$435,J$435,Tabell2[[#This Row],[Inntekt]]))</f>
        <v>400000</v>
      </c>
      <c r="T29" s="9">
        <f>IF(Tabell2[[#This Row],[NIBR11-T]]&lt;=K$437,100,IF(Tabell2[[#This Row],[NIBR11-T]]&gt;=K$436,0,100*(K$436-Tabell2[[#This Row],[NIBR11-T]])/K$439))</f>
        <v>100</v>
      </c>
      <c r="U29" s="9">
        <f>(L$436-Tabell2[[#This Row],[ReisetidOslo-T]])*100/L$439</f>
        <v>100</v>
      </c>
      <c r="V29" s="9">
        <f>100-(M$436-Tabell2[[#This Row],[Beftettotal-T]])*100/M$439</f>
        <v>100</v>
      </c>
      <c r="W29" s="9">
        <f>100-(N$436-Tabell2[[#This Row],[Befvekst10-T]])*100/N$439</f>
        <v>94.102647031248864</v>
      </c>
      <c r="X29" s="9">
        <f>100-(O$436-Tabell2[[#This Row],[Kvinneandel-T]])*100/O$439</f>
        <v>63.483841432496604</v>
      </c>
      <c r="Y29" s="9">
        <f>(P$436-Tabell2[[#This Row],[Eldreandel-T]])*100/P$439</f>
        <v>88.10647741798698</v>
      </c>
      <c r="Z29" s="9">
        <f>100-(Q$436-Tabell2[[#This Row],[Sysselsettingsvekst10-T]])*100/Q$439</f>
        <v>74.701411038264382</v>
      </c>
      <c r="AA29" s="9">
        <f>100-(R$436-Tabell2[[#This Row],[Yrkesaktivandel-T]])*100/R$439</f>
        <v>46.354124377437728</v>
      </c>
      <c r="AB29" s="9">
        <f>100-(S$436-Tabell2[[#This Row],[Inntekt-T]])*100/S$439</f>
        <v>100</v>
      </c>
      <c r="AC29" s="48">
        <f>Tabell2[[#This Row],[NIBR11-I]]*Vekter!$B$3</f>
        <v>20</v>
      </c>
      <c r="AD29" s="48">
        <f>Tabell2[[#This Row],[ReisetidOslo-I]]*Vekter!$C$3</f>
        <v>10</v>
      </c>
      <c r="AE29" s="48">
        <f>Tabell2[[#This Row],[Beftettotal-I]]*Vekter!$D$3</f>
        <v>10</v>
      </c>
      <c r="AF29" s="48">
        <f>Tabell2[[#This Row],[Befvekst10-I]]*Vekter!$E$3</f>
        <v>18.820529406249772</v>
      </c>
      <c r="AG29" s="48">
        <f>Tabell2[[#This Row],[Kvinneandel-I]]*Vekter!$F$3</f>
        <v>3.1741920716248302</v>
      </c>
      <c r="AH29" s="48">
        <f>Tabell2[[#This Row],[Eldreandel-I]]*Vekter!$G$3</f>
        <v>4.4053238708993492</v>
      </c>
      <c r="AI29" s="48">
        <f>Tabell2[[#This Row],[Sysselsettingsvekst10-I]]*Vekter!$H$3</f>
        <v>7.4701411038264389</v>
      </c>
      <c r="AJ29" s="48">
        <f>Tabell2[[#This Row],[Yrkesaktivandel-I]]*Vekter!$J$3</f>
        <v>4.6354124377437733</v>
      </c>
      <c r="AK29" s="48">
        <f>Tabell2[[#This Row],[Inntekt-I]]*Vekter!$L$3</f>
        <v>10</v>
      </c>
      <c r="AL29" s="37">
        <f>SUM(Tabell2[[#This Row],[NIBR11-v]:[Inntekt-v]])</f>
        <v>88.50559889034416</v>
      </c>
    </row>
    <row r="30" spans="1:38">
      <c r="A30" s="2" t="s">
        <v>27</v>
      </c>
      <c r="B30">
        <f>'Rådata-K'!M29</f>
        <v>1</v>
      </c>
      <c r="C30" s="9">
        <f>'Rådata-K'!L29</f>
        <v>46.009666064900003</v>
      </c>
      <c r="D30" s="51">
        <f>'Rådata-K'!N29</f>
        <v>16.117962689516045</v>
      </c>
      <c r="E30" s="51">
        <f>'Rådata-K'!O29</f>
        <v>0.17433138874157139</v>
      </c>
      <c r="F30" s="51">
        <f>'Rådata-K'!P29</f>
        <v>0.11206451612903226</v>
      </c>
      <c r="G30" s="51">
        <f>'Rådata-K'!Q29</f>
        <v>0.15161290322580645</v>
      </c>
      <c r="H30" s="51">
        <f>'Rådata-K'!R29</f>
        <v>0.15691736304549675</v>
      </c>
      <c r="I30" s="51">
        <f>'Rådata-K'!S29</f>
        <v>0.87793218454697053</v>
      </c>
      <c r="J30" s="52">
        <f>'Rådata-K'!K29</f>
        <v>352600</v>
      </c>
      <c r="K30" s="26">
        <f>Tabell2[[#This Row],[NIBR11]]</f>
        <v>1</v>
      </c>
      <c r="L30" s="52">
        <f>IF(Tabell2[[#This Row],[ReisetidOslo]]&lt;=C$434,C$434,IF(Tabell2[[#This Row],[ReisetidOslo]]&gt;=C$435,C$435,Tabell2[[#This Row],[ReisetidOslo]]))</f>
        <v>53.805284539509998</v>
      </c>
      <c r="M30" s="51">
        <f>IF(Tabell2[[#This Row],[Beftettotal]]&lt;=D$434,D$434,IF(Tabell2[[#This Row],[Beftettotal]]&gt;=D$435,D$435,Tabell2[[#This Row],[Beftettotal]]))</f>
        <v>16.117962689516045</v>
      </c>
      <c r="N30" s="51">
        <f>IF(Tabell2[[#This Row],[Befvekst10]]&lt;=E$434,E$434,IF(Tabell2[[#This Row],[Befvekst10]]&gt;=E$435,E$435,Tabell2[[#This Row],[Befvekst10]]))</f>
        <v>0.16633778614624492</v>
      </c>
      <c r="O30" s="51">
        <f>IF(Tabell2[[#This Row],[Kvinneandel]]&lt;=F$434,F$434,IF(Tabell2[[#This Row],[Kvinneandel]]&gt;=F$435,F$435,Tabell2[[#This Row],[Kvinneandel]]))</f>
        <v>0.11206451612903226</v>
      </c>
      <c r="P30" s="51">
        <f>IF(Tabell2[[#This Row],[Eldreandel]]&lt;=G$434,G$434,IF(Tabell2[[#This Row],[Eldreandel]]&gt;=G$435,G$435,Tabell2[[#This Row],[Eldreandel]]))</f>
        <v>0.15161290322580645</v>
      </c>
      <c r="Q30" s="51">
        <f>IF(Tabell2[[#This Row],[Sysselsettingsvekst10]]&lt;=H$434,H$434,IF(Tabell2[[#This Row],[Sysselsettingsvekst10]]&gt;=H$435,H$435,Tabell2[[#This Row],[Sysselsettingsvekst10]]))</f>
        <v>0.15691736304549675</v>
      </c>
      <c r="R30" s="51">
        <f>IF(Tabell2[[#This Row],[Yrkesaktivandel]]&lt;=I$434,I$434,IF(Tabell2[[#This Row],[Yrkesaktivandel]]&gt;=I$435,I$435,Tabell2[[#This Row],[Yrkesaktivandel]]))</f>
        <v>0.87793218454697053</v>
      </c>
      <c r="S30" s="52">
        <f>IF(Tabell2[[#This Row],[Inntekt]]&lt;=J$434,J$434,IF(Tabell2[[#This Row],[Inntekt]]&gt;=J$435,J$435,Tabell2[[#This Row],[Inntekt]]))</f>
        <v>352600</v>
      </c>
      <c r="T30" s="9">
        <f>IF(Tabell2[[#This Row],[NIBR11-T]]&lt;=K$437,100,IF(Tabell2[[#This Row],[NIBR11-T]]&gt;=K$436,0,100*(K$436-Tabell2[[#This Row],[NIBR11-T]])/K$439))</f>
        <v>100</v>
      </c>
      <c r="U30" s="9">
        <f>(L$436-Tabell2[[#This Row],[ReisetidOslo-T]])*100/L$439</f>
        <v>100</v>
      </c>
      <c r="V30" s="9">
        <f>100-(M$436-Tabell2[[#This Row],[Beftettotal-T]])*100/M$439</f>
        <v>11.640253746112847</v>
      </c>
      <c r="W30" s="9">
        <f>100-(N$436-Tabell2[[#This Row],[Befvekst10-T]])*100/N$439</f>
        <v>100</v>
      </c>
      <c r="X30" s="9">
        <f>100-(O$436-Tabell2[[#This Row],[Kvinneandel-T]])*100/O$439</f>
        <v>57.745847161714927</v>
      </c>
      <c r="Y30" s="9">
        <f>(P$436-Tabell2[[#This Row],[Eldreandel-T]])*100/P$439</f>
        <v>64.266112047977501</v>
      </c>
      <c r="Z30" s="9">
        <f>100-(Q$436-Tabell2[[#This Row],[Sysselsettingsvekst10-T]])*100/Q$439</f>
        <v>72.414260696819625</v>
      </c>
      <c r="AA30" s="9">
        <f>100-(R$436-Tabell2[[#This Row],[Yrkesaktivandel-T]])*100/R$439</f>
        <v>37.196671975045689</v>
      </c>
      <c r="AB30" s="9">
        <f>100-(S$436-Tabell2[[#This Row],[Inntekt-T]])*100/S$439</f>
        <v>40.399849113542061</v>
      </c>
      <c r="AC30" s="48">
        <f>Tabell2[[#This Row],[NIBR11-I]]*Vekter!$B$3</f>
        <v>20</v>
      </c>
      <c r="AD30" s="48">
        <f>Tabell2[[#This Row],[ReisetidOslo-I]]*Vekter!$C$3</f>
        <v>10</v>
      </c>
      <c r="AE30" s="48">
        <f>Tabell2[[#This Row],[Beftettotal-I]]*Vekter!$D$3</f>
        <v>1.1640253746112847</v>
      </c>
      <c r="AF30" s="48">
        <f>Tabell2[[#This Row],[Befvekst10-I]]*Vekter!$E$3</f>
        <v>20</v>
      </c>
      <c r="AG30" s="48">
        <f>Tabell2[[#This Row],[Kvinneandel-I]]*Vekter!$F$3</f>
        <v>2.8872923580857464</v>
      </c>
      <c r="AH30" s="48">
        <f>Tabell2[[#This Row],[Eldreandel-I]]*Vekter!$G$3</f>
        <v>3.2133056023988753</v>
      </c>
      <c r="AI30" s="48">
        <f>Tabell2[[#This Row],[Sysselsettingsvekst10-I]]*Vekter!$H$3</f>
        <v>7.241426069681963</v>
      </c>
      <c r="AJ30" s="48">
        <f>Tabell2[[#This Row],[Yrkesaktivandel-I]]*Vekter!$J$3</f>
        <v>3.719667197504569</v>
      </c>
      <c r="AK30" s="48">
        <f>Tabell2[[#This Row],[Inntekt-I]]*Vekter!$L$3</f>
        <v>4.0399849113542059</v>
      </c>
      <c r="AL30" s="37">
        <f>SUM(Tabell2[[#This Row],[NIBR11-v]:[Inntekt-v]])</f>
        <v>72.265701513636643</v>
      </c>
    </row>
    <row r="31" spans="1:38">
      <c r="A31" s="2" t="s">
        <v>28</v>
      </c>
      <c r="B31">
        <f>'Rådata-K'!M30</f>
        <v>1</v>
      </c>
      <c r="C31" s="9">
        <f>'Rådata-K'!L30</f>
        <v>32.437829160100002</v>
      </c>
      <c r="D31" s="51">
        <f>'Rådata-K'!N30</f>
        <v>81.879779305004362</v>
      </c>
      <c r="E31" s="51">
        <f>'Rådata-K'!O30</f>
        <v>0.32503132832080195</v>
      </c>
      <c r="F31" s="51">
        <f>'Rådata-K'!P30</f>
        <v>0.12791110060290814</v>
      </c>
      <c r="G31" s="51">
        <f>'Rådata-K'!Q30</f>
        <v>0.1088781179808488</v>
      </c>
      <c r="H31" s="51">
        <f>'Rådata-K'!R30</f>
        <v>0.42467378410438905</v>
      </c>
      <c r="I31" s="51">
        <f>'Rådata-K'!S30</f>
        <v>0.87558335815708466</v>
      </c>
      <c r="J31" s="52">
        <f>'Rådata-K'!K30</f>
        <v>411600</v>
      </c>
      <c r="K31" s="26">
        <f>Tabell2[[#This Row],[NIBR11]]</f>
        <v>1</v>
      </c>
      <c r="L31" s="52">
        <f>IF(Tabell2[[#This Row],[ReisetidOslo]]&lt;=C$434,C$434,IF(Tabell2[[#This Row],[ReisetidOslo]]&gt;=C$435,C$435,Tabell2[[#This Row],[ReisetidOslo]]))</f>
        <v>53.805284539509998</v>
      </c>
      <c r="M31" s="51">
        <f>IF(Tabell2[[#This Row],[Beftettotal]]&lt;=D$434,D$434,IF(Tabell2[[#This Row],[Beftettotal]]&gt;=D$435,D$435,Tabell2[[#This Row],[Beftettotal]]))</f>
        <v>81.879779305004362</v>
      </c>
      <c r="N31" s="51">
        <f>IF(Tabell2[[#This Row],[Befvekst10]]&lt;=E$434,E$434,IF(Tabell2[[#This Row],[Befvekst10]]&gt;=E$435,E$435,Tabell2[[#This Row],[Befvekst10]]))</f>
        <v>0.16633778614624492</v>
      </c>
      <c r="O31" s="51">
        <f>IF(Tabell2[[#This Row],[Kvinneandel]]&lt;=F$434,F$434,IF(Tabell2[[#This Row],[Kvinneandel]]&gt;=F$435,F$435,Tabell2[[#This Row],[Kvinneandel]]))</f>
        <v>0.12791110060290814</v>
      </c>
      <c r="P31" s="51">
        <f>IF(Tabell2[[#This Row],[Eldreandel]]&lt;=G$434,G$434,IF(Tabell2[[#This Row],[Eldreandel]]&gt;=G$435,G$435,Tabell2[[#This Row],[Eldreandel]]))</f>
        <v>0.1200928231908705</v>
      </c>
      <c r="Q31" s="51">
        <f>IF(Tabell2[[#This Row],[Sysselsettingsvekst10]]&lt;=H$434,H$434,IF(Tabell2[[#This Row],[Sysselsettingsvekst10]]&gt;=H$435,H$435,Tabell2[[#This Row],[Sysselsettingsvekst10]]))</f>
        <v>0.24286196513786068</v>
      </c>
      <c r="R31" s="51">
        <f>IF(Tabell2[[#This Row],[Yrkesaktivandel]]&lt;=I$434,I$434,IF(Tabell2[[#This Row],[Yrkesaktivandel]]&gt;=I$435,I$435,Tabell2[[#This Row],[Yrkesaktivandel]]))</f>
        <v>0.87558335815708466</v>
      </c>
      <c r="S31" s="52">
        <f>IF(Tabell2[[#This Row],[Inntekt]]&lt;=J$434,J$434,IF(Tabell2[[#This Row],[Inntekt]]&gt;=J$435,J$435,Tabell2[[#This Row],[Inntekt]]))</f>
        <v>400000</v>
      </c>
      <c r="T31" s="9">
        <f>IF(Tabell2[[#This Row],[NIBR11-T]]&lt;=K$437,100,IF(Tabell2[[#This Row],[NIBR11-T]]&gt;=K$436,0,100*(K$436-Tabell2[[#This Row],[NIBR11-T]])/K$439))</f>
        <v>100</v>
      </c>
      <c r="U31" s="9">
        <f>(L$436-Tabell2[[#This Row],[ReisetidOslo-T]])*100/L$439</f>
        <v>100</v>
      </c>
      <c r="V31" s="9">
        <f>100-(M$436-Tabell2[[#This Row],[Beftettotal-T]])*100/M$439</f>
        <v>63.438339105044228</v>
      </c>
      <c r="W31" s="9">
        <f>100-(N$436-Tabell2[[#This Row],[Befvekst10-T]])*100/N$439</f>
        <v>100</v>
      </c>
      <c r="X31" s="9">
        <f>100-(O$436-Tabell2[[#This Row],[Kvinneandel-T]])*100/O$439</f>
        <v>99.718660378255748</v>
      </c>
      <c r="Y31" s="9">
        <f>(P$436-Tabell2[[#This Row],[Eldreandel-T]])*100/P$439</f>
        <v>100.00000000000001</v>
      </c>
      <c r="Z31" s="9">
        <f>100-(Q$436-Tabell2[[#This Row],[Sysselsettingsvekst10-T]])*100/Q$439</f>
        <v>100</v>
      </c>
      <c r="AA31" s="9">
        <f>100-(R$436-Tabell2[[#This Row],[Yrkesaktivandel-T]])*100/R$439</f>
        <v>35.445678885860985</v>
      </c>
      <c r="AB31" s="9">
        <f>100-(S$436-Tabell2[[#This Row],[Inntekt-T]])*100/S$439</f>
        <v>100</v>
      </c>
      <c r="AC31" s="48">
        <f>Tabell2[[#This Row],[NIBR11-I]]*Vekter!$B$3</f>
        <v>20</v>
      </c>
      <c r="AD31" s="48">
        <f>Tabell2[[#This Row],[ReisetidOslo-I]]*Vekter!$C$3</f>
        <v>10</v>
      </c>
      <c r="AE31" s="48">
        <f>Tabell2[[#This Row],[Beftettotal-I]]*Vekter!$D$3</f>
        <v>6.343833910504423</v>
      </c>
      <c r="AF31" s="48">
        <f>Tabell2[[#This Row],[Befvekst10-I]]*Vekter!$E$3</f>
        <v>20</v>
      </c>
      <c r="AG31" s="48">
        <f>Tabell2[[#This Row],[Kvinneandel-I]]*Vekter!$F$3</f>
        <v>4.985933018912788</v>
      </c>
      <c r="AH31" s="48">
        <f>Tabell2[[#This Row],[Eldreandel-I]]*Vekter!$G$3</f>
        <v>5.0000000000000009</v>
      </c>
      <c r="AI31" s="48">
        <f>Tabell2[[#This Row],[Sysselsettingsvekst10-I]]*Vekter!$H$3</f>
        <v>10</v>
      </c>
      <c r="AJ31" s="48">
        <f>Tabell2[[#This Row],[Yrkesaktivandel-I]]*Vekter!$J$3</f>
        <v>3.5445678885860987</v>
      </c>
      <c r="AK31" s="48">
        <f>Tabell2[[#This Row],[Inntekt-I]]*Vekter!$L$3</f>
        <v>10</v>
      </c>
      <c r="AL31" s="37">
        <f>SUM(Tabell2[[#This Row],[NIBR11-v]:[Inntekt-v]])</f>
        <v>89.874334818003319</v>
      </c>
    </row>
    <row r="32" spans="1:38">
      <c r="A32" s="2" t="s">
        <v>29</v>
      </c>
      <c r="B32">
        <f>'Rådata-K'!M31</f>
        <v>1</v>
      </c>
      <c r="C32" s="9">
        <f>'Rådata-K'!L31</f>
        <v>23.2213798308</v>
      </c>
      <c r="D32" s="51">
        <f>'Rådata-K'!N31</f>
        <v>62.648142897646728</v>
      </c>
      <c r="E32" s="51">
        <f>'Rådata-K'!O31</f>
        <v>0.16478650500790715</v>
      </c>
      <c r="F32" s="51">
        <f>'Rådata-K'!P31</f>
        <v>0.11857349746560464</v>
      </c>
      <c r="G32" s="51">
        <f>'Rådata-K'!Q31</f>
        <v>0.12599565532223025</v>
      </c>
      <c r="H32" s="51">
        <f>'Rådata-K'!R31</f>
        <v>0.21532846715328469</v>
      </c>
      <c r="I32" s="51">
        <f>'Rådata-K'!S31</f>
        <v>0.89156444040587612</v>
      </c>
      <c r="J32" s="52">
        <f>'Rådata-K'!K31</f>
        <v>409000</v>
      </c>
      <c r="K32" s="26">
        <f>Tabell2[[#This Row],[NIBR11]]</f>
        <v>1</v>
      </c>
      <c r="L32" s="52">
        <f>IF(Tabell2[[#This Row],[ReisetidOslo]]&lt;=C$434,C$434,IF(Tabell2[[#This Row],[ReisetidOslo]]&gt;=C$435,C$435,Tabell2[[#This Row],[ReisetidOslo]]))</f>
        <v>53.805284539509998</v>
      </c>
      <c r="M32" s="51">
        <f>IF(Tabell2[[#This Row],[Beftettotal]]&lt;=D$434,D$434,IF(Tabell2[[#This Row],[Beftettotal]]&gt;=D$435,D$435,Tabell2[[#This Row],[Beftettotal]]))</f>
        <v>62.648142897646728</v>
      </c>
      <c r="N32" s="51">
        <f>IF(Tabell2[[#This Row],[Befvekst10]]&lt;=E$434,E$434,IF(Tabell2[[#This Row],[Befvekst10]]&gt;=E$435,E$435,Tabell2[[#This Row],[Befvekst10]]))</f>
        <v>0.16478650500790715</v>
      </c>
      <c r="O32" s="51">
        <f>IF(Tabell2[[#This Row],[Kvinneandel]]&lt;=F$434,F$434,IF(Tabell2[[#This Row],[Kvinneandel]]&gt;=F$435,F$435,Tabell2[[#This Row],[Kvinneandel]]))</f>
        <v>0.11857349746560464</v>
      </c>
      <c r="P32" s="51">
        <f>IF(Tabell2[[#This Row],[Eldreandel]]&lt;=G$434,G$434,IF(Tabell2[[#This Row],[Eldreandel]]&gt;=G$435,G$435,Tabell2[[#This Row],[Eldreandel]]))</f>
        <v>0.12599565532223025</v>
      </c>
      <c r="Q32" s="51">
        <f>IF(Tabell2[[#This Row],[Sysselsettingsvekst10]]&lt;=H$434,H$434,IF(Tabell2[[#This Row],[Sysselsettingsvekst10]]&gt;=H$435,H$435,Tabell2[[#This Row],[Sysselsettingsvekst10]]))</f>
        <v>0.21532846715328469</v>
      </c>
      <c r="R32" s="51">
        <f>IF(Tabell2[[#This Row],[Yrkesaktivandel]]&lt;=I$434,I$434,IF(Tabell2[[#This Row],[Yrkesaktivandel]]&gt;=I$435,I$435,Tabell2[[#This Row],[Yrkesaktivandel]]))</f>
        <v>0.89156444040587612</v>
      </c>
      <c r="S32" s="52">
        <f>IF(Tabell2[[#This Row],[Inntekt]]&lt;=J$434,J$434,IF(Tabell2[[#This Row],[Inntekt]]&gt;=J$435,J$435,Tabell2[[#This Row],[Inntekt]]))</f>
        <v>400000</v>
      </c>
      <c r="T32" s="9">
        <f>IF(Tabell2[[#This Row],[NIBR11-T]]&lt;=K$437,100,IF(Tabell2[[#This Row],[NIBR11-T]]&gt;=K$436,0,100*(K$436-Tabell2[[#This Row],[NIBR11-T]])/K$439))</f>
        <v>100</v>
      </c>
      <c r="U32" s="9">
        <f>(L$436-Tabell2[[#This Row],[ReisetidOslo-T]])*100/L$439</f>
        <v>100</v>
      </c>
      <c r="V32" s="9">
        <f>100-(M$436-Tabell2[[#This Row],[Beftettotal-T]])*100/M$439</f>
        <v>48.290309511445287</v>
      </c>
      <c r="W32" s="9">
        <f>100-(N$436-Tabell2[[#This Row],[Befvekst10-T]])*100/N$439</f>
        <v>99.372265202039017</v>
      </c>
      <c r="X32" s="9">
        <f>100-(O$436-Tabell2[[#This Row],[Kvinneandel-T]])*100/O$439</f>
        <v>74.98617161903195</v>
      </c>
      <c r="Y32" s="9">
        <f>(P$436-Tabell2[[#This Row],[Eldreandel-T]])*100/P$439</f>
        <v>93.308039137343002</v>
      </c>
      <c r="Z32" s="9">
        <f>100-(Q$436-Tabell2[[#This Row],[Sysselsettingsvekst10-T]])*100/Q$439</f>
        <v>91.162540997154267</v>
      </c>
      <c r="AA32" s="9">
        <f>100-(R$436-Tabell2[[#This Row],[Yrkesaktivandel-T]])*100/R$439</f>
        <v>47.359187988032637</v>
      </c>
      <c r="AB32" s="9">
        <f>100-(S$436-Tabell2[[#This Row],[Inntekt-T]])*100/S$439</f>
        <v>100</v>
      </c>
      <c r="AC32" s="48">
        <f>Tabell2[[#This Row],[NIBR11-I]]*Vekter!$B$3</f>
        <v>20</v>
      </c>
      <c r="AD32" s="48">
        <f>Tabell2[[#This Row],[ReisetidOslo-I]]*Vekter!$C$3</f>
        <v>10</v>
      </c>
      <c r="AE32" s="48">
        <f>Tabell2[[#This Row],[Beftettotal-I]]*Vekter!$D$3</f>
        <v>4.8290309511445288</v>
      </c>
      <c r="AF32" s="48">
        <f>Tabell2[[#This Row],[Befvekst10-I]]*Vekter!$E$3</f>
        <v>19.874453040407804</v>
      </c>
      <c r="AG32" s="48">
        <f>Tabell2[[#This Row],[Kvinneandel-I]]*Vekter!$F$3</f>
        <v>3.7493085809515976</v>
      </c>
      <c r="AH32" s="48">
        <f>Tabell2[[#This Row],[Eldreandel-I]]*Vekter!$G$3</f>
        <v>4.6654019568671501</v>
      </c>
      <c r="AI32" s="48">
        <f>Tabell2[[#This Row],[Sysselsettingsvekst10-I]]*Vekter!$H$3</f>
        <v>9.1162540997154267</v>
      </c>
      <c r="AJ32" s="48">
        <f>Tabell2[[#This Row],[Yrkesaktivandel-I]]*Vekter!$J$3</f>
        <v>4.7359187988032643</v>
      </c>
      <c r="AK32" s="48">
        <f>Tabell2[[#This Row],[Inntekt-I]]*Vekter!$L$3</f>
        <v>10</v>
      </c>
      <c r="AL32" s="37">
        <f>SUM(Tabell2[[#This Row],[NIBR11-v]:[Inntekt-v]])</f>
        <v>86.970367427889769</v>
      </c>
    </row>
    <row r="33" spans="1:38">
      <c r="A33" s="2" t="s">
        <v>30</v>
      </c>
      <c r="B33">
        <f>'Rådata-K'!M32</f>
        <v>1</v>
      </c>
      <c r="C33" s="9">
        <f>'Rådata-K'!L32</f>
        <v>18.475864692399998</v>
      </c>
      <c r="D33" s="51">
        <f>'Rådata-K'!N32</f>
        <v>234.45870535714283</v>
      </c>
      <c r="E33" s="51">
        <f>'Rådata-K'!O32</f>
        <v>0.14171195652173907</v>
      </c>
      <c r="F33" s="51">
        <f>'Rådata-K'!P32</f>
        <v>0.13697488992026657</v>
      </c>
      <c r="G33" s="51">
        <f>'Rådata-K'!Q32</f>
        <v>0.11043674878019755</v>
      </c>
      <c r="H33" s="51">
        <f>'Rådata-K'!R32</f>
        <v>0.22879932829555005</v>
      </c>
      <c r="I33" s="51">
        <f>'Rådata-K'!S32</f>
        <v>0.88196817338670308</v>
      </c>
      <c r="J33" s="52">
        <f>'Rådata-K'!K32</f>
        <v>410200</v>
      </c>
      <c r="K33" s="26">
        <f>Tabell2[[#This Row],[NIBR11]]</f>
        <v>1</v>
      </c>
      <c r="L33" s="52">
        <f>IF(Tabell2[[#This Row],[ReisetidOslo]]&lt;=C$434,C$434,IF(Tabell2[[#This Row],[ReisetidOslo]]&gt;=C$435,C$435,Tabell2[[#This Row],[ReisetidOslo]]))</f>
        <v>53.805284539509998</v>
      </c>
      <c r="M33" s="51">
        <f>IF(Tabell2[[#This Row],[Beftettotal]]&lt;=D$434,D$434,IF(Tabell2[[#This Row],[Beftettotal]]&gt;=D$435,D$435,Tabell2[[#This Row],[Beftettotal]]))</f>
        <v>128.29773514779066</v>
      </c>
      <c r="N33" s="51">
        <f>IF(Tabell2[[#This Row],[Befvekst10]]&lt;=E$434,E$434,IF(Tabell2[[#This Row],[Befvekst10]]&gt;=E$435,E$435,Tabell2[[#This Row],[Befvekst10]]))</f>
        <v>0.14171195652173907</v>
      </c>
      <c r="O33" s="51">
        <f>IF(Tabell2[[#This Row],[Kvinneandel]]&lt;=F$434,F$434,IF(Tabell2[[#This Row],[Kvinneandel]]&gt;=F$435,F$435,Tabell2[[#This Row],[Kvinneandel]]))</f>
        <v>0.12801731869362362</v>
      </c>
      <c r="P33" s="51">
        <f>IF(Tabell2[[#This Row],[Eldreandel]]&lt;=G$434,G$434,IF(Tabell2[[#This Row],[Eldreandel]]&gt;=G$435,G$435,Tabell2[[#This Row],[Eldreandel]]))</f>
        <v>0.1200928231908705</v>
      </c>
      <c r="Q33" s="51">
        <f>IF(Tabell2[[#This Row],[Sysselsettingsvekst10]]&lt;=H$434,H$434,IF(Tabell2[[#This Row],[Sysselsettingsvekst10]]&gt;=H$435,H$435,Tabell2[[#This Row],[Sysselsettingsvekst10]]))</f>
        <v>0.22879932829555005</v>
      </c>
      <c r="R33" s="51">
        <f>IF(Tabell2[[#This Row],[Yrkesaktivandel]]&lt;=I$434,I$434,IF(Tabell2[[#This Row],[Yrkesaktivandel]]&gt;=I$435,I$435,Tabell2[[#This Row],[Yrkesaktivandel]]))</f>
        <v>0.88196817338670308</v>
      </c>
      <c r="S33" s="52">
        <f>IF(Tabell2[[#This Row],[Inntekt]]&lt;=J$434,J$434,IF(Tabell2[[#This Row],[Inntekt]]&gt;=J$435,J$435,Tabell2[[#This Row],[Inntekt]]))</f>
        <v>400000</v>
      </c>
      <c r="T33" s="9">
        <f>IF(Tabell2[[#This Row],[NIBR11-T]]&lt;=K$437,100,IF(Tabell2[[#This Row],[NIBR11-T]]&gt;=K$436,0,100*(K$436-Tabell2[[#This Row],[NIBR11-T]])/K$439))</f>
        <v>100</v>
      </c>
      <c r="U33" s="9">
        <f>(L$436-Tabell2[[#This Row],[ReisetidOslo-T]])*100/L$439</f>
        <v>100</v>
      </c>
      <c r="V33" s="9">
        <f>100-(M$436-Tabell2[[#This Row],[Beftettotal-T]])*100/M$439</f>
        <v>100</v>
      </c>
      <c r="W33" s="9">
        <f>100-(N$436-Tabell2[[#This Row],[Befvekst10-T]])*100/N$439</f>
        <v>90.035016992132824</v>
      </c>
      <c r="X33" s="9">
        <f>100-(O$436-Tabell2[[#This Row],[Kvinneandel-T]])*100/O$439</f>
        <v>100</v>
      </c>
      <c r="Y33" s="9">
        <f>(P$436-Tabell2[[#This Row],[Eldreandel-T]])*100/P$439</f>
        <v>100.00000000000001</v>
      </c>
      <c r="Z33" s="9">
        <f>100-(Q$436-Tabell2[[#This Row],[Sysselsettingsvekst10-T]])*100/Q$439</f>
        <v>95.486299029805537</v>
      </c>
      <c r="AA33" s="9">
        <f>100-(R$436-Tabell2[[#This Row],[Yrkesaktivandel-T]])*100/R$439</f>
        <v>40.205403738631546</v>
      </c>
      <c r="AB33" s="9">
        <f>100-(S$436-Tabell2[[#This Row],[Inntekt-T]])*100/S$439</f>
        <v>100</v>
      </c>
      <c r="AC33" s="48">
        <f>Tabell2[[#This Row],[NIBR11-I]]*Vekter!$B$3</f>
        <v>20</v>
      </c>
      <c r="AD33" s="48">
        <f>Tabell2[[#This Row],[ReisetidOslo-I]]*Vekter!$C$3</f>
        <v>10</v>
      </c>
      <c r="AE33" s="48">
        <f>Tabell2[[#This Row],[Beftettotal-I]]*Vekter!$D$3</f>
        <v>10</v>
      </c>
      <c r="AF33" s="48">
        <f>Tabell2[[#This Row],[Befvekst10-I]]*Vekter!$E$3</f>
        <v>18.007003398426566</v>
      </c>
      <c r="AG33" s="48">
        <f>Tabell2[[#This Row],[Kvinneandel-I]]*Vekter!$F$3</f>
        <v>5</v>
      </c>
      <c r="AH33" s="48">
        <f>Tabell2[[#This Row],[Eldreandel-I]]*Vekter!$G$3</f>
        <v>5.0000000000000009</v>
      </c>
      <c r="AI33" s="48">
        <f>Tabell2[[#This Row],[Sysselsettingsvekst10-I]]*Vekter!$H$3</f>
        <v>9.5486299029805544</v>
      </c>
      <c r="AJ33" s="48">
        <f>Tabell2[[#This Row],[Yrkesaktivandel-I]]*Vekter!$J$3</f>
        <v>4.0205403738631551</v>
      </c>
      <c r="AK33" s="48">
        <f>Tabell2[[#This Row],[Inntekt-I]]*Vekter!$L$3</f>
        <v>10</v>
      </c>
      <c r="AL33" s="37">
        <f>SUM(Tabell2[[#This Row],[NIBR11-v]:[Inntekt-v]])</f>
        <v>91.576173675270269</v>
      </c>
    </row>
    <row r="34" spans="1:38">
      <c r="A34" s="2" t="s">
        <v>31</v>
      </c>
      <c r="B34">
        <f>'Rådata-K'!M33</f>
        <v>1</v>
      </c>
      <c r="C34" s="9">
        <f>'Rådata-K'!L33</f>
        <v>35.480513446300002</v>
      </c>
      <c r="D34" s="51">
        <f>'Rådata-K'!N33</f>
        <v>45.687505374494798</v>
      </c>
      <c r="E34" s="51">
        <f>'Rådata-K'!O33</f>
        <v>0.15087187263078095</v>
      </c>
      <c r="F34" s="51">
        <f>'Rådata-K'!P33</f>
        <v>0.12422360248447205</v>
      </c>
      <c r="G34" s="51">
        <f>'Rådata-K'!Q33</f>
        <v>0.10737812911725955</v>
      </c>
      <c r="H34" s="51">
        <f>'Rådata-K'!R33</f>
        <v>0.2308730873087308</v>
      </c>
      <c r="I34" s="51">
        <f>'Rådata-K'!S33</f>
        <v>0.88154138915318747</v>
      </c>
      <c r="J34" s="52">
        <f>'Rådata-K'!K33</f>
        <v>389500</v>
      </c>
      <c r="K34" s="26">
        <f>Tabell2[[#This Row],[NIBR11]]</f>
        <v>1</v>
      </c>
      <c r="L34" s="52">
        <f>IF(Tabell2[[#This Row],[ReisetidOslo]]&lt;=C$434,C$434,IF(Tabell2[[#This Row],[ReisetidOslo]]&gt;=C$435,C$435,Tabell2[[#This Row],[ReisetidOslo]]))</f>
        <v>53.805284539509998</v>
      </c>
      <c r="M34" s="51">
        <f>IF(Tabell2[[#This Row],[Beftettotal]]&lt;=D$434,D$434,IF(Tabell2[[#This Row],[Beftettotal]]&gt;=D$435,D$435,Tabell2[[#This Row],[Beftettotal]]))</f>
        <v>45.687505374494798</v>
      </c>
      <c r="N34" s="51">
        <f>IF(Tabell2[[#This Row],[Befvekst10]]&lt;=E$434,E$434,IF(Tabell2[[#This Row],[Befvekst10]]&gt;=E$435,E$435,Tabell2[[#This Row],[Befvekst10]]))</f>
        <v>0.15087187263078095</v>
      </c>
      <c r="O34" s="51">
        <f>IF(Tabell2[[#This Row],[Kvinneandel]]&lt;=F$434,F$434,IF(Tabell2[[#This Row],[Kvinneandel]]&gt;=F$435,F$435,Tabell2[[#This Row],[Kvinneandel]]))</f>
        <v>0.12422360248447205</v>
      </c>
      <c r="P34" s="51">
        <f>IF(Tabell2[[#This Row],[Eldreandel]]&lt;=G$434,G$434,IF(Tabell2[[#This Row],[Eldreandel]]&gt;=G$435,G$435,Tabell2[[#This Row],[Eldreandel]]))</f>
        <v>0.1200928231908705</v>
      </c>
      <c r="Q34" s="51">
        <f>IF(Tabell2[[#This Row],[Sysselsettingsvekst10]]&lt;=H$434,H$434,IF(Tabell2[[#This Row],[Sysselsettingsvekst10]]&gt;=H$435,H$435,Tabell2[[#This Row],[Sysselsettingsvekst10]]))</f>
        <v>0.2308730873087308</v>
      </c>
      <c r="R34" s="51">
        <f>IF(Tabell2[[#This Row],[Yrkesaktivandel]]&lt;=I$434,I$434,IF(Tabell2[[#This Row],[Yrkesaktivandel]]&gt;=I$435,I$435,Tabell2[[#This Row],[Yrkesaktivandel]]))</f>
        <v>0.88154138915318747</v>
      </c>
      <c r="S34" s="52">
        <f>IF(Tabell2[[#This Row],[Inntekt]]&lt;=J$434,J$434,IF(Tabell2[[#This Row],[Inntekt]]&gt;=J$435,J$435,Tabell2[[#This Row],[Inntekt]]))</f>
        <v>389500</v>
      </c>
      <c r="T34" s="9">
        <f>IF(Tabell2[[#This Row],[NIBR11-T]]&lt;=K$437,100,IF(Tabell2[[#This Row],[NIBR11-T]]&gt;=K$436,0,100*(K$436-Tabell2[[#This Row],[NIBR11-T]])/K$439))</f>
        <v>100</v>
      </c>
      <c r="U34" s="9">
        <f>(L$436-Tabell2[[#This Row],[ReisetidOslo-T]])*100/L$439</f>
        <v>100</v>
      </c>
      <c r="V34" s="9">
        <f>100-(M$436-Tabell2[[#This Row],[Beftettotal-T]])*100/M$439</f>
        <v>34.931059487941454</v>
      </c>
      <c r="W34" s="9">
        <f>100-(N$436-Tabell2[[#This Row],[Befvekst10-T]])*100/N$439</f>
        <v>93.7416295112602</v>
      </c>
      <c r="X34" s="9">
        <f>100-(O$436-Tabell2[[#This Row],[Kvinneandel-T]])*100/O$439</f>
        <v>89.951592274929141</v>
      </c>
      <c r="Y34" s="9">
        <f>(P$436-Tabell2[[#This Row],[Eldreandel-T]])*100/P$439</f>
        <v>100.00000000000001</v>
      </c>
      <c r="Z34" s="9">
        <f>100-(Q$436-Tabell2[[#This Row],[Sysselsettingsvekst10-T]])*100/Q$439</f>
        <v>96.151915882086087</v>
      </c>
      <c r="AA34" s="9">
        <f>100-(R$436-Tabell2[[#This Row],[Yrkesaktivandel-T]])*100/R$439</f>
        <v>39.887246446684934</v>
      </c>
      <c r="AB34" s="9">
        <f>100-(S$436-Tabell2[[#This Row],[Inntekt-T]])*100/S$439</f>
        <v>86.797434930215019</v>
      </c>
      <c r="AC34" s="48">
        <f>Tabell2[[#This Row],[NIBR11-I]]*Vekter!$B$3</f>
        <v>20</v>
      </c>
      <c r="AD34" s="48">
        <f>Tabell2[[#This Row],[ReisetidOslo-I]]*Vekter!$C$3</f>
        <v>10</v>
      </c>
      <c r="AE34" s="48">
        <f>Tabell2[[#This Row],[Beftettotal-I]]*Vekter!$D$3</f>
        <v>3.4931059487941454</v>
      </c>
      <c r="AF34" s="48">
        <f>Tabell2[[#This Row],[Befvekst10-I]]*Vekter!$E$3</f>
        <v>18.748325902252041</v>
      </c>
      <c r="AG34" s="48">
        <f>Tabell2[[#This Row],[Kvinneandel-I]]*Vekter!$F$3</f>
        <v>4.4975796137464572</v>
      </c>
      <c r="AH34" s="48">
        <f>Tabell2[[#This Row],[Eldreandel-I]]*Vekter!$G$3</f>
        <v>5.0000000000000009</v>
      </c>
      <c r="AI34" s="48">
        <f>Tabell2[[#This Row],[Sysselsettingsvekst10-I]]*Vekter!$H$3</f>
        <v>9.6151915882086101</v>
      </c>
      <c r="AJ34" s="48">
        <f>Tabell2[[#This Row],[Yrkesaktivandel-I]]*Vekter!$J$3</f>
        <v>3.9887246446684936</v>
      </c>
      <c r="AK34" s="48">
        <f>Tabell2[[#This Row],[Inntekt-I]]*Vekter!$L$3</f>
        <v>8.6797434930215029</v>
      </c>
      <c r="AL34" s="37">
        <f>SUM(Tabell2[[#This Row],[NIBR11-v]:[Inntekt-v]])</f>
        <v>84.022671190691256</v>
      </c>
    </row>
    <row r="35" spans="1:38">
      <c r="A35" s="2" t="s">
        <v>32</v>
      </c>
      <c r="B35">
        <f>'Rådata-K'!M34</f>
        <v>1</v>
      </c>
      <c r="C35" s="9">
        <f>'Rådata-K'!L34</f>
        <v>11.684167222799999</v>
      </c>
      <c r="D35" s="51">
        <f>'Rådata-K'!N34</f>
        <v>491.80722891566268</v>
      </c>
      <c r="E35" s="51">
        <f>'Rådata-K'!O34</f>
        <v>0.13775577124868832</v>
      </c>
      <c r="F35" s="51">
        <f>'Rådata-K'!P34</f>
        <v>0.11833876127619103</v>
      </c>
      <c r="G35" s="51">
        <f>'Rådata-K'!Q34</f>
        <v>0.12283482721849151</v>
      </c>
      <c r="H35" s="51">
        <f>'Rådata-K'!R34</f>
        <v>0.3216420884814668</v>
      </c>
      <c r="I35" s="51">
        <f>'Rådata-K'!S34</f>
        <v>0.86973142995402852</v>
      </c>
      <c r="J35" s="52">
        <f>'Rådata-K'!K34</f>
        <v>421800</v>
      </c>
      <c r="K35" s="26">
        <f>Tabell2[[#This Row],[NIBR11]]</f>
        <v>1</v>
      </c>
      <c r="L35" s="52">
        <f>IF(Tabell2[[#This Row],[ReisetidOslo]]&lt;=C$434,C$434,IF(Tabell2[[#This Row],[ReisetidOslo]]&gt;=C$435,C$435,Tabell2[[#This Row],[ReisetidOslo]]))</f>
        <v>53.805284539509998</v>
      </c>
      <c r="M35" s="51">
        <f>IF(Tabell2[[#This Row],[Beftettotal]]&lt;=D$434,D$434,IF(Tabell2[[#This Row],[Beftettotal]]&gt;=D$435,D$435,Tabell2[[#This Row],[Beftettotal]]))</f>
        <v>128.29773514779066</v>
      </c>
      <c r="N35" s="51">
        <f>IF(Tabell2[[#This Row],[Befvekst10]]&lt;=E$434,E$434,IF(Tabell2[[#This Row],[Befvekst10]]&gt;=E$435,E$435,Tabell2[[#This Row],[Befvekst10]]))</f>
        <v>0.13775577124868832</v>
      </c>
      <c r="O35" s="51">
        <f>IF(Tabell2[[#This Row],[Kvinneandel]]&lt;=F$434,F$434,IF(Tabell2[[#This Row],[Kvinneandel]]&gt;=F$435,F$435,Tabell2[[#This Row],[Kvinneandel]]))</f>
        <v>0.11833876127619103</v>
      </c>
      <c r="P35" s="51">
        <f>IF(Tabell2[[#This Row],[Eldreandel]]&lt;=G$434,G$434,IF(Tabell2[[#This Row],[Eldreandel]]&gt;=G$435,G$435,Tabell2[[#This Row],[Eldreandel]]))</f>
        <v>0.12283482721849151</v>
      </c>
      <c r="Q35" s="51">
        <f>IF(Tabell2[[#This Row],[Sysselsettingsvekst10]]&lt;=H$434,H$434,IF(Tabell2[[#This Row],[Sysselsettingsvekst10]]&gt;=H$435,H$435,Tabell2[[#This Row],[Sysselsettingsvekst10]]))</f>
        <v>0.24286196513786068</v>
      </c>
      <c r="R35" s="51">
        <f>IF(Tabell2[[#This Row],[Yrkesaktivandel]]&lt;=I$434,I$434,IF(Tabell2[[#This Row],[Yrkesaktivandel]]&gt;=I$435,I$435,Tabell2[[#This Row],[Yrkesaktivandel]]))</f>
        <v>0.86973142995402852</v>
      </c>
      <c r="S35" s="52">
        <f>IF(Tabell2[[#This Row],[Inntekt]]&lt;=J$434,J$434,IF(Tabell2[[#This Row],[Inntekt]]&gt;=J$435,J$435,Tabell2[[#This Row],[Inntekt]]))</f>
        <v>400000</v>
      </c>
      <c r="T35" s="9">
        <f>IF(Tabell2[[#This Row],[NIBR11-T]]&lt;=K$437,100,IF(Tabell2[[#This Row],[NIBR11-T]]&gt;=K$436,0,100*(K$436-Tabell2[[#This Row],[NIBR11-T]])/K$439))</f>
        <v>100</v>
      </c>
      <c r="U35" s="9">
        <f>(L$436-Tabell2[[#This Row],[ReisetidOslo-T]])*100/L$439</f>
        <v>100</v>
      </c>
      <c r="V35" s="9">
        <f>100-(M$436-Tabell2[[#This Row],[Beftettotal-T]])*100/M$439</f>
        <v>100</v>
      </c>
      <c r="W35" s="9">
        <f>100-(N$436-Tabell2[[#This Row],[Befvekst10-T]])*100/N$439</f>
        <v>88.434123961398399</v>
      </c>
      <c r="X35" s="9">
        <f>100-(O$436-Tabell2[[#This Row],[Kvinneandel-T]])*100/O$439</f>
        <v>74.364426393765115</v>
      </c>
      <c r="Y35" s="9">
        <f>(P$436-Tabell2[[#This Row],[Eldreandel-T]])*100/P$439</f>
        <v>96.891427160768544</v>
      </c>
      <c r="Z35" s="9">
        <f>100-(Q$436-Tabell2[[#This Row],[Sysselsettingsvekst10-T]])*100/Q$439</f>
        <v>100</v>
      </c>
      <c r="AA35" s="9">
        <f>100-(R$436-Tabell2[[#This Row],[Yrkesaktivandel-T]])*100/R$439</f>
        <v>31.083208383111611</v>
      </c>
      <c r="AB35" s="9">
        <f>100-(S$436-Tabell2[[#This Row],[Inntekt-T]])*100/S$439</f>
        <v>100</v>
      </c>
      <c r="AC35" s="48">
        <f>Tabell2[[#This Row],[NIBR11-I]]*Vekter!$B$3</f>
        <v>20</v>
      </c>
      <c r="AD35" s="48">
        <f>Tabell2[[#This Row],[ReisetidOslo-I]]*Vekter!$C$3</f>
        <v>10</v>
      </c>
      <c r="AE35" s="48">
        <f>Tabell2[[#This Row],[Beftettotal-I]]*Vekter!$D$3</f>
        <v>10</v>
      </c>
      <c r="AF35" s="48">
        <f>Tabell2[[#This Row],[Befvekst10-I]]*Vekter!$E$3</f>
        <v>17.68682479227968</v>
      </c>
      <c r="AG35" s="48">
        <f>Tabell2[[#This Row],[Kvinneandel-I]]*Vekter!$F$3</f>
        <v>3.7182213196882561</v>
      </c>
      <c r="AH35" s="48">
        <f>Tabell2[[#This Row],[Eldreandel-I]]*Vekter!$G$3</f>
        <v>4.8445713580384275</v>
      </c>
      <c r="AI35" s="48">
        <f>Tabell2[[#This Row],[Sysselsettingsvekst10-I]]*Vekter!$H$3</f>
        <v>10</v>
      </c>
      <c r="AJ35" s="48">
        <f>Tabell2[[#This Row],[Yrkesaktivandel-I]]*Vekter!$J$3</f>
        <v>3.1083208383111613</v>
      </c>
      <c r="AK35" s="48">
        <f>Tabell2[[#This Row],[Inntekt-I]]*Vekter!$L$3</f>
        <v>10</v>
      </c>
      <c r="AL35" s="37">
        <f>SUM(Tabell2[[#This Row],[NIBR11-v]:[Inntekt-v]])</f>
        <v>89.357938308317514</v>
      </c>
    </row>
    <row r="36" spans="1:38">
      <c r="A36" s="2" t="s">
        <v>33</v>
      </c>
      <c r="B36">
        <f>'Rådata-K'!M35</f>
        <v>1</v>
      </c>
      <c r="C36" s="9">
        <f>'Rådata-K'!L35</f>
        <v>16.249666064900001</v>
      </c>
      <c r="D36" s="51">
        <f>'Rådata-K'!N35</f>
        <v>664.52031675970397</v>
      </c>
      <c r="E36" s="51">
        <f>'Rådata-K'!O35</f>
        <v>0.23765081360767915</v>
      </c>
      <c r="F36" s="51">
        <f>'Rådata-K'!P35</f>
        <v>0.13030397749472533</v>
      </c>
      <c r="G36" s="51">
        <f>'Rådata-K'!Q35</f>
        <v>0.12920997108697352</v>
      </c>
      <c r="H36" s="51">
        <f>'Rådata-K'!R35</f>
        <v>0.25716092888768416</v>
      </c>
      <c r="I36" s="51">
        <f>'Rådata-K'!S35</f>
        <v>0.86280019604639768</v>
      </c>
      <c r="J36" s="52">
        <f>'Rådata-K'!K35</f>
        <v>409900</v>
      </c>
      <c r="K36" s="26">
        <f>Tabell2[[#This Row],[NIBR11]]</f>
        <v>1</v>
      </c>
      <c r="L36" s="52">
        <f>IF(Tabell2[[#This Row],[ReisetidOslo]]&lt;=C$434,C$434,IF(Tabell2[[#This Row],[ReisetidOslo]]&gt;=C$435,C$435,Tabell2[[#This Row],[ReisetidOslo]]))</f>
        <v>53.805284539509998</v>
      </c>
      <c r="M36" s="51">
        <f>IF(Tabell2[[#This Row],[Beftettotal]]&lt;=D$434,D$434,IF(Tabell2[[#This Row],[Beftettotal]]&gt;=D$435,D$435,Tabell2[[#This Row],[Beftettotal]]))</f>
        <v>128.29773514779066</v>
      </c>
      <c r="N36" s="51">
        <f>IF(Tabell2[[#This Row],[Befvekst10]]&lt;=E$434,E$434,IF(Tabell2[[#This Row],[Befvekst10]]&gt;=E$435,E$435,Tabell2[[#This Row],[Befvekst10]]))</f>
        <v>0.16633778614624492</v>
      </c>
      <c r="O36" s="51">
        <f>IF(Tabell2[[#This Row],[Kvinneandel]]&lt;=F$434,F$434,IF(Tabell2[[#This Row],[Kvinneandel]]&gt;=F$435,F$435,Tabell2[[#This Row],[Kvinneandel]]))</f>
        <v>0.12801731869362362</v>
      </c>
      <c r="P36" s="51">
        <f>IF(Tabell2[[#This Row],[Eldreandel]]&lt;=G$434,G$434,IF(Tabell2[[#This Row],[Eldreandel]]&gt;=G$435,G$435,Tabell2[[#This Row],[Eldreandel]]))</f>
        <v>0.12920997108697352</v>
      </c>
      <c r="Q36" s="51">
        <f>IF(Tabell2[[#This Row],[Sysselsettingsvekst10]]&lt;=H$434,H$434,IF(Tabell2[[#This Row],[Sysselsettingsvekst10]]&gt;=H$435,H$435,Tabell2[[#This Row],[Sysselsettingsvekst10]]))</f>
        <v>0.24286196513786068</v>
      </c>
      <c r="R36" s="51">
        <f>IF(Tabell2[[#This Row],[Yrkesaktivandel]]&lt;=I$434,I$434,IF(Tabell2[[#This Row],[Yrkesaktivandel]]&gt;=I$435,I$435,Tabell2[[#This Row],[Yrkesaktivandel]]))</f>
        <v>0.86280019604639768</v>
      </c>
      <c r="S36" s="52">
        <f>IF(Tabell2[[#This Row],[Inntekt]]&lt;=J$434,J$434,IF(Tabell2[[#This Row],[Inntekt]]&gt;=J$435,J$435,Tabell2[[#This Row],[Inntekt]]))</f>
        <v>400000</v>
      </c>
      <c r="T36" s="9">
        <f>IF(Tabell2[[#This Row],[NIBR11-T]]&lt;=K$437,100,IF(Tabell2[[#This Row],[NIBR11-T]]&gt;=K$436,0,100*(K$436-Tabell2[[#This Row],[NIBR11-T]])/K$439))</f>
        <v>100</v>
      </c>
      <c r="U36" s="9">
        <f>(L$436-Tabell2[[#This Row],[ReisetidOslo-T]])*100/L$439</f>
        <v>100</v>
      </c>
      <c r="V36" s="9">
        <f>100-(M$436-Tabell2[[#This Row],[Beftettotal-T]])*100/M$439</f>
        <v>100</v>
      </c>
      <c r="W36" s="9">
        <f>100-(N$436-Tabell2[[#This Row],[Befvekst10-T]])*100/N$439</f>
        <v>100</v>
      </c>
      <c r="X36" s="9">
        <f>100-(O$436-Tabell2[[#This Row],[Kvinneandel-T]])*100/O$439</f>
        <v>100</v>
      </c>
      <c r="Y36" s="9">
        <f>(P$436-Tabell2[[#This Row],[Eldreandel-T]])*100/P$439</f>
        <v>89.664012876862458</v>
      </c>
      <c r="Z36" s="9">
        <f>100-(Q$436-Tabell2[[#This Row],[Sysselsettingsvekst10-T]])*100/Q$439</f>
        <v>100</v>
      </c>
      <c r="AA36" s="9">
        <f>100-(R$436-Tabell2[[#This Row],[Yrkesaktivandel-T]])*100/R$439</f>
        <v>25.916141662452858</v>
      </c>
      <c r="AB36" s="9">
        <f>100-(S$436-Tabell2[[#This Row],[Inntekt-T]])*100/S$439</f>
        <v>100</v>
      </c>
      <c r="AC36" s="48">
        <f>Tabell2[[#This Row],[NIBR11-I]]*Vekter!$B$3</f>
        <v>20</v>
      </c>
      <c r="AD36" s="48">
        <f>Tabell2[[#This Row],[ReisetidOslo-I]]*Vekter!$C$3</f>
        <v>10</v>
      </c>
      <c r="AE36" s="48">
        <f>Tabell2[[#This Row],[Beftettotal-I]]*Vekter!$D$3</f>
        <v>10</v>
      </c>
      <c r="AF36" s="48">
        <f>Tabell2[[#This Row],[Befvekst10-I]]*Vekter!$E$3</f>
        <v>20</v>
      </c>
      <c r="AG36" s="48">
        <f>Tabell2[[#This Row],[Kvinneandel-I]]*Vekter!$F$3</f>
        <v>5</v>
      </c>
      <c r="AH36" s="48">
        <f>Tabell2[[#This Row],[Eldreandel-I]]*Vekter!$G$3</f>
        <v>4.4832006438431229</v>
      </c>
      <c r="AI36" s="48">
        <f>Tabell2[[#This Row],[Sysselsettingsvekst10-I]]*Vekter!$H$3</f>
        <v>10</v>
      </c>
      <c r="AJ36" s="48">
        <f>Tabell2[[#This Row],[Yrkesaktivandel-I]]*Vekter!$J$3</f>
        <v>2.5916141662452858</v>
      </c>
      <c r="AK36" s="48">
        <f>Tabell2[[#This Row],[Inntekt-I]]*Vekter!$L$3</f>
        <v>10</v>
      </c>
      <c r="AL36" s="37">
        <f>SUM(Tabell2[[#This Row],[NIBR11-v]:[Inntekt-v]])</f>
        <v>92.074814810088412</v>
      </c>
    </row>
    <row r="37" spans="1:38">
      <c r="A37" s="2" t="s">
        <v>34</v>
      </c>
      <c r="B37">
        <f>'Rådata-K'!M36</f>
        <v>1</v>
      </c>
      <c r="C37" s="9">
        <f>'Rådata-K'!L36</f>
        <v>24.854360699699999</v>
      </c>
      <c r="D37" s="51">
        <f>'Rådata-K'!N36</f>
        <v>120.20082693443592</v>
      </c>
      <c r="E37" s="51">
        <f>'Rådata-K'!O36</f>
        <v>0.15149176954732502</v>
      </c>
      <c r="F37" s="51">
        <f>'Rådata-K'!P36</f>
        <v>0.11239669421487604</v>
      </c>
      <c r="G37" s="51">
        <f>'Rådata-K'!Q36</f>
        <v>0.11494304221576949</v>
      </c>
      <c r="H37" s="51">
        <f>'Rådata-K'!R36</f>
        <v>0.2083033011388209</v>
      </c>
      <c r="I37" s="51">
        <f>'Rådata-K'!S36</f>
        <v>0.90305343511450387</v>
      </c>
      <c r="J37" s="52">
        <f>'Rådata-K'!K36</f>
        <v>429300</v>
      </c>
      <c r="K37" s="26">
        <f>Tabell2[[#This Row],[NIBR11]]</f>
        <v>1</v>
      </c>
      <c r="L37" s="52">
        <f>IF(Tabell2[[#This Row],[ReisetidOslo]]&lt;=C$434,C$434,IF(Tabell2[[#This Row],[ReisetidOslo]]&gt;=C$435,C$435,Tabell2[[#This Row],[ReisetidOslo]]))</f>
        <v>53.805284539509998</v>
      </c>
      <c r="M37" s="51">
        <f>IF(Tabell2[[#This Row],[Beftettotal]]&lt;=D$434,D$434,IF(Tabell2[[#This Row],[Beftettotal]]&gt;=D$435,D$435,Tabell2[[#This Row],[Beftettotal]]))</f>
        <v>120.20082693443592</v>
      </c>
      <c r="N37" s="51">
        <f>IF(Tabell2[[#This Row],[Befvekst10]]&lt;=E$434,E$434,IF(Tabell2[[#This Row],[Befvekst10]]&gt;=E$435,E$435,Tabell2[[#This Row],[Befvekst10]]))</f>
        <v>0.15149176954732502</v>
      </c>
      <c r="O37" s="51">
        <f>IF(Tabell2[[#This Row],[Kvinneandel]]&lt;=F$434,F$434,IF(Tabell2[[#This Row],[Kvinneandel]]&gt;=F$435,F$435,Tabell2[[#This Row],[Kvinneandel]]))</f>
        <v>0.11239669421487604</v>
      </c>
      <c r="P37" s="51">
        <f>IF(Tabell2[[#This Row],[Eldreandel]]&lt;=G$434,G$434,IF(Tabell2[[#This Row],[Eldreandel]]&gt;=G$435,G$435,Tabell2[[#This Row],[Eldreandel]]))</f>
        <v>0.1200928231908705</v>
      </c>
      <c r="Q37" s="51">
        <f>IF(Tabell2[[#This Row],[Sysselsettingsvekst10]]&lt;=H$434,H$434,IF(Tabell2[[#This Row],[Sysselsettingsvekst10]]&gt;=H$435,H$435,Tabell2[[#This Row],[Sysselsettingsvekst10]]))</f>
        <v>0.2083033011388209</v>
      </c>
      <c r="R37" s="51">
        <f>IF(Tabell2[[#This Row],[Yrkesaktivandel]]&lt;=I$434,I$434,IF(Tabell2[[#This Row],[Yrkesaktivandel]]&gt;=I$435,I$435,Tabell2[[#This Row],[Yrkesaktivandel]]))</f>
        <v>0.90305343511450387</v>
      </c>
      <c r="S37" s="52">
        <f>IF(Tabell2[[#This Row],[Inntekt]]&lt;=J$434,J$434,IF(Tabell2[[#This Row],[Inntekt]]&gt;=J$435,J$435,Tabell2[[#This Row],[Inntekt]]))</f>
        <v>400000</v>
      </c>
      <c r="T37" s="9">
        <f>IF(Tabell2[[#This Row],[NIBR11-T]]&lt;=K$437,100,IF(Tabell2[[#This Row],[NIBR11-T]]&gt;=K$436,0,100*(K$436-Tabell2[[#This Row],[NIBR11-T]])/K$439))</f>
        <v>100</v>
      </c>
      <c r="U37" s="9">
        <f>(L$436-Tabell2[[#This Row],[ReisetidOslo-T]])*100/L$439</f>
        <v>100</v>
      </c>
      <c r="V37" s="9">
        <f>100-(M$436-Tabell2[[#This Row],[Beftettotal-T]])*100/M$439</f>
        <v>93.622372915409969</v>
      </c>
      <c r="W37" s="9">
        <f>100-(N$436-Tabell2[[#This Row],[Befvekst10-T]])*100/N$439</f>
        <v>93.992474349147159</v>
      </c>
      <c r="X37" s="9">
        <f>100-(O$436-Tabell2[[#This Row],[Kvinneandel-T]])*100/O$439</f>
        <v>58.625686522350279</v>
      </c>
      <c r="Y37" s="9">
        <f>(P$436-Tabell2[[#This Row],[Eldreandel-T]])*100/P$439</f>
        <v>100.00000000000001</v>
      </c>
      <c r="Z37" s="9">
        <f>100-(Q$436-Tabell2[[#This Row],[Sysselsettingsvekst10-T]])*100/Q$439</f>
        <v>88.907665257217843</v>
      </c>
      <c r="AA37" s="9">
        <f>100-(R$436-Tabell2[[#This Row],[Yrkesaktivandel-T]])*100/R$439</f>
        <v>55.923954810779541</v>
      </c>
      <c r="AB37" s="9">
        <f>100-(S$436-Tabell2[[#This Row],[Inntekt-T]])*100/S$439</f>
        <v>100</v>
      </c>
      <c r="AC37" s="48">
        <f>Tabell2[[#This Row],[NIBR11-I]]*Vekter!$B$3</f>
        <v>20</v>
      </c>
      <c r="AD37" s="48">
        <f>Tabell2[[#This Row],[ReisetidOslo-I]]*Vekter!$C$3</f>
        <v>10</v>
      </c>
      <c r="AE37" s="48">
        <f>Tabell2[[#This Row],[Beftettotal-I]]*Vekter!$D$3</f>
        <v>9.3622372915409979</v>
      </c>
      <c r="AF37" s="48">
        <f>Tabell2[[#This Row],[Befvekst10-I]]*Vekter!$E$3</f>
        <v>18.798494869829433</v>
      </c>
      <c r="AG37" s="48">
        <f>Tabell2[[#This Row],[Kvinneandel-I]]*Vekter!$F$3</f>
        <v>2.9312843261175141</v>
      </c>
      <c r="AH37" s="48">
        <f>Tabell2[[#This Row],[Eldreandel-I]]*Vekter!$G$3</f>
        <v>5.0000000000000009</v>
      </c>
      <c r="AI37" s="48">
        <f>Tabell2[[#This Row],[Sysselsettingsvekst10-I]]*Vekter!$H$3</f>
        <v>8.8907665257217854</v>
      </c>
      <c r="AJ37" s="48">
        <f>Tabell2[[#This Row],[Yrkesaktivandel-I]]*Vekter!$J$3</f>
        <v>5.5923954810779541</v>
      </c>
      <c r="AK37" s="48">
        <f>Tabell2[[#This Row],[Inntekt-I]]*Vekter!$L$3</f>
        <v>10</v>
      </c>
      <c r="AL37" s="37">
        <f>SUM(Tabell2[[#This Row],[NIBR11-v]:[Inntekt-v]])</f>
        <v>90.575178494287698</v>
      </c>
    </row>
    <row r="38" spans="1:38">
      <c r="A38" s="2" t="s">
        <v>35</v>
      </c>
      <c r="B38">
        <f>'Rådata-K'!M37</f>
        <v>1</v>
      </c>
      <c r="C38" s="9">
        <f>'Rådata-K'!L37</f>
        <v>23.6326498886</v>
      </c>
      <c r="D38" s="51">
        <f>'Rådata-K'!N37</f>
        <v>75.634090635893742</v>
      </c>
      <c r="E38" s="51">
        <f>'Rådata-K'!O37</f>
        <v>0.26752618855761479</v>
      </c>
      <c r="F38" s="51">
        <f>'Rådata-K'!P37</f>
        <v>0.10680228862047043</v>
      </c>
      <c r="G38" s="51">
        <f>'Rådata-K'!Q37</f>
        <v>0.1147488874761602</v>
      </c>
      <c r="H38" s="51">
        <f>'Rådata-K'!R37</f>
        <v>0.24013157894736836</v>
      </c>
      <c r="I38" s="51">
        <f>'Rådata-K'!S37</f>
        <v>0.92112371690977846</v>
      </c>
      <c r="J38" s="52">
        <f>'Rådata-K'!K37</f>
        <v>431900</v>
      </c>
      <c r="K38" s="26">
        <f>Tabell2[[#This Row],[NIBR11]]</f>
        <v>1</v>
      </c>
      <c r="L38" s="52">
        <f>IF(Tabell2[[#This Row],[ReisetidOslo]]&lt;=C$434,C$434,IF(Tabell2[[#This Row],[ReisetidOslo]]&gt;=C$435,C$435,Tabell2[[#This Row],[ReisetidOslo]]))</f>
        <v>53.805284539509998</v>
      </c>
      <c r="M38" s="51">
        <f>IF(Tabell2[[#This Row],[Beftettotal]]&lt;=D$434,D$434,IF(Tabell2[[#This Row],[Beftettotal]]&gt;=D$435,D$435,Tabell2[[#This Row],[Beftettotal]]))</f>
        <v>75.634090635893742</v>
      </c>
      <c r="N38" s="51">
        <f>IF(Tabell2[[#This Row],[Befvekst10]]&lt;=E$434,E$434,IF(Tabell2[[#This Row],[Befvekst10]]&gt;=E$435,E$435,Tabell2[[#This Row],[Befvekst10]]))</f>
        <v>0.16633778614624492</v>
      </c>
      <c r="O38" s="51">
        <f>IF(Tabell2[[#This Row],[Kvinneandel]]&lt;=F$434,F$434,IF(Tabell2[[#This Row],[Kvinneandel]]&gt;=F$435,F$435,Tabell2[[#This Row],[Kvinneandel]]))</f>
        <v>0.10680228862047043</v>
      </c>
      <c r="P38" s="51">
        <f>IF(Tabell2[[#This Row],[Eldreandel]]&lt;=G$434,G$434,IF(Tabell2[[#This Row],[Eldreandel]]&gt;=G$435,G$435,Tabell2[[#This Row],[Eldreandel]]))</f>
        <v>0.1200928231908705</v>
      </c>
      <c r="Q38" s="51">
        <f>IF(Tabell2[[#This Row],[Sysselsettingsvekst10]]&lt;=H$434,H$434,IF(Tabell2[[#This Row],[Sysselsettingsvekst10]]&gt;=H$435,H$435,Tabell2[[#This Row],[Sysselsettingsvekst10]]))</f>
        <v>0.24013157894736836</v>
      </c>
      <c r="R38" s="51">
        <f>IF(Tabell2[[#This Row],[Yrkesaktivandel]]&lt;=I$434,I$434,IF(Tabell2[[#This Row],[Yrkesaktivandel]]&gt;=I$435,I$435,Tabell2[[#This Row],[Yrkesaktivandel]]))</f>
        <v>0.92112371690977846</v>
      </c>
      <c r="S38" s="52">
        <f>IF(Tabell2[[#This Row],[Inntekt]]&lt;=J$434,J$434,IF(Tabell2[[#This Row],[Inntekt]]&gt;=J$435,J$435,Tabell2[[#This Row],[Inntekt]]))</f>
        <v>400000</v>
      </c>
      <c r="T38" s="9">
        <f>IF(Tabell2[[#This Row],[NIBR11-T]]&lt;=K$437,100,IF(Tabell2[[#This Row],[NIBR11-T]]&gt;=K$436,0,100*(K$436-Tabell2[[#This Row],[NIBR11-T]])/K$439))</f>
        <v>100</v>
      </c>
      <c r="U38" s="9">
        <f>(L$436-Tabell2[[#This Row],[ReisetidOslo-T]])*100/L$439</f>
        <v>100</v>
      </c>
      <c r="V38" s="9">
        <f>100-(M$436-Tabell2[[#This Row],[Beftettotal-T]])*100/M$439</f>
        <v>58.518847347395493</v>
      </c>
      <c r="W38" s="9">
        <f>100-(N$436-Tabell2[[#This Row],[Befvekst10-T]])*100/N$439</f>
        <v>100</v>
      </c>
      <c r="X38" s="9">
        <f>100-(O$436-Tabell2[[#This Row],[Kvinneandel-T]])*100/O$439</f>
        <v>43.807796808723857</v>
      </c>
      <c r="Y38" s="9">
        <f>(P$436-Tabell2[[#This Row],[Eldreandel-T]])*100/P$439</f>
        <v>100.00000000000001</v>
      </c>
      <c r="Z38" s="9">
        <f>100-(Q$436-Tabell2[[#This Row],[Sysselsettingsvekst10-T]])*100/Q$439</f>
        <v>99.123624755781876</v>
      </c>
      <c r="AA38" s="9">
        <f>100-(R$436-Tabell2[[#This Row],[Yrkesaktivandel-T]])*100/R$439</f>
        <v>69.394911489141592</v>
      </c>
      <c r="AB38" s="9">
        <f>100-(S$436-Tabell2[[#This Row],[Inntekt-T]])*100/S$439</f>
        <v>100</v>
      </c>
      <c r="AC38" s="48">
        <f>Tabell2[[#This Row],[NIBR11-I]]*Vekter!$B$3</f>
        <v>20</v>
      </c>
      <c r="AD38" s="48">
        <f>Tabell2[[#This Row],[ReisetidOslo-I]]*Vekter!$C$3</f>
        <v>10</v>
      </c>
      <c r="AE38" s="48">
        <f>Tabell2[[#This Row],[Beftettotal-I]]*Vekter!$D$3</f>
        <v>5.8518847347395493</v>
      </c>
      <c r="AF38" s="48">
        <f>Tabell2[[#This Row],[Befvekst10-I]]*Vekter!$E$3</f>
        <v>20</v>
      </c>
      <c r="AG38" s="48">
        <f>Tabell2[[#This Row],[Kvinneandel-I]]*Vekter!$F$3</f>
        <v>2.1903898404361928</v>
      </c>
      <c r="AH38" s="48">
        <f>Tabell2[[#This Row],[Eldreandel-I]]*Vekter!$G$3</f>
        <v>5.0000000000000009</v>
      </c>
      <c r="AI38" s="48">
        <f>Tabell2[[#This Row],[Sysselsettingsvekst10-I]]*Vekter!$H$3</f>
        <v>9.9123624755781883</v>
      </c>
      <c r="AJ38" s="48">
        <f>Tabell2[[#This Row],[Yrkesaktivandel-I]]*Vekter!$J$3</f>
        <v>6.9394911489141595</v>
      </c>
      <c r="AK38" s="48">
        <f>Tabell2[[#This Row],[Inntekt-I]]*Vekter!$L$3</f>
        <v>10</v>
      </c>
      <c r="AL38" s="37">
        <f>SUM(Tabell2[[#This Row],[NIBR11-v]:[Inntekt-v]])</f>
        <v>89.894128199668089</v>
      </c>
    </row>
    <row r="39" spans="1:38">
      <c r="A39" s="2" t="s">
        <v>36</v>
      </c>
      <c r="B39">
        <f>'Rådata-K'!M38</f>
        <v>1</v>
      </c>
      <c r="C39" s="9">
        <f>'Rådata-K'!L38</f>
        <v>28.008664007299998</v>
      </c>
      <c r="D39" s="51">
        <f>'Rådata-K'!N38</f>
        <v>128.48259199112766</v>
      </c>
      <c r="E39" s="51">
        <f>'Rådata-K'!O38</f>
        <v>0.36385805583585595</v>
      </c>
      <c r="F39" s="51">
        <f>'Rådata-K'!P38</f>
        <v>0.13465688390159689</v>
      </c>
      <c r="G39" s="51">
        <f>'Rådata-K'!Q38</f>
        <v>0.10820642456378322</v>
      </c>
      <c r="H39" s="51">
        <f>'Rådata-K'!R38</f>
        <v>0.26868061485909478</v>
      </c>
      <c r="I39" s="51">
        <f>'Rådata-K'!S38</f>
        <v>0.87190488498319985</v>
      </c>
      <c r="J39" s="52">
        <f>'Rådata-K'!K38</f>
        <v>401700</v>
      </c>
      <c r="K39" s="26">
        <f>Tabell2[[#This Row],[NIBR11]]</f>
        <v>1</v>
      </c>
      <c r="L39" s="52">
        <f>IF(Tabell2[[#This Row],[ReisetidOslo]]&lt;=C$434,C$434,IF(Tabell2[[#This Row],[ReisetidOslo]]&gt;=C$435,C$435,Tabell2[[#This Row],[ReisetidOslo]]))</f>
        <v>53.805284539509998</v>
      </c>
      <c r="M39" s="51">
        <f>IF(Tabell2[[#This Row],[Beftettotal]]&lt;=D$434,D$434,IF(Tabell2[[#This Row],[Beftettotal]]&gt;=D$435,D$435,Tabell2[[#This Row],[Beftettotal]]))</f>
        <v>128.29773514779066</v>
      </c>
      <c r="N39" s="51">
        <f>IF(Tabell2[[#This Row],[Befvekst10]]&lt;=E$434,E$434,IF(Tabell2[[#This Row],[Befvekst10]]&gt;=E$435,E$435,Tabell2[[#This Row],[Befvekst10]]))</f>
        <v>0.16633778614624492</v>
      </c>
      <c r="O39" s="51">
        <f>IF(Tabell2[[#This Row],[Kvinneandel]]&lt;=F$434,F$434,IF(Tabell2[[#This Row],[Kvinneandel]]&gt;=F$435,F$435,Tabell2[[#This Row],[Kvinneandel]]))</f>
        <v>0.12801731869362362</v>
      </c>
      <c r="P39" s="51">
        <f>IF(Tabell2[[#This Row],[Eldreandel]]&lt;=G$434,G$434,IF(Tabell2[[#This Row],[Eldreandel]]&gt;=G$435,G$435,Tabell2[[#This Row],[Eldreandel]]))</f>
        <v>0.1200928231908705</v>
      </c>
      <c r="Q39" s="51">
        <f>IF(Tabell2[[#This Row],[Sysselsettingsvekst10]]&lt;=H$434,H$434,IF(Tabell2[[#This Row],[Sysselsettingsvekst10]]&gt;=H$435,H$435,Tabell2[[#This Row],[Sysselsettingsvekst10]]))</f>
        <v>0.24286196513786068</v>
      </c>
      <c r="R39" s="51">
        <f>IF(Tabell2[[#This Row],[Yrkesaktivandel]]&lt;=I$434,I$434,IF(Tabell2[[#This Row],[Yrkesaktivandel]]&gt;=I$435,I$435,Tabell2[[#This Row],[Yrkesaktivandel]]))</f>
        <v>0.87190488498319985</v>
      </c>
      <c r="S39" s="52">
        <f>IF(Tabell2[[#This Row],[Inntekt]]&lt;=J$434,J$434,IF(Tabell2[[#This Row],[Inntekt]]&gt;=J$435,J$435,Tabell2[[#This Row],[Inntekt]]))</f>
        <v>400000</v>
      </c>
      <c r="T39" s="9">
        <f>IF(Tabell2[[#This Row],[NIBR11-T]]&lt;=K$437,100,IF(Tabell2[[#This Row],[NIBR11-T]]&gt;=K$436,0,100*(K$436-Tabell2[[#This Row],[NIBR11-T]])/K$439))</f>
        <v>100</v>
      </c>
      <c r="U39" s="9">
        <f>(L$436-Tabell2[[#This Row],[ReisetidOslo-T]])*100/L$439</f>
        <v>100</v>
      </c>
      <c r="V39" s="9">
        <f>100-(M$436-Tabell2[[#This Row],[Beftettotal-T]])*100/M$439</f>
        <v>100</v>
      </c>
      <c r="W39" s="9">
        <f>100-(N$436-Tabell2[[#This Row],[Befvekst10-T]])*100/N$439</f>
        <v>100</v>
      </c>
      <c r="X39" s="9">
        <f>100-(O$436-Tabell2[[#This Row],[Kvinneandel-T]])*100/O$439</f>
        <v>100</v>
      </c>
      <c r="Y39" s="9">
        <f>(P$436-Tabell2[[#This Row],[Eldreandel-T]])*100/P$439</f>
        <v>100.00000000000001</v>
      </c>
      <c r="Z39" s="9">
        <f>100-(Q$436-Tabell2[[#This Row],[Sysselsettingsvekst10-T]])*100/Q$439</f>
        <v>100</v>
      </c>
      <c r="AA39" s="9">
        <f>100-(R$436-Tabell2[[#This Row],[Yrkesaktivandel-T]])*100/R$439</f>
        <v>32.703466377538206</v>
      </c>
      <c r="AB39" s="9">
        <f>100-(S$436-Tabell2[[#This Row],[Inntekt-T]])*100/S$439</f>
        <v>100</v>
      </c>
      <c r="AC39" s="48">
        <f>Tabell2[[#This Row],[NIBR11-I]]*Vekter!$B$3</f>
        <v>20</v>
      </c>
      <c r="AD39" s="48">
        <f>Tabell2[[#This Row],[ReisetidOslo-I]]*Vekter!$C$3</f>
        <v>10</v>
      </c>
      <c r="AE39" s="48">
        <f>Tabell2[[#This Row],[Beftettotal-I]]*Vekter!$D$3</f>
        <v>10</v>
      </c>
      <c r="AF39" s="48">
        <f>Tabell2[[#This Row],[Befvekst10-I]]*Vekter!$E$3</f>
        <v>20</v>
      </c>
      <c r="AG39" s="48">
        <f>Tabell2[[#This Row],[Kvinneandel-I]]*Vekter!$F$3</f>
        <v>5</v>
      </c>
      <c r="AH39" s="48">
        <f>Tabell2[[#This Row],[Eldreandel-I]]*Vekter!$G$3</f>
        <v>5.0000000000000009</v>
      </c>
      <c r="AI39" s="48">
        <f>Tabell2[[#This Row],[Sysselsettingsvekst10-I]]*Vekter!$H$3</f>
        <v>10</v>
      </c>
      <c r="AJ39" s="48">
        <f>Tabell2[[#This Row],[Yrkesaktivandel-I]]*Vekter!$J$3</f>
        <v>3.2703466377538208</v>
      </c>
      <c r="AK39" s="48">
        <f>Tabell2[[#This Row],[Inntekt-I]]*Vekter!$L$3</f>
        <v>10</v>
      </c>
      <c r="AL39" s="37">
        <f>SUM(Tabell2[[#This Row],[NIBR11-v]:[Inntekt-v]])</f>
        <v>93.270346637753818</v>
      </c>
    </row>
    <row r="40" spans="1:38">
      <c r="A40" s="2" t="s">
        <v>37</v>
      </c>
      <c r="B40">
        <f>'Rådata-K'!M39</f>
        <v>1</v>
      </c>
      <c r="C40" s="9">
        <f>'Rådata-K'!L39</f>
        <v>38.977310509699997</v>
      </c>
      <c r="D40" s="51">
        <f>'Rådata-K'!N39</f>
        <v>31.636751600351449</v>
      </c>
      <c r="E40" s="51">
        <f>'Rådata-K'!O39</f>
        <v>0.12453293179409952</v>
      </c>
      <c r="F40" s="51">
        <f>'Rådata-K'!P39</f>
        <v>0.11679230311446141</v>
      </c>
      <c r="G40" s="51">
        <f>'Rådata-K'!Q39</f>
        <v>0.12938901011704027</v>
      </c>
      <c r="H40" s="51">
        <f>'Rådata-K'!R39</f>
        <v>0.15319865319865311</v>
      </c>
      <c r="I40" s="51">
        <f>'Rådata-K'!S39</f>
        <v>0.860973597359736</v>
      </c>
      <c r="J40" s="52">
        <f>'Rådata-K'!K39</f>
        <v>368500</v>
      </c>
      <c r="K40" s="26">
        <f>Tabell2[[#This Row],[NIBR11]]</f>
        <v>1</v>
      </c>
      <c r="L40" s="52">
        <f>IF(Tabell2[[#This Row],[ReisetidOslo]]&lt;=C$434,C$434,IF(Tabell2[[#This Row],[ReisetidOslo]]&gt;=C$435,C$435,Tabell2[[#This Row],[ReisetidOslo]]))</f>
        <v>53.805284539509998</v>
      </c>
      <c r="M40" s="51">
        <f>IF(Tabell2[[#This Row],[Beftettotal]]&lt;=D$434,D$434,IF(Tabell2[[#This Row],[Beftettotal]]&gt;=D$435,D$435,Tabell2[[#This Row],[Beftettotal]]))</f>
        <v>31.636751600351449</v>
      </c>
      <c r="N40" s="51">
        <f>IF(Tabell2[[#This Row],[Befvekst10]]&lt;=E$434,E$434,IF(Tabell2[[#This Row],[Befvekst10]]&gt;=E$435,E$435,Tabell2[[#This Row],[Befvekst10]]))</f>
        <v>0.12453293179409952</v>
      </c>
      <c r="O40" s="51">
        <f>IF(Tabell2[[#This Row],[Kvinneandel]]&lt;=F$434,F$434,IF(Tabell2[[#This Row],[Kvinneandel]]&gt;=F$435,F$435,Tabell2[[#This Row],[Kvinneandel]]))</f>
        <v>0.11679230311446141</v>
      </c>
      <c r="P40" s="51">
        <f>IF(Tabell2[[#This Row],[Eldreandel]]&lt;=G$434,G$434,IF(Tabell2[[#This Row],[Eldreandel]]&gt;=G$435,G$435,Tabell2[[#This Row],[Eldreandel]]))</f>
        <v>0.12938901011704027</v>
      </c>
      <c r="Q40" s="51">
        <f>IF(Tabell2[[#This Row],[Sysselsettingsvekst10]]&lt;=H$434,H$434,IF(Tabell2[[#This Row],[Sysselsettingsvekst10]]&gt;=H$435,H$435,Tabell2[[#This Row],[Sysselsettingsvekst10]]))</f>
        <v>0.15319865319865311</v>
      </c>
      <c r="R40" s="51">
        <f>IF(Tabell2[[#This Row],[Yrkesaktivandel]]&lt;=I$434,I$434,IF(Tabell2[[#This Row],[Yrkesaktivandel]]&gt;=I$435,I$435,Tabell2[[#This Row],[Yrkesaktivandel]]))</f>
        <v>0.860973597359736</v>
      </c>
      <c r="S40" s="52">
        <f>IF(Tabell2[[#This Row],[Inntekt]]&lt;=J$434,J$434,IF(Tabell2[[#This Row],[Inntekt]]&gt;=J$435,J$435,Tabell2[[#This Row],[Inntekt]]))</f>
        <v>368500</v>
      </c>
      <c r="T40" s="9">
        <f>IF(Tabell2[[#This Row],[NIBR11-T]]&lt;=K$437,100,IF(Tabell2[[#This Row],[NIBR11-T]]&gt;=K$436,0,100*(K$436-Tabell2[[#This Row],[NIBR11-T]])/K$439))</f>
        <v>100</v>
      </c>
      <c r="U40" s="9">
        <f>(L$436-Tabell2[[#This Row],[ReisetidOslo-T]])*100/L$439</f>
        <v>100</v>
      </c>
      <c r="V40" s="9">
        <f>100-(M$436-Tabell2[[#This Row],[Beftettotal-T]])*100/M$439</f>
        <v>23.86381437812507</v>
      </c>
      <c r="W40" s="9">
        <f>100-(N$436-Tabell2[[#This Row],[Befvekst10-T]])*100/N$439</f>
        <v>83.083426239133246</v>
      </c>
      <c r="X40" s="9">
        <f>100-(O$436-Tabell2[[#This Row],[Kvinneandel-T]])*100/O$439</f>
        <v>70.268326084169743</v>
      </c>
      <c r="Y40" s="9">
        <f>(P$436-Tabell2[[#This Row],[Eldreandel-T]])*100/P$439</f>
        <v>89.4610387526739</v>
      </c>
      <c r="Z40" s="9">
        <f>100-(Q$436-Tabell2[[#This Row],[Sysselsettingsvekst10-T]])*100/Q$439</f>
        <v>71.220662054417943</v>
      </c>
      <c r="AA40" s="9">
        <f>100-(R$436-Tabell2[[#This Row],[Yrkesaktivandel-T]])*100/R$439</f>
        <v>24.554456656344811</v>
      </c>
      <c r="AB40" s="9">
        <f>100-(S$436-Tabell2[[#This Row],[Inntekt-T]])*100/S$439</f>
        <v>60.392304790645042</v>
      </c>
      <c r="AC40" s="48">
        <f>Tabell2[[#This Row],[NIBR11-I]]*Vekter!$B$3</f>
        <v>20</v>
      </c>
      <c r="AD40" s="48">
        <f>Tabell2[[#This Row],[ReisetidOslo-I]]*Vekter!$C$3</f>
        <v>10</v>
      </c>
      <c r="AE40" s="48">
        <f>Tabell2[[#This Row],[Beftettotal-I]]*Vekter!$D$3</f>
        <v>2.3863814378125072</v>
      </c>
      <c r="AF40" s="48">
        <f>Tabell2[[#This Row],[Befvekst10-I]]*Vekter!$E$3</f>
        <v>16.616685247826648</v>
      </c>
      <c r="AG40" s="48">
        <f>Tabell2[[#This Row],[Kvinneandel-I]]*Vekter!$F$3</f>
        <v>3.5134163042084872</v>
      </c>
      <c r="AH40" s="48">
        <f>Tabell2[[#This Row],[Eldreandel-I]]*Vekter!$G$3</f>
        <v>4.473051937633695</v>
      </c>
      <c r="AI40" s="48">
        <f>Tabell2[[#This Row],[Sysselsettingsvekst10-I]]*Vekter!$H$3</f>
        <v>7.1220662054417945</v>
      </c>
      <c r="AJ40" s="48">
        <f>Tabell2[[#This Row],[Yrkesaktivandel-I]]*Vekter!$J$3</f>
        <v>2.4554456656344814</v>
      </c>
      <c r="AK40" s="48">
        <f>Tabell2[[#This Row],[Inntekt-I]]*Vekter!$L$3</f>
        <v>6.0392304790645044</v>
      </c>
      <c r="AL40" s="37">
        <f>SUM(Tabell2[[#This Row],[NIBR11-v]:[Inntekt-v]])</f>
        <v>72.606277277622127</v>
      </c>
    </row>
    <row r="41" spans="1:38">
      <c r="A41" s="2" t="s">
        <v>38</v>
      </c>
      <c r="B41">
        <f>'Rådata-K'!M40</f>
        <v>1</v>
      </c>
      <c r="C41" s="9">
        <f>'Rådata-K'!L40</f>
        <v>47.637274110600003</v>
      </c>
      <c r="D41" s="51">
        <f>'Rådata-K'!N40</f>
        <v>49.702081051478643</v>
      </c>
      <c r="E41" s="51">
        <f>'Rådata-K'!O40</f>
        <v>0.2372668775220852</v>
      </c>
      <c r="F41" s="51">
        <f>'Rådata-K'!P40</f>
        <v>0.1253030102692935</v>
      </c>
      <c r="G41" s="51">
        <f>'Rådata-K'!Q40</f>
        <v>0.1244215258495306</v>
      </c>
      <c r="H41" s="51">
        <f>'Rådata-K'!R40</f>
        <v>7.3527024833630827E-2</v>
      </c>
      <c r="I41" s="51">
        <f>'Rådata-K'!S40</f>
        <v>0.84954575670285837</v>
      </c>
      <c r="J41" s="52">
        <f>'Rådata-K'!K40</f>
        <v>368400</v>
      </c>
      <c r="K41" s="26">
        <f>Tabell2[[#This Row],[NIBR11]]</f>
        <v>1</v>
      </c>
      <c r="L41" s="52">
        <f>IF(Tabell2[[#This Row],[ReisetidOslo]]&lt;=C$434,C$434,IF(Tabell2[[#This Row],[ReisetidOslo]]&gt;=C$435,C$435,Tabell2[[#This Row],[ReisetidOslo]]))</f>
        <v>53.805284539509998</v>
      </c>
      <c r="M41" s="51">
        <f>IF(Tabell2[[#This Row],[Beftettotal]]&lt;=D$434,D$434,IF(Tabell2[[#This Row],[Beftettotal]]&gt;=D$435,D$435,Tabell2[[#This Row],[Beftettotal]]))</f>
        <v>49.702081051478643</v>
      </c>
      <c r="N41" s="51">
        <f>IF(Tabell2[[#This Row],[Befvekst10]]&lt;=E$434,E$434,IF(Tabell2[[#This Row],[Befvekst10]]&gt;=E$435,E$435,Tabell2[[#This Row],[Befvekst10]]))</f>
        <v>0.16633778614624492</v>
      </c>
      <c r="O41" s="51">
        <f>IF(Tabell2[[#This Row],[Kvinneandel]]&lt;=F$434,F$434,IF(Tabell2[[#This Row],[Kvinneandel]]&gt;=F$435,F$435,Tabell2[[#This Row],[Kvinneandel]]))</f>
        <v>0.1253030102692935</v>
      </c>
      <c r="P41" s="51">
        <f>IF(Tabell2[[#This Row],[Eldreandel]]&lt;=G$434,G$434,IF(Tabell2[[#This Row],[Eldreandel]]&gt;=G$435,G$435,Tabell2[[#This Row],[Eldreandel]]))</f>
        <v>0.1244215258495306</v>
      </c>
      <c r="Q41" s="51">
        <f>IF(Tabell2[[#This Row],[Sysselsettingsvekst10]]&lt;=H$434,H$434,IF(Tabell2[[#This Row],[Sysselsettingsvekst10]]&gt;=H$435,H$435,Tabell2[[#This Row],[Sysselsettingsvekst10]]))</f>
        <v>7.3527024833630827E-2</v>
      </c>
      <c r="R41" s="51">
        <f>IF(Tabell2[[#This Row],[Yrkesaktivandel]]&lt;=I$434,I$434,IF(Tabell2[[#This Row],[Yrkesaktivandel]]&gt;=I$435,I$435,Tabell2[[#This Row],[Yrkesaktivandel]]))</f>
        <v>0.84954575670285837</v>
      </c>
      <c r="S41" s="52">
        <f>IF(Tabell2[[#This Row],[Inntekt]]&lt;=J$434,J$434,IF(Tabell2[[#This Row],[Inntekt]]&gt;=J$435,J$435,Tabell2[[#This Row],[Inntekt]]))</f>
        <v>368400</v>
      </c>
      <c r="T41" s="9">
        <f>IF(Tabell2[[#This Row],[NIBR11-T]]&lt;=K$437,100,IF(Tabell2[[#This Row],[NIBR11-T]]&gt;=K$436,0,100*(K$436-Tabell2[[#This Row],[NIBR11-T]])/K$439))</f>
        <v>100</v>
      </c>
      <c r="U41" s="9">
        <f>(L$436-Tabell2[[#This Row],[ReisetidOslo-T]])*100/L$439</f>
        <v>100</v>
      </c>
      <c r="V41" s="9">
        <f>100-(M$436-Tabell2[[#This Row],[Beftettotal-T]])*100/M$439</f>
        <v>38.0931882778466</v>
      </c>
      <c r="W41" s="9">
        <f>100-(N$436-Tabell2[[#This Row],[Befvekst10-T]])*100/N$439</f>
        <v>100</v>
      </c>
      <c r="X41" s="9">
        <f>100-(O$436-Tabell2[[#This Row],[Kvinneandel-T]])*100/O$439</f>
        <v>92.810617285112272</v>
      </c>
      <c r="Y41" s="9">
        <f>(P$436-Tabell2[[#This Row],[Eldreandel-T]])*100/P$439</f>
        <v>95.092608406744603</v>
      </c>
      <c r="Z41" s="9">
        <f>100-(Q$436-Tabell2[[#This Row],[Sysselsettingsvekst10-T]])*100/Q$439</f>
        <v>45.648366454335729</v>
      </c>
      <c r="AA41" s="9">
        <f>100-(R$436-Tabell2[[#This Row],[Yrkesaktivandel-T]])*100/R$439</f>
        <v>16.035278695529612</v>
      </c>
      <c r="AB41" s="9">
        <f>100-(S$436-Tabell2[[#This Row],[Inntekt-T]])*100/S$439</f>
        <v>60.266566075694705</v>
      </c>
      <c r="AC41" s="48">
        <f>Tabell2[[#This Row],[NIBR11-I]]*Vekter!$B$3</f>
        <v>20</v>
      </c>
      <c r="AD41" s="48">
        <f>Tabell2[[#This Row],[ReisetidOslo-I]]*Vekter!$C$3</f>
        <v>10</v>
      </c>
      <c r="AE41" s="48">
        <f>Tabell2[[#This Row],[Beftettotal-I]]*Vekter!$D$3</f>
        <v>3.8093188277846601</v>
      </c>
      <c r="AF41" s="48">
        <f>Tabell2[[#This Row],[Befvekst10-I]]*Vekter!$E$3</f>
        <v>20</v>
      </c>
      <c r="AG41" s="48">
        <f>Tabell2[[#This Row],[Kvinneandel-I]]*Vekter!$F$3</f>
        <v>4.6405308642556138</v>
      </c>
      <c r="AH41" s="48">
        <f>Tabell2[[#This Row],[Eldreandel-I]]*Vekter!$G$3</f>
        <v>4.7546304203372305</v>
      </c>
      <c r="AI41" s="48">
        <f>Tabell2[[#This Row],[Sysselsettingsvekst10-I]]*Vekter!$H$3</f>
        <v>4.5648366454335729</v>
      </c>
      <c r="AJ41" s="48">
        <f>Tabell2[[#This Row],[Yrkesaktivandel-I]]*Vekter!$J$3</f>
        <v>1.6035278695529613</v>
      </c>
      <c r="AK41" s="48">
        <f>Tabell2[[#This Row],[Inntekt-I]]*Vekter!$L$3</f>
        <v>6.0266566075694712</v>
      </c>
      <c r="AL41" s="37">
        <f>SUM(Tabell2[[#This Row],[NIBR11-v]:[Inntekt-v]])</f>
        <v>75.399501234933524</v>
      </c>
    </row>
    <row r="42" spans="1:38">
      <c r="A42" s="2" t="s">
        <v>39</v>
      </c>
      <c r="B42">
        <f>'Rådata-K'!M41</f>
        <v>1</v>
      </c>
      <c r="C42" s="9">
        <f>'Rådata-K'!L41</f>
        <v>37.991412563899999</v>
      </c>
      <c r="D42" s="51">
        <f>'Rådata-K'!N41</f>
        <v>34.332385113932958</v>
      </c>
      <c r="E42" s="51">
        <f>'Rådata-K'!O41</f>
        <v>0.17741124409132047</v>
      </c>
      <c r="F42" s="51">
        <f>'Rådata-K'!P41</f>
        <v>0.12274707439993167</v>
      </c>
      <c r="G42" s="51">
        <f>'Rådata-K'!Q41</f>
        <v>0.11300931066883062</v>
      </c>
      <c r="H42" s="51">
        <f>'Rådata-K'!R41</f>
        <v>0.3987463837994214</v>
      </c>
      <c r="I42" s="51">
        <f>'Rådata-K'!S41</f>
        <v>0.88198403648802737</v>
      </c>
      <c r="J42" s="52">
        <f>'Rådata-K'!K41</f>
        <v>380300</v>
      </c>
      <c r="K42" s="26">
        <f>Tabell2[[#This Row],[NIBR11]]</f>
        <v>1</v>
      </c>
      <c r="L42" s="52">
        <f>IF(Tabell2[[#This Row],[ReisetidOslo]]&lt;=C$434,C$434,IF(Tabell2[[#This Row],[ReisetidOslo]]&gt;=C$435,C$435,Tabell2[[#This Row],[ReisetidOslo]]))</f>
        <v>53.805284539509998</v>
      </c>
      <c r="M42" s="51">
        <f>IF(Tabell2[[#This Row],[Beftettotal]]&lt;=D$434,D$434,IF(Tabell2[[#This Row],[Beftettotal]]&gt;=D$435,D$435,Tabell2[[#This Row],[Beftettotal]]))</f>
        <v>34.332385113932958</v>
      </c>
      <c r="N42" s="51">
        <f>IF(Tabell2[[#This Row],[Befvekst10]]&lt;=E$434,E$434,IF(Tabell2[[#This Row],[Befvekst10]]&gt;=E$435,E$435,Tabell2[[#This Row],[Befvekst10]]))</f>
        <v>0.16633778614624492</v>
      </c>
      <c r="O42" s="51">
        <f>IF(Tabell2[[#This Row],[Kvinneandel]]&lt;=F$434,F$434,IF(Tabell2[[#This Row],[Kvinneandel]]&gt;=F$435,F$435,Tabell2[[#This Row],[Kvinneandel]]))</f>
        <v>0.12274707439993167</v>
      </c>
      <c r="P42" s="51">
        <f>IF(Tabell2[[#This Row],[Eldreandel]]&lt;=G$434,G$434,IF(Tabell2[[#This Row],[Eldreandel]]&gt;=G$435,G$435,Tabell2[[#This Row],[Eldreandel]]))</f>
        <v>0.1200928231908705</v>
      </c>
      <c r="Q42" s="51">
        <f>IF(Tabell2[[#This Row],[Sysselsettingsvekst10]]&lt;=H$434,H$434,IF(Tabell2[[#This Row],[Sysselsettingsvekst10]]&gt;=H$435,H$435,Tabell2[[#This Row],[Sysselsettingsvekst10]]))</f>
        <v>0.24286196513786068</v>
      </c>
      <c r="R42" s="51">
        <f>IF(Tabell2[[#This Row],[Yrkesaktivandel]]&lt;=I$434,I$434,IF(Tabell2[[#This Row],[Yrkesaktivandel]]&gt;=I$435,I$435,Tabell2[[#This Row],[Yrkesaktivandel]]))</f>
        <v>0.88198403648802737</v>
      </c>
      <c r="S42" s="52">
        <f>IF(Tabell2[[#This Row],[Inntekt]]&lt;=J$434,J$434,IF(Tabell2[[#This Row],[Inntekt]]&gt;=J$435,J$435,Tabell2[[#This Row],[Inntekt]]))</f>
        <v>380300</v>
      </c>
      <c r="T42" s="9">
        <f>IF(Tabell2[[#This Row],[NIBR11-T]]&lt;=K$437,100,IF(Tabell2[[#This Row],[NIBR11-T]]&gt;=K$436,0,100*(K$436-Tabell2[[#This Row],[NIBR11-T]])/K$439))</f>
        <v>100</v>
      </c>
      <c r="U42" s="9">
        <f>(L$436-Tabell2[[#This Row],[ReisetidOslo-T]])*100/L$439</f>
        <v>100</v>
      </c>
      <c r="V42" s="9">
        <f>100-(M$436-Tabell2[[#This Row],[Beftettotal-T]])*100/M$439</f>
        <v>25.98706251844493</v>
      </c>
      <c r="W42" s="9">
        <f>100-(N$436-Tabell2[[#This Row],[Befvekst10-T]])*100/N$439</f>
        <v>100</v>
      </c>
      <c r="X42" s="9">
        <f>100-(O$436-Tabell2[[#This Row],[Kvinneandel-T]])*100/O$439</f>
        <v>86.040715605981433</v>
      </c>
      <c r="Y42" s="9">
        <f>(P$436-Tabell2[[#This Row],[Eldreandel-T]])*100/P$439</f>
        <v>100.00000000000001</v>
      </c>
      <c r="Z42" s="9">
        <f>100-(Q$436-Tabell2[[#This Row],[Sysselsettingsvekst10-T]])*100/Q$439</f>
        <v>100</v>
      </c>
      <c r="AA42" s="9">
        <f>100-(R$436-Tabell2[[#This Row],[Yrkesaktivandel-T]])*100/R$439</f>
        <v>40.217229295816821</v>
      </c>
      <c r="AB42" s="9">
        <f>100-(S$436-Tabell2[[#This Row],[Inntekt-T]])*100/S$439</f>
        <v>75.229473154784358</v>
      </c>
      <c r="AC42" s="48">
        <f>Tabell2[[#This Row],[NIBR11-I]]*Vekter!$B$3</f>
        <v>20</v>
      </c>
      <c r="AD42" s="48">
        <f>Tabell2[[#This Row],[ReisetidOslo-I]]*Vekter!$C$3</f>
        <v>10</v>
      </c>
      <c r="AE42" s="48">
        <f>Tabell2[[#This Row],[Beftettotal-I]]*Vekter!$D$3</f>
        <v>2.5987062518444932</v>
      </c>
      <c r="AF42" s="48">
        <f>Tabell2[[#This Row],[Befvekst10-I]]*Vekter!$E$3</f>
        <v>20</v>
      </c>
      <c r="AG42" s="48">
        <f>Tabell2[[#This Row],[Kvinneandel-I]]*Vekter!$F$3</f>
        <v>4.3020357802990716</v>
      </c>
      <c r="AH42" s="48">
        <f>Tabell2[[#This Row],[Eldreandel-I]]*Vekter!$G$3</f>
        <v>5.0000000000000009</v>
      </c>
      <c r="AI42" s="48">
        <f>Tabell2[[#This Row],[Sysselsettingsvekst10-I]]*Vekter!$H$3</f>
        <v>10</v>
      </c>
      <c r="AJ42" s="48">
        <f>Tabell2[[#This Row],[Yrkesaktivandel-I]]*Vekter!$J$3</f>
        <v>4.0217229295816823</v>
      </c>
      <c r="AK42" s="48">
        <f>Tabell2[[#This Row],[Inntekt-I]]*Vekter!$L$3</f>
        <v>7.5229473154784365</v>
      </c>
      <c r="AL42" s="37">
        <f>SUM(Tabell2[[#This Row],[NIBR11-v]:[Inntekt-v]])</f>
        <v>83.445412277203687</v>
      </c>
    </row>
    <row r="43" spans="1:38">
      <c r="A43" s="2" t="s">
        <v>40</v>
      </c>
      <c r="B43">
        <f>'Rådata-K'!M42</f>
        <v>1</v>
      </c>
      <c r="C43" s="9">
        <f>'Rådata-K'!L42</f>
        <v>53.456666064899999</v>
      </c>
      <c r="D43" s="51">
        <f>'Rådata-K'!N42</f>
        <v>9.4574677147669828</v>
      </c>
      <c r="E43" s="51">
        <f>'Rådata-K'!O42</f>
        <v>5.9723777528928323E-3</v>
      </c>
      <c r="F43" s="51">
        <f>'Rådata-K'!P42</f>
        <v>0.1012987012987013</v>
      </c>
      <c r="G43" s="51">
        <f>'Rådata-K'!Q42</f>
        <v>0.17031539888682745</v>
      </c>
      <c r="H43" s="51">
        <f>'Rådata-K'!R42</f>
        <v>-2.7809965237543421E-2</v>
      </c>
      <c r="I43" s="51">
        <f>'Rådata-K'!S42</f>
        <v>0.86049543676662321</v>
      </c>
      <c r="J43" s="52">
        <f>'Rådata-K'!K42</f>
        <v>335900</v>
      </c>
      <c r="K43" s="26">
        <f>Tabell2[[#This Row],[NIBR11]]</f>
        <v>1</v>
      </c>
      <c r="L43" s="52">
        <f>IF(Tabell2[[#This Row],[ReisetidOslo]]&lt;=C$434,C$434,IF(Tabell2[[#This Row],[ReisetidOslo]]&gt;=C$435,C$435,Tabell2[[#This Row],[ReisetidOslo]]))</f>
        <v>53.805284539509998</v>
      </c>
      <c r="M43" s="51">
        <f>IF(Tabell2[[#This Row],[Beftettotal]]&lt;=D$434,D$434,IF(Tabell2[[#This Row],[Beftettotal]]&gt;=D$435,D$435,Tabell2[[#This Row],[Beftettotal]]))</f>
        <v>9.4574677147669828</v>
      </c>
      <c r="N43" s="51">
        <f>IF(Tabell2[[#This Row],[Befvekst10]]&lt;=E$434,E$434,IF(Tabell2[[#This Row],[Befvekst10]]&gt;=E$435,E$435,Tabell2[[#This Row],[Befvekst10]]))</f>
        <v>5.9723777528928323E-3</v>
      </c>
      <c r="O43" s="51">
        <f>IF(Tabell2[[#This Row],[Kvinneandel]]&lt;=F$434,F$434,IF(Tabell2[[#This Row],[Kvinneandel]]&gt;=F$435,F$435,Tabell2[[#This Row],[Kvinneandel]]))</f>
        <v>0.1012987012987013</v>
      </c>
      <c r="P43" s="51">
        <f>IF(Tabell2[[#This Row],[Eldreandel]]&lt;=G$434,G$434,IF(Tabell2[[#This Row],[Eldreandel]]&gt;=G$435,G$435,Tabell2[[#This Row],[Eldreandel]]))</f>
        <v>0.17031539888682745</v>
      </c>
      <c r="Q43" s="51">
        <f>IF(Tabell2[[#This Row],[Sysselsettingsvekst10]]&lt;=H$434,H$434,IF(Tabell2[[#This Row],[Sysselsettingsvekst10]]&gt;=H$435,H$435,Tabell2[[#This Row],[Sysselsettingsvekst10]]))</f>
        <v>-2.7809965237543421E-2</v>
      </c>
      <c r="R43" s="51">
        <f>IF(Tabell2[[#This Row],[Yrkesaktivandel]]&lt;=I$434,I$434,IF(Tabell2[[#This Row],[Yrkesaktivandel]]&gt;=I$435,I$435,Tabell2[[#This Row],[Yrkesaktivandel]]))</f>
        <v>0.86049543676662321</v>
      </c>
      <c r="S43" s="52">
        <f>IF(Tabell2[[#This Row],[Inntekt]]&lt;=J$434,J$434,IF(Tabell2[[#This Row],[Inntekt]]&gt;=J$435,J$435,Tabell2[[#This Row],[Inntekt]]))</f>
        <v>335900</v>
      </c>
      <c r="T43" s="9">
        <f>IF(Tabell2[[#This Row],[NIBR11-T]]&lt;=K$437,100,IF(Tabell2[[#This Row],[NIBR11-T]]&gt;=K$436,0,100*(K$436-Tabell2[[#This Row],[NIBR11-T]])/K$439))</f>
        <v>100</v>
      </c>
      <c r="U43" s="9">
        <f>(L$436-Tabell2[[#This Row],[ReisetidOslo-T]])*100/L$439</f>
        <v>100</v>
      </c>
      <c r="V43" s="9">
        <f>100-(M$436-Tabell2[[#This Row],[Beftettotal-T]])*100/M$439</f>
        <v>6.3940348155742015</v>
      </c>
      <c r="W43" s="9">
        <f>100-(N$436-Tabell2[[#This Row],[Befvekst10-T]])*100/N$439</f>
        <v>35.107218962516498</v>
      </c>
      <c r="X43" s="9">
        <f>100-(O$436-Tabell2[[#This Row],[Kvinneandel-T]])*100/O$439</f>
        <v>29.230457252786238</v>
      </c>
      <c r="Y43" s="9">
        <f>(P$436-Tabell2[[#This Row],[Eldreandel-T]])*100/P$439</f>
        <v>43.063345949878368</v>
      </c>
      <c r="Z43" s="9">
        <f>100-(Q$436-Tabell2[[#This Row],[Sysselsettingsvekst10-T]])*100/Q$439</f>
        <v>13.122114405741243</v>
      </c>
      <c r="AA43" s="9">
        <f>100-(R$436-Tabell2[[#This Row],[Yrkesaktivandel-T]])*100/R$439</f>
        <v>24.197999534751574</v>
      </c>
      <c r="AB43" s="9">
        <f>100-(S$436-Tabell2[[#This Row],[Inntekt-T]])*100/S$439</f>
        <v>19.40148371683641</v>
      </c>
      <c r="AC43" s="48">
        <f>Tabell2[[#This Row],[NIBR11-I]]*Vekter!$B$3</f>
        <v>20</v>
      </c>
      <c r="AD43" s="48">
        <f>Tabell2[[#This Row],[ReisetidOslo-I]]*Vekter!$C$3</f>
        <v>10</v>
      </c>
      <c r="AE43" s="48">
        <f>Tabell2[[#This Row],[Beftettotal-I]]*Vekter!$D$3</f>
        <v>0.63940348155742022</v>
      </c>
      <c r="AF43" s="48">
        <f>Tabell2[[#This Row],[Befvekst10-I]]*Vekter!$E$3</f>
        <v>7.0214437925033</v>
      </c>
      <c r="AG43" s="48">
        <f>Tabell2[[#This Row],[Kvinneandel-I]]*Vekter!$F$3</f>
        <v>1.461522862639312</v>
      </c>
      <c r="AH43" s="48">
        <f>Tabell2[[#This Row],[Eldreandel-I]]*Vekter!$G$3</f>
        <v>2.1531672974939187</v>
      </c>
      <c r="AI43" s="48">
        <f>Tabell2[[#This Row],[Sysselsettingsvekst10-I]]*Vekter!$H$3</f>
        <v>1.3122114405741243</v>
      </c>
      <c r="AJ43" s="48">
        <f>Tabell2[[#This Row],[Yrkesaktivandel-I]]*Vekter!$J$3</f>
        <v>2.4197999534751577</v>
      </c>
      <c r="AK43" s="48">
        <f>Tabell2[[#This Row],[Inntekt-I]]*Vekter!$L$3</f>
        <v>1.940148371683641</v>
      </c>
      <c r="AL43" s="37">
        <f>SUM(Tabell2[[#This Row],[NIBR11-v]:[Inntekt-v]])</f>
        <v>46.947697199926871</v>
      </c>
    </row>
    <row r="44" spans="1:38">
      <c r="A44" s="2" t="s">
        <v>41</v>
      </c>
      <c r="B44">
        <f>'Rådata-K'!M43</f>
        <v>1</v>
      </c>
      <c r="C44" s="9">
        <f>'Rådata-K'!L43</f>
        <v>1.4215456179399999</v>
      </c>
      <c r="D44" s="51">
        <f>'Rådata-K'!N43</f>
        <v>1397.2493833685694</v>
      </c>
      <c r="E44" s="51">
        <f>'Rådata-K'!O43</f>
        <v>0.21571186044461821</v>
      </c>
      <c r="F44" s="51">
        <f>'Rådata-K'!P43</f>
        <v>0.18402806783059059</v>
      </c>
      <c r="G44" s="51">
        <f>'Rådata-K'!Q43</f>
        <v>0.10411797063028104</v>
      </c>
      <c r="H44" s="51">
        <f>'Rådata-K'!R43</f>
        <v>0.16977204610725494</v>
      </c>
      <c r="I44" s="51">
        <f>'Rådata-K'!S43</f>
        <v>0.81346376459491521</v>
      </c>
      <c r="J44" s="52">
        <f>'Rådata-K'!K43</f>
        <v>437400</v>
      </c>
      <c r="K44" s="26">
        <f>Tabell2[[#This Row],[NIBR11]]</f>
        <v>1</v>
      </c>
      <c r="L44" s="52">
        <f>IF(Tabell2[[#This Row],[ReisetidOslo]]&lt;=C$434,C$434,IF(Tabell2[[#This Row],[ReisetidOslo]]&gt;=C$435,C$435,Tabell2[[#This Row],[ReisetidOslo]]))</f>
        <v>53.805284539509998</v>
      </c>
      <c r="M44" s="51">
        <f>IF(Tabell2[[#This Row],[Beftettotal]]&lt;=D$434,D$434,IF(Tabell2[[#This Row],[Beftettotal]]&gt;=D$435,D$435,Tabell2[[#This Row],[Beftettotal]]))</f>
        <v>128.29773514779066</v>
      </c>
      <c r="N44" s="51">
        <f>IF(Tabell2[[#This Row],[Befvekst10]]&lt;=E$434,E$434,IF(Tabell2[[#This Row],[Befvekst10]]&gt;=E$435,E$435,Tabell2[[#This Row],[Befvekst10]]))</f>
        <v>0.16633778614624492</v>
      </c>
      <c r="O44" s="51">
        <f>IF(Tabell2[[#This Row],[Kvinneandel]]&lt;=F$434,F$434,IF(Tabell2[[#This Row],[Kvinneandel]]&gt;=F$435,F$435,Tabell2[[#This Row],[Kvinneandel]]))</f>
        <v>0.12801731869362362</v>
      </c>
      <c r="P44" s="51">
        <f>IF(Tabell2[[#This Row],[Eldreandel]]&lt;=G$434,G$434,IF(Tabell2[[#This Row],[Eldreandel]]&gt;=G$435,G$435,Tabell2[[#This Row],[Eldreandel]]))</f>
        <v>0.1200928231908705</v>
      </c>
      <c r="Q44" s="51">
        <f>IF(Tabell2[[#This Row],[Sysselsettingsvekst10]]&lt;=H$434,H$434,IF(Tabell2[[#This Row],[Sysselsettingsvekst10]]&gt;=H$435,H$435,Tabell2[[#This Row],[Sysselsettingsvekst10]]))</f>
        <v>0.16977204610725494</v>
      </c>
      <c r="R44" s="51">
        <f>IF(Tabell2[[#This Row],[Yrkesaktivandel]]&lt;=I$434,I$434,IF(Tabell2[[#This Row],[Yrkesaktivandel]]&gt;=I$435,I$435,Tabell2[[#This Row],[Yrkesaktivandel]]))</f>
        <v>0.82803562853509294</v>
      </c>
      <c r="S44" s="52">
        <f>IF(Tabell2[[#This Row],[Inntekt]]&lt;=J$434,J$434,IF(Tabell2[[#This Row],[Inntekt]]&gt;=J$435,J$435,Tabell2[[#This Row],[Inntekt]]))</f>
        <v>400000</v>
      </c>
      <c r="T44" s="9">
        <f>IF(Tabell2[[#This Row],[NIBR11-T]]&lt;=K$437,100,IF(Tabell2[[#This Row],[NIBR11-T]]&gt;=K$436,0,100*(K$436-Tabell2[[#This Row],[NIBR11-T]])/K$439))</f>
        <v>100</v>
      </c>
      <c r="U44" s="9">
        <f>(L$436-Tabell2[[#This Row],[ReisetidOslo-T]])*100/L$439</f>
        <v>100</v>
      </c>
      <c r="V44" s="9">
        <f>100-(M$436-Tabell2[[#This Row],[Beftettotal-T]])*100/M$439</f>
        <v>100</v>
      </c>
      <c r="W44" s="9">
        <f>100-(N$436-Tabell2[[#This Row],[Befvekst10-T]])*100/N$439</f>
        <v>100</v>
      </c>
      <c r="X44" s="9">
        <f>100-(O$436-Tabell2[[#This Row],[Kvinneandel-T]])*100/O$439</f>
        <v>100</v>
      </c>
      <c r="Y44" s="9">
        <f>(P$436-Tabell2[[#This Row],[Eldreandel-T]])*100/P$439</f>
        <v>100.00000000000001</v>
      </c>
      <c r="Z44" s="9">
        <f>100-(Q$436-Tabell2[[#This Row],[Sysselsettingsvekst10-T]])*100/Q$439</f>
        <v>76.540243331372736</v>
      </c>
      <c r="AA44" s="9">
        <f>100-(R$436-Tabell2[[#This Row],[Yrkesaktivandel-T]])*100/R$439</f>
        <v>0</v>
      </c>
      <c r="AB44" s="9">
        <f>100-(S$436-Tabell2[[#This Row],[Inntekt-T]])*100/S$439</f>
        <v>100</v>
      </c>
      <c r="AC44" s="48">
        <f>Tabell2[[#This Row],[NIBR11-I]]*Vekter!$B$3</f>
        <v>20</v>
      </c>
      <c r="AD44" s="48">
        <f>Tabell2[[#This Row],[ReisetidOslo-I]]*Vekter!$C$3</f>
        <v>10</v>
      </c>
      <c r="AE44" s="48">
        <f>Tabell2[[#This Row],[Beftettotal-I]]*Vekter!$D$3</f>
        <v>10</v>
      </c>
      <c r="AF44" s="48">
        <f>Tabell2[[#This Row],[Befvekst10-I]]*Vekter!$E$3</f>
        <v>20</v>
      </c>
      <c r="AG44" s="48">
        <f>Tabell2[[#This Row],[Kvinneandel-I]]*Vekter!$F$3</f>
        <v>5</v>
      </c>
      <c r="AH44" s="48">
        <f>Tabell2[[#This Row],[Eldreandel-I]]*Vekter!$G$3</f>
        <v>5.0000000000000009</v>
      </c>
      <c r="AI44" s="48">
        <f>Tabell2[[#This Row],[Sysselsettingsvekst10-I]]*Vekter!$H$3</f>
        <v>7.6540243331372739</v>
      </c>
      <c r="AJ44" s="48">
        <f>Tabell2[[#This Row],[Yrkesaktivandel-I]]*Vekter!$J$3</f>
        <v>0</v>
      </c>
      <c r="AK44" s="48">
        <f>Tabell2[[#This Row],[Inntekt-I]]*Vekter!$L$3</f>
        <v>10</v>
      </c>
      <c r="AL44" s="37">
        <f>SUM(Tabell2[[#This Row],[NIBR11-v]:[Inntekt-v]])</f>
        <v>87.654024333137272</v>
      </c>
    </row>
    <row r="45" spans="1:38">
      <c r="A45" s="2" t="s">
        <v>42</v>
      </c>
      <c r="B45">
        <f>'Rådata-K'!M44</f>
        <v>5</v>
      </c>
      <c r="C45" s="9">
        <f>'Rådata-K'!L44</f>
        <v>71.894646143399996</v>
      </c>
      <c r="D45" s="51">
        <f>'Rådata-K'!N44</f>
        <v>17.198128226156591</v>
      </c>
      <c r="E45" s="51">
        <f>'Rådata-K'!O44</f>
        <v>2.5604142692750242E-2</v>
      </c>
      <c r="F45" s="51">
        <f>'Rådata-K'!P44</f>
        <v>0.1032258064516129</v>
      </c>
      <c r="G45" s="51">
        <f>'Rådata-K'!Q44</f>
        <v>0.17531556802244039</v>
      </c>
      <c r="H45" s="51">
        <f>'Rådata-K'!R44</f>
        <v>1.8601190476190466E-2</v>
      </c>
      <c r="I45" s="51">
        <f>'Rådata-K'!S44</f>
        <v>0.76718229880556099</v>
      </c>
      <c r="J45" s="52">
        <f>'Rådata-K'!K44</f>
        <v>336500</v>
      </c>
      <c r="K45" s="26">
        <f>Tabell2[[#This Row],[NIBR11]]</f>
        <v>5</v>
      </c>
      <c r="L45" s="52">
        <f>IF(Tabell2[[#This Row],[ReisetidOslo]]&lt;=C$434,C$434,IF(Tabell2[[#This Row],[ReisetidOslo]]&gt;=C$435,C$435,Tabell2[[#This Row],[ReisetidOslo]]))</f>
        <v>71.894646143399996</v>
      </c>
      <c r="M45" s="51">
        <f>IF(Tabell2[[#This Row],[Beftettotal]]&lt;=D$434,D$434,IF(Tabell2[[#This Row],[Beftettotal]]&gt;=D$435,D$435,Tabell2[[#This Row],[Beftettotal]]))</f>
        <v>17.198128226156591</v>
      </c>
      <c r="N45" s="51">
        <f>IF(Tabell2[[#This Row],[Befvekst10]]&lt;=E$434,E$434,IF(Tabell2[[#This Row],[Befvekst10]]&gt;=E$435,E$435,Tabell2[[#This Row],[Befvekst10]]))</f>
        <v>2.5604142692750242E-2</v>
      </c>
      <c r="O45" s="51">
        <f>IF(Tabell2[[#This Row],[Kvinneandel]]&lt;=F$434,F$434,IF(Tabell2[[#This Row],[Kvinneandel]]&gt;=F$435,F$435,Tabell2[[#This Row],[Kvinneandel]]))</f>
        <v>0.1032258064516129</v>
      </c>
      <c r="P45" s="51">
        <f>IF(Tabell2[[#This Row],[Eldreandel]]&lt;=G$434,G$434,IF(Tabell2[[#This Row],[Eldreandel]]&gt;=G$435,G$435,Tabell2[[#This Row],[Eldreandel]]))</f>
        <v>0.17531556802244039</v>
      </c>
      <c r="Q45" s="51">
        <f>IF(Tabell2[[#This Row],[Sysselsettingsvekst10]]&lt;=H$434,H$434,IF(Tabell2[[#This Row],[Sysselsettingsvekst10]]&gt;=H$435,H$435,Tabell2[[#This Row],[Sysselsettingsvekst10]]))</f>
        <v>1.8601190476190466E-2</v>
      </c>
      <c r="R45" s="51">
        <f>IF(Tabell2[[#This Row],[Yrkesaktivandel]]&lt;=I$434,I$434,IF(Tabell2[[#This Row],[Yrkesaktivandel]]&gt;=I$435,I$435,Tabell2[[#This Row],[Yrkesaktivandel]]))</f>
        <v>0.82803562853509294</v>
      </c>
      <c r="S45" s="52">
        <f>IF(Tabell2[[#This Row],[Inntekt]]&lt;=J$434,J$434,IF(Tabell2[[#This Row],[Inntekt]]&gt;=J$435,J$435,Tabell2[[#This Row],[Inntekt]]))</f>
        <v>336500</v>
      </c>
      <c r="T45" s="9">
        <f>IF(Tabell2[[#This Row],[NIBR11-T]]&lt;=K$437,100,IF(Tabell2[[#This Row],[NIBR11-T]]&gt;=K$436,0,100*(K$436-Tabell2[[#This Row],[NIBR11-T]])/K$439))</f>
        <v>60</v>
      </c>
      <c r="U45" s="9">
        <f>(L$436-Tabell2[[#This Row],[ReisetidOslo-T]])*100/L$439</f>
        <v>91.969217209748606</v>
      </c>
      <c r="V45" s="9">
        <f>100-(M$436-Tabell2[[#This Row],[Beftettotal-T]])*100/M$439</f>
        <v>12.491059115371854</v>
      </c>
      <c r="W45" s="9">
        <f>100-(N$436-Tabell2[[#This Row],[Befvekst10-T]])*100/N$439</f>
        <v>43.051325091044426</v>
      </c>
      <c r="X45" s="9">
        <f>100-(O$436-Tabell2[[#This Row],[Kvinneandel-T]])*100/O$439</f>
        <v>34.334776405291166</v>
      </c>
      <c r="Y45" s="9">
        <f>(P$436-Tabell2[[#This Row],[Eldreandel-T]])*100/P$439</f>
        <v>37.394721903393872</v>
      </c>
      <c r="Z45" s="9">
        <f>100-(Q$436-Tabell2[[#This Row],[Sysselsettingsvekst10-T]])*100/Q$439</f>
        <v>28.018757256009607</v>
      </c>
      <c r="AA45" s="9">
        <f>100-(R$436-Tabell2[[#This Row],[Yrkesaktivandel-T]])*100/R$439</f>
        <v>0</v>
      </c>
      <c r="AB45" s="9">
        <f>100-(S$436-Tabell2[[#This Row],[Inntekt-T]])*100/S$439</f>
        <v>20.155916006538419</v>
      </c>
      <c r="AC45" s="48">
        <f>Tabell2[[#This Row],[NIBR11-I]]*Vekter!$B$3</f>
        <v>12</v>
      </c>
      <c r="AD45" s="48">
        <f>Tabell2[[#This Row],[ReisetidOslo-I]]*Vekter!$C$3</f>
        <v>9.1969217209748617</v>
      </c>
      <c r="AE45" s="48">
        <f>Tabell2[[#This Row],[Beftettotal-I]]*Vekter!$D$3</f>
        <v>1.2491059115371854</v>
      </c>
      <c r="AF45" s="48">
        <f>Tabell2[[#This Row],[Befvekst10-I]]*Vekter!$E$3</f>
        <v>8.6102650182088851</v>
      </c>
      <c r="AG45" s="48">
        <f>Tabell2[[#This Row],[Kvinneandel-I]]*Vekter!$F$3</f>
        <v>1.7167388202645584</v>
      </c>
      <c r="AH45" s="48">
        <f>Tabell2[[#This Row],[Eldreandel-I]]*Vekter!$G$3</f>
        <v>1.8697360951696937</v>
      </c>
      <c r="AI45" s="48">
        <f>Tabell2[[#This Row],[Sysselsettingsvekst10-I]]*Vekter!$H$3</f>
        <v>2.801875725600961</v>
      </c>
      <c r="AJ45" s="48">
        <f>Tabell2[[#This Row],[Yrkesaktivandel-I]]*Vekter!$J$3</f>
        <v>0</v>
      </c>
      <c r="AK45" s="48">
        <f>Tabell2[[#This Row],[Inntekt-I]]*Vekter!$L$3</f>
        <v>2.0155916006538419</v>
      </c>
      <c r="AL45" s="37">
        <f>SUM(Tabell2[[#This Row],[NIBR11-v]:[Inntekt-v]])</f>
        <v>39.460234892409986</v>
      </c>
    </row>
    <row r="46" spans="1:38">
      <c r="A46" s="2" t="s">
        <v>43</v>
      </c>
      <c r="B46">
        <f>'Rådata-K'!M45</f>
        <v>4</v>
      </c>
      <c r="C46" s="9">
        <f>'Rådata-K'!L45</f>
        <v>85.858693424400002</v>
      </c>
      <c r="D46" s="51">
        <f>'Rådata-K'!N45</f>
        <v>84.116943067190974</v>
      </c>
      <c r="E46" s="51">
        <f>'Rådata-K'!O45</f>
        <v>8.3501559919251234E-2</v>
      </c>
      <c r="F46" s="51">
        <f>'Rådata-K'!P45</f>
        <v>0.11703929539295393</v>
      </c>
      <c r="G46" s="51">
        <f>'Rådata-K'!Q45</f>
        <v>0.17493224932249324</v>
      </c>
      <c r="H46" s="51">
        <f>'Rådata-K'!R45</f>
        <v>0.15138377479510634</v>
      </c>
      <c r="I46" s="51">
        <f>'Rådata-K'!S45</f>
        <v>0.84638854661737961</v>
      </c>
      <c r="J46" s="52">
        <f>'Rådata-K'!K45</f>
        <v>371700</v>
      </c>
      <c r="K46" s="26">
        <f>Tabell2[[#This Row],[NIBR11]]</f>
        <v>4</v>
      </c>
      <c r="L46" s="52">
        <f>IF(Tabell2[[#This Row],[ReisetidOslo]]&lt;=C$434,C$434,IF(Tabell2[[#This Row],[ReisetidOslo]]&gt;=C$435,C$435,Tabell2[[#This Row],[ReisetidOslo]]))</f>
        <v>85.858693424400002</v>
      </c>
      <c r="M46" s="51">
        <f>IF(Tabell2[[#This Row],[Beftettotal]]&lt;=D$434,D$434,IF(Tabell2[[#This Row],[Beftettotal]]&gt;=D$435,D$435,Tabell2[[#This Row],[Beftettotal]]))</f>
        <v>84.116943067190974</v>
      </c>
      <c r="N46" s="51">
        <f>IF(Tabell2[[#This Row],[Befvekst10]]&lt;=E$434,E$434,IF(Tabell2[[#This Row],[Befvekst10]]&gt;=E$435,E$435,Tabell2[[#This Row],[Befvekst10]]))</f>
        <v>8.3501559919251234E-2</v>
      </c>
      <c r="O46" s="51">
        <f>IF(Tabell2[[#This Row],[Kvinneandel]]&lt;=F$434,F$434,IF(Tabell2[[#This Row],[Kvinneandel]]&gt;=F$435,F$435,Tabell2[[#This Row],[Kvinneandel]]))</f>
        <v>0.11703929539295393</v>
      </c>
      <c r="P46" s="51">
        <f>IF(Tabell2[[#This Row],[Eldreandel]]&lt;=G$434,G$434,IF(Tabell2[[#This Row],[Eldreandel]]&gt;=G$435,G$435,Tabell2[[#This Row],[Eldreandel]]))</f>
        <v>0.17493224932249324</v>
      </c>
      <c r="Q46" s="51">
        <f>IF(Tabell2[[#This Row],[Sysselsettingsvekst10]]&lt;=H$434,H$434,IF(Tabell2[[#This Row],[Sysselsettingsvekst10]]&gt;=H$435,H$435,Tabell2[[#This Row],[Sysselsettingsvekst10]]))</f>
        <v>0.15138377479510634</v>
      </c>
      <c r="R46" s="51">
        <f>IF(Tabell2[[#This Row],[Yrkesaktivandel]]&lt;=I$434,I$434,IF(Tabell2[[#This Row],[Yrkesaktivandel]]&gt;=I$435,I$435,Tabell2[[#This Row],[Yrkesaktivandel]]))</f>
        <v>0.84638854661737961</v>
      </c>
      <c r="S46" s="52">
        <f>IF(Tabell2[[#This Row],[Inntekt]]&lt;=J$434,J$434,IF(Tabell2[[#This Row],[Inntekt]]&gt;=J$435,J$435,Tabell2[[#This Row],[Inntekt]]))</f>
        <v>371700</v>
      </c>
      <c r="T46" s="9">
        <f>IF(Tabell2[[#This Row],[NIBR11-T]]&lt;=K$437,100,IF(Tabell2[[#This Row],[NIBR11-T]]&gt;=K$436,0,100*(K$436-Tabell2[[#This Row],[NIBR11-T]])/K$439))</f>
        <v>70</v>
      </c>
      <c r="U46" s="9">
        <f>(L$436-Tabell2[[#This Row],[ReisetidOslo-T]])*100/L$439</f>
        <v>85.769870154715107</v>
      </c>
      <c r="V46" s="9">
        <f>100-(M$436-Tabell2[[#This Row],[Beftettotal-T]])*100/M$439</f>
        <v>65.200468034559805</v>
      </c>
      <c r="W46" s="9">
        <f>100-(N$436-Tabell2[[#This Row],[Befvekst10-T]])*100/N$439</f>
        <v>66.47984659301008</v>
      </c>
      <c r="X46" s="9">
        <f>100-(O$436-Tabell2[[#This Row],[Kvinneandel-T]])*100/O$439</f>
        <v>70.922533985448723</v>
      </c>
      <c r="Y46" s="9">
        <f>(P$436-Tabell2[[#This Row],[Eldreandel-T]])*100/P$439</f>
        <v>37.829285123368074</v>
      </c>
      <c r="Z46" s="9">
        <f>100-(Q$436-Tabell2[[#This Row],[Sysselsettingsvekst10-T]])*100/Q$439</f>
        <v>70.63813841374288</v>
      </c>
      <c r="AA46" s="9">
        <f>100-(R$436-Tabell2[[#This Row],[Yrkesaktivandel-T]])*100/R$439</f>
        <v>13.681655173338953</v>
      </c>
      <c r="AB46" s="9">
        <f>100-(S$436-Tabell2[[#This Row],[Inntekt-T]])*100/S$439</f>
        <v>64.415943669055707</v>
      </c>
      <c r="AC46" s="48">
        <f>Tabell2[[#This Row],[NIBR11-I]]*Vekter!$B$3</f>
        <v>14</v>
      </c>
      <c r="AD46" s="48">
        <f>Tabell2[[#This Row],[ReisetidOslo-I]]*Vekter!$C$3</f>
        <v>8.5769870154715111</v>
      </c>
      <c r="AE46" s="48">
        <f>Tabell2[[#This Row],[Beftettotal-I]]*Vekter!$D$3</f>
        <v>6.5200468034559806</v>
      </c>
      <c r="AF46" s="48">
        <f>Tabell2[[#This Row],[Befvekst10-I]]*Vekter!$E$3</f>
        <v>13.295969318602017</v>
      </c>
      <c r="AG46" s="48">
        <f>Tabell2[[#This Row],[Kvinneandel-I]]*Vekter!$F$3</f>
        <v>3.5461266992724365</v>
      </c>
      <c r="AH46" s="48">
        <f>Tabell2[[#This Row],[Eldreandel-I]]*Vekter!$G$3</f>
        <v>1.8914642561684039</v>
      </c>
      <c r="AI46" s="48">
        <f>Tabell2[[#This Row],[Sysselsettingsvekst10-I]]*Vekter!$H$3</f>
        <v>7.0638138413742881</v>
      </c>
      <c r="AJ46" s="48">
        <f>Tabell2[[#This Row],[Yrkesaktivandel-I]]*Vekter!$J$3</f>
        <v>1.3681655173338954</v>
      </c>
      <c r="AK46" s="48">
        <f>Tabell2[[#This Row],[Inntekt-I]]*Vekter!$L$3</f>
        <v>6.4415943669055711</v>
      </c>
      <c r="AL46" s="37">
        <f>SUM(Tabell2[[#This Row],[NIBR11-v]:[Inntekt-v]])</f>
        <v>62.704167818584096</v>
      </c>
    </row>
    <row r="47" spans="1:38">
      <c r="A47" s="2" t="s">
        <v>44</v>
      </c>
      <c r="B47">
        <f>'Rådata-K'!M46</f>
        <v>4</v>
      </c>
      <c r="C47" s="9">
        <f>'Rådata-K'!L46</f>
        <v>94.007093189000003</v>
      </c>
      <c r="D47" s="51">
        <f>'Rådata-K'!N46</f>
        <v>26.141130701747532</v>
      </c>
      <c r="E47" s="51">
        <f>'Rådata-K'!O46</f>
        <v>5.4550611370225655E-2</v>
      </c>
      <c r="F47" s="51">
        <f>'Rådata-K'!P46</f>
        <v>0.11182500074709381</v>
      </c>
      <c r="G47" s="51">
        <f>'Rådata-K'!Q46</f>
        <v>0.15751725786689777</v>
      </c>
      <c r="H47" s="51">
        <f>'Rådata-K'!R46</f>
        <v>6.5596019000226269E-2</v>
      </c>
      <c r="I47" s="51">
        <f>'Rådata-K'!S46</f>
        <v>0.85978300368582261</v>
      </c>
      <c r="J47" s="52">
        <f>'Rådata-K'!K46</f>
        <v>342200</v>
      </c>
      <c r="K47" s="26">
        <f>Tabell2[[#This Row],[NIBR11]]</f>
        <v>4</v>
      </c>
      <c r="L47" s="52">
        <f>IF(Tabell2[[#This Row],[ReisetidOslo]]&lt;=C$434,C$434,IF(Tabell2[[#This Row],[ReisetidOslo]]&gt;=C$435,C$435,Tabell2[[#This Row],[ReisetidOslo]]))</f>
        <v>94.007093189000003</v>
      </c>
      <c r="M47" s="51">
        <f>IF(Tabell2[[#This Row],[Beftettotal]]&lt;=D$434,D$434,IF(Tabell2[[#This Row],[Beftettotal]]&gt;=D$435,D$435,Tabell2[[#This Row],[Beftettotal]]))</f>
        <v>26.141130701747532</v>
      </c>
      <c r="N47" s="51">
        <f>IF(Tabell2[[#This Row],[Befvekst10]]&lt;=E$434,E$434,IF(Tabell2[[#This Row],[Befvekst10]]&gt;=E$435,E$435,Tabell2[[#This Row],[Befvekst10]]))</f>
        <v>5.4550611370225655E-2</v>
      </c>
      <c r="O47" s="51">
        <f>IF(Tabell2[[#This Row],[Kvinneandel]]&lt;=F$434,F$434,IF(Tabell2[[#This Row],[Kvinneandel]]&gt;=F$435,F$435,Tabell2[[#This Row],[Kvinneandel]]))</f>
        <v>0.11182500074709381</v>
      </c>
      <c r="P47" s="51">
        <f>IF(Tabell2[[#This Row],[Eldreandel]]&lt;=G$434,G$434,IF(Tabell2[[#This Row],[Eldreandel]]&gt;=G$435,G$435,Tabell2[[#This Row],[Eldreandel]]))</f>
        <v>0.15751725786689777</v>
      </c>
      <c r="Q47" s="51">
        <f>IF(Tabell2[[#This Row],[Sysselsettingsvekst10]]&lt;=H$434,H$434,IF(Tabell2[[#This Row],[Sysselsettingsvekst10]]&gt;=H$435,H$435,Tabell2[[#This Row],[Sysselsettingsvekst10]]))</f>
        <v>6.5596019000226269E-2</v>
      </c>
      <c r="R47" s="51">
        <f>IF(Tabell2[[#This Row],[Yrkesaktivandel]]&lt;=I$434,I$434,IF(Tabell2[[#This Row],[Yrkesaktivandel]]&gt;=I$435,I$435,Tabell2[[#This Row],[Yrkesaktivandel]]))</f>
        <v>0.85978300368582261</v>
      </c>
      <c r="S47" s="52">
        <f>IF(Tabell2[[#This Row],[Inntekt]]&lt;=J$434,J$434,IF(Tabell2[[#This Row],[Inntekt]]&gt;=J$435,J$435,Tabell2[[#This Row],[Inntekt]]))</f>
        <v>342200</v>
      </c>
      <c r="T47" s="9">
        <f>IF(Tabell2[[#This Row],[NIBR11-T]]&lt;=K$437,100,IF(Tabell2[[#This Row],[NIBR11-T]]&gt;=K$436,0,100*(K$436-Tabell2[[#This Row],[NIBR11-T]])/K$439))</f>
        <v>70</v>
      </c>
      <c r="U47" s="9">
        <f>(L$436-Tabell2[[#This Row],[ReisetidOslo-T]])*100/L$439</f>
        <v>82.152383256583434</v>
      </c>
      <c r="V47" s="9">
        <f>100-(M$436-Tabell2[[#This Row],[Beftettotal-T]])*100/M$439</f>
        <v>19.535122516240449</v>
      </c>
      <c r="W47" s="9">
        <f>100-(N$436-Tabell2[[#This Row],[Befvekst10-T]])*100/N$439</f>
        <v>54.764679439186104</v>
      </c>
      <c r="X47" s="9">
        <f>100-(O$436-Tabell2[[#This Row],[Kvinneandel-T]])*100/O$439</f>
        <v>57.11144329978719</v>
      </c>
      <c r="Y47" s="9">
        <f>(P$436-Tabell2[[#This Row],[Eldreandel-T]])*100/P$439</f>
        <v>57.57242513665269</v>
      </c>
      <c r="Z47" s="9">
        <f>100-(Q$436-Tabell2[[#This Row],[Sysselsettingsvekst10-T]])*100/Q$439</f>
        <v>43.102742249837377</v>
      </c>
      <c r="AA47" s="9">
        <f>100-(R$436-Tabell2[[#This Row],[Yrkesaktivandel-T]])*100/R$439</f>
        <v>23.666897957231811</v>
      </c>
      <c r="AB47" s="9">
        <f>100-(S$436-Tabell2[[#This Row],[Inntekt-T]])*100/S$439</f>
        <v>27.32302275870741</v>
      </c>
      <c r="AC47" s="48">
        <f>Tabell2[[#This Row],[NIBR11-I]]*Vekter!$B$3</f>
        <v>14</v>
      </c>
      <c r="AD47" s="48">
        <f>Tabell2[[#This Row],[ReisetidOslo-I]]*Vekter!$C$3</f>
        <v>8.2152383256583441</v>
      </c>
      <c r="AE47" s="48">
        <f>Tabell2[[#This Row],[Beftettotal-I]]*Vekter!$D$3</f>
        <v>1.9535122516240451</v>
      </c>
      <c r="AF47" s="48">
        <f>Tabell2[[#This Row],[Befvekst10-I]]*Vekter!$E$3</f>
        <v>10.952935887837221</v>
      </c>
      <c r="AG47" s="48">
        <f>Tabell2[[#This Row],[Kvinneandel-I]]*Vekter!$F$3</f>
        <v>2.8555721649893595</v>
      </c>
      <c r="AH47" s="48">
        <f>Tabell2[[#This Row],[Eldreandel-I]]*Vekter!$G$3</f>
        <v>2.8786212568326346</v>
      </c>
      <c r="AI47" s="48">
        <f>Tabell2[[#This Row],[Sysselsettingsvekst10-I]]*Vekter!$H$3</f>
        <v>4.310274224983738</v>
      </c>
      <c r="AJ47" s="48">
        <f>Tabell2[[#This Row],[Yrkesaktivandel-I]]*Vekter!$J$3</f>
        <v>2.3666897957231812</v>
      </c>
      <c r="AK47" s="48">
        <f>Tabell2[[#This Row],[Inntekt-I]]*Vekter!$L$3</f>
        <v>2.7323022758707411</v>
      </c>
      <c r="AL47" s="37">
        <f>SUM(Tabell2[[#This Row],[NIBR11-v]:[Inntekt-v]])</f>
        <v>50.265146183519271</v>
      </c>
    </row>
    <row r="48" spans="1:38">
      <c r="A48" s="2" t="s">
        <v>45</v>
      </c>
      <c r="B48">
        <f>'Rådata-K'!M47</f>
        <v>4</v>
      </c>
      <c r="C48" s="9">
        <f>'Rådata-K'!L47</f>
        <v>83.563753144200007</v>
      </c>
      <c r="D48" s="51">
        <f>'Rådata-K'!N47</f>
        <v>20.425508878302296</v>
      </c>
      <c r="E48" s="51">
        <f>'Rådata-K'!O47</f>
        <v>3.6253776435045237E-2</v>
      </c>
      <c r="F48" s="51">
        <f>'Rådata-K'!P47</f>
        <v>0.11542539093559502</v>
      </c>
      <c r="G48" s="51">
        <f>'Rådata-K'!Q47</f>
        <v>0.16154253909355951</v>
      </c>
      <c r="H48" s="51">
        <f>'Rådata-K'!R47</f>
        <v>2.5938189845474691E-2</v>
      </c>
      <c r="I48" s="51">
        <f>'Rådata-K'!S47</f>
        <v>0.8395564607377235</v>
      </c>
      <c r="J48" s="52">
        <f>'Rådata-K'!K47</f>
        <v>333100</v>
      </c>
      <c r="K48" s="26">
        <f>Tabell2[[#This Row],[NIBR11]]</f>
        <v>4</v>
      </c>
      <c r="L48" s="52">
        <f>IF(Tabell2[[#This Row],[ReisetidOslo]]&lt;=C$434,C$434,IF(Tabell2[[#This Row],[ReisetidOslo]]&gt;=C$435,C$435,Tabell2[[#This Row],[ReisetidOslo]]))</f>
        <v>83.563753144200007</v>
      </c>
      <c r="M48" s="51">
        <f>IF(Tabell2[[#This Row],[Beftettotal]]&lt;=D$434,D$434,IF(Tabell2[[#This Row],[Beftettotal]]&gt;=D$435,D$435,Tabell2[[#This Row],[Beftettotal]]))</f>
        <v>20.425508878302296</v>
      </c>
      <c r="N48" s="51">
        <f>IF(Tabell2[[#This Row],[Befvekst10]]&lt;=E$434,E$434,IF(Tabell2[[#This Row],[Befvekst10]]&gt;=E$435,E$435,Tabell2[[#This Row],[Befvekst10]]))</f>
        <v>3.6253776435045237E-2</v>
      </c>
      <c r="O48" s="51">
        <f>IF(Tabell2[[#This Row],[Kvinneandel]]&lt;=F$434,F$434,IF(Tabell2[[#This Row],[Kvinneandel]]&gt;=F$435,F$435,Tabell2[[#This Row],[Kvinneandel]]))</f>
        <v>0.11542539093559502</v>
      </c>
      <c r="P48" s="51">
        <f>IF(Tabell2[[#This Row],[Eldreandel]]&lt;=G$434,G$434,IF(Tabell2[[#This Row],[Eldreandel]]&gt;=G$435,G$435,Tabell2[[#This Row],[Eldreandel]]))</f>
        <v>0.16154253909355951</v>
      </c>
      <c r="Q48" s="51">
        <f>IF(Tabell2[[#This Row],[Sysselsettingsvekst10]]&lt;=H$434,H$434,IF(Tabell2[[#This Row],[Sysselsettingsvekst10]]&gt;=H$435,H$435,Tabell2[[#This Row],[Sysselsettingsvekst10]]))</f>
        <v>2.5938189845474691E-2</v>
      </c>
      <c r="R48" s="51">
        <f>IF(Tabell2[[#This Row],[Yrkesaktivandel]]&lt;=I$434,I$434,IF(Tabell2[[#This Row],[Yrkesaktivandel]]&gt;=I$435,I$435,Tabell2[[#This Row],[Yrkesaktivandel]]))</f>
        <v>0.8395564607377235</v>
      </c>
      <c r="S48" s="52">
        <f>IF(Tabell2[[#This Row],[Inntekt]]&lt;=J$434,J$434,IF(Tabell2[[#This Row],[Inntekt]]&gt;=J$435,J$435,Tabell2[[#This Row],[Inntekt]]))</f>
        <v>333100</v>
      </c>
      <c r="T48" s="9">
        <f>IF(Tabell2[[#This Row],[NIBR11-T]]&lt;=K$437,100,IF(Tabell2[[#This Row],[NIBR11-T]]&gt;=K$436,0,100*(K$436-Tabell2[[#This Row],[NIBR11-T]])/K$439))</f>
        <v>70</v>
      </c>
      <c r="U48" s="9">
        <f>(L$436-Tabell2[[#This Row],[ReisetidOslo-T]])*100/L$439</f>
        <v>86.78871025037229</v>
      </c>
      <c r="V48" s="9">
        <f>100-(M$436-Tabell2[[#This Row],[Beftettotal-T]])*100/M$439</f>
        <v>15.033144281343894</v>
      </c>
      <c r="W48" s="9">
        <f>100-(N$436-Tabell2[[#This Row],[Befvekst10-T]])*100/N$439</f>
        <v>47.360760383180619</v>
      </c>
      <c r="X48" s="9">
        <f>100-(O$436-Tabell2[[#This Row],[Kvinneandel-T]])*100/O$439</f>
        <v>66.647788821925175</v>
      </c>
      <c r="Y48" s="9">
        <f>(P$436-Tabell2[[#This Row],[Eldreandel-T]])*100/P$439</f>
        <v>53.00901831251128</v>
      </c>
      <c r="Z48" s="9">
        <f>100-(Q$436-Tabell2[[#This Row],[Sysselsettingsvekst10-T]])*100/Q$439</f>
        <v>30.373722512014396</v>
      </c>
      <c r="AA48" s="9">
        <f>100-(R$436-Tabell2[[#This Row],[Yrkesaktivandel-T]])*100/R$439</f>
        <v>8.5885009021220071</v>
      </c>
      <c r="AB48" s="9">
        <f>100-(S$436-Tabell2[[#This Row],[Inntekt-T]])*100/S$439</f>
        <v>15.880799698227079</v>
      </c>
      <c r="AC48" s="48">
        <f>Tabell2[[#This Row],[NIBR11-I]]*Vekter!$B$3</f>
        <v>14</v>
      </c>
      <c r="AD48" s="48">
        <f>Tabell2[[#This Row],[ReisetidOslo-I]]*Vekter!$C$3</f>
        <v>8.6788710250372301</v>
      </c>
      <c r="AE48" s="48">
        <f>Tabell2[[#This Row],[Beftettotal-I]]*Vekter!$D$3</f>
        <v>1.5033144281343895</v>
      </c>
      <c r="AF48" s="48">
        <f>Tabell2[[#This Row],[Befvekst10-I]]*Vekter!$E$3</f>
        <v>9.4721520766361245</v>
      </c>
      <c r="AG48" s="48">
        <f>Tabell2[[#This Row],[Kvinneandel-I]]*Vekter!$F$3</f>
        <v>3.3323894410962591</v>
      </c>
      <c r="AH48" s="48">
        <f>Tabell2[[#This Row],[Eldreandel-I]]*Vekter!$G$3</f>
        <v>2.650450915625564</v>
      </c>
      <c r="AI48" s="48">
        <f>Tabell2[[#This Row],[Sysselsettingsvekst10-I]]*Vekter!$H$3</f>
        <v>3.0373722512014396</v>
      </c>
      <c r="AJ48" s="48">
        <f>Tabell2[[#This Row],[Yrkesaktivandel-I]]*Vekter!$J$3</f>
        <v>0.85885009021220071</v>
      </c>
      <c r="AK48" s="48">
        <f>Tabell2[[#This Row],[Inntekt-I]]*Vekter!$L$3</f>
        <v>1.5880799698227079</v>
      </c>
      <c r="AL48" s="37">
        <f>SUM(Tabell2[[#This Row],[NIBR11-v]:[Inntekt-v]])</f>
        <v>45.121480197765919</v>
      </c>
    </row>
    <row r="49" spans="1:38">
      <c r="A49" s="2" t="s">
        <v>46</v>
      </c>
      <c r="B49">
        <f>'Rådata-K'!M48</f>
        <v>4</v>
      </c>
      <c r="C49" s="9">
        <f>'Rådata-K'!L48</f>
        <v>75.839419938399999</v>
      </c>
      <c r="D49" s="51">
        <f>'Rådata-K'!N48</f>
        <v>27.250510852156626</v>
      </c>
      <c r="E49" s="51">
        <f>'Rådata-K'!O48</f>
        <v>7.9232283464566899E-2</v>
      </c>
      <c r="F49" s="51">
        <f>'Rådata-K'!P48</f>
        <v>0.11100977858843795</v>
      </c>
      <c r="G49" s="51">
        <f>'Rådata-K'!Q48</f>
        <v>0.15970005573288748</v>
      </c>
      <c r="H49" s="51">
        <f>'Rådata-K'!R48</f>
        <v>0.14471057884231531</v>
      </c>
      <c r="I49" s="51">
        <f>'Rådata-K'!S48</f>
        <v>0.84549696276080644</v>
      </c>
      <c r="J49" s="52">
        <f>'Rådata-K'!K48</f>
        <v>344700</v>
      </c>
      <c r="K49" s="26">
        <f>Tabell2[[#This Row],[NIBR11]]</f>
        <v>4</v>
      </c>
      <c r="L49" s="52">
        <f>IF(Tabell2[[#This Row],[ReisetidOslo]]&lt;=C$434,C$434,IF(Tabell2[[#This Row],[ReisetidOslo]]&gt;=C$435,C$435,Tabell2[[#This Row],[ReisetidOslo]]))</f>
        <v>75.839419938399999</v>
      </c>
      <c r="M49" s="51">
        <f>IF(Tabell2[[#This Row],[Beftettotal]]&lt;=D$434,D$434,IF(Tabell2[[#This Row],[Beftettotal]]&gt;=D$435,D$435,Tabell2[[#This Row],[Beftettotal]]))</f>
        <v>27.250510852156626</v>
      </c>
      <c r="N49" s="51">
        <f>IF(Tabell2[[#This Row],[Befvekst10]]&lt;=E$434,E$434,IF(Tabell2[[#This Row],[Befvekst10]]&gt;=E$435,E$435,Tabell2[[#This Row],[Befvekst10]]))</f>
        <v>7.9232283464566899E-2</v>
      </c>
      <c r="O49" s="51">
        <f>IF(Tabell2[[#This Row],[Kvinneandel]]&lt;=F$434,F$434,IF(Tabell2[[#This Row],[Kvinneandel]]&gt;=F$435,F$435,Tabell2[[#This Row],[Kvinneandel]]))</f>
        <v>0.11100977858843795</v>
      </c>
      <c r="P49" s="51">
        <f>IF(Tabell2[[#This Row],[Eldreandel]]&lt;=G$434,G$434,IF(Tabell2[[#This Row],[Eldreandel]]&gt;=G$435,G$435,Tabell2[[#This Row],[Eldreandel]]))</f>
        <v>0.15970005573288748</v>
      </c>
      <c r="Q49" s="51">
        <f>IF(Tabell2[[#This Row],[Sysselsettingsvekst10]]&lt;=H$434,H$434,IF(Tabell2[[#This Row],[Sysselsettingsvekst10]]&gt;=H$435,H$435,Tabell2[[#This Row],[Sysselsettingsvekst10]]))</f>
        <v>0.14471057884231531</v>
      </c>
      <c r="R49" s="51">
        <f>IF(Tabell2[[#This Row],[Yrkesaktivandel]]&lt;=I$434,I$434,IF(Tabell2[[#This Row],[Yrkesaktivandel]]&gt;=I$435,I$435,Tabell2[[#This Row],[Yrkesaktivandel]]))</f>
        <v>0.84549696276080644</v>
      </c>
      <c r="S49" s="52">
        <f>IF(Tabell2[[#This Row],[Inntekt]]&lt;=J$434,J$434,IF(Tabell2[[#This Row],[Inntekt]]&gt;=J$435,J$435,Tabell2[[#This Row],[Inntekt]]))</f>
        <v>344700</v>
      </c>
      <c r="T49" s="9">
        <f>IF(Tabell2[[#This Row],[NIBR11-T]]&lt;=K$437,100,IF(Tabell2[[#This Row],[NIBR11-T]]&gt;=K$436,0,100*(K$436-Tabell2[[#This Row],[NIBR11-T]])/K$439))</f>
        <v>70</v>
      </c>
      <c r="U49" s="9">
        <f>(L$436-Tabell2[[#This Row],[ReisetidOslo-T]])*100/L$439</f>
        <v>90.217932548740549</v>
      </c>
      <c r="V49" s="9">
        <f>100-(M$436-Tabell2[[#This Row],[Beftettotal-T]])*100/M$439</f>
        <v>20.408939127213756</v>
      </c>
      <c r="W49" s="9">
        <f>100-(N$436-Tabell2[[#This Row],[Befvekst10-T]])*100/N$439</f>
        <v>64.75225942232322</v>
      </c>
      <c r="X49" s="9">
        <f>100-(O$436-Tabell2[[#This Row],[Kvinneandel-T]])*100/O$439</f>
        <v>54.952166172803977</v>
      </c>
      <c r="Y49" s="9">
        <f>(P$436-Tabell2[[#This Row],[Eldreandel-T]])*100/P$439</f>
        <v>55.097816751181043</v>
      </c>
      <c r="Z49" s="9">
        <f>100-(Q$436-Tabell2[[#This Row],[Sysselsettingsvekst10-T]])*100/Q$439</f>
        <v>68.496234915546481</v>
      </c>
      <c r="AA49" s="9">
        <f>100-(R$436-Tabell2[[#This Row],[Yrkesaktivandel-T]])*100/R$439</f>
        <v>13.017001038827061</v>
      </c>
      <c r="AB49" s="9">
        <f>100-(S$436-Tabell2[[#This Row],[Inntekt-T]])*100/S$439</f>
        <v>30.466490632465735</v>
      </c>
      <c r="AC49" s="48">
        <f>Tabell2[[#This Row],[NIBR11-I]]*Vekter!$B$3</f>
        <v>14</v>
      </c>
      <c r="AD49" s="48">
        <f>Tabell2[[#This Row],[ReisetidOslo-I]]*Vekter!$C$3</f>
        <v>9.0217932548740549</v>
      </c>
      <c r="AE49" s="48">
        <f>Tabell2[[#This Row],[Beftettotal-I]]*Vekter!$D$3</f>
        <v>2.0408939127213759</v>
      </c>
      <c r="AF49" s="48">
        <f>Tabell2[[#This Row],[Befvekst10-I]]*Vekter!$E$3</f>
        <v>12.950451884464645</v>
      </c>
      <c r="AG49" s="48">
        <f>Tabell2[[#This Row],[Kvinneandel-I]]*Vekter!$F$3</f>
        <v>2.7476083086401992</v>
      </c>
      <c r="AH49" s="48">
        <f>Tabell2[[#This Row],[Eldreandel-I]]*Vekter!$G$3</f>
        <v>2.7548908375590524</v>
      </c>
      <c r="AI49" s="48">
        <f>Tabell2[[#This Row],[Sysselsettingsvekst10-I]]*Vekter!$H$3</f>
        <v>6.8496234915546488</v>
      </c>
      <c r="AJ49" s="48">
        <f>Tabell2[[#This Row],[Yrkesaktivandel-I]]*Vekter!$J$3</f>
        <v>1.3017001038827063</v>
      </c>
      <c r="AK49" s="48">
        <f>Tabell2[[#This Row],[Inntekt-I]]*Vekter!$L$3</f>
        <v>3.0466490632465737</v>
      </c>
      <c r="AL49" s="37">
        <f>SUM(Tabell2[[#This Row],[NIBR11-v]:[Inntekt-v]])</f>
        <v>54.713610856943262</v>
      </c>
    </row>
    <row r="50" spans="1:38">
      <c r="A50" s="2" t="s">
        <v>47</v>
      </c>
      <c r="B50">
        <f>'Rådata-K'!M49</f>
        <v>5</v>
      </c>
      <c r="C50" s="9">
        <f>'Rådata-K'!L49</f>
        <v>67.4462787752</v>
      </c>
      <c r="D50" s="51">
        <f>'Rådata-K'!N49</f>
        <v>10.07202739402527</v>
      </c>
      <c r="E50" s="51">
        <f>'Rådata-K'!O49</f>
        <v>1.0663507109004655E-2</v>
      </c>
      <c r="F50" s="51">
        <f>'Rådata-K'!P49</f>
        <v>9.2418913638139893E-2</v>
      </c>
      <c r="G50" s="51">
        <f>'Rådata-K'!Q49</f>
        <v>0.19011332551778037</v>
      </c>
      <c r="H50" s="51">
        <f>'Rådata-K'!R49</f>
        <v>5.2596089008766E-2</v>
      </c>
      <c r="I50" s="51">
        <f>'Rådata-K'!S49</f>
        <v>0.81171548117154813</v>
      </c>
      <c r="J50" s="52">
        <f>'Rådata-K'!K49</f>
        <v>324700</v>
      </c>
      <c r="K50" s="26">
        <f>Tabell2[[#This Row],[NIBR11]]</f>
        <v>5</v>
      </c>
      <c r="L50" s="52">
        <f>IF(Tabell2[[#This Row],[ReisetidOslo]]&lt;=C$434,C$434,IF(Tabell2[[#This Row],[ReisetidOslo]]&gt;=C$435,C$435,Tabell2[[#This Row],[ReisetidOslo]]))</f>
        <v>67.4462787752</v>
      </c>
      <c r="M50" s="51">
        <f>IF(Tabell2[[#This Row],[Beftettotal]]&lt;=D$434,D$434,IF(Tabell2[[#This Row],[Beftettotal]]&gt;=D$435,D$435,Tabell2[[#This Row],[Beftettotal]]))</f>
        <v>10.07202739402527</v>
      </c>
      <c r="N50" s="51">
        <f>IF(Tabell2[[#This Row],[Befvekst10]]&lt;=E$434,E$434,IF(Tabell2[[#This Row],[Befvekst10]]&gt;=E$435,E$435,Tabell2[[#This Row],[Befvekst10]]))</f>
        <v>1.0663507109004655E-2</v>
      </c>
      <c r="O50" s="51">
        <f>IF(Tabell2[[#This Row],[Kvinneandel]]&lt;=F$434,F$434,IF(Tabell2[[#This Row],[Kvinneandel]]&gt;=F$435,F$435,Tabell2[[#This Row],[Kvinneandel]]))</f>
        <v>9.2418913638139893E-2</v>
      </c>
      <c r="P50" s="51">
        <f>IF(Tabell2[[#This Row],[Eldreandel]]&lt;=G$434,G$434,IF(Tabell2[[#This Row],[Eldreandel]]&gt;=G$435,G$435,Tabell2[[#This Row],[Eldreandel]]))</f>
        <v>0.19011332551778037</v>
      </c>
      <c r="Q50" s="51">
        <f>IF(Tabell2[[#This Row],[Sysselsettingsvekst10]]&lt;=H$434,H$434,IF(Tabell2[[#This Row],[Sysselsettingsvekst10]]&gt;=H$435,H$435,Tabell2[[#This Row],[Sysselsettingsvekst10]]))</f>
        <v>5.2596089008766E-2</v>
      </c>
      <c r="R50" s="51">
        <f>IF(Tabell2[[#This Row],[Yrkesaktivandel]]&lt;=I$434,I$434,IF(Tabell2[[#This Row],[Yrkesaktivandel]]&gt;=I$435,I$435,Tabell2[[#This Row],[Yrkesaktivandel]]))</f>
        <v>0.82803562853509294</v>
      </c>
      <c r="S50" s="52">
        <f>IF(Tabell2[[#This Row],[Inntekt]]&lt;=J$434,J$434,IF(Tabell2[[#This Row],[Inntekt]]&gt;=J$435,J$435,Tabell2[[#This Row],[Inntekt]]))</f>
        <v>324700</v>
      </c>
      <c r="T50" s="9">
        <f>IF(Tabell2[[#This Row],[NIBR11-T]]&lt;=K$437,100,IF(Tabell2[[#This Row],[NIBR11-T]]&gt;=K$436,0,100*(K$436-Tabell2[[#This Row],[NIBR11-T]])/K$439))</f>
        <v>60</v>
      </c>
      <c r="U50" s="9">
        <f>(L$436-Tabell2[[#This Row],[ReisetidOslo-T]])*100/L$439</f>
        <v>93.944072535631108</v>
      </c>
      <c r="V50" s="9">
        <f>100-(M$436-Tabell2[[#This Row],[Beftettotal-T]])*100/M$439</f>
        <v>6.8781001343671448</v>
      </c>
      <c r="W50" s="9">
        <f>100-(N$436-Tabell2[[#This Row],[Befvekst10-T]])*100/N$439</f>
        <v>37.005511326029072</v>
      </c>
      <c r="X50" s="9">
        <f>100-(O$436-Tabell2[[#This Row],[Kvinneandel-T]])*100/O$439</f>
        <v>5.7105833333479978</v>
      </c>
      <c r="Y50" s="9">
        <f>(P$436-Tabell2[[#This Row],[Eldreandel-T]])*100/P$439</f>
        <v>20.618704593361848</v>
      </c>
      <c r="Z50" s="9">
        <f>100-(Q$436-Tabell2[[#This Row],[Sysselsettingsvekst10-T]])*100/Q$439</f>
        <v>38.930139538632545</v>
      </c>
      <c r="AA50" s="9">
        <f>100-(R$436-Tabell2[[#This Row],[Yrkesaktivandel-T]])*100/R$439</f>
        <v>0</v>
      </c>
      <c r="AB50" s="9">
        <f>100-(S$436-Tabell2[[#This Row],[Inntekt-T]])*100/S$439</f>
        <v>5.3187476423990887</v>
      </c>
      <c r="AC50" s="48">
        <f>Tabell2[[#This Row],[NIBR11-I]]*Vekter!$B$3</f>
        <v>12</v>
      </c>
      <c r="AD50" s="48">
        <f>Tabell2[[#This Row],[ReisetidOslo-I]]*Vekter!$C$3</f>
        <v>9.3944072535631111</v>
      </c>
      <c r="AE50" s="48">
        <f>Tabell2[[#This Row],[Beftettotal-I]]*Vekter!$D$3</f>
        <v>0.68781001343671455</v>
      </c>
      <c r="AF50" s="48">
        <f>Tabell2[[#This Row],[Befvekst10-I]]*Vekter!$E$3</f>
        <v>7.4011022652058145</v>
      </c>
      <c r="AG50" s="48">
        <f>Tabell2[[#This Row],[Kvinneandel-I]]*Vekter!$F$3</f>
        <v>0.28552916666739991</v>
      </c>
      <c r="AH50" s="48">
        <f>Tabell2[[#This Row],[Eldreandel-I]]*Vekter!$G$3</f>
        <v>1.0309352296680925</v>
      </c>
      <c r="AI50" s="48">
        <f>Tabell2[[#This Row],[Sysselsettingsvekst10-I]]*Vekter!$H$3</f>
        <v>3.8930139538632549</v>
      </c>
      <c r="AJ50" s="48">
        <f>Tabell2[[#This Row],[Yrkesaktivandel-I]]*Vekter!$J$3</f>
        <v>0</v>
      </c>
      <c r="AK50" s="48">
        <f>Tabell2[[#This Row],[Inntekt-I]]*Vekter!$L$3</f>
        <v>0.53187476423990887</v>
      </c>
      <c r="AL50" s="37">
        <f>SUM(Tabell2[[#This Row],[NIBR11-v]:[Inntekt-v]])</f>
        <v>35.224672646644294</v>
      </c>
    </row>
    <row r="51" spans="1:38">
      <c r="A51" s="2" t="s">
        <v>48</v>
      </c>
      <c r="B51">
        <f>'Rådata-K'!M50</f>
        <v>5</v>
      </c>
      <c r="C51" s="9">
        <f>'Rådata-K'!L50</f>
        <v>55.4003094698</v>
      </c>
      <c r="D51" s="51">
        <f>'Rådata-K'!N50</f>
        <v>15.185292694726657</v>
      </c>
      <c r="E51" s="51">
        <f>'Rådata-K'!O50</f>
        <v>3.3996573988667844E-2</v>
      </c>
      <c r="F51" s="51">
        <f>'Rådata-K'!P50</f>
        <v>0.10742959092646871</v>
      </c>
      <c r="G51" s="51">
        <f>'Rådata-K'!Q50</f>
        <v>0.1626099146170511</v>
      </c>
      <c r="H51" s="51">
        <f>'Rådata-K'!R50</f>
        <v>-4.0889241762604223E-2</v>
      </c>
      <c r="I51" s="51">
        <f>'Rådata-K'!S50</f>
        <v>0.83572671888598782</v>
      </c>
      <c r="J51" s="52">
        <f>'Rådata-K'!K50</f>
        <v>339300</v>
      </c>
      <c r="K51" s="26">
        <f>Tabell2[[#This Row],[NIBR11]]</f>
        <v>5</v>
      </c>
      <c r="L51" s="52">
        <f>IF(Tabell2[[#This Row],[ReisetidOslo]]&lt;=C$434,C$434,IF(Tabell2[[#This Row],[ReisetidOslo]]&gt;=C$435,C$435,Tabell2[[#This Row],[ReisetidOslo]]))</f>
        <v>55.4003094698</v>
      </c>
      <c r="M51" s="51">
        <f>IF(Tabell2[[#This Row],[Beftettotal]]&lt;=D$434,D$434,IF(Tabell2[[#This Row],[Beftettotal]]&gt;=D$435,D$435,Tabell2[[#This Row],[Beftettotal]]))</f>
        <v>15.185292694726657</v>
      </c>
      <c r="N51" s="51">
        <f>IF(Tabell2[[#This Row],[Befvekst10]]&lt;=E$434,E$434,IF(Tabell2[[#This Row],[Befvekst10]]&gt;=E$435,E$435,Tabell2[[#This Row],[Befvekst10]]))</f>
        <v>3.3996573988667844E-2</v>
      </c>
      <c r="O51" s="51">
        <f>IF(Tabell2[[#This Row],[Kvinneandel]]&lt;=F$434,F$434,IF(Tabell2[[#This Row],[Kvinneandel]]&gt;=F$435,F$435,Tabell2[[#This Row],[Kvinneandel]]))</f>
        <v>0.10742959092646871</v>
      </c>
      <c r="P51" s="51">
        <f>IF(Tabell2[[#This Row],[Eldreandel]]&lt;=G$434,G$434,IF(Tabell2[[#This Row],[Eldreandel]]&gt;=G$435,G$435,Tabell2[[#This Row],[Eldreandel]]))</f>
        <v>0.1626099146170511</v>
      </c>
      <c r="Q51" s="51">
        <f>IF(Tabell2[[#This Row],[Sysselsettingsvekst10]]&lt;=H$434,H$434,IF(Tabell2[[#This Row],[Sysselsettingsvekst10]]&gt;=H$435,H$435,Tabell2[[#This Row],[Sysselsettingsvekst10]]))</f>
        <v>-4.0889241762604223E-2</v>
      </c>
      <c r="R51" s="51">
        <f>IF(Tabell2[[#This Row],[Yrkesaktivandel]]&lt;=I$434,I$434,IF(Tabell2[[#This Row],[Yrkesaktivandel]]&gt;=I$435,I$435,Tabell2[[#This Row],[Yrkesaktivandel]]))</f>
        <v>0.83572671888598782</v>
      </c>
      <c r="S51" s="52">
        <f>IF(Tabell2[[#This Row],[Inntekt]]&lt;=J$434,J$434,IF(Tabell2[[#This Row],[Inntekt]]&gt;=J$435,J$435,Tabell2[[#This Row],[Inntekt]]))</f>
        <v>339300</v>
      </c>
      <c r="T51" s="9">
        <f>IF(Tabell2[[#This Row],[NIBR11-T]]&lt;=K$437,100,IF(Tabell2[[#This Row],[NIBR11-T]]&gt;=K$436,0,100*(K$436-Tabell2[[#This Row],[NIBR11-T]])/K$439))</f>
        <v>60</v>
      </c>
      <c r="U51" s="9">
        <f>(L$436-Tabell2[[#This Row],[ReisetidOslo-T]])*100/L$439</f>
        <v>99.291887738180861</v>
      </c>
      <c r="V51" s="9">
        <f>100-(M$436-Tabell2[[#This Row],[Beftettotal-T]])*100/M$439</f>
        <v>10.905625013389596</v>
      </c>
      <c r="W51" s="9">
        <f>100-(N$436-Tabell2[[#This Row],[Befvekst10-T]])*100/N$439</f>
        <v>46.447370484588795</v>
      </c>
      <c r="X51" s="9">
        <f>100-(O$436-Tabell2[[#This Row],[Kvinneandel-T]])*100/O$439</f>
        <v>45.469331037969106</v>
      </c>
      <c r="Y51" s="9">
        <f>(P$436-Tabell2[[#This Row],[Eldreandel-T]])*100/P$439</f>
        <v>51.798949133851046</v>
      </c>
      <c r="Z51" s="9">
        <f>100-(Q$436-Tabell2[[#This Row],[Sysselsettingsvekst10-T]])*100/Q$439</f>
        <v>8.9240437449825407</v>
      </c>
      <c r="AA51" s="9">
        <f>100-(R$436-Tabell2[[#This Row],[Yrkesaktivandel-T]])*100/R$439</f>
        <v>5.7335212643649385</v>
      </c>
      <c r="AB51" s="9">
        <f>100-(S$436-Tabell2[[#This Row],[Inntekt-T]])*100/S$439</f>
        <v>23.676600025147749</v>
      </c>
      <c r="AC51" s="48">
        <f>Tabell2[[#This Row],[NIBR11-I]]*Vekter!$B$3</f>
        <v>12</v>
      </c>
      <c r="AD51" s="48">
        <f>Tabell2[[#This Row],[ReisetidOslo-I]]*Vekter!$C$3</f>
        <v>9.9291887738180868</v>
      </c>
      <c r="AE51" s="48">
        <f>Tabell2[[#This Row],[Beftettotal-I]]*Vekter!$D$3</f>
        <v>1.0905625013389597</v>
      </c>
      <c r="AF51" s="48">
        <f>Tabell2[[#This Row],[Befvekst10-I]]*Vekter!$E$3</f>
        <v>9.2894740969177594</v>
      </c>
      <c r="AG51" s="48">
        <f>Tabell2[[#This Row],[Kvinneandel-I]]*Vekter!$F$3</f>
        <v>2.2734665518984554</v>
      </c>
      <c r="AH51" s="48">
        <f>Tabell2[[#This Row],[Eldreandel-I]]*Vekter!$G$3</f>
        <v>2.5899474566925527</v>
      </c>
      <c r="AI51" s="48">
        <f>Tabell2[[#This Row],[Sysselsettingsvekst10-I]]*Vekter!$H$3</f>
        <v>0.89240437449825416</v>
      </c>
      <c r="AJ51" s="48">
        <f>Tabell2[[#This Row],[Yrkesaktivandel-I]]*Vekter!$J$3</f>
        <v>0.57335212643649391</v>
      </c>
      <c r="AK51" s="48">
        <f>Tabell2[[#This Row],[Inntekt-I]]*Vekter!$L$3</f>
        <v>2.3676600025147749</v>
      </c>
      <c r="AL51" s="37">
        <f>SUM(Tabell2[[#This Row],[NIBR11-v]:[Inntekt-v]])</f>
        <v>41.006055884115341</v>
      </c>
    </row>
    <row r="52" spans="1:38">
      <c r="A52" s="2" t="s">
        <v>49</v>
      </c>
      <c r="B52">
        <f>'Rådata-K'!M51</f>
        <v>5</v>
      </c>
      <c r="C52" s="9">
        <f>'Rådata-K'!L51</f>
        <v>78.382385675799995</v>
      </c>
      <c r="D52" s="51">
        <f>'Rådata-K'!N51</f>
        <v>9.7643623416980283</v>
      </c>
      <c r="E52" s="51">
        <f>'Rådata-K'!O51</f>
        <v>-2.7678432592131874E-2</v>
      </c>
      <c r="F52" s="51">
        <f>'Rådata-K'!P51</f>
        <v>9.259555413401567E-2</v>
      </c>
      <c r="G52" s="51">
        <f>'Rådata-K'!Q51</f>
        <v>0.190628498320806</v>
      </c>
      <c r="H52" s="51">
        <f>'Rådata-K'!R51</f>
        <v>1.572327044025168E-2</v>
      </c>
      <c r="I52" s="51">
        <f>'Rådata-K'!S51</f>
        <v>0.80142045454545452</v>
      </c>
      <c r="J52" s="52">
        <f>'Rådata-K'!K51</f>
        <v>310200</v>
      </c>
      <c r="K52" s="26">
        <f>Tabell2[[#This Row],[NIBR11]]</f>
        <v>5</v>
      </c>
      <c r="L52" s="52">
        <f>IF(Tabell2[[#This Row],[ReisetidOslo]]&lt;=C$434,C$434,IF(Tabell2[[#This Row],[ReisetidOslo]]&gt;=C$435,C$435,Tabell2[[#This Row],[ReisetidOslo]]))</f>
        <v>78.382385675799995</v>
      </c>
      <c r="M52" s="51">
        <f>IF(Tabell2[[#This Row],[Beftettotal]]&lt;=D$434,D$434,IF(Tabell2[[#This Row],[Beftettotal]]&gt;=D$435,D$435,Tabell2[[#This Row],[Beftettotal]]))</f>
        <v>9.7643623416980283</v>
      </c>
      <c r="N52" s="51">
        <f>IF(Tabell2[[#This Row],[Befvekst10]]&lt;=E$434,E$434,IF(Tabell2[[#This Row],[Befvekst10]]&gt;=E$435,E$435,Tabell2[[#This Row],[Befvekst10]]))</f>
        <v>-2.7678432592131874E-2</v>
      </c>
      <c r="O52" s="51">
        <f>IF(Tabell2[[#This Row],[Kvinneandel]]&lt;=F$434,F$434,IF(Tabell2[[#This Row],[Kvinneandel]]&gt;=F$435,F$435,Tabell2[[#This Row],[Kvinneandel]]))</f>
        <v>9.259555413401567E-2</v>
      </c>
      <c r="P52" s="51">
        <f>IF(Tabell2[[#This Row],[Eldreandel]]&lt;=G$434,G$434,IF(Tabell2[[#This Row],[Eldreandel]]&gt;=G$435,G$435,Tabell2[[#This Row],[Eldreandel]]))</f>
        <v>0.190628498320806</v>
      </c>
      <c r="Q52" s="51">
        <f>IF(Tabell2[[#This Row],[Sysselsettingsvekst10]]&lt;=H$434,H$434,IF(Tabell2[[#This Row],[Sysselsettingsvekst10]]&gt;=H$435,H$435,Tabell2[[#This Row],[Sysselsettingsvekst10]]))</f>
        <v>1.572327044025168E-2</v>
      </c>
      <c r="R52" s="51">
        <f>IF(Tabell2[[#This Row],[Yrkesaktivandel]]&lt;=I$434,I$434,IF(Tabell2[[#This Row],[Yrkesaktivandel]]&gt;=I$435,I$435,Tabell2[[#This Row],[Yrkesaktivandel]]))</f>
        <v>0.82803562853509294</v>
      </c>
      <c r="S52" s="52">
        <f>IF(Tabell2[[#This Row],[Inntekt]]&lt;=J$434,J$434,IF(Tabell2[[#This Row],[Inntekt]]&gt;=J$435,J$435,Tabell2[[#This Row],[Inntekt]]))</f>
        <v>320470</v>
      </c>
      <c r="T52" s="9">
        <f>IF(Tabell2[[#This Row],[NIBR11-T]]&lt;=K$437,100,IF(Tabell2[[#This Row],[NIBR11-T]]&gt;=K$436,0,100*(K$436-Tabell2[[#This Row],[NIBR11-T]])/K$439))</f>
        <v>60</v>
      </c>
      <c r="U52" s="9">
        <f>(L$436-Tabell2[[#This Row],[ReisetidOslo-T]])*100/L$439</f>
        <v>89.088981404565331</v>
      </c>
      <c r="V52" s="9">
        <f>100-(M$436-Tabell2[[#This Row],[Beftettotal-T]])*100/M$439</f>
        <v>6.6357640575585037</v>
      </c>
      <c r="W52" s="9">
        <f>100-(N$436-Tabell2[[#This Row],[Befvekst10-T]])*100/N$439</f>
        <v>21.4902258133624</v>
      </c>
      <c r="X52" s="9">
        <f>100-(O$436-Tabell2[[#This Row],[Kvinneandel-T]])*100/O$439</f>
        <v>6.1784506237469969</v>
      </c>
      <c r="Y52" s="9">
        <f>(P$436-Tabell2[[#This Row],[Eldreandel-T]])*100/P$439</f>
        <v>20.034660162039245</v>
      </c>
      <c r="Z52" s="9">
        <f>100-(Q$436-Tabell2[[#This Row],[Sysselsettingsvekst10-T]])*100/Q$439</f>
        <v>27.095027901122521</v>
      </c>
      <c r="AA52" s="9">
        <f>100-(R$436-Tabell2[[#This Row],[Yrkesaktivandel-T]])*100/R$439</f>
        <v>0</v>
      </c>
      <c r="AB52" s="9">
        <f>100-(S$436-Tabell2[[#This Row],[Inntekt-T]])*100/S$439</f>
        <v>0</v>
      </c>
      <c r="AC52" s="48">
        <f>Tabell2[[#This Row],[NIBR11-I]]*Vekter!$B$3</f>
        <v>12</v>
      </c>
      <c r="AD52" s="48">
        <f>Tabell2[[#This Row],[ReisetidOslo-I]]*Vekter!$C$3</f>
        <v>8.9088981404565342</v>
      </c>
      <c r="AE52" s="48">
        <f>Tabell2[[#This Row],[Beftettotal-I]]*Vekter!$D$3</f>
        <v>0.66357640575585042</v>
      </c>
      <c r="AF52" s="48">
        <f>Tabell2[[#This Row],[Befvekst10-I]]*Vekter!$E$3</f>
        <v>4.29804516267248</v>
      </c>
      <c r="AG52" s="48">
        <f>Tabell2[[#This Row],[Kvinneandel-I]]*Vekter!$F$3</f>
        <v>0.30892253118734986</v>
      </c>
      <c r="AH52" s="48">
        <f>Tabell2[[#This Row],[Eldreandel-I]]*Vekter!$G$3</f>
        <v>1.0017330081019622</v>
      </c>
      <c r="AI52" s="48">
        <f>Tabell2[[#This Row],[Sysselsettingsvekst10-I]]*Vekter!$H$3</f>
        <v>2.7095027901122521</v>
      </c>
      <c r="AJ52" s="48">
        <f>Tabell2[[#This Row],[Yrkesaktivandel-I]]*Vekter!$J$3</f>
        <v>0</v>
      </c>
      <c r="AK52" s="48">
        <f>Tabell2[[#This Row],[Inntekt-I]]*Vekter!$L$3</f>
        <v>0</v>
      </c>
      <c r="AL52" s="37">
        <f>SUM(Tabell2[[#This Row],[NIBR11-v]:[Inntekt-v]])</f>
        <v>29.890678038286431</v>
      </c>
    </row>
    <row r="53" spans="1:38">
      <c r="A53" s="2" t="s">
        <v>50</v>
      </c>
      <c r="B53">
        <f>'Rådata-K'!M52</f>
        <v>6</v>
      </c>
      <c r="C53" s="9">
        <f>'Rådata-K'!L52</f>
        <v>98.638474468799998</v>
      </c>
      <c r="D53" s="51">
        <f>'Rådata-K'!N52</f>
        <v>5.9103885710190278</v>
      </c>
      <c r="E53" s="51">
        <f>'Rådata-K'!O52</f>
        <v>-6.8524096385542133E-2</v>
      </c>
      <c r="F53" s="51">
        <f>'Rådata-K'!P52</f>
        <v>8.2659660468876309E-2</v>
      </c>
      <c r="G53" s="51">
        <f>'Rådata-K'!Q52</f>
        <v>0.21827000808407437</v>
      </c>
      <c r="H53" s="51">
        <f>'Rådata-K'!R52</f>
        <v>-9.3167701863353991E-2</v>
      </c>
      <c r="I53" s="51">
        <f>'Rådata-K'!S52</f>
        <v>0.82706489675516226</v>
      </c>
      <c r="J53" s="52">
        <f>'Rådata-K'!K52</f>
        <v>322800</v>
      </c>
      <c r="K53" s="26">
        <f>Tabell2[[#This Row],[NIBR11]]</f>
        <v>6</v>
      </c>
      <c r="L53" s="52">
        <f>IF(Tabell2[[#This Row],[ReisetidOslo]]&lt;=C$434,C$434,IF(Tabell2[[#This Row],[ReisetidOslo]]&gt;=C$435,C$435,Tabell2[[#This Row],[ReisetidOslo]]))</f>
        <v>98.638474468799998</v>
      </c>
      <c r="M53" s="51">
        <f>IF(Tabell2[[#This Row],[Beftettotal]]&lt;=D$434,D$434,IF(Tabell2[[#This Row],[Beftettotal]]&gt;=D$435,D$435,Tabell2[[#This Row],[Beftettotal]]))</f>
        <v>5.9103885710190278</v>
      </c>
      <c r="N53" s="51">
        <f>IF(Tabell2[[#This Row],[Befvekst10]]&lt;=E$434,E$434,IF(Tabell2[[#This Row],[Befvekst10]]&gt;=E$435,E$435,Tabell2[[#This Row],[Befvekst10]]))</f>
        <v>-6.8524096385542133E-2</v>
      </c>
      <c r="O53" s="51">
        <f>IF(Tabell2[[#This Row],[Kvinneandel]]&lt;=F$434,F$434,IF(Tabell2[[#This Row],[Kvinneandel]]&gt;=F$435,F$435,Tabell2[[#This Row],[Kvinneandel]]))</f>
        <v>9.0262917071501733E-2</v>
      </c>
      <c r="P53" s="51">
        <f>IF(Tabell2[[#This Row],[Eldreandel]]&lt;=G$434,G$434,IF(Tabell2[[#This Row],[Eldreandel]]&gt;=G$435,G$435,Tabell2[[#This Row],[Eldreandel]]))</f>
        <v>0.20830063331569054</v>
      </c>
      <c r="Q53" s="51">
        <f>IF(Tabell2[[#This Row],[Sysselsettingsvekst10]]&lt;=H$434,H$434,IF(Tabell2[[#This Row],[Sysselsettingsvekst10]]&gt;=H$435,H$435,Tabell2[[#This Row],[Sysselsettingsvekst10]]))</f>
        <v>-6.8692498376029434E-2</v>
      </c>
      <c r="R53" s="51">
        <f>IF(Tabell2[[#This Row],[Yrkesaktivandel]]&lt;=I$434,I$434,IF(Tabell2[[#This Row],[Yrkesaktivandel]]&gt;=I$435,I$435,Tabell2[[#This Row],[Yrkesaktivandel]]))</f>
        <v>0.82803562853509294</v>
      </c>
      <c r="S53" s="52">
        <f>IF(Tabell2[[#This Row],[Inntekt]]&lt;=J$434,J$434,IF(Tabell2[[#This Row],[Inntekt]]&gt;=J$435,J$435,Tabell2[[#This Row],[Inntekt]]))</f>
        <v>322800</v>
      </c>
      <c r="T53" s="9">
        <f>IF(Tabell2[[#This Row],[NIBR11-T]]&lt;=K$437,100,IF(Tabell2[[#This Row],[NIBR11-T]]&gt;=K$436,0,100*(K$436-Tabell2[[#This Row],[NIBR11-T]])/K$439))</f>
        <v>50</v>
      </c>
      <c r="U53" s="9">
        <f>(L$436-Tabell2[[#This Row],[ReisetidOslo-T]])*100/L$439</f>
        <v>80.096278796329173</v>
      </c>
      <c r="V53" s="9">
        <f>100-(M$436-Tabell2[[#This Row],[Beftettotal-T]])*100/M$439</f>
        <v>3.6001352896984429</v>
      </c>
      <c r="W53" s="9">
        <f>100-(N$436-Tabell2[[#This Row],[Befvekst10-T]])*100/N$439</f>
        <v>4.9617940060804528</v>
      </c>
      <c r="X53" s="9">
        <f>100-(O$436-Tabell2[[#This Row],[Kvinneandel-T]])*100/O$439</f>
        <v>0</v>
      </c>
      <c r="Y53" s="9">
        <f>(P$436-Tabell2[[#This Row],[Eldreandel-T]])*100/P$439</f>
        <v>0</v>
      </c>
      <c r="Z53" s="9">
        <f>100-(Q$436-Tabell2[[#This Row],[Sysselsettingsvekst10-T]])*100/Q$439</f>
        <v>0</v>
      </c>
      <c r="AA53" s="9">
        <f>100-(R$436-Tabell2[[#This Row],[Yrkesaktivandel-T]])*100/R$439</f>
        <v>0</v>
      </c>
      <c r="AB53" s="9">
        <f>100-(S$436-Tabell2[[#This Row],[Inntekt-T]])*100/S$439</f>
        <v>2.9297120583427585</v>
      </c>
      <c r="AC53" s="48">
        <f>Tabell2[[#This Row],[NIBR11-I]]*Vekter!$B$3</f>
        <v>10</v>
      </c>
      <c r="AD53" s="48">
        <f>Tabell2[[#This Row],[ReisetidOslo-I]]*Vekter!$C$3</f>
        <v>8.0096278796329177</v>
      </c>
      <c r="AE53" s="48">
        <f>Tabell2[[#This Row],[Beftettotal-I]]*Vekter!$D$3</f>
        <v>0.36001352896984429</v>
      </c>
      <c r="AF53" s="48">
        <f>Tabell2[[#This Row],[Befvekst10-I]]*Vekter!$E$3</f>
        <v>0.99235880121609066</v>
      </c>
      <c r="AG53" s="48">
        <f>Tabell2[[#This Row],[Kvinneandel-I]]*Vekter!$F$3</f>
        <v>0</v>
      </c>
      <c r="AH53" s="48">
        <f>Tabell2[[#This Row],[Eldreandel-I]]*Vekter!$G$3</f>
        <v>0</v>
      </c>
      <c r="AI53" s="48">
        <f>Tabell2[[#This Row],[Sysselsettingsvekst10-I]]*Vekter!$H$3</f>
        <v>0</v>
      </c>
      <c r="AJ53" s="48">
        <f>Tabell2[[#This Row],[Yrkesaktivandel-I]]*Vekter!$J$3</f>
        <v>0</v>
      </c>
      <c r="AK53" s="48">
        <f>Tabell2[[#This Row],[Inntekt-I]]*Vekter!$L$3</f>
        <v>0.29297120583427588</v>
      </c>
      <c r="AL53" s="37">
        <f>SUM(Tabell2[[#This Row],[NIBR11-v]:[Inntekt-v]])</f>
        <v>19.654971415653129</v>
      </c>
    </row>
    <row r="54" spans="1:38">
      <c r="A54" s="2" t="s">
        <v>51</v>
      </c>
      <c r="B54">
        <f>'Rådata-K'!M53</f>
        <v>5</v>
      </c>
      <c r="C54" s="9">
        <f>'Rådata-K'!L53</f>
        <v>114.27435344600001</v>
      </c>
      <c r="D54" s="51">
        <f>'Rådata-K'!N53</f>
        <v>7.2472957134897298</v>
      </c>
      <c r="E54" s="51">
        <f>'Rådata-K'!O53</f>
        <v>-4.7955577990913656E-2</v>
      </c>
      <c r="F54" s="51">
        <f>'Rådata-K'!P53</f>
        <v>9.2656415694591723E-2</v>
      </c>
      <c r="G54" s="51">
        <f>'Rådata-K'!Q53</f>
        <v>0.21871686108165431</v>
      </c>
      <c r="H54" s="51">
        <f>'Rådata-K'!R53</f>
        <v>-2.6926960619320095E-3</v>
      </c>
      <c r="I54" s="51">
        <f>'Rådata-K'!S53</f>
        <v>0.80253709909047388</v>
      </c>
      <c r="J54" s="52">
        <f>'Rådata-K'!K53</f>
        <v>314300</v>
      </c>
      <c r="K54" s="26">
        <f>Tabell2[[#This Row],[NIBR11]]</f>
        <v>5</v>
      </c>
      <c r="L54" s="52">
        <f>IF(Tabell2[[#This Row],[ReisetidOslo]]&lt;=C$434,C$434,IF(Tabell2[[#This Row],[ReisetidOslo]]&gt;=C$435,C$435,Tabell2[[#This Row],[ReisetidOslo]]))</f>
        <v>114.27435344600001</v>
      </c>
      <c r="M54" s="51">
        <f>IF(Tabell2[[#This Row],[Beftettotal]]&lt;=D$434,D$434,IF(Tabell2[[#This Row],[Beftettotal]]&gt;=D$435,D$435,Tabell2[[#This Row],[Beftettotal]]))</f>
        <v>7.2472957134897298</v>
      </c>
      <c r="N54" s="51">
        <f>IF(Tabell2[[#This Row],[Befvekst10]]&lt;=E$434,E$434,IF(Tabell2[[#This Row],[Befvekst10]]&gt;=E$435,E$435,Tabell2[[#This Row],[Befvekst10]]))</f>
        <v>-4.7955577990913656E-2</v>
      </c>
      <c r="O54" s="51">
        <f>IF(Tabell2[[#This Row],[Kvinneandel]]&lt;=F$434,F$434,IF(Tabell2[[#This Row],[Kvinneandel]]&gt;=F$435,F$435,Tabell2[[#This Row],[Kvinneandel]]))</f>
        <v>9.2656415694591723E-2</v>
      </c>
      <c r="P54" s="51">
        <f>IF(Tabell2[[#This Row],[Eldreandel]]&lt;=G$434,G$434,IF(Tabell2[[#This Row],[Eldreandel]]&gt;=G$435,G$435,Tabell2[[#This Row],[Eldreandel]]))</f>
        <v>0.20830063331569054</v>
      </c>
      <c r="Q54" s="51">
        <f>IF(Tabell2[[#This Row],[Sysselsettingsvekst10]]&lt;=H$434,H$434,IF(Tabell2[[#This Row],[Sysselsettingsvekst10]]&gt;=H$435,H$435,Tabell2[[#This Row],[Sysselsettingsvekst10]]))</f>
        <v>-2.6926960619320095E-3</v>
      </c>
      <c r="R54" s="51">
        <f>IF(Tabell2[[#This Row],[Yrkesaktivandel]]&lt;=I$434,I$434,IF(Tabell2[[#This Row],[Yrkesaktivandel]]&gt;=I$435,I$435,Tabell2[[#This Row],[Yrkesaktivandel]]))</f>
        <v>0.82803562853509294</v>
      </c>
      <c r="S54" s="52">
        <f>IF(Tabell2[[#This Row],[Inntekt]]&lt;=J$434,J$434,IF(Tabell2[[#This Row],[Inntekt]]&gt;=J$435,J$435,Tabell2[[#This Row],[Inntekt]]))</f>
        <v>320470</v>
      </c>
      <c r="T54" s="9">
        <f>IF(Tabell2[[#This Row],[NIBR11-T]]&lt;=K$437,100,IF(Tabell2[[#This Row],[NIBR11-T]]&gt;=K$436,0,100*(K$436-Tabell2[[#This Row],[NIBR11-T]])/K$439))</f>
        <v>60</v>
      </c>
      <c r="U54" s="9">
        <f>(L$436-Tabell2[[#This Row],[ReisetidOslo-T]])*100/L$439</f>
        <v>73.154721070292624</v>
      </c>
      <c r="V54" s="9">
        <f>100-(M$436-Tabell2[[#This Row],[Beftettotal-T]])*100/M$439</f>
        <v>4.6531662709981987</v>
      </c>
      <c r="W54" s="9">
        <f>100-(N$436-Tabell2[[#This Row],[Befvekst10-T]])*100/N$439</f>
        <v>13.284962785560268</v>
      </c>
      <c r="X54" s="9">
        <f>100-(O$436-Tabell2[[#This Row],[Kvinneandel-T]])*100/O$439</f>
        <v>6.3396545045162043</v>
      </c>
      <c r="Y54" s="9">
        <f>(P$436-Tabell2[[#This Row],[Eldreandel-T]])*100/P$439</f>
        <v>0</v>
      </c>
      <c r="Z54" s="9">
        <f>100-(Q$436-Tabell2[[#This Row],[Sysselsettingsvekst10-T]])*100/Q$439</f>
        <v>21.18403362600354</v>
      </c>
      <c r="AA54" s="9">
        <f>100-(R$436-Tabell2[[#This Row],[Yrkesaktivandel-T]])*100/R$439</f>
        <v>0</v>
      </c>
      <c r="AB54" s="9">
        <f>100-(S$436-Tabell2[[#This Row],[Inntekt-T]])*100/S$439</f>
        <v>0</v>
      </c>
      <c r="AC54" s="48">
        <f>Tabell2[[#This Row],[NIBR11-I]]*Vekter!$B$3</f>
        <v>12</v>
      </c>
      <c r="AD54" s="48">
        <f>Tabell2[[#This Row],[ReisetidOslo-I]]*Vekter!$C$3</f>
        <v>7.3154721070292625</v>
      </c>
      <c r="AE54" s="48">
        <f>Tabell2[[#This Row],[Beftettotal-I]]*Vekter!$D$3</f>
        <v>0.46531662709981991</v>
      </c>
      <c r="AF54" s="48">
        <f>Tabell2[[#This Row],[Befvekst10-I]]*Vekter!$E$3</f>
        <v>2.6569925571120536</v>
      </c>
      <c r="AG54" s="48">
        <f>Tabell2[[#This Row],[Kvinneandel-I]]*Vekter!$F$3</f>
        <v>0.31698272522581022</v>
      </c>
      <c r="AH54" s="48">
        <f>Tabell2[[#This Row],[Eldreandel-I]]*Vekter!$G$3</f>
        <v>0</v>
      </c>
      <c r="AI54" s="48">
        <f>Tabell2[[#This Row],[Sysselsettingsvekst10-I]]*Vekter!$H$3</f>
        <v>2.118403362600354</v>
      </c>
      <c r="AJ54" s="48">
        <f>Tabell2[[#This Row],[Yrkesaktivandel-I]]*Vekter!$J$3</f>
        <v>0</v>
      </c>
      <c r="AK54" s="48">
        <f>Tabell2[[#This Row],[Inntekt-I]]*Vekter!$L$3</f>
        <v>0</v>
      </c>
      <c r="AL54" s="37">
        <f>SUM(Tabell2[[#This Row],[NIBR11-v]:[Inntekt-v]])</f>
        <v>24.873167379067301</v>
      </c>
    </row>
    <row r="55" spans="1:38">
      <c r="A55" s="2" t="s">
        <v>52</v>
      </c>
      <c r="B55">
        <f>'Rådata-K'!M54</f>
        <v>5</v>
      </c>
      <c r="C55" s="9">
        <f>'Rådata-K'!L54</f>
        <v>121.93083443800001</v>
      </c>
      <c r="D55" s="51">
        <f>'Rådata-K'!N54</f>
        <v>5.3639031860138671</v>
      </c>
      <c r="E55" s="51">
        <f>'Rådata-K'!O54</f>
        <v>-3.1490015360983059E-2</v>
      </c>
      <c r="F55" s="51">
        <f>'Rådata-K'!P54</f>
        <v>8.9082738567274652E-2</v>
      </c>
      <c r="G55" s="51">
        <f>'Rådata-K'!Q54</f>
        <v>0.21147237642083003</v>
      </c>
      <c r="H55" s="51">
        <f>'Rådata-K'!R54</f>
        <v>-3.8461538461538436E-2</v>
      </c>
      <c r="I55" s="51">
        <f>'Rådata-K'!S54</f>
        <v>0.80996309963099633</v>
      </c>
      <c r="J55" s="52">
        <f>'Rådata-K'!K54</f>
        <v>320900</v>
      </c>
      <c r="K55" s="26">
        <f>Tabell2[[#This Row],[NIBR11]]</f>
        <v>5</v>
      </c>
      <c r="L55" s="52">
        <f>IF(Tabell2[[#This Row],[ReisetidOslo]]&lt;=C$434,C$434,IF(Tabell2[[#This Row],[ReisetidOslo]]&gt;=C$435,C$435,Tabell2[[#This Row],[ReisetidOslo]]))</f>
        <v>121.93083443800001</v>
      </c>
      <c r="M55" s="51">
        <f>IF(Tabell2[[#This Row],[Beftettotal]]&lt;=D$434,D$434,IF(Tabell2[[#This Row],[Beftettotal]]&gt;=D$435,D$435,Tabell2[[#This Row],[Beftettotal]]))</f>
        <v>5.3639031860138671</v>
      </c>
      <c r="N55" s="51">
        <f>IF(Tabell2[[#This Row],[Befvekst10]]&lt;=E$434,E$434,IF(Tabell2[[#This Row],[Befvekst10]]&gt;=E$435,E$435,Tabell2[[#This Row],[Befvekst10]]))</f>
        <v>-3.1490015360983059E-2</v>
      </c>
      <c r="O55" s="51">
        <f>IF(Tabell2[[#This Row],[Kvinneandel]]&lt;=F$434,F$434,IF(Tabell2[[#This Row],[Kvinneandel]]&gt;=F$435,F$435,Tabell2[[#This Row],[Kvinneandel]]))</f>
        <v>9.0262917071501733E-2</v>
      </c>
      <c r="P55" s="51">
        <f>IF(Tabell2[[#This Row],[Eldreandel]]&lt;=G$434,G$434,IF(Tabell2[[#This Row],[Eldreandel]]&gt;=G$435,G$435,Tabell2[[#This Row],[Eldreandel]]))</f>
        <v>0.20830063331569054</v>
      </c>
      <c r="Q55" s="51">
        <f>IF(Tabell2[[#This Row],[Sysselsettingsvekst10]]&lt;=H$434,H$434,IF(Tabell2[[#This Row],[Sysselsettingsvekst10]]&gt;=H$435,H$435,Tabell2[[#This Row],[Sysselsettingsvekst10]]))</f>
        <v>-3.8461538461538436E-2</v>
      </c>
      <c r="R55" s="51">
        <f>IF(Tabell2[[#This Row],[Yrkesaktivandel]]&lt;=I$434,I$434,IF(Tabell2[[#This Row],[Yrkesaktivandel]]&gt;=I$435,I$435,Tabell2[[#This Row],[Yrkesaktivandel]]))</f>
        <v>0.82803562853509294</v>
      </c>
      <c r="S55" s="52">
        <f>IF(Tabell2[[#This Row],[Inntekt]]&lt;=J$434,J$434,IF(Tabell2[[#This Row],[Inntekt]]&gt;=J$435,J$435,Tabell2[[#This Row],[Inntekt]]))</f>
        <v>320900</v>
      </c>
      <c r="T55" s="9">
        <f>IF(Tabell2[[#This Row],[NIBR11-T]]&lt;=K$437,100,IF(Tabell2[[#This Row],[NIBR11-T]]&gt;=K$436,0,100*(K$436-Tabell2[[#This Row],[NIBR11-T]])/K$439))</f>
        <v>60</v>
      </c>
      <c r="U55" s="9">
        <f>(L$436-Tabell2[[#This Row],[ReisetidOslo-T]])*100/L$439</f>
        <v>69.755621802399276</v>
      </c>
      <c r="V55" s="9">
        <f>100-(M$436-Tabell2[[#This Row],[Beftettotal-T]])*100/M$439</f>
        <v>3.1696895070732864</v>
      </c>
      <c r="W55" s="9">
        <f>100-(N$436-Tabell2[[#This Row],[Befvekst10-T]])*100/N$439</f>
        <v>19.947847014197649</v>
      </c>
      <c r="X55" s="9">
        <f>100-(O$436-Tabell2[[#This Row],[Kvinneandel-T]])*100/O$439</f>
        <v>0</v>
      </c>
      <c r="Y55" s="9">
        <f>(P$436-Tabell2[[#This Row],[Eldreandel-T]])*100/P$439</f>
        <v>0</v>
      </c>
      <c r="Z55" s="9">
        <f>100-(Q$436-Tabell2[[#This Row],[Sysselsettingsvekst10-T]])*100/Q$439</f>
        <v>9.7032665086960606</v>
      </c>
      <c r="AA55" s="9">
        <f>100-(R$436-Tabell2[[#This Row],[Yrkesaktivandel-T]])*100/R$439</f>
        <v>0</v>
      </c>
      <c r="AB55" s="9">
        <f>100-(S$436-Tabell2[[#This Row],[Inntekt-T]])*100/S$439</f>
        <v>0.54067647428642829</v>
      </c>
      <c r="AC55" s="48">
        <f>Tabell2[[#This Row],[NIBR11-I]]*Vekter!$B$3</f>
        <v>12</v>
      </c>
      <c r="AD55" s="48">
        <f>Tabell2[[#This Row],[ReisetidOslo-I]]*Vekter!$C$3</f>
        <v>6.9755621802399279</v>
      </c>
      <c r="AE55" s="48">
        <f>Tabell2[[#This Row],[Beftettotal-I]]*Vekter!$D$3</f>
        <v>0.31696895070732867</v>
      </c>
      <c r="AF55" s="48">
        <f>Tabell2[[#This Row],[Befvekst10-I]]*Vekter!$E$3</f>
        <v>3.9895694028395301</v>
      </c>
      <c r="AG55" s="48">
        <f>Tabell2[[#This Row],[Kvinneandel-I]]*Vekter!$F$3</f>
        <v>0</v>
      </c>
      <c r="AH55" s="48">
        <f>Tabell2[[#This Row],[Eldreandel-I]]*Vekter!$G$3</f>
        <v>0</v>
      </c>
      <c r="AI55" s="48">
        <f>Tabell2[[#This Row],[Sysselsettingsvekst10-I]]*Vekter!$H$3</f>
        <v>0.97032665086960612</v>
      </c>
      <c r="AJ55" s="48">
        <f>Tabell2[[#This Row],[Yrkesaktivandel-I]]*Vekter!$J$3</f>
        <v>0</v>
      </c>
      <c r="AK55" s="48">
        <f>Tabell2[[#This Row],[Inntekt-I]]*Vekter!$L$3</f>
        <v>5.4067647428642833E-2</v>
      </c>
      <c r="AL55" s="37">
        <f>SUM(Tabell2[[#This Row],[NIBR11-v]:[Inntekt-v]])</f>
        <v>24.306494832085029</v>
      </c>
    </row>
    <row r="56" spans="1:38">
      <c r="A56" s="2" t="s">
        <v>53</v>
      </c>
      <c r="B56">
        <f>'Rådata-K'!M55</f>
        <v>5</v>
      </c>
      <c r="C56" s="9">
        <f>'Rådata-K'!L55</f>
        <v>97.186424978100007</v>
      </c>
      <c r="D56" s="51">
        <f>'Rådata-K'!N55</f>
        <v>16.727677990368345</v>
      </c>
      <c r="E56" s="51">
        <f>'Rådata-K'!O55</f>
        <v>9.3485775059824583E-2</v>
      </c>
      <c r="F56" s="51">
        <f>'Rådata-K'!P55</f>
        <v>0.12507902543403199</v>
      </c>
      <c r="G56" s="51">
        <f>'Rådata-K'!Q55</f>
        <v>0.15843991635461752</v>
      </c>
      <c r="H56" s="51">
        <f>'Rådata-K'!R55</f>
        <v>0.17389795209996528</v>
      </c>
      <c r="I56" s="51">
        <f>'Rådata-K'!S55</f>
        <v>0.86259929018083492</v>
      </c>
      <c r="J56" s="52">
        <f>'Rådata-K'!K55</f>
        <v>351600</v>
      </c>
      <c r="K56" s="26">
        <f>Tabell2[[#This Row],[NIBR11]]</f>
        <v>5</v>
      </c>
      <c r="L56" s="52">
        <f>IF(Tabell2[[#This Row],[ReisetidOslo]]&lt;=C$434,C$434,IF(Tabell2[[#This Row],[ReisetidOslo]]&gt;=C$435,C$435,Tabell2[[#This Row],[ReisetidOslo]]))</f>
        <v>97.186424978100007</v>
      </c>
      <c r="M56" s="51">
        <f>IF(Tabell2[[#This Row],[Beftettotal]]&lt;=D$434,D$434,IF(Tabell2[[#This Row],[Beftettotal]]&gt;=D$435,D$435,Tabell2[[#This Row],[Beftettotal]]))</f>
        <v>16.727677990368345</v>
      </c>
      <c r="N56" s="51">
        <f>IF(Tabell2[[#This Row],[Befvekst10]]&lt;=E$434,E$434,IF(Tabell2[[#This Row],[Befvekst10]]&gt;=E$435,E$435,Tabell2[[#This Row],[Befvekst10]]))</f>
        <v>9.3485775059824583E-2</v>
      </c>
      <c r="O56" s="51">
        <f>IF(Tabell2[[#This Row],[Kvinneandel]]&lt;=F$434,F$434,IF(Tabell2[[#This Row],[Kvinneandel]]&gt;=F$435,F$435,Tabell2[[#This Row],[Kvinneandel]]))</f>
        <v>0.12507902543403199</v>
      </c>
      <c r="P56" s="51">
        <f>IF(Tabell2[[#This Row],[Eldreandel]]&lt;=G$434,G$434,IF(Tabell2[[#This Row],[Eldreandel]]&gt;=G$435,G$435,Tabell2[[#This Row],[Eldreandel]]))</f>
        <v>0.15843991635461752</v>
      </c>
      <c r="Q56" s="51">
        <f>IF(Tabell2[[#This Row],[Sysselsettingsvekst10]]&lt;=H$434,H$434,IF(Tabell2[[#This Row],[Sysselsettingsvekst10]]&gt;=H$435,H$435,Tabell2[[#This Row],[Sysselsettingsvekst10]]))</f>
        <v>0.17389795209996528</v>
      </c>
      <c r="R56" s="51">
        <f>IF(Tabell2[[#This Row],[Yrkesaktivandel]]&lt;=I$434,I$434,IF(Tabell2[[#This Row],[Yrkesaktivandel]]&gt;=I$435,I$435,Tabell2[[#This Row],[Yrkesaktivandel]]))</f>
        <v>0.86259929018083492</v>
      </c>
      <c r="S56" s="52">
        <f>IF(Tabell2[[#This Row],[Inntekt]]&lt;=J$434,J$434,IF(Tabell2[[#This Row],[Inntekt]]&gt;=J$435,J$435,Tabell2[[#This Row],[Inntekt]]))</f>
        <v>351600</v>
      </c>
      <c r="T56" s="9">
        <f>IF(Tabell2[[#This Row],[NIBR11-T]]&lt;=K$437,100,IF(Tabell2[[#This Row],[NIBR11-T]]&gt;=K$436,0,100*(K$436-Tabell2[[#This Row],[NIBR11-T]])/K$439))</f>
        <v>60</v>
      </c>
      <c r="U56" s="9">
        <f>(L$436-Tabell2[[#This Row],[ReisetidOslo-T]])*100/L$439</f>
        <v>80.740917027122194</v>
      </c>
      <c r="V56" s="9">
        <f>100-(M$436-Tabell2[[#This Row],[Beftettotal-T]])*100/M$439</f>
        <v>12.120503332021585</v>
      </c>
      <c r="W56" s="9">
        <f>100-(N$436-Tabell2[[#This Row],[Befvekst10-T]])*100/N$439</f>
        <v>70.520016436615919</v>
      </c>
      <c r="X56" s="9">
        <f>100-(O$436-Tabell2[[#This Row],[Kvinneandel-T]])*100/O$439</f>
        <v>92.217349147787942</v>
      </c>
      <c r="Y56" s="9">
        <f>(P$436-Tabell2[[#This Row],[Eldreandel-T]])*100/P$439</f>
        <v>56.526419701970518</v>
      </c>
      <c r="Z56" s="9">
        <f>100-(Q$436-Tabell2[[#This Row],[Sysselsettingsvekst10-T]])*100/Q$439</f>
        <v>77.864540196253444</v>
      </c>
      <c r="AA56" s="9">
        <f>100-(R$436-Tabell2[[#This Row],[Yrkesaktivandel-T]])*100/R$439</f>
        <v>25.766371213818644</v>
      </c>
      <c r="AB56" s="9">
        <f>100-(S$436-Tabell2[[#This Row],[Inntekt-T]])*100/S$439</f>
        <v>39.142461964038731</v>
      </c>
      <c r="AC56" s="48">
        <f>Tabell2[[#This Row],[NIBR11-I]]*Vekter!$B$3</f>
        <v>12</v>
      </c>
      <c r="AD56" s="48">
        <f>Tabell2[[#This Row],[ReisetidOslo-I]]*Vekter!$C$3</f>
        <v>8.0740917027122201</v>
      </c>
      <c r="AE56" s="48">
        <f>Tabell2[[#This Row],[Beftettotal-I]]*Vekter!$D$3</f>
        <v>1.2120503332021586</v>
      </c>
      <c r="AF56" s="48">
        <f>Tabell2[[#This Row],[Befvekst10-I]]*Vekter!$E$3</f>
        <v>14.104003287323184</v>
      </c>
      <c r="AG56" s="48">
        <f>Tabell2[[#This Row],[Kvinneandel-I]]*Vekter!$F$3</f>
        <v>4.6108674573893973</v>
      </c>
      <c r="AH56" s="48">
        <f>Tabell2[[#This Row],[Eldreandel-I]]*Vekter!$G$3</f>
        <v>2.8263209850985263</v>
      </c>
      <c r="AI56" s="48">
        <f>Tabell2[[#This Row],[Sysselsettingsvekst10-I]]*Vekter!$H$3</f>
        <v>7.7864540196253449</v>
      </c>
      <c r="AJ56" s="48">
        <f>Tabell2[[#This Row],[Yrkesaktivandel-I]]*Vekter!$J$3</f>
        <v>2.5766371213818644</v>
      </c>
      <c r="AK56" s="48">
        <f>Tabell2[[#This Row],[Inntekt-I]]*Vekter!$L$3</f>
        <v>3.9142461964038731</v>
      </c>
      <c r="AL56" s="37">
        <f>SUM(Tabell2[[#This Row],[NIBR11-v]:[Inntekt-v]])</f>
        <v>57.104671103136567</v>
      </c>
    </row>
    <row r="57" spans="1:38">
      <c r="A57" s="2" t="s">
        <v>54</v>
      </c>
      <c r="B57">
        <f>'Rådata-K'!M56</f>
        <v>9</v>
      </c>
      <c r="C57" s="9">
        <f>'Rådata-K'!L56</f>
        <v>150.541190755</v>
      </c>
      <c r="D57" s="51">
        <f>'Rådata-K'!N56</f>
        <v>2.1964861529478892</v>
      </c>
      <c r="E57" s="51">
        <f>'Rådata-K'!O56</f>
        <v>-4.8023005032350796E-2</v>
      </c>
      <c r="F57" s="51">
        <f>'Rådata-K'!P56</f>
        <v>9.8625585259024318E-2</v>
      </c>
      <c r="G57" s="51">
        <f>'Rådata-K'!Q56</f>
        <v>0.20631324573327292</v>
      </c>
      <c r="H57" s="51">
        <f>'Rådata-K'!R56</f>
        <v>-4.1754385964912322E-2</v>
      </c>
      <c r="I57" s="51">
        <f>'Rådata-K'!S56</f>
        <v>0.82615759545085299</v>
      </c>
      <c r="J57" s="52">
        <f>'Rådata-K'!K56</f>
        <v>304300</v>
      </c>
      <c r="K57" s="26">
        <f>Tabell2[[#This Row],[NIBR11]]</f>
        <v>9</v>
      </c>
      <c r="L57" s="52">
        <f>IF(Tabell2[[#This Row],[ReisetidOslo]]&lt;=C$434,C$434,IF(Tabell2[[#This Row],[ReisetidOslo]]&gt;=C$435,C$435,Tabell2[[#This Row],[ReisetidOslo]]))</f>
        <v>150.541190755</v>
      </c>
      <c r="M57" s="51">
        <f>IF(Tabell2[[#This Row],[Beftettotal]]&lt;=D$434,D$434,IF(Tabell2[[#This Row],[Beftettotal]]&gt;=D$435,D$435,Tabell2[[#This Row],[Beftettotal]]))</f>
        <v>2.1964861529478892</v>
      </c>
      <c r="N57" s="51">
        <f>IF(Tabell2[[#This Row],[Befvekst10]]&lt;=E$434,E$434,IF(Tabell2[[#This Row],[Befvekst10]]&gt;=E$435,E$435,Tabell2[[#This Row],[Befvekst10]]))</f>
        <v>-4.8023005032350796E-2</v>
      </c>
      <c r="O57" s="51">
        <f>IF(Tabell2[[#This Row],[Kvinneandel]]&lt;=F$434,F$434,IF(Tabell2[[#This Row],[Kvinneandel]]&gt;=F$435,F$435,Tabell2[[#This Row],[Kvinneandel]]))</f>
        <v>9.8625585259024318E-2</v>
      </c>
      <c r="P57" s="51">
        <f>IF(Tabell2[[#This Row],[Eldreandel]]&lt;=G$434,G$434,IF(Tabell2[[#This Row],[Eldreandel]]&gt;=G$435,G$435,Tabell2[[#This Row],[Eldreandel]]))</f>
        <v>0.20631324573327292</v>
      </c>
      <c r="Q57" s="51">
        <f>IF(Tabell2[[#This Row],[Sysselsettingsvekst10]]&lt;=H$434,H$434,IF(Tabell2[[#This Row],[Sysselsettingsvekst10]]&gt;=H$435,H$435,Tabell2[[#This Row],[Sysselsettingsvekst10]]))</f>
        <v>-4.1754385964912322E-2</v>
      </c>
      <c r="R57" s="51">
        <f>IF(Tabell2[[#This Row],[Yrkesaktivandel]]&lt;=I$434,I$434,IF(Tabell2[[#This Row],[Yrkesaktivandel]]&gt;=I$435,I$435,Tabell2[[#This Row],[Yrkesaktivandel]]))</f>
        <v>0.82803562853509294</v>
      </c>
      <c r="S57" s="52">
        <f>IF(Tabell2[[#This Row],[Inntekt]]&lt;=J$434,J$434,IF(Tabell2[[#This Row],[Inntekt]]&gt;=J$435,J$435,Tabell2[[#This Row],[Inntekt]]))</f>
        <v>320470</v>
      </c>
      <c r="T57" s="9">
        <f>IF(Tabell2[[#This Row],[NIBR11-T]]&lt;=K$437,100,IF(Tabell2[[#This Row],[NIBR11-T]]&gt;=K$436,0,100*(K$436-Tabell2[[#This Row],[NIBR11-T]])/K$439))</f>
        <v>20</v>
      </c>
      <c r="U57" s="9">
        <f>(L$436-Tabell2[[#This Row],[ReisetidOslo-T]])*100/L$439</f>
        <v>57.054037182402801</v>
      </c>
      <c r="V57" s="9">
        <f>100-(M$436-Tabell2[[#This Row],[Beftettotal-T]])*100/M$439</f>
        <v>0.67483540647286588</v>
      </c>
      <c r="W57" s="9">
        <f>100-(N$436-Tabell2[[#This Row],[Befvekst10-T]])*100/N$439</f>
        <v>13.257678047038283</v>
      </c>
      <c r="X57" s="9">
        <f>100-(O$436-Tabell2[[#This Row],[Kvinneandel-T]])*100/O$439</f>
        <v>22.150180715942128</v>
      </c>
      <c r="Y57" s="9">
        <f>(P$436-Tabell2[[#This Row],[Eldreandel-T]])*100/P$439</f>
        <v>2.2530743928517585</v>
      </c>
      <c r="Z57" s="9">
        <f>100-(Q$436-Tabell2[[#This Row],[Sysselsettingsvekst10-T]])*100/Q$439</f>
        <v>8.6463574000171945</v>
      </c>
      <c r="AA57" s="9">
        <f>100-(R$436-Tabell2[[#This Row],[Yrkesaktivandel-T]])*100/R$439</f>
        <v>0</v>
      </c>
      <c r="AB57" s="9">
        <f>100-(S$436-Tabell2[[#This Row],[Inntekt-T]])*100/S$439</f>
        <v>0</v>
      </c>
      <c r="AC57" s="48">
        <f>Tabell2[[#This Row],[NIBR11-I]]*Vekter!$B$3</f>
        <v>4</v>
      </c>
      <c r="AD57" s="48">
        <f>Tabell2[[#This Row],[ReisetidOslo-I]]*Vekter!$C$3</f>
        <v>5.7054037182402801</v>
      </c>
      <c r="AE57" s="48">
        <f>Tabell2[[#This Row],[Beftettotal-I]]*Vekter!$D$3</f>
        <v>6.7483540647286594E-2</v>
      </c>
      <c r="AF57" s="48">
        <f>Tabell2[[#This Row],[Befvekst10-I]]*Vekter!$E$3</f>
        <v>2.6515356094076568</v>
      </c>
      <c r="AG57" s="48">
        <f>Tabell2[[#This Row],[Kvinneandel-I]]*Vekter!$F$3</f>
        <v>1.1075090357971065</v>
      </c>
      <c r="AH57" s="48">
        <f>Tabell2[[#This Row],[Eldreandel-I]]*Vekter!$G$3</f>
        <v>0.11265371964258793</v>
      </c>
      <c r="AI57" s="48">
        <f>Tabell2[[#This Row],[Sysselsettingsvekst10-I]]*Vekter!$H$3</f>
        <v>0.8646357400017195</v>
      </c>
      <c r="AJ57" s="48">
        <f>Tabell2[[#This Row],[Yrkesaktivandel-I]]*Vekter!$J$3</f>
        <v>0</v>
      </c>
      <c r="AK57" s="48">
        <f>Tabell2[[#This Row],[Inntekt-I]]*Vekter!$L$3</f>
        <v>0</v>
      </c>
      <c r="AL57" s="37">
        <f>SUM(Tabell2[[#This Row],[NIBR11-v]:[Inntekt-v]])</f>
        <v>14.509221363736637</v>
      </c>
    </row>
    <row r="58" spans="1:38">
      <c r="A58" s="2" t="s">
        <v>55</v>
      </c>
      <c r="B58">
        <f>'Rådata-K'!M57</f>
        <v>5</v>
      </c>
      <c r="C58" s="9">
        <f>'Rådata-K'!L57</f>
        <v>121.702497657</v>
      </c>
      <c r="D58" s="51">
        <f>'Rådata-K'!N57</f>
        <v>3.3248253627082214</v>
      </c>
      <c r="E58" s="51">
        <f>'Rådata-K'!O57</f>
        <v>6.7796610169490457E-3</v>
      </c>
      <c r="F58" s="51">
        <f>'Rådata-K'!P57</f>
        <v>0.11313131313131314</v>
      </c>
      <c r="G58" s="51">
        <f>'Rådata-K'!Q57</f>
        <v>0.17216610549943884</v>
      </c>
      <c r="H58" s="51">
        <f>'Rådata-K'!R57</f>
        <v>5.8374249863611505E-2</v>
      </c>
      <c r="I58" s="51">
        <f>'Rådata-K'!S57</f>
        <v>0.83555207517619423</v>
      </c>
      <c r="J58" s="52">
        <f>'Rådata-K'!K57</f>
        <v>345500</v>
      </c>
      <c r="K58" s="26">
        <f>Tabell2[[#This Row],[NIBR11]]</f>
        <v>5</v>
      </c>
      <c r="L58" s="52">
        <f>IF(Tabell2[[#This Row],[ReisetidOslo]]&lt;=C$434,C$434,IF(Tabell2[[#This Row],[ReisetidOslo]]&gt;=C$435,C$435,Tabell2[[#This Row],[ReisetidOslo]]))</f>
        <v>121.702497657</v>
      </c>
      <c r="M58" s="51">
        <f>IF(Tabell2[[#This Row],[Beftettotal]]&lt;=D$434,D$434,IF(Tabell2[[#This Row],[Beftettotal]]&gt;=D$435,D$435,Tabell2[[#This Row],[Beftettotal]]))</f>
        <v>3.3248253627082214</v>
      </c>
      <c r="N58" s="51">
        <f>IF(Tabell2[[#This Row],[Befvekst10]]&lt;=E$434,E$434,IF(Tabell2[[#This Row],[Befvekst10]]&gt;=E$435,E$435,Tabell2[[#This Row],[Befvekst10]]))</f>
        <v>6.7796610169490457E-3</v>
      </c>
      <c r="O58" s="51">
        <f>IF(Tabell2[[#This Row],[Kvinneandel]]&lt;=F$434,F$434,IF(Tabell2[[#This Row],[Kvinneandel]]&gt;=F$435,F$435,Tabell2[[#This Row],[Kvinneandel]]))</f>
        <v>0.11313131313131314</v>
      </c>
      <c r="P58" s="51">
        <f>IF(Tabell2[[#This Row],[Eldreandel]]&lt;=G$434,G$434,IF(Tabell2[[#This Row],[Eldreandel]]&gt;=G$435,G$435,Tabell2[[#This Row],[Eldreandel]]))</f>
        <v>0.17216610549943884</v>
      </c>
      <c r="Q58" s="51">
        <f>IF(Tabell2[[#This Row],[Sysselsettingsvekst10]]&lt;=H$434,H$434,IF(Tabell2[[#This Row],[Sysselsettingsvekst10]]&gt;=H$435,H$435,Tabell2[[#This Row],[Sysselsettingsvekst10]]))</f>
        <v>5.8374249863611505E-2</v>
      </c>
      <c r="R58" s="51">
        <f>IF(Tabell2[[#This Row],[Yrkesaktivandel]]&lt;=I$434,I$434,IF(Tabell2[[#This Row],[Yrkesaktivandel]]&gt;=I$435,I$435,Tabell2[[#This Row],[Yrkesaktivandel]]))</f>
        <v>0.83555207517619423</v>
      </c>
      <c r="S58" s="52">
        <f>IF(Tabell2[[#This Row],[Inntekt]]&lt;=J$434,J$434,IF(Tabell2[[#This Row],[Inntekt]]&gt;=J$435,J$435,Tabell2[[#This Row],[Inntekt]]))</f>
        <v>345500</v>
      </c>
      <c r="T58" s="9">
        <f>IF(Tabell2[[#This Row],[NIBR11-T]]&lt;=K$437,100,IF(Tabell2[[#This Row],[NIBR11-T]]&gt;=K$436,0,100*(K$436-Tabell2[[#This Row],[NIBR11-T]])/K$439))</f>
        <v>60</v>
      </c>
      <c r="U58" s="9">
        <f>(L$436-Tabell2[[#This Row],[ReisetidOslo-T]])*100/L$439</f>
        <v>69.856992051465568</v>
      </c>
      <c r="V58" s="9">
        <f>100-(M$436-Tabell2[[#This Row],[Beftettotal-T]])*100/M$439</f>
        <v>1.5635853484449598</v>
      </c>
      <c r="W58" s="9">
        <f>100-(N$436-Tabell2[[#This Row],[Befvekst10-T]])*100/N$439</f>
        <v>35.433890759224226</v>
      </c>
      <c r="X58" s="9">
        <f>100-(O$436-Tabell2[[#This Row],[Kvinneandel-T]])*100/O$439</f>
        <v>60.571470020099198</v>
      </c>
      <c r="Y58" s="9">
        <f>(P$436-Tabell2[[#This Row],[Eldreandel-T]])*100/P$439</f>
        <v>40.965224921828231</v>
      </c>
      <c r="Z58" s="9">
        <f>100-(Q$436-Tabell2[[#This Row],[Sysselsettingsvekst10-T]])*100/Q$439</f>
        <v>40.784762576183056</v>
      </c>
      <c r="AA58" s="9">
        <f>100-(R$436-Tabell2[[#This Row],[Yrkesaktivandel-T]])*100/R$439</f>
        <v>5.6033286157149718</v>
      </c>
      <c r="AB58" s="9">
        <f>100-(S$436-Tabell2[[#This Row],[Inntekt-T]])*100/S$439</f>
        <v>31.472400352068405</v>
      </c>
      <c r="AC58" s="48">
        <f>Tabell2[[#This Row],[NIBR11-I]]*Vekter!$B$3</f>
        <v>12</v>
      </c>
      <c r="AD58" s="48">
        <f>Tabell2[[#This Row],[ReisetidOslo-I]]*Vekter!$C$3</f>
        <v>6.985699205146557</v>
      </c>
      <c r="AE58" s="48">
        <f>Tabell2[[#This Row],[Beftettotal-I]]*Vekter!$D$3</f>
        <v>0.15635853484449599</v>
      </c>
      <c r="AF58" s="48">
        <f>Tabell2[[#This Row],[Befvekst10-I]]*Vekter!$E$3</f>
        <v>7.0867781518448458</v>
      </c>
      <c r="AG58" s="48">
        <f>Tabell2[[#This Row],[Kvinneandel-I]]*Vekter!$F$3</f>
        <v>3.0285735010049599</v>
      </c>
      <c r="AH58" s="48">
        <f>Tabell2[[#This Row],[Eldreandel-I]]*Vekter!$G$3</f>
        <v>2.0482612460914118</v>
      </c>
      <c r="AI58" s="48">
        <f>Tabell2[[#This Row],[Sysselsettingsvekst10-I]]*Vekter!$H$3</f>
        <v>4.0784762576183056</v>
      </c>
      <c r="AJ58" s="48">
        <f>Tabell2[[#This Row],[Yrkesaktivandel-I]]*Vekter!$J$3</f>
        <v>0.5603328615714972</v>
      </c>
      <c r="AK58" s="48">
        <f>Tabell2[[#This Row],[Inntekt-I]]*Vekter!$L$3</f>
        <v>3.1472400352068406</v>
      </c>
      <c r="AL58" s="37">
        <f>SUM(Tabell2[[#This Row],[NIBR11-v]:[Inntekt-v]])</f>
        <v>39.091719793328913</v>
      </c>
    </row>
    <row r="59" spans="1:38">
      <c r="A59" s="2" t="s">
        <v>56</v>
      </c>
      <c r="B59">
        <f>'Rådata-K'!M58</f>
        <v>11</v>
      </c>
      <c r="C59" s="9">
        <f>'Rådata-K'!L58</f>
        <v>165.90602107999999</v>
      </c>
      <c r="D59" s="51">
        <f>'Rådata-K'!N58</f>
        <v>1.2461965379838305</v>
      </c>
      <c r="E59" s="51">
        <f>'Rådata-K'!O58</f>
        <v>-4.2568286626463281E-2</v>
      </c>
      <c r="F59" s="51">
        <f>'Rådata-K'!P58</f>
        <v>9.4479436828454985E-2</v>
      </c>
      <c r="G59" s="51">
        <f>'Rådata-K'!Q58</f>
        <v>0.20229714709151539</v>
      </c>
      <c r="H59" s="51">
        <f>'Rådata-K'!R58</f>
        <v>0</v>
      </c>
      <c r="I59" s="51">
        <f>'Rådata-K'!S58</f>
        <v>0.74251115360101971</v>
      </c>
      <c r="J59" s="52">
        <f>'Rådata-K'!K58</f>
        <v>302400</v>
      </c>
      <c r="K59" s="26">
        <f>Tabell2[[#This Row],[NIBR11]]</f>
        <v>11</v>
      </c>
      <c r="L59" s="52">
        <f>IF(Tabell2[[#This Row],[ReisetidOslo]]&lt;=C$434,C$434,IF(Tabell2[[#This Row],[ReisetidOslo]]&gt;=C$435,C$435,Tabell2[[#This Row],[ReisetidOslo]]))</f>
        <v>165.90602107999999</v>
      </c>
      <c r="M59" s="51">
        <f>IF(Tabell2[[#This Row],[Beftettotal]]&lt;=D$434,D$434,IF(Tabell2[[#This Row],[Beftettotal]]&gt;=D$435,D$435,Tabell2[[#This Row],[Beftettotal]]))</f>
        <v>1.3397285732306117</v>
      </c>
      <c r="N59" s="51">
        <f>IF(Tabell2[[#This Row],[Befvekst10]]&lt;=E$434,E$434,IF(Tabell2[[#This Row],[Befvekst10]]&gt;=E$435,E$435,Tabell2[[#This Row],[Befvekst10]]))</f>
        <v>-4.2568286626463281E-2</v>
      </c>
      <c r="O59" s="51">
        <f>IF(Tabell2[[#This Row],[Kvinneandel]]&lt;=F$434,F$434,IF(Tabell2[[#This Row],[Kvinneandel]]&gt;=F$435,F$435,Tabell2[[#This Row],[Kvinneandel]]))</f>
        <v>9.4479436828454985E-2</v>
      </c>
      <c r="P59" s="51">
        <f>IF(Tabell2[[#This Row],[Eldreandel]]&lt;=G$434,G$434,IF(Tabell2[[#This Row],[Eldreandel]]&gt;=G$435,G$435,Tabell2[[#This Row],[Eldreandel]]))</f>
        <v>0.20229714709151539</v>
      </c>
      <c r="Q59" s="51">
        <f>IF(Tabell2[[#This Row],[Sysselsettingsvekst10]]&lt;=H$434,H$434,IF(Tabell2[[#This Row],[Sysselsettingsvekst10]]&gt;=H$435,H$435,Tabell2[[#This Row],[Sysselsettingsvekst10]]))</f>
        <v>0</v>
      </c>
      <c r="R59" s="51">
        <f>IF(Tabell2[[#This Row],[Yrkesaktivandel]]&lt;=I$434,I$434,IF(Tabell2[[#This Row],[Yrkesaktivandel]]&gt;=I$435,I$435,Tabell2[[#This Row],[Yrkesaktivandel]]))</f>
        <v>0.82803562853509294</v>
      </c>
      <c r="S59" s="52">
        <f>IF(Tabell2[[#This Row],[Inntekt]]&lt;=J$434,J$434,IF(Tabell2[[#This Row],[Inntekt]]&gt;=J$435,J$435,Tabell2[[#This Row],[Inntekt]]))</f>
        <v>320470</v>
      </c>
      <c r="T59" s="9">
        <f>IF(Tabell2[[#This Row],[NIBR11-T]]&lt;=K$437,100,IF(Tabell2[[#This Row],[NIBR11-T]]&gt;=K$436,0,100*(K$436-Tabell2[[#This Row],[NIBR11-T]])/K$439))</f>
        <v>0</v>
      </c>
      <c r="U59" s="9">
        <f>(L$436-Tabell2[[#This Row],[ReisetidOslo-T]])*100/L$439</f>
        <v>50.232811665930839</v>
      </c>
      <c r="V59" s="9">
        <f>100-(M$436-Tabell2[[#This Row],[Beftettotal-T]])*100/M$439</f>
        <v>0</v>
      </c>
      <c r="W59" s="9">
        <f>100-(N$436-Tabell2[[#This Row],[Befvekst10-T]])*100/N$439</f>
        <v>15.464961093180932</v>
      </c>
      <c r="X59" s="9">
        <f>100-(O$436-Tabell2[[#This Row],[Kvinneandel-T]])*100/O$439</f>
        <v>11.168286546177484</v>
      </c>
      <c r="Y59" s="9">
        <f>(P$436-Tabell2[[#This Row],[Eldreandel-T]])*100/P$439</f>
        <v>6.8060710448199684</v>
      </c>
      <c r="Z59" s="9">
        <f>100-(Q$436-Tabell2[[#This Row],[Sysselsettingsvekst10-T]])*100/Q$439</f>
        <v>22.0483114256416</v>
      </c>
      <c r="AA59" s="9">
        <f>100-(R$436-Tabell2[[#This Row],[Yrkesaktivandel-T]])*100/R$439</f>
        <v>0</v>
      </c>
      <c r="AB59" s="9">
        <f>100-(S$436-Tabell2[[#This Row],[Inntekt-T]])*100/S$439</f>
        <v>0</v>
      </c>
      <c r="AC59" s="48">
        <f>Tabell2[[#This Row],[NIBR11-I]]*Vekter!$B$3</f>
        <v>0</v>
      </c>
      <c r="AD59" s="48">
        <f>Tabell2[[#This Row],[ReisetidOslo-I]]*Vekter!$C$3</f>
        <v>5.0232811665930841</v>
      </c>
      <c r="AE59" s="48">
        <f>Tabell2[[#This Row],[Beftettotal-I]]*Vekter!$D$3</f>
        <v>0</v>
      </c>
      <c r="AF59" s="48">
        <f>Tabell2[[#This Row],[Befvekst10-I]]*Vekter!$E$3</f>
        <v>3.0929922186361867</v>
      </c>
      <c r="AG59" s="48">
        <f>Tabell2[[#This Row],[Kvinneandel-I]]*Vekter!$F$3</f>
        <v>0.55841432730887419</v>
      </c>
      <c r="AH59" s="48">
        <f>Tabell2[[#This Row],[Eldreandel-I]]*Vekter!$G$3</f>
        <v>0.34030355224099845</v>
      </c>
      <c r="AI59" s="48">
        <f>Tabell2[[#This Row],[Sysselsettingsvekst10-I]]*Vekter!$H$3</f>
        <v>2.20483114256416</v>
      </c>
      <c r="AJ59" s="48">
        <f>Tabell2[[#This Row],[Yrkesaktivandel-I]]*Vekter!$J$3</f>
        <v>0</v>
      </c>
      <c r="AK59" s="48">
        <f>Tabell2[[#This Row],[Inntekt-I]]*Vekter!$L$3</f>
        <v>0</v>
      </c>
      <c r="AL59" s="37">
        <f>SUM(Tabell2[[#This Row],[NIBR11-v]:[Inntekt-v]])</f>
        <v>11.219822407343303</v>
      </c>
    </row>
    <row r="60" spans="1:38">
      <c r="A60" s="2" t="s">
        <v>57</v>
      </c>
      <c r="B60">
        <f>'Rådata-K'!M59</f>
        <v>8</v>
      </c>
      <c r="C60" s="9">
        <f>'Rådata-K'!L59</f>
        <v>196.93811735700001</v>
      </c>
      <c r="D60" s="51">
        <f>'Rådata-K'!N59</f>
        <v>0.5922277576489533</v>
      </c>
      <c r="E60" s="51">
        <f>'Rådata-K'!O59</f>
        <v>-0.1225535880708295</v>
      </c>
      <c r="F60" s="51">
        <f>'Rådata-K'!P59</f>
        <v>7.647371216144451E-2</v>
      </c>
      <c r="G60" s="51">
        <f>'Rådata-K'!Q59</f>
        <v>0.24747742963356345</v>
      </c>
      <c r="H60" s="51">
        <f>'Rådata-K'!R59</f>
        <v>-4.6753246753246769E-2</v>
      </c>
      <c r="I60" s="51">
        <f>'Rådata-K'!S59</f>
        <v>0.94662638469284999</v>
      </c>
      <c r="J60" s="52">
        <f>'Rådata-K'!K59</f>
        <v>313300</v>
      </c>
      <c r="K60" s="26">
        <f>Tabell2[[#This Row],[NIBR11]]</f>
        <v>8</v>
      </c>
      <c r="L60" s="52">
        <f>IF(Tabell2[[#This Row],[ReisetidOslo]]&lt;=C$434,C$434,IF(Tabell2[[#This Row],[ReisetidOslo]]&gt;=C$435,C$435,Tabell2[[#This Row],[ReisetidOslo]]))</f>
        <v>196.93811735700001</v>
      </c>
      <c r="M60" s="51">
        <f>IF(Tabell2[[#This Row],[Beftettotal]]&lt;=D$434,D$434,IF(Tabell2[[#This Row],[Beftettotal]]&gt;=D$435,D$435,Tabell2[[#This Row],[Beftettotal]]))</f>
        <v>1.3397285732306117</v>
      </c>
      <c r="N60" s="51">
        <f>IF(Tabell2[[#This Row],[Befvekst10]]&lt;=E$434,E$434,IF(Tabell2[[#This Row],[Befvekst10]]&gt;=E$435,E$435,Tabell2[[#This Row],[Befvekst10]]))</f>
        <v>-8.0785862785862778E-2</v>
      </c>
      <c r="O60" s="51">
        <f>IF(Tabell2[[#This Row],[Kvinneandel]]&lt;=F$434,F$434,IF(Tabell2[[#This Row],[Kvinneandel]]&gt;=F$435,F$435,Tabell2[[#This Row],[Kvinneandel]]))</f>
        <v>9.0262917071501733E-2</v>
      </c>
      <c r="P60" s="51">
        <f>IF(Tabell2[[#This Row],[Eldreandel]]&lt;=G$434,G$434,IF(Tabell2[[#This Row],[Eldreandel]]&gt;=G$435,G$435,Tabell2[[#This Row],[Eldreandel]]))</f>
        <v>0.20830063331569054</v>
      </c>
      <c r="Q60" s="51">
        <f>IF(Tabell2[[#This Row],[Sysselsettingsvekst10]]&lt;=H$434,H$434,IF(Tabell2[[#This Row],[Sysselsettingsvekst10]]&gt;=H$435,H$435,Tabell2[[#This Row],[Sysselsettingsvekst10]]))</f>
        <v>-4.6753246753246769E-2</v>
      </c>
      <c r="R60" s="51">
        <f>IF(Tabell2[[#This Row],[Yrkesaktivandel]]&lt;=I$434,I$434,IF(Tabell2[[#This Row],[Yrkesaktivandel]]&gt;=I$435,I$435,Tabell2[[#This Row],[Yrkesaktivandel]]))</f>
        <v>0.94662638469284999</v>
      </c>
      <c r="S60" s="52">
        <f>IF(Tabell2[[#This Row],[Inntekt]]&lt;=J$434,J$434,IF(Tabell2[[#This Row],[Inntekt]]&gt;=J$435,J$435,Tabell2[[#This Row],[Inntekt]]))</f>
        <v>320470</v>
      </c>
      <c r="T60" s="9">
        <f>IF(Tabell2[[#This Row],[NIBR11-T]]&lt;=K$437,100,IF(Tabell2[[#This Row],[NIBR11-T]]&gt;=K$436,0,100*(K$436-Tabell2[[#This Row],[NIBR11-T]])/K$439))</f>
        <v>30</v>
      </c>
      <c r="U60" s="9">
        <f>(L$436-Tabell2[[#This Row],[ReisetidOslo-T]])*100/L$439</f>
        <v>36.456094157383447</v>
      </c>
      <c r="V60" s="9">
        <f>100-(M$436-Tabell2[[#This Row],[Beftettotal-T]])*100/M$439</f>
        <v>0</v>
      </c>
      <c r="W60" s="9">
        <f>100-(N$436-Tabell2[[#This Row],[Befvekst10-T]])*100/N$439</f>
        <v>0</v>
      </c>
      <c r="X60" s="9">
        <f>100-(O$436-Tabell2[[#This Row],[Kvinneandel-T]])*100/O$439</f>
        <v>0</v>
      </c>
      <c r="Y60" s="9">
        <f>(P$436-Tabell2[[#This Row],[Eldreandel-T]])*100/P$439</f>
        <v>0</v>
      </c>
      <c r="Z60" s="9">
        <f>100-(Q$436-Tabell2[[#This Row],[Sysselsettingsvekst10-T]])*100/Q$439</f>
        <v>7.0418672149129833</v>
      </c>
      <c r="AA60" s="9">
        <f>100-(R$436-Tabell2[[#This Row],[Yrkesaktivandel-T]])*100/R$439</f>
        <v>88.406531605561355</v>
      </c>
      <c r="AB60" s="9">
        <f>100-(S$436-Tabell2[[#This Row],[Inntekt-T]])*100/S$439</f>
        <v>0</v>
      </c>
      <c r="AC60" s="48">
        <f>Tabell2[[#This Row],[NIBR11-I]]*Vekter!$B$3</f>
        <v>6</v>
      </c>
      <c r="AD60" s="48">
        <f>Tabell2[[#This Row],[ReisetidOslo-I]]*Vekter!$C$3</f>
        <v>3.645609415738345</v>
      </c>
      <c r="AE60" s="48">
        <f>Tabell2[[#This Row],[Beftettotal-I]]*Vekter!$D$3</f>
        <v>0</v>
      </c>
      <c r="AF60" s="48">
        <f>Tabell2[[#This Row],[Befvekst10-I]]*Vekter!$E$3</f>
        <v>0</v>
      </c>
      <c r="AG60" s="48">
        <f>Tabell2[[#This Row],[Kvinneandel-I]]*Vekter!$F$3</f>
        <v>0</v>
      </c>
      <c r="AH60" s="48">
        <f>Tabell2[[#This Row],[Eldreandel-I]]*Vekter!$G$3</f>
        <v>0</v>
      </c>
      <c r="AI60" s="48">
        <f>Tabell2[[#This Row],[Sysselsettingsvekst10-I]]*Vekter!$H$3</f>
        <v>0.70418672149129835</v>
      </c>
      <c r="AJ60" s="48">
        <f>Tabell2[[#This Row],[Yrkesaktivandel-I]]*Vekter!$J$3</f>
        <v>8.8406531605561351</v>
      </c>
      <c r="AK60" s="48">
        <f>Tabell2[[#This Row],[Inntekt-I]]*Vekter!$L$3</f>
        <v>0</v>
      </c>
      <c r="AL60" s="37">
        <f>SUM(Tabell2[[#This Row],[NIBR11-v]:[Inntekt-v]])</f>
        <v>19.190449297785779</v>
      </c>
    </row>
    <row r="61" spans="1:38">
      <c r="A61" s="2" t="s">
        <v>58</v>
      </c>
      <c r="B61">
        <f>'Rådata-K'!M60</f>
        <v>9</v>
      </c>
      <c r="C61" s="9">
        <f>'Rådata-K'!L60</f>
        <v>191.10905358400001</v>
      </c>
      <c r="D61" s="51">
        <f>'Rådata-K'!N60</f>
        <v>0.61232665920037876</v>
      </c>
      <c r="E61" s="51">
        <f>'Rådata-K'!O60</f>
        <v>-0.1051230871590153</v>
      </c>
      <c r="F61" s="51">
        <f>'Rådata-K'!P60</f>
        <v>8.5501858736059477E-2</v>
      </c>
      <c r="G61" s="51">
        <f>'Rådata-K'!Q60</f>
        <v>0.23717472118959107</v>
      </c>
      <c r="H61" s="51">
        <f>'Rådata-K'!R60</f>
        <v>-0.16352201257861632</v>
      </c>
      <c r="I61" s="51">
        <f>'Rådata-K'!S60</f>
        <v>0.90909090909090906</v>
      </c>
      <c r="J61" s="52">
        <f>'Rådata-K'!K60</f>
        <v>296300</v>
      </c>
      <c r="K61" s="26">
        <f>Tabell2[[#This Row],[NIBR11]]</f>
        <v>9</v>
      </c>
      <c r="L61" s="52">
        <f>IF(Tabell2[[#This Row],[ReisetidOslo]]&lt;=C$434,C$434,IF(Tabell2[[#This Row],[ReisetidOslo]]&gt;=C$435,C$435,Tabell2[[#This Row],[ReisetidOslo]]))</f>
        <v>191.10905358400001</v>
      </c>
      <c r="M61" s="51">
        <f>IF(Tabell2[[#This Row],[Beftettotal]]&lt;=D$434,D$434,IF(Tabell2[[#This Row],[Beftettotal]]&gt;=D$435,D$435,Tabell2[[#This Row],[Beftettotal]]))</f>
        <v>1.3397285732306117</v>
      </c>
      <c r="N61" s="51">
        <f>IF(Tabell2[[#This Row],[Befvekst10]]&lt;=E$434,E$434,IF(Tabell2[[#This Row],[Befvekst10]]&gt;=E$435,E$435,Tabell2[[#This Row],[Befvekst10]]))</f>
        <v>-8.0785862785862778E-2</v>
      </c>
      <c r="O61" s="51">
        <f>IF(Tabell2[[#This Row],[Kvinneandel]]&lt;=F$434,F$434,IF(Tabell2[[#This Row],[Kvinneandel]]&gt;=F$435,F$435,Tabell2[[#This Row],[Kvinneandel]]))</f>
        <v>9.0262917071501733E-2</v>
      </c>
      <c r="P61" s="51">
        <f>IF(Tabell2[[#This Row],[Eldreandel]]&lt;=G$434,G$434,IF(Tabell2[[#This Row],[Eldreandel]]&gt;=G$435,G$435,Tabell2[[#This Row],[Eldreandel]]))</f>
        <v>0.20830063331569054</v>
      </c>
      <c r="Q61" s="51">
        <f>IF(Tabell2[[#This Row],[Sysselsettingsvekst10]]&lt;=H$434,H$434,IF(Tabell2[[#This Row],[Sysselsettingsvekst10]]&gt;=H$435,H$435,Tabell2[[#This Row],[Sysselsettingsvekst10]]))</f>
        <v>-6.8692498376029434E-2</v>
      </c>
      <c r="R61" s="51">
        <f>IF(Tabell2[[#This Row],[Yrkesaktivandel]]&lt;=I$434,I$434,IF(Tabell2[[#This Row],[Yrkesaktivandel]]&gt;=I$435,I$435,Tabell2[[#This Row],[Yrkesaktivandel]]))</f>
        <v>0.90909090909090906</v>
      </c>
      <c r="S61" s="52">
        <f>IF(Tabell2[[#This Row],[Inntekt]]&lt;=J$434,J$434,IF(Tabell2[[#This Row],[Inntekt]]&gt;=J$435,J$435,Tabell2[[#This Row],[Inntekt]]))</f>
        <v>320470</v>
      </c>
      <c r="T61" s="9">
        <f>IF(Tabell2[[#This Row],[NIBR11-T]]&lt;=K$437,100,IF(Tabell2[[#This Row],[NIBR11-T]]&gt;=K$436,0,100*(K$436-Tabell2[[#This Row],[NIBR11-T]])/K$439))</f>
        <v>20</v>
      </c>
      <c r="U61" s="9">
        <f>(L$436-Tabell2[[#This Row],[ReisetidOslo-T]])*100/L$439</f>
        <v>39.043910469343274</v>
      </c>
      <c r="V61" s="9">
        <f>100-(M$436-Tabell2[[#This Row],[Beftettotal-T]])*100/M$439</f>
        <v>0</v>
      </c>
      <c r="W61" s="9">
        <f>100-(N$436-Tabell2[[#This Row],[Befvekst10-T]])*100/N$439</f>
        <v>0</v>
      </c>
      <c r="X61" s="9">
        <f>100-(O$436-Tabell2[[#This Row],[Kvinneandel-T]])*100/O$439</f>
        <v>0</v>
      </c>
      <c r="Y61" s="9">
        <f>(P$436-Tabell2[[#This Row],[Eldreandel-T]])*100/P$439</f>
        <v>0</v>
      </c>
      <c r="Z61" s="9">
        <f>100-(Q$436-Tabell2[[#This Row],[Sysselsettingsvekst10-T]])*100/Q$439</f>
        <v>0</v>
      </c>
      <c r="AA61" s="9">
        <f>100-(R$436-Tabell2[[#This Row],[Yrkesaktivandel-T]])*100/R$439</f>
        <v>60.424745186066367</v>
      </c>
      <c r="AB61" s="9">
        <f>100-(S$436-Tabell2[[#This Row],[Inntekt-T]])*100/S$439</f>
        <v>0</v>
      </c>
      <c r="AC61" s="48">
        <f>Tabell2[[#This Row],[NIBR11-I]]*Vekter!$B$3</f>
        <v>4</v>
      </c>
      <c r="AD61" s="48">
        <f>Tabell2[[#This Row],[ReisetidOslo-I]]*Vekter!$C$3</f>
        <v>3.9043910469343275</v>
      </c>
      <c r="AE61" s="48">
        <f>Tabell2[[#This Row],[Beftettotal-I]]*Vekter!$D$3</f>
        <v>0</v>
      </c>
      <c r="AF61" s="48">
        <f>Tabell2[[#This Row],[Befvekst10-I]]*Vekter!$E$3</f>
        <v>0</v>
      </c>
      <c r="AG61" s="48">
        <f>Tabell2[[#This Row],[Kvinneandel-I]]*Vekter!$F$3</f>
        <v>0</v>
      </c>
      <c r="AH61" s="48">
        <f>Tabell2[[#This Row],[Eldreandel-I]]*Vekter!$G$3</f>
        <v>0</v>
      </c>
      <c r="AI61" s="48">
        <f>Tabell2[[#This Row],[Sysselsettingsvekst10-I]]*Vekter!$H$3</f>
        <v>0</v>
      </c>
      <c r="AJ61" s="48">
        <f>Tabell2[[#This Row],[Yrkesaktivandel-I]]*Vekter!$J$3</f>
        <v>6.0424745186066371</v>
      </c>
      <c r="AK61" s="48">
        <f>Tabell2[[#This Row],[Inntekt-I]]*Vekter!$L$3</f>
        <v>0</v>
      </c>
      <c r="AL61" s="37">
        <f>SUM(Tabell2[[#This Row],[NIBR11-v]:[Inntekt-v]])</f>
        <v>13.946865565540964</v>
      </c>
    </row>
    <row r="62" spans="1:38">
      <c r="A62" s="2" t="s">
        <v>59</v>
      </c>
      <c r="B62">
        <f>'Rådata-K'!M61</f>
        <v>8</v>
      </c>
      <c r="C62" s="9">
        <f>'Rådata-K'!L61</f>
        <v>179.9717179882</v>
      </c>
      <c r="D62" s="51">
        <f>'Rådata-K'!N61</f>
        <v>1.4769417151408795</v>
      </c>
      <c r="E62" s="51">
        <f>'Rådata-K'!O61</f>
        <v>-6.9062324536777076E-2</v>
      </c>
      <c r="F62" s="51">
        <f>'Rådata-K'!P61</f>
        <v>9.6501809408926414E-2</v>
      </c>
      <c r="G62" s="51">
        <f>'Rådata-K'!Q61</f>
        <v>0.17792521109770809</v>
      </c>
      <c r="H62" s="51">
        <f>'Rådata-K'!R61</f>
        <v>-0.12073863636363635</v>
      </c>
      <c r="I62" s="51">
        <f>'Rådata-K'!S61</f>
        <v>0.94612068965517238</v>
      </c>
      <c r="J62" s="52">
        <f>'Rådata-K'!K61</f>
        <v>309300</v>
      </c>
      <c r="K62" s="26">
        <f>Tabell2[[#This Row],[NIBR11]]</f>
        <v>8</v>
      </c>
      <c r="L62" s="52">
        <f>IF(Tabell2[[#This Row],[ReisetidOslo]]&lt;=C$434,C$434,IF(Tabell2[[#This Row],[ReisetidOslo]]&gt;=C$435,C$435,Tabell2[[#This Row],[ReisetidOslo]]))</f>
        <v>179.9717179882</v>
      </c>
      <c r="M62" s="51">
        <f>IF(Tabell2[[#This Row],[Beftettotal]]&lt;=D$434,D$434,IF(Tabell2[[#This Row],[Beftettotal]]&gt;=D$435,D$435,Tabell2[[#This Row],[Beftettotal]]))</f>
        <v>1.4769417151408795</v>
      </c>
      <c r="N62" s="51">
        <f>IF(Tabell2[[#This Row],[Befvekst10]]&lt;=E$434,E$434,IF(Tabell2[[#This Row],[Befvekst10]]&gt;=E$435,E$435,Tabell2[[#This Row],[Befvekst10]]))</f>
        <v>-6.9062324536777076E-2</v>
      </c>
      <c r="O62" s="51">
        <f>IF(Tabell2[[#This Row],[Kvinneandel]]&lt;=F$434,F$434,IF(Tabell2[[#This Row],[Kvinneandel]]&gt;=F$435,F$435,Tabell2[[#This Row],[Kvinneandel]]))</f>
        <v>9.6501809408926414E-2</v>
      </c>
      <c r="P62" s="51">
        <f>IF(Tabell2[[#This Row],[Eldreandel]]&lt;=G$434,G$434,IF(Tabell2[[#This Row],[Eldreandel]]&gt;=G$435,G$435,Tabell2[[#This Row],[Eldreandel]]))</f>
        <v>0.17792521109770809</v>
      </c>
      <c r="Q62" s="51">
        <f>IF(Tabell2[[#This Row],[Sysselsettingsvekst10]]&lt;=H$434,H$434,IF(Tabell2[[#This Row],[Sysselsettingsvekst10]]&gt;=H$435,H$435,Tabell2[[#This Row],[Sysselsettingsvekst10]]))</f>
        <v>-6.8692498376029434E-2</v>
      </c>
      <c r="R62" s="51">
        <f>IF(Tabell2[[#This Row],[Yrkesaktivandel]]&lt;=I$434,I$434,IF(Tabell2[[#This Row],[Yrkesaktivandel]]&gt;=I$435,I$435,Tabell2[[#This Row],[Yrkesaktivandel]]))</f>
        <v>0.94612068965517238</v>
      </c>
      <c r="S62" s="52">
        <f>IF(Tabell2[[#This Row],[Inntekt]]&lt;=J$434,J$434,IF(Tabell2[[#This Row],[Inntekt]]&gt;=J$435,J$435,Tabell2[[#This Row],[Inntekt]]))</f>
        <v>320470</v>
      </c>
      <c r="T62" s="9">
        <f>IF(Tabell2[[#This Row],[NIBR11-T]]&lt;=K$437,100,IF(Tabell2[[#This Row],[NIBR11-T]]&gt;=K$436,0,100*(K$436-Tabell2[[#This Row],[NIBR11-T]])/K$439))</f>
        <v>30</v>
      </c>
      <c r="U62" s="9">
        <f>(L$436-Tabell2[[#This Row],[ReisetidOslo-T]])*100/L$439</f>
        <v>43.988337198740467</v>
      </c>
      <c r="V62" s="9">
        <f>100-(M$436-Tabell2[[#This Row],[Beftettotal-T]])*100/M$439</f>
        <v>0.10807758062087203</v>
      </c>
      <c r="W62" s="9">
        <f>100-(N$436-Tabell2[[#This Row],[Befvekst10-T]])*100/N$439</f>
        <v>4.7439969018531798</v>
      </c>
      <c r="X62" s="9">
        <f>100-(O$436-Tabell2[[#This Row],[Kvinneandel-T]])*100/O$439</f>
        <v>16.524940323167641</v>
      </c>
      <c r="Y62" s="9">
        <f>(P$436-Tabell2[[#This Row],[Eldreandel-T]])*100/P$439</f>
        <v>34.436204883670918</v>
      </c>
      <c r="Z62" s="9">
        <f>100-(Q$436-Tabell2[[#This Row],[Sysselsettingsvekst10-T]])*100/Q$439</f>
        <v>0</v>
      </c>
      <c r="AA62" s="9">
        <f>100-(R$436-Tabell2[[#This Row],[Yrkesaktivandel-T]])*100/R$439</f>
        <v>88.029548223553491</v>
      </c>
      <c r="AB62" s="9">
        <f>100-(S$436-Tabell2[[#This Row],[Inntekt-T]])*100/S$439</f>
        <v>0</v>
      </c>
      <c r="AC62" s="48">
        <f>Tabell2[[#This Row],[NIBR11-I]]*Vekter!$B$3</f>
        <v>6</v>
      </c>
      <c r="AD62" s="48">
        <f>Tabell2[[#This Row],[ReisetidOslo-I]]*Vekter!$C$3</f>
        <v>4.3988337198740473</v>
      </c>
      <c r="AE62" s="48">
        <f>Tabell2[[#This Row],[Beftettotal-I]]*Vekter!$D$3</f>
        <v>1.0807758062087204E-2</v>
      </c>
      <c r="AF62" s="48">
        <f>Tabell2[[#This Row],[Befvekst10-I]]*Vekter!$E$3</f>
        <v>0.94879938037063605</v>
      </c>
      <c r="AG62" s="48">
        <f>Tabell2[[#This Row],[Kvinneandel-I]]*Vekter!$F$3</f>
        <v>0.82624701615838214</v>
      </c>
      <c r="AH62" s="48">
        <f>Tabell2[[#This Row],[Eldreandel-I]]*Vekter!$G$3</f>
        <v>1.7218102441835459</v>
      </c>
      <c r="AI62" s="48">
        <f>Tabell2[[#This Row],[Sysselsettingsvekst10-I]]*Vekter!$H$3</f>
        <v>0</v>
      </c>
      <c r="AJ62" s="48">
        <f>Tabell2[[#This Row],[Yrkesaktivandel-I]]*Vekter!$J$3</f>
        <v>8.8029548223553498</v>
      </c>
      <c r="AK62" s="48">
        <f>Tabell2[[#This Row],[Inntekt-I]]*Vekter!$L$3</f>
        <v>0</v>
      </c>
      <c r="AL62" s="37">
        <f>SUM(Tabell2[[#This Row],[NIBR11-v]:[Inntekt-v]])</f>
        <v>22.709452941004049</v>
      </c>
    </row>
    <row r="63" spans="1:38">
      <c r="A63" s="2" t="s">
        <v>60</v>
      </c>
      <c r="B63">
        <f>'Rådata-K'!M62</f>
        <v>8</v>
      </c>
      <c r="C63" s="9">
        <f>'Rådata-K'!L62</f>
        <v>196.7671357575</v>
      </c>
      <c r="D63" s="51">
        <f>'Rådata-K'!N62</f>
        <v>2.9507952629871683</v>
      </c>
      <c r="E63" s="51">
        <f>'Rådata-K'!O62</f>
        <v>1.5742266154127771E-2</v>
      </c>
      <c r="F63" s="51">
        <f>'Rådata-K'!P62</f>
        <v>0.10506397549107947</v>
      </c>
      <c r="G63" s="51">
        <f>'Rådata-K'!Q62</f>
        <v>0.16165074788250136</v>
      </c>
      <c r="H63" s="51">
        <f>'Rådata-K'!R62</f>
        <v>0.11671177266576449</v>
      </c>
      <c r="I63" s="51">
        <f>'Rådata-K'!S62</f>
        <v>0.93474766955962718</v>
      </c>
      <c r="J63" s="52">
        <f>'Rådata-K'!K62</f>
        <v>340400</v>
      </c>
      <c r="K63" s="26">
        <f>Tabell2[[#This Row],[NIBR11]]</f>
        <v>8</v>
      </c>
      <c r="L63" s="52">
        <f>IF(Tabell2[[#This Row],[ReisetidOslo]]&lt;=C$434,C$434,IF(Tabell2[[#This Row],[ReisetidOslo]]&gt;=C$435,C$435,Tabell2[[#This Row],[ReisetidOslo]]))</f>
        <v>196.7671357575</v>
      </c>
      <c r="M63" s="51">
        <f>IF(Tabell2[[#This Row],[Beftettotal]]&lt;=D$434,D$434,IF(Tabell2[[#This Row],[Beftettotal]]&gt;=D$435,D$435,Tabell2[[#This Row],[Beftettotal]]))</f>
        <v>2.9507952629871683</v>
      </c>
      <c r="N63" s="51">
        <f>IF(Tabell2[[#This Row],[Befvekst10]]&lt;=E$434,E$434,IF(Tabell2[[#This Row],[Befvekst10]]&gt;=E$435,E$435,Tabell2[[#This Row],[Befvekst10]]))</f>
        <v>1.5742266154127771E-2</v>
      </c>
      <c r="O63" s="51">
        <f>IF(Tabell2[[#This Row],[Kvinneandel]]&lt;=F$434,F$434,IF(Tabell2[[#This Row],[Kvinneandel]]&gt;=F$435,F$435,Tabell2[[#This Row],[Kvinneandel]]))</f>
        <v>0.10506397549107947</v>
      </c>
      <c r="P63" s="51">
        <f>IF(Tabell2[[#This Row],[Eldreandel]]&lt;=G$434,G$434,IF(Tabell2[[#This Row],[Eldreandel]]&gt;=G$435,G$435,Tabell2[[#This Row],[Eldreandel]]))</f>
        <v>0.16165074788250136</v>
      </c>
      <c r="Q63" s="51">
        <f>IF(Tabell2[[#This Row],[Sysselsettingsvekst10]]&lt;=H$434,H$434,IF(Tabell2[[#This Row],[Sysselsettingsvekst10]]&gt;=H$435,H$435,Tabell2[[#This Row],[Sysselsettingsvekst10]]))</f>
        <v>0.11671177266576449</v>
      </c>
      <c r="R63" s="51">
        <f>IF(Tabell2[[#This Row],[Yrkesaktivandel]]&lt;=I$434,I$434,IF(Tabell2[[#This Row],[Yrkesaktivandel]]&gt;=I$435,I$435,Tabell2[[#This Row],[Yrkesaktivandel]]))</f>
        <v>0.93474766955962718</v>
      </c>
      <c r="S63" s="52">
        <f>IF(Tabell2[[#This Row],[Inntekt]]&lt;=J$434,J$434,IF(Tabell2[[#This Row],[Inntekt]]&gt;=J$435,J$435,Tabell2[[#This Row],[Inntekt]]))</f>
        <v>340400</v>
      </c>
      <c r="T63" s="9">
        <f>IF(Tabell2[[#This Row],[NIBR11-T]]&lt;=K$437,100,IF(Tabell2[[#This Row],[NIBR11-T]]&gt;=K$436,0,100*(K$436-Tabell2[[#This Row],[NIBR11-T]])/K$439))</f>
        <v>30</v>
      </c>
      <c r="U63" s="9">
        <f>(L$436-Tabell2[[#This Row],[ReisetidOslo-T]])*100/L$439</f>
        <v>36.53200153967709</v>
      </c>
      <c r="V63" s="9">
        <f>100-(M$436-Tabell2[[#This Row],[Beftettotal-T]])*100/M$439</f>
        <v>1.2689760443035993</v>
      </c>
      <c r="W63" s="9">
        <f>100-(N$436-Tabell2[[#This Row],[Befvekst10-T]])*100/N$439</f>
        <v>39.060660263441534</v>
      </c>
      <c r="X63" s="9">
        <f>100-(O$436-Tabell2[[#This Row],[Kvinneandel-T]])*100/O$439</f>
        <v>39.203530670991164</v>
      </c>
      <c r="Y63" s="9">
        <f>(P$436-Tabell2[[#This Row],[Eldreandel-T]])*100/P$439</f>
        <v>52.886343473640743</v>
      </c>
      <c r="Z63" s="9">
        <f>100-(Q$436-Tabell2[[#This Row],[Sysselsettingsvekst10-T]])*100/Q$439</f>
        <v>59.509425398916811</v>
      </c>
      <c r="AA63" s="9">
        <f>100-(R$436-Tabell2[[#This Row],[Yrkesaktivandel-T]])*100/R$439</f>
        <v>79.551237661219375</v>
      </c>
      <c r="AB63" s="9">
        <f>100-(S$436-Tabell2[[#This Row],[Inntekt-T]])*100/S$439</f>
        <v>25.05972588960141</v>
      </c>
      <c r="AC63" s="48">
        <f>Tabell2[[#This Row],[NIBR11-I]]*Vekter!$B$3</f>
        <v>6</v>
      </c>
      <c r="AD63" s="48">
        <f>Tabell2[[#This Row],[ReisetidOslo-I]]*Vekter!$C$3</f>
        <v>3.6532001539677093</v>
      </c>
      <c r="AE63" s="48">
        <f>Tabell2[[#This Row],[Beftettotal-I]]*Vekter!$D$3</f>
        <v>0.12689760443035994</v>
      </c>
      <c r="AF63" s="48">
        <f>Tabell2[[#This Row],[Befvekst10-I]]*Vekter!$E$3</f>
        <v>7.8121320526883071</v>
      </c>
      <c r="AG63" s="48">
        <f>Tabell2[[#This Row],[Kvinneandel-I]]*Vekter!$F$3</f>
        <v>1.9601765335495582</v>
      </c>
      <c r="AH63" s="48">
        <f>Tabell2[[#This Row],[Eldreandel-I]]*Vekter!$G$3</f>
        <v>2.6443171736820372</v>
      </c>
      <c r="AI63" s="48">
        <f>Tabell2[[#This Row],[Sysselsettingsvekst10-I]]*Vekter!$H$3</f>
        <v>5.9509425398916811</v>
      </c>
      <c r="AJ63" s="48">
        <f>Tabell2[[#This Row],[Yrkesaktivandel-I]]*Vekter!$J$3</f>
        <v>7.9551237661219378</v>
      </c>
      <c r="AK63" s="48">
        <f>Tabell2[[#This Row],[Inntekt-I]]*Vekter!$L$3</f>
        <v>2.505972588960141</v>
      </c>
      <c r="AL63" s="37">
        <f>SUM(Tabell2[[#This Row],[NIBR11-v]:[Inntekt-v]])</f>
        <v>38.608762413291728</v>
      </c>
    </row>
    <row r="64" spans="1:38">
      <c r="A64" s="2" t="s">
        <v>61</v>
      </c>
      <c r="B64">
        <f>'Rådata-K'!M63</f>
        <v>8</v>
      </c>
      <c r="C64" s="9">
        <f>'Rådata-K'!L63</f>
        <v>215.45257689850001</v>
      </c>
      <c r="D64" s="51">
        <f>'Rådata-K'!N63</f>
        <v>2.5813299368465743</v>
      </c>
      <c r="E64" s="51">
        <f>'Rådata-K'!O63</f>
        <v>1.0806317539484578E-2</v>
      </c>
      <c r="F64" s="51">
        <f>'Rådata-K'!P63</f>
        <v>0.10731907894736842</v>
      </c>
      <c r="G64" s="51">
        <f>'Rådata-K'!Q63</f>
        <v>0.16940789473684212</v>
      </c>
      <c r="H64" s="51">
        <f>'Rådata-K'!R63</f>
        <v>0.20943952802359878</v>
      </c>
      <c r="I64" s="51">
        <f>'Rådata-K'!S63</f>
        <v>0.96646795827123699</v>
      </c>
      <c r="J64" s="52">
        <f>'Rådata-K'!K63</f>
        <v>339900</v>
      </c>
      <c r="K64" s="26">
        <f>Tabell2[[#This Row],[NIBR11]]</f>
        <v>8</v>
      </c>
      <c r="L64" s="52">
        <f>IF(Tabell2[[#This Row],[ReisetidOslo]]&lt;=C$434,C$434,IF(Tabell2[[#This Row],[ReisetidOslo]]&gt;=C$435,C$435,Tabell2[[#This Row],[ReisetidOslo]]))</f>
        <v>215.45257689850001</v>
      </c>
      <c r="M64" s="51">
        <f>IF(Tabell2[[#This Row],[Beftettotal]]&lt;=D$434,D$434,IF(Tabell2[[#This Row],[Beftettotal]]&gt;=D$435,D$435,Tabell2[[#This Row],[Beftettotal]]))</f>
        <v>2.5813299368465743</v>
      </c>
      <c r="N64" s="51">
        <f>IF(Tabell2[[#This Row],[Befvekst10]]&lt;=E$434,E$434,IF(Tabell2[[#This Row],[Befvekst10]]&gt;=E$435,E$435,Tabell2[[#This Row],[Befvekst10]]))</f>
        <v>1.0806317539484578E-2</v>
      </c>
      <c r="O64" s="51">
        <f>IF(Tabell2[[#This Row],[Kvinneandel]]&lt;=F$434,F$434,IF(Tabell2[[#This Row],[Kvinneandel]]&gt;=F$435,F$435,Tabell2[[#This Row],[Kvinneandel]]))</f>
        <v>0.10731907894736842</v>
      </c>
      <c r="P64" s="51">
        <f>IF(Tabell2[[#This Row],[Eldreandel]]&lt;=G$434,G$434,IF(Tabell2[[#This Row],[Eldreandel]]&gt;=G$435,G$435,Tabell2[[#This Row],[Eldreandel]]))</f>
        <v>0.16940789473684212</v>
      </c>
      <c r="Q64" s="51">
        <f>IF(Tabell2[[#This Row],[Sysselsettingsvekst10]]&lt;=H$434,H$434,IF(Tabell2[[#This Row],[Sysselsettingsvekst10]]&gt;=H$435,H$435,Tabell2[[#This Row],[Sysselsettingsvekst10]]))</f>
        <v>0.20943952802359878</v>
      </c>
      <c r="R64" s="51">
        <f>IF(Tabell2[[#This Row],[Yrkesaktivandel]]&lt;=I$434,I$434,IF(Tabell2[[#This Row],[Yrkesaktivandel]]&gt;=I$435,I$435,Tabell2[[#This Row],[Yrkesaktivandel]]))</f>
        <v>0.96217815624658265</v>
      </c>
      <c r="S64" s="52">
        <f>IF(Tabell2[[#This Row],[Inntekt]]&lt;=J$434,J$434,IF(Tabell2[[#This Row],[Inntekt]]&gt;=J$435,J$435,Tabell2[[#This Row],[Inntekt]]))</f>
        <v>339900</v>
      </c>
      <c r="T64" s="9">
        <f>IF(Tabell2[[#This Row],[NIBR11-T]]&lt;=K$437,100,IF(Tabell2[[#This Row],[NIBR11-T]]&gt;=K$436,0,100*(K$436-Tabell2[[#This Row],[NIBR11-T]])/K$439))</f>
        <v>30</v>
      </c>
      <c r="U64" s="9">
        <f>(L$436-Tabell2[[#This Row],[ReisetidOslo-T]])*100/L$439</f>
        <v>28.236588886135504</v>
      </c>
      <c r="V64" s="9">
        <f>100-(M$436-Tabell2[[#This Row],[Beftettotal-T]])*100/M$439</f>
        <v>0.97796223894457057</v>
      </c>
      <c r="W64" s="9">
        <f>100-(N$436-Tabell2[[#This Row],[Befvekst10-T]])*100/N$439</f>
        <v>37.063300384703567</v>
      </c>
      <c r="X64" s="9">
        <f>100-(O$436-Tabell2[[#This Row],[Kvinneandel-T]])*100/O$439</f>
        <v>45.17661820356534</v>
      </c>
      <c r="Y64" s="9">
        <f>(P$436-Tabell2[[#This Row],[Eldreandel-T]])*100/P$439</f>
        <v>44.092171117061582</v>
      </c>
      <c r="Z64" s="9">
        <f>100-(Q$436-Tabell2[[#This Row],[Sysselsettingsvekst10-T]])*100/Q$439</f>
        <v>89.272361327356862</v>
      </c>
      <c r="AA64" s="9">
        <f>100-(R$436-Tabell2[[#This Row],[Yrkesaktivandel-T]])*100/R$439</f>
        <v>100</v>
      </c>
      <c r="AB64" s="9">
        <f>100-(S$436-Tabell2[[#This Row],[Inntekt-T]])*100/S$439</f>
        <v>24.431032314849745</v>
      </c>
      <c r="AC64" s="48">
        <f>Tabell2[[#This Row],[NIBR11-I]]*Vekter!$B$3</f>
        <v>6</v>
      </c>
      <c r="AD64" s="48">
        <f>Tabell2[[#This Row],[ReisetidOslo-I]]*Vekter!$C$3</f>
        <v>2.8236588886135507</v>
      </c>
      <c r="AE64" s="48">
        <f>Tabell2[[#This Row],[Beftettotal-I]]*Vekter!$D$3</f>
        <v>9.7796223894457066E-2</v>
      </c>
      <c r="AF64" s="48">
        <f>Tabell2[[#This Row],[Befvekst10-I]]*Vekter!$E$3</f>
        <v>7.412660076940714</v>
      </c>
      <c r="AG64" s="48">
        <f>Tabell2[[#This Row],[Kvinneandel-I]]*Vekter!$F$3</f>
        <v>2.2588309101782671</v>
      </c>
      <c r="AH64" s="48">
        <f>Tabell2[[#This Row],[Eldreandel-I]]*Vekter!$G$3</f>
        <v>2.204608555853079</v>
      </c>
      <c r="AI64" s="48">
        <f>Tabell2[[#This Row],[Sysselsettingsvekst10-I]]*Vekter!$H$3</f>
        <v>8.9272361327356862</v>
      </c>
      <c r="AJ64" s="48">
        <f>Tabell2[[#This Row],[Yrkesaktivandel-I]]*Vekter!$J$3</f>
        <v>10</v>
      </c>
      <c r="AK64" s="48">
        <f>Tabell2[[#This Row],[Inntekt-I]]*Vekter!$L$3</f>
        <v>2.4431032314849745</v>
      </c>
      <c r="AL64" s="37">
        <f>SUM(Tabell2[[#This Row],[NIBR11-v]:[Inntekt-v]])</f>
        <v>42.167894019700732</v>
      </c>
    </row>
    <row r="65" spans="1:38">
      <c r="A65" s="2" t="s">
        <v>62</v>
      </c>
      <c r="B65">
        <f>'Rådata-K'!M64</f>
        <v>8</v>
      </c>
      <c r="C65" s="9">
        <f>'Rådata-K'!L64</f>
        <v>239.34808878300001</v>
      </c>
      <c r="D65" s="51">
        <f>'Rådata-K'!N64</f>
        <v>1.2773422509730827</v>
      </c>
      <c r="E65" s="51">
        <f>'Rådata-K'!O64</f>
        <v>-6.2104657849338718E-2</v>
      </c>
      <c r="F65" s="51">
        <f>'Rådata-K'!P64</f>
        <v>7.7253218884120178E-2</v>
      </c>
      <c r="G65" s="51">
        <f>'Rådata-K'!Q64</f>
        <v>0.21275291232372778</v>
      </c>
      <c r="H65" s="51">
        <f>'Rådata-K'!R64</f>
        <v>-8.9635854341736709E-2</v>
      </c>
      <c r="I65" s="51">
        <f>'Rådata-K'!S64</f>
        <v>0.99642857142857144</v>
      </c>
      <c r="J65" s="52">
        <f>'Rådata-K'!K64</f>
        <v>321800</v>
      </c>
      <c r="K65" s="26">
        <f>Tabell2[[#This Row],[NIBR11]]</f>
        <v>8</v>
      </c>
      <c r="L65" s="52">
        <f>IF(Tabell2[[#This Row],[ReisetidOslo]]&lt;=C$434,C$434,IF(Tabell2[[#This Row],[ReisetidOslo]]&gt;=C$435,C$435,Tabell2[[#This Row],[ReisetidOslo]]))</f>
        <v>239.34808878300001</v>
      </c>
      <c r="M65" s="51">
        <f>IF(Tabell2[[#This Row],[Beftettotal]]&lt;=D$434,D$434,IF(Tabell2[[#This Row],[Beftettotal]]&gt;=D$435,D$435,Tabell2[[#This Row],[Beftettotal]]))</f>
        <v>1.3397285732306117</v>
      </c>
      <c r="N65" s="51">
        <f>IF(Tabell2[[#This Row],[Befvekst10]]&lt;=E$434,E$434,IF(Tabell2[[#This Row],[Befvekst10]]&gt;=E$435,E$435,Tabell2[[#This Row],[Befvekst10]]))</f>
        <v>-6.2104657849338718E-2</v>
      </c>
      <c r="O65" s="51">
        <f>IF(Tabell2[[#This Row],[Kvinneandel]]&lt;=F$434,F$434,IF(Tabell2[[#This Row],[Kvinneandel]]&gt;=F$435,F$435,Tabell2[[#This Row],[Kvinneandel]]))</f>
        <v>9.0262917071501733E-2</v>
      </c>
      <c r="P65" s="51">
        <f>IF(Tabell2[[#This Row],[Eldreandel]]&lt;=G$434,G$434,IF(Tabell2[[#This Row],[Eldreandel]]&gt;=G$435,G$435,Tabell2[[#This Row],[Eldreandel]]))</f>
        <v>0.20830063331569054</v>
      </c>
      <c r="Q65" s="51">
        <f>IF(Tabell2[[#This Row],[Sysselsettingsvekst10]]&lt;=H$434,H$434,IF(Tabell2[[#This Row],[Sysselsettingsvekst10]]&gt;=H$435,H$435,Tabell2[[#This Row],[Sysselsettingsvekst10]]))</f>
        <v>-6.8692498376029434E-2</v>
      </c>
      <c r="R65" s="51">
        <f>IF(Tabell2[[#This Row],[Yrkesaktivandel]]&lt;=I$434,I$434,IF(Tabell2[[#This Row],[Yrkesaktivandel]]&gt;=I$435,I$435,Tabell2[[#This Row],[Yrkesaktivandel]]))</f>
        <v>0.96217815624658265</v>
      </c>
      <c r="S65" s="52">
        <f>IF(Tabell2[[#This Row],[Inntekt]]&lt;=J$434,J$434,IF(Tabell2[[#This Row],[Inntekt]]&gt;=J$435,J$435,Tabell2[[#This Row],[Inntekt]]))</f>
        <v>321800</v>
      </c>
      <c r="T65" s="9">
        <f>IF(Tabell2[[#This Row],[NIBR11-T]]&lt;=K$437,100,IF(Tabell2[[#This Row],[NIBR11-T]]&gt;=K$436,0,100*(K$436-Tabell2[[#This Row],[NIBR11-T]])/K$439))</f>
        <v>30</v>
      </c>
      <c r="U65" s="9">
        <f>(L$436-Tabell2[[#This Row],[ReisetidOslo-T]])*100/L$439</f>
        <v>17.628162242432197</v>
      </c>
      <c r="V65" s="9">
        <f>100-(M$436-Tabell2[[#This Row],[Beftettotal-T]])*100/M$439</f>
        <v>0</v>
      </c>
      <c r="W65" s="9">
        <f>100-(N$436-Tabell2[[#This Row],[Befvekst10-T]])*100/N$439</f>
        <v>7.5594565786200292</v>
      </c>
      <c r="X65" s="9">
        <f>100-(O$436-Tabell2[[#This Row],[Kvinneandel-T]])*100/O$439</f>
        <v>0</v>
      </c>
      <c r="Y65" s="9">
        <f>(P$436-Tabell2[[#This Row],[Eldreandel-T]])*100/P$439</f>
        <v>0</v>
      </c>
      <c r="Z65" s="9">
        <f>100-(Q$436-Tabell2[[#This Row],[Sysselsettingsvekst10-T]])*100/Q$439</f>
        <v>0</v>
      </c>
      <c r="AA65" s="9">
        <f>100-(R$436-Tabell2[[#This Row],[Yrkesaktivandel-T]])*100/R$439</f>
        <v>100</v>
      </c>
      <c r="AB65" s="9">
        <f>100-(S$436-Tabell2[[#This Row],[Inntekt-T]])*100/S$439</f>
        <v>1.6723249088394283</v>
      </c>
      <c r="AC65" s="48">
        <f>Tabell2[[#This Row],[NIBR11-I]]*Vekter!$B$3</f>
        <v>6</v>
      </c>
      <c r="AD65" s="48">
        <f>Tabell2[[#This Row],[ReisetidOslo-I]]*Vekter!$C$3</f>
        <v>1.7628162242432197</v>
      </c>
      <c r="AE65" s="48">
        <f>Tabell2[[#This Row],[Beftettotal-I]]*Vekter!$D$3</f>
        <v>0</v>
      </c>
      <c r="AF65" s="48">
        <f>Tabell2[[#This Row],[Befvekst10-I]]*Vekter!$E$3</f>
        <v>1.5118913157240059</v>
      </c>
      <c r="AG65" s="48">
        <f>Tabell2[[#This Row],[Kvinneandel-I]]*Vekter!$F$3</f>
        <v>0</v>
      </c>
      <c r="AH65" s="48">
        <f>Tabell2[[#This Row],[Eldreandel-I]]*Vekter!$G$3</f>
        <v>0</v>
      </c>
      <c r="AI65" s="48">
        <f>Tabell2[[#This Row],[Sysselsettingsvekst10-I]]*Vekter!$H$3</f>
        <v>0</v>
      </c>
      <c r="AJ65" s="48">
        <f>Tabell2[[#This Row],[Yrkesaktivandel-I]]*Vekter!$J$3</f>
        <v>10</v>
      </c>
      <c r="AK65" s="48">
        <f>Tabell2[[#This Row],[Inntekt-I]]*Vekter!$L$3</f>
        <v>0.16723249088394285</v>
      </c>
      <c r="AL65" s="37">
        <f>SUM(Tabell2[[#This Row],[NIBR11-v]:[Inntekt-v]])</f>
        <v>19.441940030851168</v>
      </c>
    </row>
    <row r="66" spans="1:38">
      <c r="A66" s="2" t="s">
        <v>63</v>
      </c>
      <c r="B66">
        <f>'Rådata-K'!M65</f>
        <v>9</v>
      </c>
      <c r="C66" s="9">
        <f>'Rådata-K'!L65</f>
        <v>165.28662693699999</v>
      </c>
      <c r="D66" s="51">
        <f>'Rådata-K'!N65</f>
        <v>1.9348141598023854</v>
      </c>
      <c r="E66" s="51">
        <f>'Rådata-K'!O65</f>
        <v>-5.5373064289066187E-2</v>
      </c>
      <c r="F66" s="51">
        <f>'Rådata-K'!P65</f>
        <v>9.5380029806259314E-2</v>
      </c>
      <c r="G66" s="51">
        <f>'Rådata-K'!Q65</f>
        <v>0.18628912071535023</v>
      </c>
      <c r="H66" s="51">
        <f>'Rådata-K'!R65</f>
        <v>-3.8314176245210718E-2</v>
      </c>
      <c r="I66" s="51">
        <f>'Rådata-K'!S65</f>
        <v>0.96869409660107331</v>
      </c>
      <c r="J66" s="52">
        <f>'Rådata-K'!K65</f>
        <v>316300</v>
      </c>
      <c r="K66" s="26">
        <f>Tabell2[[#This Row],[NIBR11]]</f>
        <v>9</v>
      </c>
      <c r="L66" s="52">
        <f>IF(Tabell2[[#This Row],[ReisetidOslo]]&lt;=C$434,C$434,IF(Tabell2[[#This Row],[ReisetidOslo]]&gt;=C$435,C$435,Tabell2[[#This Row],[ReisetidOslo]]))</f>
        <v>165.28662693699999</v>
      </c>
      <c r="M66" s="51">
        <f>IF(Tabell2[[#This Row],[Beftettotal]]&lt;=D$434,D$434,IF(Tabell2[[#This Row],[Beftettotal]]&gt;=D$435,D$435,Tabell2[[#This Row],[Beftettotal]]))</f>
        <v>1.9348141598023854</v>
      </c>
      <c r="N66" s="51">
        <f>IF(Tabell2[[#This Row],[Befvekst10]]&lt;=E$434,E$434,IF(Tabell2[[#This Row],[Befvekst10]]&gt;=E$435,E$435,Tabell2[[#This Row],[Befvekst10]]))</f>
        <v>-5.5373064289066187E-2</v>
      </c>
      <c r="O66" s="51">
        <f>IF(Tabell2[[#This Row],[Kvinneandel]]&lt;=F$434,F$434,IF(Tabell2[[#This Row],[Kvinneandel]]&gt;=F$435,F$435,Tabell2[[#This Row],[Kvinneandel]]))</f>
        <v>9.5380029806259314E-2</v>
      </c>
      <c r="P66" s="51">
        <f>IF(Tabell2[[#This Row],[Eldreandel]]&lt;=G$434,G$434,IF(Tabell2[[#This Row],[Eldreandel]]&gt;=G$435,G$435,Tabell2[[#This Row],[Eldreandel]]))</f>
        <v>0.18628912071535023</v>
      </c>
      <c r="Q66" s="51">
        <f>IF(Tabell2[[#This Row],[Sysselsettingsvekst10]]&lt;=H$434,H$434,IF(Tabell2[[#This Row],[Sysselsettingsvekst10]]&gt;=H$435,H$435,Tabell2[[#This Row],[Sysselsettingsvekst10]]))</f>
        <v>-3.8314176245210718E-2</v>
      </c>
      <c r="R66" s="51">
        <f>IF(Tabell2[[#This Row],[Yrkesaktivandel]]&lt;=I$434,I$434,IF(Tabell2[[#This Row],[Yrkesaktivandel]]&gt;=I$435,I$435,Tabell2[[#This Row],[Yrkesaktivandel]]))</f>
        <v>0.96217815624658265</v>
      </c>
      <c r="S66" s="52">
        <f>IF(Tabell2[[#This Row],[Inntekt]]&lt;=J$434,J$434,IF(Tabell2[[#This Row],[Inntekt]]&gt;=J$435,J$435,Tabell2[[#This Row],[Inntekt]]))</f>
        <v>320470</v>
      </c>
      <c r="T66" s="9">
        <f>IF(Tabell2[[#This Row],[NIBR11-T]]&lt;=K$437,100,IF(Tabell2[[#This Row],[NIBR11-T]]&gt;=K$436,0,100*(K$436-Tabell2[[#This Row],[NIBR11-T]])/K$439))</f>
        <v>20</v>
      </c>
      <c r="U66" s="9">
        <f>(L$436-Tabell2[[#This Row],[ReisetidOslo-T]])*100/L$439</f>
        <v>50.507792062304652</v>
      </c>
      <c r="V66" s="9">
        <f>100-(M$436-Tabell2[[#This Row],[Beftettotal-T]])*100/M$439</f>
        <v>0.46872631559655531</v>
      </c>
      <c r="W66" s="9">
        <f>100-(N$436-Tabell2[[#This Row],[Befvekst10-T]])*100/N$439</f>
        <v>10.283434469591469</v>
      </c>
      <c r="X66" s="9">
        <f>100-(O$436-Tabell2[[#This Row],[Kvinneandel-T]])*100/O$439</f>
        <v>13.553685172854784</v>
      </c>
      <c r="Y66" s="9">
        <f>(P$436-Tabell2[[#This Row],[Eldreandel-T]])*100/P$439</f>
        <v>24.95415379793754</v>
      </c>
      <c r="Z66" s="9">
        <f>100-(Q$436-Tabell2[[#This Row],[Sysselsettingsvekst10-T]])*100/Q$439</f>
        <v>9.7505655313663482</v>
      </c>
      <c r="AA66" s="9">
        <f>100-(R$436-Tabell2[[#This Row],[Yrkesaktivandel-T]])*100/R$439</f>
        <v>100</v>
      </c>
      <c r="AB66" s="9">
        <f>100-(S$436-Tabell2[[#This Row],[Inntekt-T]])*100/S$439</f>
        <v>0</v>
      </c>
      <c r="AC66" s="48">
        <f>Tabell2[[#This Row],[NIBR11-I]]*Vekter!$B$3</f>
        <v>4</v>
      </c>
      <c r="AD66" s="48">
        <f>Tabell2[[#This Row],[ReisetidOslo-I]]*Vekter!$C$3</f>
        <v>5.0507792062304659</v>
      </c>
      <c r="AE66" s="48">
        <f>Tabell2[[#This Row],[Beftettotal-I]]*Vekter!$D$3</f>
        <v>4.6872631559655535E-2</v>
      </c>
      <c r="AF66" s="48">
        <f>Tabell2[[#This Row],[Befvekst10-I]]*Vekter!$E$3</f>
        <v>2.0566868939182941</v>
      </c>
      <c r="AG66" s="48">
        <f>Tabell2[[#This Row],[Kvinneandel-I]]*Vekter!$F$3</f>
        <v>0.67768425864273929</v>
      </c>
      <c r="AH66" s="48">
        <f>Tabell2[[#This Row],[Eldreandel-I]]*Vekter!$G$3</f>
        <v>1.2477076898968771</v>
      </c>
      <c r="AI66" s="48">
        <f>Tabell2[[#This Row],[Sysselsettingsvekst10-I]]*Vekter!$H$3</f>
        <v>0.97505655313663486</v>
      </c>
      <c r="AJ66" s="48">
        <f>Tabell2[[#This Row],[Yrkesaktivandel-I]]*Vekter!$J$3</f>
        <v>10</v>
      </c>
      <c r="AK66" s="48">
        <f>Tabell2[[#This Row],[Inntekt-I]]*Vekter!$L$3</f>
        <v>0</v>
      </c>
      <c r="AL66" s="37">
        <f>SUM(Tabell2[[#This Row],[NIBR11-v]:[Inntekt-v]])</f>
        <v>24.054787233384666</v>
      </c>
    </row>
    <row r="67" spans="1:38">
      <c r="A67" s="2" t="s">
        <v>64</v>
      </c>
      <c r="B67">
        <f>'Rådata-K'!M66</f>
        <v>4</v>
      </c>
      <c r="C67" s="9">
        <f>'Rådata-K'!L66</f>
        <v>128.65623524200001</v>
      </c>
      <c r="D67" s="51">
        <f>'Rådata-K'!N66</f>
        <v>56.523830436873915</v>
      </c>
      <c r="E67" s="51">
        <f>'Rådata-K'!O66</f>
        <v>7.8101316314319824E-2</v>
      </c>
      <c r="F67" s="51">
        <f>'Rådata-K'!P66</f>
        <v>0.12723841941690101</v>
      </c>
      <c r="G67" s="51">
        <f>'Rådata-K'!Q66</f>
        <v>0.16416309012875535</v>
      </c>
      <c r="H67" s="51">
        <f>'Rådata-K'!R66</f>
        <v>9.6883239807991295E-2</v>
      </c>
      <c r="I67" s="51">
        <f>'Rådata-K'!S66</f>
        <v>0.8830742004803438</v>
      </c>
      <c r="J67" s="52">
        <f>'Rådata-K'!K66</f>
        <v>368000</v>
      </c>
      <c r="K67" s="26">
        <f>Tabell2[[#This Row],[NIBR11]]</f>
        <v>4</v>
      </c>
      <c r="L67" s="52">
        <f>IF(Tabell2[[#This Row],[ReisetidOslo]]&lt;=C$434,C$434,IF(Tabell2[[#This Row],[ReisetidOslo]]&gt;=C$435,C$435,Tabell2[[#This Row],[ReisetidOslo]]))</f>
        <v>128.65623524200001</v>
      </c>
      <c r="M67" s="51">
        <f>IF(Tabell2[[#This Row],[Beftettotal]]&lt;=D$434,D$434,IF(Tabell2[[#This Row],[Beftettotal]]&gt;=D$435,D$435,Tabell2[[#This Row],[Beftettotal]]))</f>
        <v>56.523830436873915</v>
      </c>
      <c r="N67" s="51">
        <f>IF(Tabell2[[#This Row],[Befvekst10]]&lt;=E$434,E$434,IF(Tabell2[[#This Row],[Befvekst10]]&gt;=E$435,E$435,Tabell2[[#This Row],[Befvekst10]]))</f>
        <v>7.8101316314319824E-2</v>
      </c>
      <c r="O67" s="51">
        <f>IF(Tabell2[[#This Row],[Kvinneandel]]&lt;=F$434,F$434,IF(Tabell2[[#This Row],[Kvinneandel]]&gt;=F$435,F$435,Tabell2[[#This Row],[Kvinneandel]]))</f>
        <v>0.12723841941690101</v>
      </c>
      <c r="P67" s="51">
        <f>IF(Tabell2[[#This Row],[Eldreandel]]&lt;=G$434,G$434,IF(Tabell2[[#This Row],[Eldreandel]]&gt;=G$435,G$435,Tabell2[[#This Row],[Eldreandel]]))</f>
        <v>0.16416309012875535</v>
      </c>
      <c r="Q67" s="51">
        <f>IF(Tabell2[[#This Row],[Sysselsettingsvekst10]]&lt;=H$434,H$434,IF(Tabell2[[#This Row],[Sysselsettingsvekst10]]&gt;=H$435,H$435,Tabell2[[#This Row],[Sysselsettingsvekst10]]))</f>
        <v>9.6883239807991295E-2</v>
      </c>
      <c r="R67" s="51">
        <f>IF(Tabell2[[#This Row],[Yrkesaktivandel]]&lt;=I$434,I$434,IF(Tabell2[[#This Row],[Yrkesaktivandel]]&gt;=I$435,I$435,Tabell2[[#This Row],[Yrkesaktivandel]]))</f>
        <v>0.8830742004803438</v>
      </c>
      <c r="S67" s="52">
        <f>IF(Tabell2[[#This Row],[Inntekt]]&lt;=J$434,J$434,IF(Tabell2[[#This Row],[Inntekt]]&gt;=J$435,J$435,Tabell2[[#This Row],[Inntekt]]))</f>
        <v>368000</v>
      </c>
      <c r="T67" s="9">
        <f>IF(Tabell2[[#This Row],[NIBR11-T]]&lt;=K$437,100,IF(Tabell2[[#This Row],[NIBR11-T]]&gt;=K$436,0,100*(K$436-Tabell2[[#This Row],[NIBR11-T]])/K$439))</f>
        <v>70</v>
      </c>
      <c r="U67" s="9">
        <f>(L$436-Tabell2[[#This Row],[ReisetidOslo-T]])*100/L$439</f>
        <v>66.769876135029151</v>
      </c>
      <c r="V67" s="9">
        <f>100-(M$436-Tabell2[[#This Row],[Beftettotal-T]])*100/M$439</f>
        <v>43.466421183318367</v>
      </c>
      <c r="W67" s="9">
        <f>100-(N$436-Tabell2[[#This Row],[Befvekst10-T]])*100/N$439</f>
        <v>64.294607087091734</v>
      </c>
      <c r="X67" s="9">
        <f>100-(O$436-Tabell2[[#This Row],[Kvinneandel-T]])*100/O$439</f>
        <v>97.936931209985786</v>
      </c>
      <c r="Y67" s="9">
        <f>(P$436-Tabell2[[#This Row],[Eldreandel-T]])*100/P$439</f>
        <v>50.03813508631216</v>
      </c>
      <c r="Z67" s="9">
        <f>100-(Q$436-Tabell2[[#This Row],[Sysselsettingsvekst10-T]])*100/Q$439</f>
        <v>53.145038050991943</v>
      </c>
      <c r="AA67" s="9">
        <f>100-(R$436-Tabell2[[#This Row],[Yrkesaktivandel-T]])*100/R$439</f>
        <v>41.029920103806596</v>
      </c>
      <c r="AB67" s="9">
        <f>100-(S$436-Tabell2[[#This Row],[Inntekt-T]])*100/S$439</f>
        <v>59.763611215893377</v>
      </c>
      <c r="AC67" s="48">
        <f>Tabell2[[#This Row],[NIBR11-I]]*Vekter!$B$3</f>
        <v>14</v>
      </c>
      <c r="AD67" s="48">
        <f>Tabell2[[#This Row],[ReisetidOslo-I]]*Vekter!$C$3</f>
        <v>6.6769876135029156</v>
      </c>
      <c r="AE67" s="48">
        <f>Tabell2[[#This Row],[Beftettotal-I]]*Vekter!$D$3</f>
        <v>4.3466421183318369</v>
      </c>
      <c r="AF67" s="48">
        <f>Tabell2[[#This Row],[Befvekst10-I]]*Vekter!$E$3</f>
        <v>12.858921417418347</v>
      </c>
      <c r="AG67" s="48">
        <f>Tabell2[[#This Row],[Kvinneandel-I]]*Vekter!$F$3</f>
        <v>4.8968465604992897</v>
      </c>
      <c r="AH67" s="48">
        <f>Tabell2[[#This Row],[Eldreandel-I]]*Vekter!$G$3</f>
        <v>2.5019067543156082</v>
      </c>
      <c r="AI67" s="48">
        <f>Tabell2[[#This Row],[Sysselsettingsvekst10-I]]*Vekter!$H$3</f>
        <v>5.3145038050991946</v>
      </c>
      <c r="AJ67" s="48">
        <f>Tabell2[[#This Row],[Yrkesaktivandel-I]]*Vekter!$J$3</f>
        <v>4.1029920103806594</v>
      </c>
      <c r="AK67" s="48">
        <f>Tabell2[[#This Row],[Inntekt-I]]*Vekter!$L$3</f>
        <v>5.9763611215893384</v>
      </c>
      <c r="AL67" s="37">
        <f>SUM(Tabell2[[#This Row],[NIBR11-v]:[Inntekt-v]])</f>
        <v>60.675161401137188</v>
      </c>
    </row>
    <row r="68" spans="1:38">
      <c r="A68" s="2" t="s">
        <v>65</v>
      </c>
      <c r="B68">
        <f>'Rådata-K'!M67</f>
        <v>4</v>
      </c>
      <c r="C68" s="9">
        <f>'Rådata-K'!L67</f>
        <v>104.677432987</v>
      </c>
      <c r="D68" s="51">
        <f>'Rådata-K'!N67</f>
        <v>44.133047721052002</v>
      </c>
      <c r="E68" s="51">
        <f>'Rådata-K'!O67</f>
        <v>7.7817336336554632E-2</v>
      </c>
      <c r="F68" s="51">
        <f>'Rådata-K'!P67</f>
        <v>0.12235405150330322</v>
      </c>
      <c r="G68" s="51">
        <f>'Rådata-K'!Q67</f>
        <v>0.15926250505595255</v>
      </c>
      <c r="H68" s="51">
        <f>'Rådata-K'!R67</f>
        <v>8.0962081882105519E-2</v>
      </c>
      <c r="I68" s="51">
        <f>'Rådata-K'!S67</f>
        <v>0.84036213614485444</v>
      </c>
      <c r="J68" s="52">
        <f>'Rådata-K'!K67</f>
        <v>351700</v>
      </c>
      <c r="K68" s="26">
        <f>Tabell2[[#This Row],[NIBR11]]</f>
        <v>4</v>
      </c>
      <c r="L68" s="52">
        <f>IF(Tabell2[[#This Row],[ReisetidOslo]]&lt;=C$434,C$434,IF(Tabell2[[#This Row],[ReisetidOslo]]&gt;=C$435,C$435,Tabell2[[#This Row],[ReisetidOslo]]))</f>
        <v>104.677432987</v>
      </c>
      <c r="M68" s="51">
        <f>IF(Tabell2[[#This Row],[Beftettotal]]&lt;=D$434,D$434,IF(Tabell2[[#This Row],[Beftettotal]]&gt;=D$435,D$435,Tabell2[[#This Row],[Beftettotal]]))</f>
        <v>44.133047721052002</v>
      </c>
      <c r="N68" s="51">
        <f>IF(Tabell2[[#This Row],[Befvekst10]]&lt;=E$434,E$434,IF(Tabell2[[#This Row],[Befvekst10]]&gt;=E$435,E$435,Tabell2[[#This Row],[Befvekst10]]))</f>
        <v>7.7817336336554632E-2</v>
      </c>
      <c r="O68" s="51">
        <f>IF(Tabell2[[#This Row],[Kvinneandel]]&lt;=F$434,F$434,IF(Tabell2[[#This Row],[Kvinneandel]]&gt;=F$435,F$435,Tabell2[[#This Row],[Kvinneandel]]))</f>
        <v>0.12235405150330322</v>
      </c>
      <c r="P68" s="51">
        <f>IF(Tabell2[[#This Row],[Eldreandel]]&lt;=G$434,G$434,IF(Tabell2[[#This Row],[Eldreandel]]&gt;=G$435,G$435,Tabell2[[#This Row],[Eldreandel]]))</f>
        <v>0.15926250505595255</v>
      </c>
      <c r="Q68" s="51">
        <f>IF(Tabell2[[#This Row],[Sysselsettingsvekst10]]&lt;=H$434,H$434,IF(Tabell2[[#This Row],[Sysselsettingsvekst10]]&gt;=H$435,H$435,Tabell2[[#This Row],[Sysselsettingsvekst10]]))</f>
        <v>8.0962081882105519E-2</v>
      </c>
      <c r="R68" s="51">
        <f>IF(Tabell2[[#This Row],[Yrkesaktivandel]]&lt;=I$434,I$434,IF(Tabell2[[#This Row],[Yrkesaktivandel]]&gt;=I$435,I$435,Tabell2[[#This Row],[Yrkesaktivandel]]))</f>
        <v>0.84036213614485444</v>
      </c>
      <c r="S68" s="52">
        <f>IF(Tabell2[[#This Row],[Inntekt]]&lt;=J$434,J$434,IF(Tabell2[[#This Row],[Inntekt]]&gt;=J$435,J$435,Tabell2[[#This Row],[Inntekt]]))</f>
        <v>351700</v>
      </c>
      <c r="T68" s="9">
        <f>IF(Tabell2[[#This Row],[NIBR11-T]]&lt;=K$437,100,IF(Tabell2[[#This Row],[NIBR11-T]]&gt;=K$436,0,100*(K$436-Tabell2[[#This Row],[NIBR11-T]])/K$439))</f>
        <v>70</v>
      </c>
      <c r="U68" s="9">
        <f>(L$436-Tabell2[[#This Row],[ReisetidOslo-T]])*100/L$439</f>
        <v>77.415279588011416</v>
      </c>
      <c r="V68" s="9">
        <f>100-(M$436-Tabell2[[#This Row],[Beftettotal-T]])*100/M$439</f>
        <v>33.706672231569485</v>
      </c>
      <c r="W68" s="9">
        <f>100-(N$436-Tabell2[[#This Row],[Befvekst10-T]])*100/N$439</f>
        <v>64.179692962526019</v>
      </c>
      <c r="X68" s="9">
        <f>100-(O$436-Tabell2[[#This Row],[Kvinneandel-T]])*100/O$439</f>
        <v>84.999716729712247</v>
      </c>
      <c r="Y68" s="9">
        <f>(P$436-Tabell2[[#This Row],[Eldreandel-T]])*100/P$439</f>
        <v>55.593862029162402</v>
      </c>
      <c r="Z68" s="9">
        <f>100-(Q$436-Tabell2[[#This Row],[Sysselsettingsvekst10-T]])*100/Q$439</f>
        <v>48.034805398146013</v>
      </c>
      <c r="AA68" s="9">
        <f>100-(R$436-Tabell2[[#This Row],[Yrkesaktivandel-T]])*100/R$439</f>
        <v>9.1891123717849155</v>
      </c>
      <c r="AB68" s="9">
        <f>100-(S$436-Tabell2[[#This Row],[Inntekt-T]])*100/S$439</f>
        <v>39.268200678989061</v>
      </c>
      <c r="AC68" s="48">
        <f>Tabell2[[#This Row],[NIBR11-I]]*Vekter!$B$3</f>
        <v>14</v>
      </c>
      <c r="AD68" s="48">
        <f>Tabell2[[#This Row],[ReisetidOslo-I]]*Vekter!$C$3</f>
        <v>7.7415279588011421</v>
      </c>
      <c r="AE68" s="48">
        <f>Tabell2[[#This Row],[Beftettotal-I]]*Vekter!$D$3</f>
        <v>3.3706672231569486</v>
      </c>
      <c r="AF68" s="48">
        <f>Tabell2[[#This Row],[Befvekst10-I]]*Vekter!$E$3</f>
        <v>12.835938592505205</v>
      </c>
      <c r="AG68" s="48">
        <f>Tabell2[[#This Row],[Kvinneandel-I]]*Vekter!$F$3</f>
        <v>4.2499858364856129</v>
      </c>
      <c r="AH68" s="48">
        <f>Tabell2[[#This Row],[Eldreandel-I]]*Vekter!$G$3</f>
        <v>2.7796931014581201</v>
      </c>
      <c r="AI68" s="48">
        <f>Tabell2[[#This Row],[Sysselsettingsvekst10-I]]*Vekter!$H$3</f>
        <v>4.8034805398146014</v>
      </c>
      <c r="AJ68" s="48">
        <f>Tabell2[[#This Row],[Yrkesaktivandel-I]]*Vekter!$J$3</f>
        <v>0.91891123717849155</v>
      </c>
      <c r="AK68" s="48">
        <f>Tabell2[[#This Row],[Inntekt-I]]*Vekter!$L$3</f>
        <v>3.9268200678989063</v>
      </c>
      <c r="AL68" s="37">
        <f>SUM(Tabell2[[#This Row],[NIBR11-v]:[Inntekt-v]])</f>
        <v>54.627024557299038</v>
      </c>
    </row>
    <row r="69" spans="1:38">
      <c r="A69" s="2" t="s">
        <v>66</v>
      </c>
      <c r="B69">
        <f>'Rådata-K'!M68</f>
        <v>10</v>
      </c>
      <c r="C69" s="9">
        <f>'Rådata-K'!L68</f>
        <v>243.777629612</v>
      </c>
      <c r="D69" s="51">
        <f>'Rådata-K'!N68</f>
        <v>1.9818380375112685</v>
      </c>
      <c r="E69" s="51">
        <f>'Rådata-K'!O68</f>
        <v>-6.2088102670828982E-2</v>
      </c>
      <c r="F69" s="51">
        <f>'Rådata-K'!P68</f>
        <v>8.6908284023668639E-2</v>
      </c>
      <c r="G69" s="51">
        <f>'Rådata-K'!Q68</f>
        <v>0.20229289940828402</v>
      </c>
      <c r="H69" s="51">
        <f>'Rådata-K'!R68</f>
        <v>-1.179071481208549E-2</v>
      </c>
      <c r="I69" s="51">
        <f>'Rådata-K'!S68</f>
        <v>0.89659773182121416</v>
      </c>
      <c r="J69" s="52">
        <f>'Rådata-K'!K68</f>
        <v>315800</v>
      </c>
      <c r="K69" s="26">
        <f>Tabell2[[#This Row],[NIBR11]]</f>
        <v>10</v>
      </c>
      <c r="L69" s="52">
        <f>IF(Tabell2[[#This Row],[ReisetidOslo]]&lt;=C$434,C$434,IF(Tabell2[[#This Row],[ReisetidOslo]]&gt;=C$435,C$435,Tabell2[[#This Row],[ReisetidOslo]]))</f>
        <v>243.777629612</v>
      </c>
      <c r="M69" s="51">
        <f>IF(Tabell2[[#This Row],[Beftettotal]]&lt;=D$434,D$434,IF(Tabell2[[#This Row],[Beftettotal]]&gt;=D$435,D$435,Tabell2[[#This Row],[Beftettotal]]))</f>
        <v>1.9818380375112685</v>
      </c>
      <c r="N69" s="51">
        <f>IF(Tabell2[[#This Row],[Befvekst10]]&lt;=E$434,E$434,IF(Tabell2[[#This Row],[Befvekst10]]&gt;=E$435,E$435,Tabell2[[#This Row],[Befvekst10]]))</f>
        <v>-6.2088102670828982E-2</v>
      </c>
      <c r="O69" s="51">
        <f>IF(Tabell2[[#This Row],[Kvinneandel]]&lt;=F$434,F$434,IF(Tabell2[[#This Row],[Kvinneandel]]&gt;=F$435,F$435,Tabell2[[#This Row],[Kvinneandel]]))</f>
        <v>9.0262917071501733E-2</v>
      </c>
      <c r="P69" s="51">
        <f>IF(Tabell2[[#This Row],[Eldreandel]]&lt;=G$434,G$434,IF(Tabell2[[#This Row],[Eldreandel]]&gt;=G$435,G$435,Tabell2[[#This Row],[Eldreandel]]))</f>
        <v>0.20229289940828402</v>
      </c>
      <c r="Q69" s="51">
        <f>IF(Tabell2[[#This Row],[Sysselsettingsvekst10]]&lt;=H$434,H$434,IF(Tabell2[[#This Row],[Sysselsettingsvekst10]]&gt;=H$435,H$435,Tabell2[[#This Row],[Sysselsettingsvekst10]]))</f>
        <v>-1.179071481208549E-2</v>
      </c>
      <c r="R69" s="51">
        <f>IF(Tabell2[[#This Row],[Yrkesaktivandel]]&lt;=I$434,I$434,IF(Tabell2[[#This Row],[Yrkesaktivandel]]&gt;=I$435,I$435,Tabell2[[#This Row],[Yrkesaktivandel]]))</f>
        <v>0.89659773182121416</v>
      </c>
      <c r="S69" s="52">
        <f>IF(Tabell2[[#This Row],[Inntekt]]&lt;=J$434,J$434,IF(Tabell2[[#This Row],[Inntekt]]&gt;=J$435,J$435,Tabell2[[#This Row],[Inntekt]]))</f>
        <v>320470</v>
      </c>
      <c r="T69" s="9">
        <f>IF(Tabell2[[#This Row],[NIBR11-T]]&lt;=K$437,100,IF(Tabell2[[#This Row],[NIBR11-T]]&gt;=K$436,0,100*(K$436-Tabell2[[#This Row],[NIBR11-T]])/K$439))</f>
        <v>10</v>
      </c>
      <c r="U69" s="9">
        <f>(L$436-Tabell2[[#This Row],[ReisetidOslo-T]])*100/L$439</f>
        <v>15.661664969770051</v>
      </c>
      <c r="V69" s="9">
        <f>100-(M$436-Tabell2[[#This Row],[Beftettotal-T]])*100/M$439</f>
        <v>0.5057652381329234</v>
      </c>
      <c r="W69" s="9">
        <f>100-(N$436-Tabell2[[#This Row],[Befvekst10-T]])*100/N$439</f>
        <v>7.5661557264277235</v>
      </c>
      <c r="X69" s="9">
        <f>100-(O$436-Tabell2[[#This Row],[Kvinneandel-T]])*100/O$439</f>
        <v>0</v>
      </c>
      <c r="Y69" s="9">
        <f>(P$436-Tabell2[[#This Row],[Eldreandel-T]])*100/P$439</f>
        <v>6.8108865857855161</v>
      </c>
      <c r="Z69" s="9">
        <f>100-(Q$436-Tabell2[[#This Row],[Sysselsettingsvekst10-T]])*100/Q$439</f>
        <v>18.263831922731256</v>
      </c>
      <c r="AA69" s="9">
        <f>100-(R$436-Tabell2[[#This Row],[Yrkesaktivandel-T]])*100/R$439</f>
        <v>51.11138462634522</v>
      </c>
      <c r="AB69" s="9">
        <f>100-(S$436-Tabell2[[#This Row],[Inntekt-T]])*100/S$439</f>
        <v>0</v>
      </c>
      <c r="AC69" s="48">
        <f>Tabell2[[#This Row],[NIBR11-I]]*Vekter!$B$3</f>
        <v>2</v>
      </c>
      <c r="AD69" s="48">
        <f>Tabell2[[#This Row],[ReisetidOslo-I]]*Vekter!$C$3</f>
        <v>1.5661664969770053</v>
      </c>
      <c r="AE69" s="48">
        <f>Tabell2[[#This Row],[Beftettotal-I]]*Vekter!$D$3</f>
        <v>5.0576523813292341E-2</v>
      </c>
      <c r="AF69" s="48">
        <f>Tabell2[[#This Row],[Befvekst10-I]]*Vekter!$E$3</f>
        <v>1.5132311452855447</v>
      </c>
      <c r="AG69" s="48">
        <f>Tabell2[[#This Row],[Kvinneandel-I]]*Vekter!$F$3</f>
        <v>0</v>
      </c>
      <c r="AH69" s="48">
        <f>Tabell2[[#This Row],[Eldreandel-I]]*Vekter!$G$3</f>
        <v>0.3405443292892758</v>
      </c>
      <c r="AI69" s="48">
        <f>Tabell2[[#This Row],[Sysselsettingsvekst10-I]]*Vekter!$H$3</f>
        <v>1.8263831922731257</v>
      </c>
      <c r="AJ69" s="48">
        <f>Tabell2[[#This Row],[Yrkesaktivandel-I]]*Vekter!$J$3</f>
        <v>5.1111384626345222</v>
      </c>
      <c r="AK69" s="48">
        <f>Tabell2[[#This Row],[Inntekt-I]]*Vekter!$L$3</f>
        <v>0</v>
      </c>
      <c r="AL69" s="37">
        <f>SUM(Tabell2[[#This Row],[NIBR11-v]:[Inntekt-v]])</f>
        <v>12.408040150272765</v>
      </c>
    </row>
    <row r="70" spans="1:38">
      <c r="A70" s="2" t="s">
        <v>67</v>
      </c>
      <c r="B70">
        <f>'Rådata-K'!M69</f>
        <v>10</v>
      </c>
      <c r="C70" s="9">
        <f>'Rådata-K'!L69</f>
        <v>265.93880031100002</v>
      </c>
      <c r="D70" s="51">
        <f>'Rådata-K'!N69</f>
        <v>0.91879140868072007</v>
      </c>
      <c r="E70" s="51">
        <f>'Rådata-K'!O69</f>
        <v>-6.0208239022181975E-2</v>
      </c>
      <c r="F70" s="51">
        <f>'Rådata-K'!P69</f>
        <v>9.7784200385356457E-2</v>
      </c>
      <c r="G70" s="51">
        <f>'Rådata-K'!Q69</f>
        <v>0.19364161849710981</v>
      </c>
      <c r="H70" s="51">
        <f>'Rådata-K'!R69</f>
        <v>-6.5677966101694962E-2</v>
      </c>
      <c r="I70" s="51">
        <f>'Rådata-K'!S69</f>
        <v>0.96425457715780294</v>
      </c>
      <c r="J70" s="52">
        <f>'Rådata-K'!K69</f>
        <v>326200</v>
      </c>
      <c r="K70" s="26">
        <f>Tabell2[[#This Row],[NIBR11]]</f>
        <v>10</v>
      </c>
      <c r="L70" s="52">
        <f>IF(Tabell2[[#This Row],[ReisetidOslo]]&lt;=C$434,C$434,IF(Tabell2[[#This Row],[ReisetidOslo]]&gt;=C$435,C$435,Tabell2[[#This Row],[ReisetidOslo]]))</f>
        <v>265.93880031100002</v>
      </c>
      <c r="M70" s="51">
        <f>IF(Tabell2[[#This Row],[Beftettotal]]&lt;=D$434,D$434,IF(Tabell2[[#This Row],[Beftettotal]]&gt;=D$435,D$435,Tabell2[[#This Row],[Beftettotal]]))</f>
        <v>1.3397285732306117</v>
      </c>
      <c r="N70" s="51">
        <f>IF(Tabell2[[#This Row],[Befvekst10]]&lt;=E$434,E$434,IF(Tabell2[[#This Row],[Befvekst10]]&gt;=E$435,E$435,Tabell2[[#This Row],[Befvekst10]]))</f>
        <v>-6.0208239022181975E-2</v>
      </c>
      <c r="O70" s="51">
        <f>IF(Tabell2[[#This Row],[Kvinneandel]]&lt;=F$434,F$434,IF(Tabell2[[#This Row],[Kvinneandel]]&gt;=F$435,F$435,Tabell2[[#This Row],[Kvinneandel]]))</f>
        <v>9.7784200385356457E-2</v>
      </c>
      <c r="P70" s="51">
        <f>IF(Tabell2[[#This Row],[Eldreandel]]&lt;=G$434,G$434,IF(Tabell2[[#This Row],[Eldreandel]]&gt;=G$435,G$435,Tabell2[[#This Row],[Eldreandel]]))</f>
        <v>0.19364161849710981</v>
      </c>
      <c r="Q70" s="51">
        <f>IF(Tabell2[[#This Row],[Sysselsettingsvekst10]]&lt;=H$434,H$434,IF(Tabell2[[#This Row],[Sysselsettingsvekst10]]&gt;=H$435,H$435,Tabell2[[#This Row],[Sysselsettingsvekst10]]))</f>
        <v>-6.5677966101694962E-2</v>
      </c>
      <c r="R70" s="51">
        <f>IF(Tabell2[[#This Row],[Yrkesaktivandel]]&lt;=I$434,I$434,IF(Tabell2[[#This Row],[Yrkesaktivandel]]&gt;=I$435,I$435,Tabell2[[#This Row],[Yrkesaktivandel]]))</f>
        <v>0.96217815624658265</v>
      </c>
      <c r="S70" s="52">
        <f>IF(Tabell2[[#This Row],[Inntekt]]&lt;=J$434,J$434,IF(Tabell2[[#This Row],[Inntekt]]&gt;=J$435,J$435,Tabell2[[#This Row],[Inntekt]]))</f>
        <v>326200</v>
      </c>
      <c r="T70" s="9">
        <f>IF(Tabell2[[#This Row],[NIBR11-T]]&lt;=K$437,100,IF(Tabell2[[#This Row],[NIBR11-T]]&gt;=K$436,0,100*(K$436-Tabell2[[#This Row],[NIBR11-T]])/K$439))</f>
        <v>10</v>
      </c>
      <c r="U70" s="9">
        <f>(L$436-Tabell2[[#This Row],[ReisetidOslo-T]])*100/L$439</f>
        <v>5.8232001218407934</v>
      </c>
      <c r="V70" s="9">
        <f>100-(M$436-Tabell2[[#This Row],[Beftettotal-T]])*100/M$439</f>
        <v>0</v>
      </c>
      <c r="W70" s="9">
        <f>100-(N$436-Tabell2[[#This Row],[Befvekst10-T]])*100/N$439</f>
        <v>8.3268533192200067</v>
      </c>
      <c r="X70" s="9">
        <f>100-(O$436-Tabell2[[#This Row],[Kvinneandel-T]])*100/O$439</f>
        <v>19.921606463622751</v>
      </c>
      <c r="Y70" s="9">
        <f>(P$436-Tabell2[[#This Row],[Eldreandel-T]])*100/P$439</f>
        <v>16.61872661597338</v>
      </c>
      <c r="Z70" s="9">
        <f>100-(Q$436-Tabell2[[#This Row],[Sysselsettingsvekst10-T]])*100/Q$439</f>
        <v>0.96757794458626734</v>
      </c>
      <c r="AA70" s="9">
        <f>100-(R$436-Tabell2[[#This Row],[Yrkesaktivandel-T]])*100/R$439</f>
        <v>100</v>
      </c>
      <c r="AB70" s="9">
        <f>100-(S$436-Tabell2[[#This Row],[Inntekt-T]])*100/S$439</f>
        <v>7.2048283666540982</v>
      </c>
      <c r="AC70" s="48">
        <f>Tabell2[[#This Row],[NIBR11-I]]*Vekter!$B$3</f>
        <v>2</v>
      </c>
      <c r="AD70" s="48">
        <f>Tabell2[[#This Row],[ReisetidOslo-I]]*Vekter!$C$3</f>
        <v>0.58232001218407936</v>
      </c>
      <c r="AE70" s="48">
        <f>Tabell2[[#This Row],[Beftettotal-I]]*Vekter!$D$3</f>
        <v>0</v>
      </c>
      <c r="AF70" s="48">
        <f>Tabell2[[#This Row],[Befvekst10-I]]*Vekter!$E$3</f>
        <v>1.6653706638440013</v>
      </c>
      <c r="AG70" s="48">
        <f>Tabell2[[#This Row],[Kvinneandel-I]]*Vekter!$F$3</f>
        <v>0.99608032318113759</v>
      </c>
      <c r="AH70" s="48">
        <f>Tabell2[[#This Row],[Eldreandel-I]]*Vekter!$G$3</f>
        <v>0.83093633079866902</v>
      </c>
      <c r="AI70" s="48">
        <f>Tabell2[[#This Row],[Sysselsettingsvekst10-I]]*Vekter!$H$3</f>
        <v>9.6757794458626742E-2</v>
      </c>
      <c r="AJ70" s="48">
        <f>Tabell2[[#This Row],[Yrkesaktivandel-I]]*Vekter!$J$3</f>
        <v>10</v>
      </c>
      <c r="AK70" s="48">
        <f>Tabell2[[#This Row],[Inntekt-I]]*Vekter!$L$3</f>
        <v>0.72048283666540991</v>
      </c>
      <c r="AL70" s="37">
        <f>SUM(Tabell2[[#This Row],[NIBR11-v]:[Inntekt-v]])</f>
        <v>16.891947961131926</v>
      </c>
    </row>
    <row r="71" spans="1:38">
      <c r="A71" s="2" t="s">
        <v>68</v>
      </c>
      <c r="B71">
        <f>'Rådata-K'!M70</f>
        <v>10</v>
      </c>
      <c r="C71" s="9">
        <f>'Rådata-K'!L70</f>
        <v>267.83299999999997</v>
      </c>
      <c r="D71" s="51">
        <f>'Rådata-K'!N70</f>
        <v>1.0908057219119938</v>
      </c>
      <c r="E71" s="51">
        <f>'Rådata-K'!O70</f>
        <v>-5.3907229419139169E-2</v>
      </c>
      <c r="F71" s="51">
        <f>'Rådata-K'!P70</f>
        <v>9.8056537102473501E-2</v>
      </c>
      <c r="G71" s="51">
        <f>'Rådata-K'!Q70</f>
        <v>0.20273851590106007</v>
      </c>
      <c r="H71" s="51">
        <f>'Rådata-K'!R70</f>
        <v>-6.7256637168141564E-2</v>
      </c>
      <c r="I71" s="51">
        <f>'Rådata-K'!S70</f>
        <v>0.9408945686900958</v>
      </c>
      <c r="J71" s="52">
        <f>'Rådata-K'!K70</f>
        <v>321400</v>
      </c>
      <c r="K71" s="26">
        <f>Tabell2[[#This Row],[NIBR11]]</f>
        <v>10</v>
      </c>
      <c r="L71" s="52">
        <f>IF(Tabell2[[#This Row],[ReisetidOslo]]&lt;=C$434,C$434,IF(Tabell2[[#This Row],[ReisetidOslo]]&gt;=C$435,C$435,Tabell2[[#This Row],[ReisetidOslo]]))</f>
        <v>267.83299999999997</v>
      </c>
      <c r="M71" s="51">
        <f>IF(Tabell2[[#This Row],[Beftettotal]]&lt;=D$434,D$434,IF(Tabell2[[#This Row],[Beftettotal]]&gt;=D$435,D$435,Tabell2[[#This Row],[Beftettotal]]))</f>
        <v>1.3397285732306117</v>
      </c>
      <c r="N71" s="51">
        <f>IF(Tabell2[[#This Row],[Befvekst10]]&lt;=E$434,E$434,IF(Tabell2[[#This Row],[Befvekst10]]&gt;=E$435,E$435,Tabell2[[#This Row],[Befvekst10]]))</f>
        <v>-5.3907229419139169E-2</v>
      </c>
      <c r="O71" s="51">
        <f>IF(Tabell2[[#This Row],[Kvinneandel]]&lt;=F$434,F$434,IF(Tabell2[[#This Row],[Kvinneandel]]&gt;=F$435,F$435,Tabell2[[#This Row],[Kvinneandel]]))</f>
        <v>9.8056537102473501E-2</v>
      </c>
      <c r="P71" s="51">
        <f>IF(Tabell2[[#This Row],[Eldreandel]]&lt;=G$434,G$434,IF(Tabell2[[#This Row],[Eldreandel]]&gt;=G$435,G$435,Tabell2[[#This Row],[Eldreandel]]))</f>
        <v>0.20273851590106007</v>
      </c>
      <c r="Q71" s="51">
        <f>IF(Tabell2[[#This Row],[Sysselsettingsvekst10]]&lt;=H$434,H$434,IF(Tabell2[[#This Row],[Sysselsettingsvekst10]]&gt;=H$435,H$435,Tabell2[[#This Row],[Sysselsettingsvekst10]]))</f>
        <v>-6.7256637168141564E-2</v>
      </c>
      <c r="R71" s="51">
        <f>IF(Tabell2[[#This Row],[Yrkesaktivandel]]&lt;=I$434,I$434,IF(Tabell2[[#This Row],[Yrkesaktivandel]]&gt;=I$435,I$435,Tabell2[[#This Row],[Yrkesaktivandel]]))</f>
        <v>0.9408945686900958</v>
      </c>
      <c r="S71" s="52">
        <f>IF(Tabell2[[#This Row],[Inntekt]]&lt;=J$434,J$434,IF(Tabell2[[#This Row],[Inntekt]]&gt;=J$435,J$435,Tabell2[[#This Row],[Inntekt]]))</f>
        <v>321400</v>
      </c>
      <c r="T71" s="9">
        <f>IF(Tabell2[[#This Row],[NIBR11-T]]&lt;=K$437,100,IF(Tabell2[[#This Row],[NIBR11-T]]&gt;=K$436,0,100*(K$436-Tabell2[[#This Row],[NIBR11-T]])/K$439))</f>
        <v>10</v>
      </c>
      <c r="U71" s="9">
        <f>(L$436-Tabell2[[#This Row],[ReisetidOslo-T]])*100/L$439</f>
        <v>4.9822690488255299</v>
      </c>
      <c r="V71" s="9">
        <f>100-(M$436-Tabell2[[#This Row],[Beftettotal-T]])*100/M$439</f>
        <v>0</v>
      </c>
      <c r="W71" s="9">
        <f>100-(N$436-Tabell2[[#This Row],[Befvekst10-T]])*100/N$439</f>
        <v>10.876592945626172</v>
      </c>
      <c r="X71" s="9">
        <f>100-(O$436-Tabell2[[#This Row],[Kvinneandel-T]])*100/O$439</f>
        <v>20.642944123381781</v>
      </c>
      <c r="Y71" s="9">
        <f>(P$436-Tabell2[[#This Row],[Eldreandel-T]])*100/P$439</f>
        <v>6.3056972015966615</v>
      </c>
      <c r="Z71" s="9">
        <f>100-(Q$436-Tabell2[[#This Row],[Sysselsettingsvekst10-T]])*100/Q$439</f>
        <v>0.46087004875275284</v>
      </c>
      <c r="AA71" s="9">
        <f>100-(R$436-Tabell2[[#This Row],[Yrkesaktivandel-T]])*100/R$439</f>
        <v>84.133601834115552</v>
      </c>
      <c r="AB71" s="9">
        <f>100-(S$436-Tabell2[[#This Row],[Inntekt-T]])*100/S$439</f>
        <v>1.1693700490380934</v>
      </c>
      <c r="AC71" s="48">
        <f>Tabell2[[#This Row],[NIBR11-I]]*Vekter!$B$3</f>
        <v>2</v>
      </c>
      <c r="AD71" s="48">
        <f>Tabell2[[#This Row],[ReisetidOslo-I]]*Vekter!$C$3</f>
        <v>0.498226904882553</v>
      </c>
      <c r="AE71" s="48">
        <f>Tabell2[[#This Row],[Beftettotal-I]]*Vekter!$D$3</f>
        <v>0</v>
      </c>
      <c r="AF71" s="48">
        <f>Tabell2[[#This Row],[Befvekst10-I]]*Vekter!$E$3</f>
        <v>2.1753185891252342</v>
      </c>
      <c r="AG71" s="48">
        <f>Tabell2[[#This Row],[Kvinneandel-I]]*Vekter!$F$3</f>
        <v>1.0321472061690891</v>
      </c>
      <c r="AH71" s="48">
        <f>Tabell2[[#This Row],[Eldreandel-I]]*Vekter!$G$3</f>
        <v>0.31528486007983308</v>
      </c>
      <c r="AI71" s="48">
        <f>Tabell2[[#This Row],[Sysselsettingsvekst10-I]]*Vekter!$H$3</f>
        <v>4.6087004875275284E-2</v>
      </c>
      <c r="AJ71" s="48">
        <f>Tabell2[[#This Row],[Yrkesaktivandel-I]]*Vekter!$J$3</f>
        <v>8.4133601834115552</v>
      </c>
      <c r="AK71" s="48">
        <f>Tabell2[[#This Row],[Inntekt-I]]*Vekter!$L$3</f>
        <v>0.11693700490380934</v>
      </c>
      <c r="AL71" s="37">
        <f>SUM(Tabell2[[#This Row],[NIBR11-v]:[Inntekt-v]])</f>
        <v>14.59736175344735</v>
      </c>
    </row>
    <row r="72" spans="1:38">
      <c r="A72" s="2" t="s">
        <v>69</v>
      </c>
      <c r="B72">
        <f>'Rådata-K'!M71</f>
        <v>10</v>
      </c>
      <c r="C72" s="9">
        <f>'Rådata-K'!L71</f>
        <v>252.39537541000001</v>
      </c>
      <c r="D72" s="51">
        <f>'Rådata-K'!N71</f>
        <v>1.1993599349775215</v>
      </c>
      <c r="E72" s="51">
        <f>'Rådata-K'!O71</f>
        <v>-5.4086538461538436E-2</v>
      </c>
      <c r="F72" s="51">
        <f>'Rådata-K'!P71</f>
        <v>9.86869970351546E-2</v>
      </c>
      <c r="G72" s="51">
        <f>'Rådata-K'!Q71</f>
        <v>0.18678526048284624</v>
      </c>
      <c r="H72" s="51">
        <f>'Rådata-K'!R71</f>
        <v>-9.7580015612802495E-2</v>
      </c>
      <c r="I72" s="51">
        <f>'Rådata-K'!S71</f>
        <v>0.92614475627769577</v>
      </c>
      <c r="J72" s="52">
        <f>'Rådata-K'!K71</f>
        <v>321200</v>
      </c>
      <c r="K72" s="26">
        <f>Tabell2[[#This Row],[NIBR11]]</f>
        <v>10</v>
      </c>
      <c r="L72" s="52">
        <f>IF(Tabell2[[#This Row],[ReisetidOslo]]&lt;=C$434,C$434,IF(Tabell2[[#This Row],[ReisetidOslo]]&gt;=C$435,C$435,Tabell2[[#This Row],[ReisetidOslo]]))</f>
        <v>252.39537541000001</v>
      </c>
      <c r="M72" s="51">
        <f>IF(Tabell2[[#This Row],[Beftettotal]]&lt;=D$434,D$434,IF(Tabell2[[#This Row],[Beftettotal]]&gt;=D$435,D$435,Tabell2[[#This Row],[Beftettotal]]))</f>
        <v>1.3397285732306117</v>
      </c>
      <c r="N72" s="51">
        <f>IF(Tabell2[[#This Row],[Befvekst10]]&lt;=E$434,E$434,IF(Tabell2[[#This Row],[Befvekst10]]&gt;=E$435,E$435,Tabell2[[#This Row],[Befvekst10]]))</f>
        <v>-5.4086538461538436E-2</v>
      </c>
      <c r="O72" s="51">
        <f>IF(Tabell2[[#This Row],[Kvinneandel]]&lt;=F$434,F$434,IF(Tabell2[[#This Row],[Kvinneandel]]&gt;=F$435,F$435,Tabell2[[#This Row],[Kvinneandel]]))</f>
        <v>9.86869970351546E-2</v>
      </c>
      <c r="P72" s="51">
        <f>IF(Tabell2[[#This Row],[Eldreandel]]&lt;=G$434,G$434,IF(Tabell2[[#This Row],[Eldreandel]]&gt;=G$435,G$435,Tabell2[[#This Row],[Eldreandel]]))</f>
        <v>0.18678526048284624</v>
      </c>
      <c r="Q72" s="51">
        <f>IF(Tabell2[[#This Row],[Sysselsettingsvekst10]]&lt;=H$434,H$434,IF(Tabell2[[#This Row],[Sysselsettingsvekst10]]&gt;=H$435,H$435,Tabell2[[#This Row],[Sysselsettingsvekst10]]))</f>
        <v>-6.8692498376029434E-2</v>
      </c>
      <c r="R72" s="51">
        <f>IF(Tabell2[[#This Row],[Yrkesaktivandel]]&lt;=I$434,I$434,IF(Tabell2[[#This Row],[Yrkesaktivandel]]&gt;=I$435,I$435,Tabell2[[#This Row],[Yrkesaktivandel]]))</f>
        <v>0.92614475627769577</v>
      </c>
      <c r="S72" s="52">
        <f>IF(Tabell2[[#This Row],[Inntekt]]&lt;=J$434,J$434,IF(Tabell2[[#This Row],[Inntekt]]&gt;=J$435,J$435,Tabell2[[#This Row],[Inntekt]]))</f>
        <v>321200</v>
      </c>
      <c r="T72" s="9">
        <f>IF(Tabell2[[#This Row],[NIBR11-T]]&lt;=K$437,100,IF(Tabell2[[#This Row],[NIBR11-T]]&gt;=K$436,0,100*(K$436-Tabell2[[#This Row],[NIBR11-T]])/K$439))</f>
        <v>10</v>
      </c>
      <c r="U72" s="9">
        <f>(L$436-Tabell2[[#This Row],[ReisetidOslo-T]])*100/L$439</f>
        <v>11.835811622327579</v>
      </c>
      <c r="V72" s="9">
        <f>100-(M$436-Tabell2[[#This Row],[Beftettotal-T]])*100/M$439</f>
        <v>0</v>
      </c>
      <c r="W72" s="9">
        <f>100-(N$436-Tabell2[[#This Row],[Befvekst10-T]])*100/N$439</f>
        <v>10.804034514584004</v>
      </c>
      <c r="X72" s="9">
        <f>100-(O$436-Tabell2[[#This Row],[Kvinneandel-T]])*100/O$439</f>
        <v>22.312841951431807</v>
      </c>
      <c r="Y72" s="9">
        <f>(P$436-Tabell2[[#This Row],[Eldreandel-T]])*100/P$439</f>
        <v>24.39168686128653</v>
      </c>
      <c r="Z72" s="9">
        <f>100-(Q$436-Tabell2[[#This Row],[Sysselsettingsvekst10-T]])*100/Q$439</f>
        <v>0</v>
      </c>
      <c r="AA72" s="9">
        <f>100-(R$436-Tabell2[[#This Row],[Yrkesaktivandel-T]])*100/R$439</f>
        <v>73.137974523346855</v>
      </c>
      <c r="AB72" s="9">
        <f>100-(S$436-Tabell2[[#This Row],[Inntekt-T]])*100/S$439</f>
        <v>0.91789261913743303</v>
      </c>
      <c r="AC72" s="48">
        <f>Tabell2[[#This Row],[NIBR11-I]]*Vekter!$B$3</f>
        <v>2</v>
      </c>
      <c r="AD72" s="48">
        <f>Tabell2[[#This Row],[ReisetidOslo-I]]*Vekter!$C$3</f>
        <v>1.1835811622327579</v>
      </c>
      <c r="AE72" s="48">
        <f>Tabell2[[#This Row],[Beftettotal-I]]*Vekter!$D$3</f>
        <v>0</v>
      </c>
      <c r="AF72" s="48">
        <f>Tabell2[[#This Row],[Befvekst10-I]]*Vekter!$E$3</f>
        <v>2.1608069029168009</v>
      </c>
      <c r="AG72" s="48">
        <f>Tabell2[[#This Row],[Kvinneandel-I]]*Vekter!$F$3</f>
        <v>1.1156420975715904</v>
      </c>
      <c r="AH72" s="48">
        <f>Tabell2[[#This Row],[Eldreandel-I]]*Vekter!$G$3</f>
        <v>1.2195843430643265</v>
      </c>
      <c r="AI72" s="48">
        <f>Tabell2[[#This Row],[Sysselsettingsvekst10-I]]*Vekter!$H$3</f>
        <v>0</v>
      </c>
      <c r="AJ72" s="48">
        <f>Tabell2[[#This Row],[Yrkesaktivandel-I]]*Vekter!$J$3</f>
        <v>7.3137974523346863</v>
      </c>
      <c r="AK72" s="48">
        <f>Tabell2[[#This Row],[Inntekt-I]]*Vekter!$L$3</f>
        <v>9.1789261913743314E-2</v>
      </c>
      <c r="AL72" s="37">
        <f>SUM(Tabell2[[#This Row],[NIBR11-v]:[Inntekt-v]])</f>
        <v>15.085201220033905</v>
      </c>
    </row>
    <row r="73" spans="1:38">
      <c r="A73" s="2" t="s">
        <v>70</v>
      </c>
      <c r="B73">
        <f>'Rådata-K'!M72</f>
        <v>10</v>
      </c>
      <c r="C73" s="9">
        <f>'Rådata-K'!L72</f>
        <v>240.018348116</v>
      </c>
      <c r="D73" s="51">
        <f>'Rådata-K'!N72</f>
        <v>2.7714285714285714</v>
      </c>
      <c r="E73" s="51">
        <f>'Rådata-K'!O72</f>
        <v>-3.0000000000000027E-2</v>
      </c>
      <c r="F73" s="51">
        <f>'Rådata-K'!P72</f>
        <v>0.10119370591427021</v>
      </c>
      <c r="G73" s="51">
        <f>'Rådata-K'!Q72</f>
        <v>0.19886055344546935</v>
      </c>
      <c r="H73" s="51">
        <f>'Rådata-K'!R72</f>
        <v>6.8666666666666654E-2</v>
      </c>
      <c r="I73" s="51">
        <f>'Rådata-K'!S72</f>
        <v>0.92931806869089095</v>
      </c>
      <c r="J73" s="52">
        <f>'Rådata-K'!K72</f>
        <v>319400</v>
      </c>
      <c r="K73" s="26">
        <f>Tabell2[[#This Row],[NIBR11]]</f>
        <v>10</v>
      </c>
      <c r="L73" s="52">
        <f>IF(Tabell2[[#This Row],[ReisetidOslo]]&lt;=C$434,C$434,IF(Tabell2[[#This Row],[ReisetidOslo]]&gt;=C$435,C$435,Tabell2[[#This Row],[ReisetidOslo]]))</f>
        <v>240.018348116</v>
      </c>
      <c r="M73" s="51">
        <f>IF(Tabell2[[#This Row],[Beftettotal]]&lt;=D$434,D$434,IF(Tabell2[[#This Row],[Beftettotal]]&gt;=D$435,D$435,Tabell2[[#This Row],[Beftettotal]]))</f>
        <v>2.7714285714285714</v>
      </c>
      <c r="N73" s="51">
        <f>IF(Tabell2[[#This Row],[Befvekst10]]&lt;=E$434,E$434,IF(Tabell2[[#This Row],[Befvekst10]]&gt;=E$435,E$435,Tabell2[[#This Row],[Befvekst10]]))</f>
        <v>-3.0000000000000027E-2</v>
      </c>
      <c r="O73" s="51">
        <f>IF(Tabell2[[#This Row],[Kvinneandel]]&lt;=F$434,F$434,IF(Tabell2[[#This Row],[Kvinneandel]]&gt;=F$435,F$435,Tabell2[[#This Row],[Kvinneandel]]))</f>
        <v>0.10119370591427021</v>
      </c>
      <c r="P73" s="51">
        <f>IF(Tabell2[[#This Row],[Eldreandel]]&lt;=G$434,G$434,IF(Tabell2[[#This Row],[Eldreandel]]&gt;=G$435,G$435,Tabell2[[#This Row],[Eldreandel]]))</f>
        <v>0.19886055344546935</v>
      </c>
      <c r="Q73" s="51">
        <f>IF(Tabell2[[#This Row],[Sysselsettingsvekst10]]&lt;=H$434,H$434,IF(Tabell2[[#This Row],[Sysselsettingsvekst10]]&gt;=H$435,H$435,Tabell2[[#This Row],[Sysselsettingsvekst10]]))</f>
        <v>6.8666666666666654E-2</v>
      </c>
      <c r="R73" s="51">
        <f>IF(Tabell2[[#This Row],[Yrkesaktivandel]]&lt;=I$434,I$434,IF(Tabell2[[#This Row],[Yrkesaktivandel]]&gt;=I$435,I$435,Tabell2[[#This Row],[Yrkesaktivandel]]))</f>
        <v>0.92931806869089095</v>
      </c>
      <c r="S73" s="52">
        <f>IF(Tabell2[[#This Row],[Inntekt]]&lt;=J$434,J$434,IF(Tabell2[[#This Row],[Inntekt]]&gt;=J$435,J$435,Tabell2[[#This Row],[Inntekt]]))</f>
        <v>320470</v>
      </c>
      <c r="T73" s="9">
        <f>IF(Tabell2[[#This Row],[NIBR11-T]]&lt;=K$437,100,IF(Tabell2[[#This Row],[NIBR11-T]]&gt;=K$436,0,100*(K$436-Tabell2[[#This Row],[NIBR11-T]])/K$439))</f>
        <v>10</v>
      </c>
      <c r="U73" s="9">
        <f>(L$436-Tabell2[[#This Row],[ReisetidOslo-T]])*100/L$439</f>
        <v>17.330600214853281</v>
      </c>
      <c r="V73" s="9">
        <f>100-(M$436-Tabell2[[#This Row],[Beftettotal-T]])*100/M$439</f>
        <v>1.1276957135878973</v>
      </c>
      <c r="W73" s="9">
        <f>100-(N$436-Tabell2[[#This Row],[Befvekst10-T]])*100/N$439</f>
        <v>20.550790264437694</v>
      </c>
      <c r="X73" s="9">
        <f>100-(O$436-Tabell2[[#This Row],[Kvinneandel-T]])*100/O$439</f>
        <v>28.952356210470754</v>
      </c>
      <c r="Y73" s="9">
        <f>(P$436-Tabell2[[#This Row],[Eldreandel-T]])*100/P$439</f>
        <v>10.702090729678966</v>
      </c>
      <c r="Z73" s="9">
        <f>100-(Q$436-Tabell2[[#This Row],[Sysselsettingsvekst10-T]])*100/Q$439</f>
        <v>44.08833161736171</v>
      </c>
      <c r="AA73" s="9">
        <f>100-(R$436-Tabell2[[#This Row],[Yrkesaktivandel-T]])*100/R$439</f>
        <v>75.503601940194301</v>
      </c>
      <c r="AB73" s="9">
        <f>100-(S$436-Tabell2[[#This Row],[Inntekt-T]])*100/S$439</f>
        <v>0</v>
      </c>
      <c r="AC73" s="48">
        <f>Tabell2[[#This Row],[NIBR11-I]]*Vekter!$B$3</f>
        <v>2</v>
      </c>
      <c r="AD73" s="48">
        <f>Tabell2[[#This Row],[ReisetidOslo-I]]*Vekter!$C$3</f>
        <v>1.7330600214853282</v>
      </c>
      <c r="AE73" s="48">
        <f>Tabell2[[#This Row],[Beftettotal-I]]*Vekter!$D$3</f>
        <v>0.11276957135878973</v>
      </c>
      <c r="AF73" s="48">
        <f>Tabell2[[#This Row],[Befvekst10-I]]*Vekter!$E$3</f>
        <v>4.110158052887539</v>
      </c>
      <c r="AG73" s="48">
        <f>Tabell2[[#This Row],[Kvinneandel-I]]*Vekter!$F$3</f>
        <v>1.4476178105235378</v>
      </c>
      <c r="AH73" s="48">
        <f>Tabell2[[#This Row],[Eldreandel-I]]*Vekter!$G$3</f>
        <v>0.53510453648394829</v>
      </c>
      <c r="AI73" s="48">
        <f>Tabell2[[#This Row],[Sysselsettingsvekst10-I]]*Vekter!$H$3</f>
        <v>4.4088331617361716</v>
      </c>
      <c r="AJ73" s="48">
        <f>Tabell2[[#This Row],[Yrkesaktivandel-I]]*Vekter!$J$3</f>
        <v>7.5503601940194303</v>
      </c>
      <c r="AK73" s="48">
        <f>Tabell2[[#This Row],[Inntekt-I]]*Vekter!$L$3</f>
        <v>0</v>
      </c>
      <c r="AL73" s="37">
        <f>SUM(Tabell2[[#This Row],[NIBR11-v]:[Inntekt-v]])</f>
        <v>21.897903348494744</v>
      </c>
    </row>
    <row r="74" spans="1:38">
      <c r="A74" s="2" t="s">
        <v>71</v>
      </c>
      <c r="B74">
        <f>'Rådata-K'!M73</f>
        <v>8</v>
      </c>
      <c r="C74" s="9">
        <f>'Rådata-K'!L73</f>
        <v>193.56002031400001</v>
      </c>
      <c r="D74" s="51">
        <f>'Rådata-K'!N73</f>
        <v>5.050460805270351</v>
      </c>
      <c r="E74" s="51">
        <f>'Rådata-K'!O73</f>
        <v>-2.7168410394870057E-2</v>
      </c>
      <c r="F74" s="51">
        <f>'Rådata-K'!P73</f>
        <v>9.4709453599306159E-2</v>
      </c>
      <c r="G74" s="51">
        <f>'Rådata-K'!Q73</f>
        <v>0.18699045967042499</v>
      </c>
      <c r="H74" s="51">
        <f>'Rådata-K'!R73</f>
        <v>4.5857418111753478E-2</v>
      </c>
      <c r="I74" s="51">
        <f>'Rådata-K'!S73</f>
        <v>0.91254279489573609</v>
      </c>
      <c r="J74" s="52">
        <f>'Rådata-K'!K73</f>
        <v>343500</v>
      </c>
      <c r="K74" s="26">
        <f>Tabell2[[#This Row],[NIBR11]]</f>
        <v>8</v>
      </c>
      <c r="L74" s="52">
        <f>IF(Tabell2[[#This Row],[ReisetidOslo]]&lt;=C$434,C$434,IF(Tabell2[[#This Row],[ReisetidOslo]]&gt;=C$435,C$435,Tabell2[[#This Row],[ReisetidOslo]]))</f>
        <v>193.56002031400001</v>
      </c>
      <c r="M74" s="51">
        <f>IF(Tabell2[[#This Row],[Beftettotal]]&lt;=D$434,D$434,IF(Tabell2[[#This Row],[Beftettotal]]&gt;=D$435,D$435,Tabell2[[#This Row],[Beftettotal]]))</f>
        <v>5.050460805270351</v>
      </c>
      <c r="N74" s="51">
        <f>IF(Tabell2[[#This Row],[Befvekst10]]&lt;=E$434,E$434,IF(Tabell2[[#This Row],[Befvekst10]]&gt;=E$435,E$435,Tabell2[[#This Row],[Befvekst10]]))</f>
        <v>-2.7168410394870057E-2</v>
      </c>
      <c r="O74" s="51">
        <f>IF(Tabell2[[#This Row],[Kvinneandel]]&lt;=F$434,F$434,IF(Tabell2[[#This Row],[Kvinneandel]]&gt;=F$435,F$435,Tabell2[[#This Row],[Kvinneandel]]))</f>
        <v>9.4709453599306159E-2</v>
      </c>
      <c r="P74" s="51">
        <f>IF(Tabell2[[#This Row],[Eldreandel]]&lt;=G$434,G$434,IF(Tabell2[[#This Row],[Eldreandel]]&gt;=G$435,G$435,Tabell2[[#This Row],[Eldreandel]]))</f>
        <v>0.18699045967042499</v>
      </c>
      <c r="Q74" s="51">
        <f>IF(Tabell2[[#This Row],[Sysselsettingsvekst10]]&lt;=H$434,H$434,IF(Tabell2[[#This Row],[Sysselsettingsvekst10]]&gt;=H$435,H$435,Tabell2[[#This Row],[Sysselsettingsvekst10]]))</f>
        <v>4.5857418111753478E-2</v>
      </c>
      <c r="R74" s="51">
        <f>IF(Tabell2[[#This Row],[Yrkesaktivandel]]&lt;=I$434,I$434,IF(Tabell2[[#This Row],[Yrkesaktivandel]]&gt;=I$435,I$435,Tabell2[[#This Row],[Yrkesaktivandel]]))</f>
        <v>0.91254279489573609</v>
      </c>
      <c r="S74" s="52">
        <f>IF(Tabell2[[#This Row],[Inntekt]]&lt;=J$434,J$434,IF(Tabell2[[#This Row],[Inntekt]]&gt;=J$435,J$435,Tabell2[[#This Row],[Inntekt]]))</f>
        <v>343500</v>
      </c>
      <c r="T74" s="9">
        <f>IF(Tabell2[[#This Row],[NIBR11-T]]&lt;=K$437,100,IF(Tabell2[[#This Row],[NIBR11-T]]&gt;=K$436,0,100*(K$436-Tabell2[[#This Row],[NIBR11-T]])/K$439))</f>
        <v>30</v>
      </c>
      <c r="U74" s="9">
        <f>(L$436-Tabell2[[#This Row],[ReisetidOslo-T]])*100/L$439</f>
        <v>37.955802338952978</v>
      </c>
      <c r="V74" s="9">
        <f>100-(M$436-Tabell2[[#This Row],[Beftettotal-T]])*100/M$439</f>
        <v>2.9228028480901571</v>
      </c>
      <c r="W74" s="9">
        <f>100-(N$436-Tabell2[[#This Row],[Befvekst10-T]])*100/N$439</f>
        <v>21.696609216758148</v>
      </c>
      <c r="X74" s="9">
        <f>100-(O$436-Tabell2[[#This Row],[Kvinneandel-T]])*100/O$439</f>
        <v>11.777531457945329</v>
      </c>
      <c r="Y74" s="9">
        <f>(P$436-Tabell2[[#This Row],[Eldreandel-T]])*100/P$439</f>
        <v>24.159055320736574</v>
      </c>
      <c r="Z74" s="9">
        <f>100-(Q$436-Tabell2[[#This Row],[Sysselsettingsvekst10-T]])*100/Q$439</f>
        <v>36.767220471125071</v>
      </c>
      <c r="AA74" s="9">
        <f>100-(R$436-Tabell2[[#This Row],[Yrkesaktivandel-T]])*100/R$439</f>
        <v>62.998042307953959</v>
      </c>
      <c r="AB74" s="9">
        <f>100-(S$436-Tabell2[[#This Row],[Inntekt-T]])*100/S$439</f>
        <v>28.957626053061745</v>
      </c>
      <c r="AC74" s="48">
        <f>Tabell2[[#This Row],[NIBR11-I]]*Vekter!$B$3</f>
        <v>6</v>
      </c>
      <c r="AD74" s="48">
        <f>Tabell2[[#This Row],[ReisetidOslo-I]]*Vekter!$C$3</f>
        <v>3.795580233895298</v>
      </c>
      <c r="AE74" s="48">
        <f>Tabell2[[#This Row],[Beftettotal-I]]*Vekter!$D$3</f>
        <v>0.29228028480901574</v>
      </c>
      <c r="AF74" s="48">
        <f>Tabell2[[#This Row],[Befvekst10-I]]*Vekter!$E$3</f>
        <v>4.3393218433516294</v>
      </c>
      <c r="AG74" s="48">
        <f>Tabell2[[#This Row],[Kvinneandel-I]]*Vekter!$F$3</f>
        <v>0.58887657289726647</v>
      </c>
      <c r="AH74" s="48">
        <f>Tabell2[[#This Row],[Eldreandel-I]]*Vekter!$G$3</f>
        <v>1.2079527660368288</v>
      </c>
      <c r="AI74" s="48">
        <f>Tabell2[[#This Row],[Sysselsettingsvekst10-I]]*Vekter!$H$3</f>
        <v>3.6767220471125075</v>
      </c>
      <c r="AJ74" s="48">
        <f>Tabell2[[#This Row],[Yrkesaktivandel-I]]*Vekter!$J$3</f>
        <v>6.2998042307953961</v>
      </c>
      <c r="AK74" s="48">
        <f>Tabell2[[#This Row],[Inntekt-I]]*Vekter!$L$3</f>
        <v>2.8957626053061745</v>
      </c>
      <c r="AL74" s="37">
        <f>SUM(Tabell2[[#This Row],[NIBR11-v]:[Inntekt-v]])</f>
        <v>29.096300584204116</v>
      </c>
    </row>
    <row r="75" spans="1:38">
      <c r="A75" s="2" t="s">
        <v>72</v>
      </c>
      <c r="B75">
        <f>'Rådata-K'!M74</f>
        <v>10</v>
      </c>
      <c r="C75" s="9">
        <f>'Rådata-K'!L74</f>
        <v>218.890768568</v>
      </c>
      <c r="D75" s="51">
        <f>'Rådata-K'!N74</f>
        <v>6.6016155945763764</v>
      </c>
      <c r="E75" s="51">
        <f>'Rådata-K'!O74</f>
        <v>-1.8725361366622839E-2</v>
      </c>
      <c r="F75" s="51">
        <f>'Rådata-K'!P74</f>
        <v>9.9933043187144285E-2</v>
      </c>
      <c r="G75" s="51">
        <f>'Rådata-K'!Q74</f>
        <v>0.18647472380314697</v>
      </c>
      <c r="H75" s="51">
        <f>'Rådata-K'!R74</f>
        <v>4.0935672514619936E-2</v>
      </c>
      <c r="I75" s="51">
        <f>'Rådata-K'!S74</f>
        <v>0.85650491217624292</v>
      </c>
      <c r="J75" s="52">
        <f>'Rådata-K'!K74</f>
        <v>310100</v>
      </c>
      <c r="K75" s="26">
        <f>Tabell2[[#This Row],[NIBR11]]</f>
        <v>10</v>
      </c>
      <c r="L75" s="52">
        <f>IF(Tabell2[[#This Row],[ReisetidOslo]]&lt;=C$434,C$434,IF(Tabell2[[#This Row],[ReisetidOslo]]&gt;=C$435,C$435,Tabell2[[#This Row],[ReisetidOslo]]))</f>
        <v>218.890768568</v>
      </c>
      <c r="M75" s="51">
        <f>IF(Tabell2[[#This Row],[Beftettotal]]&lt;=D$434,D$434,IF(Tabell2[[#This Row],[Beftettotal]]&gt;=D$435,D$435,Tabell2[[#This Row],[Beftettotal]]))</f>
        <v>6.6016155945763764</v>
      </c>
      <c r="N75" s="51">
        <f>IF(Tabell2[[#This Row],[Befvekst10]]&lt;=E$434,E$434,IF(Tabell2[[#This Row],[Befvekst10]]&gt;=E$435,E$435,Tabell2[[#This Row],[Befvekst10]]))</f>
        <v>-1.8725361366622839E-2</v>
      </c>
      <c r="O75" s="51">
        <f>IF(Tabell2[[#This Row],[Kvinneandel]]&lt;=F$434,F$434,IF(Tabell2[[#This Row],[Kvinneandel]]&gt;=F$435,F$435,Tabell2[[#This Row],[Kvinneandel]]))</f>
        <v>9.9933043187144285E-2</v>
      </c>
      <c r="P75" s="51">
        <f>IF(Tabell2[[#This Row],[Eldreandel]]&lt;=G$434,G$434,IF(Tabell2[[#This Row],[Eldreandel]]&gt;=G$435,G$435,Tabell2[[#This Row],[Eldreandel]]))</f>
        <v>0.18647472380314697</v>
      </c>
      <c r="Q75" s="51">
        <f>IF(Tabell2[[#This Row],[Sysselsettingsvekst10]]&lt;=H$434,H$434,IF(Tabell2[[#This Row],[Sysselsettingsvekst10]]&gt;=H$435,H$435,Tabell2[[#This Row],[Sysselsettingsvekst10]]))</f>
        <v>4.0935672514619936E-2</v>
      </c>
      <c r="R75" s="51">
        <f>IF(Tabell2[[#This Row],[Yrkesaktivandel]]&lt;=I$434,I$434,IF(Tabell2[[#This Row],[Yrkesaktivandel]]&gt;=I$435,I$435,Tabell2[[#This Row],[Yrkesaktivandel]]))</f>
        <v>0.85650491217624292</v>
      </c>
      <c r="S75" s="52">
        <f>IF(Tabell2[[#This Row],[Inntekt]]&lt;=J$434,J$434,IF(Tabell2[[#This Row],[Inntekt]]&gt;=J$435,J$435,Tabell2[[#This Row],[Inntekt]]))</f>
        <v>320470</v>
      </c>
      <c r="T75" s="9">
        <f>IF(Tabell2[[#This Row],[NIBR11-T]]&lt;=K$437,100,IF(Tabell2[[#This Row],[NIBR11-T]]&gt;=K$436,0,100*(K$436-Tabell2[[#This Row],[NIBR11-T]])/K$439))</f>
        <v>10</v>
      </c>
      <c r="U75" s="9">
        <f>(L$436-Tabell2[[#This Row],[ReisetidOslo-T]])*100/L$439</f>
        <v>26.710201659564252</v>
      </c>
      <c r="V75" s="9">
        <f>100-(M$436-Tabell2[[#This Row],[Beftettotal-T]])*100/M$439</f>
        <v>4.1445885638221256</v>
      </c>
      <c r="W75" s="9">
        <f>100-(N$436-Tabell2[[#This Row],[Befvekst10-T]])*100/N$439</f>
        <v>25.113137365614818</v>
      </c>
      <c r="X75" s="9">
        <f>100-(O$436-Tabell2[[#This Row],[Kvinneandel-T]])*100/O$439</f>
        <v>25.613241635847885</v>
      </c>
      <c r="Y75" s="9">
        <f>(P$436-Tabell2[[#This Row],[Eldreandel-T]])*100/P$439</f>
        <v>24.743738090378194</v>
      </c>
      <c r="Z75" s="9">
        <f>100-(Q$436-Tabell2[[#This Row],[Sysselsettingsvekst10-T]])*100/Q$439</f>
        <v>35.187482038998866</v>
      </c>
      <c r="AA75" s="9">
        <f>100-(R$436-Tabell2[[#This Row],[Yrkesaktivandel-T]])*100/R$439</f>
        <v>21.223160266057434</v>
      </c>
      <c r="AB75" s="9">
        <f>100-(S$436-Tabell2[[#This Row],[Inntekt-T]])*100/S$439</f>
        <v>0</v>
      </c>
      <c r="AC75" s="48">
        <f>Tabell2[[#This Row],[NIBR11-I]]*Vekter!$B$3</f>
        <v>2</v>
      </c>
      <c r="AD75" s="48">
        <f>Tabell2[[#This Row],[ReisetidOslo-I]]*Vekter!$C$3</f>
        <v>2.6710201659564254</v>
      </c>
      <c r="AE75" s="48">
        <f>Tabell2[[#This Row],[Beftettotal-I]]*Vekter!$D$3</f>
        <v>0.41445885638221258</v>
      </c>
      <c r="AF75" s="48">
        <f>Tabell2[[#This Row],[Befvekst10-I]]*Vekter!$E$3</f>
        <v>5.0226274731229639</v>
      </c>
      <c r="AG75" s="48">
        <f>Tabell2[[#This Row],[Kvinneandel-I]]*Vekter!$F$3</f>
        <v>1.2806620817923944</v>
      </c>
      <c r="AH75" s="48">
        <f>Tabell2[[#This Row],[Eldreandel-I]]*Vekter!$G$3</f>
        <v>1.2371869045189099</v>
      </c>
      <c r="AI75" s="48">
        <f>Tabell2[[#This Row],[Sysselsettingsvekst10-I]]*Vekter!$H$3</f>
        <v>3.5187482038998867</v>
      </c>
      <c r="AJ75" s="48">
        <f>Tabell2[[#This Row],[Yrkesaktivandel-I]]*Vekter!$J$3</f>
        <v>2.1223160266057435</v>
      </c>
      <c r="AK75" s="48">
        <f>Tabell2[[#This Row],[Inntekt-I]]*Vekter!$L$3</f>
        <v>0</v>
      </c>
      <c r="AL75" s="37">
        <f>SUM(Tabell2[[#This Row],[NIBR11-v]:[Inntekt-v]])</f>
        <v>18.267019712278536</v>
      </c>
    </row>
    <row r="76" spans="1:38">
      <c r="A76" s="2" t="s">
        <v>73</v>
      </c>
      <c r="B76">
        <f>'Rådata-K'!M75</f>
        <v>5</v>
      </c>
      <c r="C76" s="9">
        <f>'Rådata-K'!L75</f>
        <v>181.96299401799999</v>
      </c>
      <c r="D76" s="51">
        <f>'Rådata-K'!N75</f>
        <v>4.2994960791182733</v>
      </c>
      <c r="E76" s="51">
        <f>'Rådata-K'!O75</f>
        <v>-3.0680437424058349E-2</v>
      </c>
      <c r="F76" s="51">
        <f>'Rådata-K'!P75</f>
        <v>9.9655280476339703E-2</v>
      </c>
      <c r="G76" s="51">
        <f>'Rådata-K'!Q75</f>
        <v>0.18552178000626762</v>
      </c>
      <c r="H76" s="51">
        <f>'Rådata-K'!R75</f>
        <v>-0.13168395849960091</v>
      </c>
      <c r="I76" s="51">
        <f>'Rådata-K'!S75</f>
        <v>0.89204545454545459</v>
      </c>
      <c r="J76" s="52">
        <f>'Rådata-K'!K75</f>
        <v>325000</v>
      </c>
      <c r="K76" s="26">
        <f>Tabell2[[#This Row],[NIBR11]]</f>
        <v>5</v>
      </c>
      <c r="L76" s="52">
        <f>IF(Tabell2[[#This Row],[ReisetidOslo]]&lt;=C$434,C$434,IF(Tabell2[[#This Row],[ReisetidOslo]]&gt;=C$435,C$435,Tabell2[[#This Row],[ReisetidOslo]]))</f>
        <v>181.96299401799999</v>
      </c>
      <c r="M76" s="51">
        <f>IF(Tabell2[[#This Row],[Beftettotal]]&lt;=D$434,D$434,IF(Tabell2[[#This Row],[Beftettotal]]&gt;=D$435,D$435,Tabell2[[#This Row],[Beftettotal]]))</f>
        <v>4.2994960791182733</v>
      </c>
      <c r="N76" s="51">
        <f>IF(Tabell2[[#This Row],[Befvekst10]]&lt;=E$434,E$434,IF(Tabell2[[#This Row],[Befvekst10]]&gt;=E$435,E$435,Tabell2[[#This Row],[Befvekst10]]))</f>
        <v>-3.0680437424058349E-2</v>
      </c>
      <c r="O76" s="51">
        <f>IF(Tabell2[[#This Row],[Kvinneandel]]&lt;=F$434,F$434,IF(Tabell2[[#This Row],[Kvinneandel]]&gt;=F$435,F$435,Tabell2[[#This Row],[Kvinneandel]]))</f>
        <v>9.9655280476339703E-2</v>
      </c>
      <c r="P76" s="51">
        <f>IF(Tabell2[[#This Row],[Eldreandel]]&lt;=G$434,G$434,IF(Tabell2[[#This Row],[Eldreandel]]&gt;=G$435,G$435,Tabell2[[#This Row],[Eldreandel]]))</f>
        <v>0.18552178000626762</v>
      </c>
      <c r="Q76" s="51">
        <f>IF(Tabell2[[#This Row],[Sysselsettingsvekst10]]&lt;=H$434,H$434,IF(Tabell2[[#This Row],[Sysselsettingsvekst10]]&gt;=H$435,H$435,Tabell2[[#This Row],[Sysselsettingsvekst10]]))</f>
        <v>-6.8692498376029434E-2</v>
      </c>
      <c r="R76" s="51">
        <f>IF(Tabell2[[#This Row],[Yrkesaktivandel]]&lt;=I$434,I$434,IF(Tabell2[[#This Row],[Yrkesaktivandel]]&gt;=I$435,I$435,Tabell2[[#This Row],[Yrkesaktivandel]]))</f>
        <v>0.89204545454545459</v>
      </c>
      <c r="S76" s="52">
        <f>IF(Tabell2[[#This Row],[Inntekt]]&lt;=J$434,J$434,IF(Tabell2[[#This Row],[Inntekt]]&gt;=J$435,J$435,Tabell2[[#This Row],[Inntekt]]))</f>
        <v>325000</v>
      </c>
      <c r="T76" s="9">
        <f>IF(Tabell2[[#This Row],[NIBR11-T]]&lt;=K$437,100,IF(Tabell2[[#This Row],[NIBR11-T]]&gt;=K$436,0,100*(K$436-Tabell2[[#This Row],[NIBR11-T]])/K$439))</f>
        <v>60</v>
      </c>
      <c r="U76" s="9">
        <f>(L$436-Tabell2[[#This Row],[ReisetidOslo-T]])*100/L$439</f>
        <v>43.104309026772306</v>
      </c>
      <c r="V76" s="9">
        <f>100-(M$436-Tabell2[[#This Row],[Beftettotal-T]])*100/M$439</f>
        <v>2.3312964544299462</v>
      </c>
      <c r="W76" s="9">
        <f>100-(N$436-Tabell2[[#This Row],[Befvekst10-T]])*100/N$439</f>
        <v>20.275447363424902</v>
      </c>
      <c r="X76" s="9">
        <f>100-(O$436-Tabell2[[#This Row],[Kvinneandel-T]])*100/O$439</f>
        <v>24.877532158620127</v>
      </c>
      <c r="Y76" s="9">
        <f>(P$436-Tabell2[[#This Row],[Eldreandel-T]])*100/P$439</f>
        <v>25.824077569989882</v>
      </c>
      <c r="Z76" s="9">
        <f>100-(Q$436-Tabell2[[#This Row],[Sysselsettingsvekst10-T]])*100/Q$439</f>
        <v>0</v>
      </c>
      <c r="AA76" s="9">
        <f>100-(R$436-Tabell2[[#This Row],[Yrkesaktivandel-T]])*100/R$439</f>
        <v>47.717772359286634</v>
      </c>
      <c r="AB76" s="9">
        <f>100-(S$436-Tabell2[[#This Row],[Inntekt-T]])*100/S$439</f>
        <v>5.6959637872500934</v>
      </c>
      <c r="AC76" s="48">
        <f>Tabell2[[#This Row],[NIBR11-I]]*Vekter!$B$3</f>
        <v>12</v>
      </c>
      <c r="AD76" s="48">
        <f>Tabell2[[#This Row],[ReisetidOslo-I]]*Vekter!$C$3</f>
        <v>4.3104309026772309</v>
      </c>
      <c r="AE76" s="48">
        <f>Tabell2[[#This Row],[Beftettotal-I]]*Vekter!$D$3</f>
        <v>0.23312964544299464</v>
      </c>
      <c r="AF76" s="48">
        <f>Tabell2[[#This Row],[Befvekst10-I]]*Vekter!$E$3</f>
        <v>4.0550894726849807</v>
      </c>
      <c r="AG76" s="48">
        <f>Tabell2[[#This Row],[Kvinneandel-I]]*Vekter!$F$3</f>
        <v>1.2438766079310064</v>
      </c>
      <c r="AH76" s="48">
        <f>Tabell2[[#This Row],[Eldreandel-I]]*Vekter!$G$3</f>
        <v>1.2912038784994941</v>
      </c>
      <c r="AI76" s="48">
        <f>Tabell2[[#This Row],[Sysselsettingsvekst10-I]]*Vekter!$H$3</f>
        <v>0</v>
      </c>
      <c r="AJ76" s="48">
        <f>Tabell2[[#This Row],[Yrkesaktivandel-I]]*Vekter!$J$3</f>
        <v>4.7717772359286634</v>
      </c>
      <c r="AK76" s="48">
        <f>Tabell2[[#This Row],[Inntekt-I]]*Vekter!$L$3</f>
        <v>0.56959637872500934</v>
      </c>
      <c r="AL76" s="37">
        <f>SUM(Tabell2[[#This Row],[NIBR11-v]:[Inntekt-v]])</f>
        <v>28.47510412188938</v>
      </c>
    </row>
    <row r="77" spans="1:38">
      <c r="A77" s="2" t="s">
        <v>74</v>
      </c>
      <c r="B77">
        <f>'Rådata-K'!M76</f>
        <v>5</v>
      </c>
      <c r="C77" s="9">
        <f>'Rådata-K'!L76</f>
        <v>172.36893550299999</v>
      </c>
      <c r="D77" s="51">
        <f>'Rådata-K'!N76</f>
        <v>3.6029753602975361</v>
      </c>
      <c r="E77" s="51">
        <f>'Rådata-K'!O76</f>
        <v>-2.515723270440251E-2</v>
      </c>
      <c r="F77" s="51">
        <f>'Rådata-K'!P76</f>
        <v>0.10233592880978866</v>
      </c>
      <c r="G77" s="51">
        <f>'Rådata-K'!Q76</f>
        <v>0.19310344827586207</v>
      </c>
      <c r="H77" s="51">
        <f>'Rådata-K'!R76</f>
        <v>-7.6784101174345309E-3</v>
      </c>
      <c r="I77" s="51">
        <f>'Rådata-K'!S76</f>
        <v>0.90941597139451724</v>
      </c>
      <c r="J77" s="52">
        <f>'Rådata-K'!K76</f>
        <v>320500</v>
      </c>
      <c r="K77" s="26">
        <f>Tabell2[[#This Row],[NIBR11]]</f>
        <v>5</v>
      </c>
      <c r="L77" s="52">
        <f>IF(Tabell2[[#This Row],[ReisetidOslo]]&lt;=C$434,C$434,IF(Tabell2[[#This Row],[ReisetidOslo]]&gt;=C$435,C$435,Tabell2[[#This Row],[ReisetidOslo]]))</f>
        <v>172.36893550299999</v>
      </c>
      <c r="M77" s="51">
        <f>IF(Tabell2[[#This Row],[Beftettotal]]&lt;=D$434,D$434,IF(Tabell2[[#This Row],[Beftettotal]]&gt;=D$435,D$435,Tabell2[[#This Row],[Beftettotal]]))</f>
        <v>3.6029753602975361</v>
      </c>
      <c r="N77" s="51">
        <f>IF(Tabell2[[#This Row],[Befvekst10]]&lt;=E$434,E$434,IF(Tabell2[[#This Row],[Befvekst10]]&gt;=E$435,E$435,Tabell2[[#This Row],[Befvekst10]]))</f>
        <v>-2.515723270440251E-2</v>
      </c>
      <c r="O77" s="51">
        <f>IF(Tabell2[[#This Row],[Kvinneandel]]&lt;=F$434,F$434,IF(Tabell2[[#This Row],[Kvinneandel]]&gt;=F$435,F$435,Tabell2[[#This Row],[Kvinneandel]]))</f>
        <v>0.10233592880978866</v>
      </c>
      <c r="P77" s="51">
        <f>IF(Tabell2[[#This Row],[Eldreandel]]&lt;=G$434,G$434,IF(Tabell2[[#This Row],[Eldreandel]]&gt;=G$435,G$435,Tabell2[[#This Row],[Eldreandel]]))</f>
        <v>0.19310344827586207</v>
      </c>
      <c r="Q77" s="51">
        <f>IF(Tabell2[[#This Row],[Sysselsettingsvekst10]]&lt;=H$434,H$434,IF(Tabell2[[#This Row],[Sysselsettingsvekst10]]&gt;=H$435,H$435,Tabell2[[#This Row],[Sysselsettingsvekst10]]))</f>
        <v>-7.6784101174345309E-3</v>
      </c>
      <c r="R77" s="51">
        <f>IF(Tabell2[[#This Row],[Yrkesaktivandel]]&lt;=I$434,I$434,IF(Tabell2[[#This Row],[Yrkesaktivandel]]&gt;=I$435,I$435,Tabell2[[#This Row],[Yrkesaktivandel]]))</f>
        <v>0.90941597139451724</v>
      </c>
      <c r="S77" s="52">
        <f>IF(Tabell2[[#This Row],[Inntekt]]&lt;=J$434,J$434,IF(Tabell2[[#This Row],[Inntekt]]&gt;=J$435,J$435,Tabell2[[#This Row],[Inntekt]]))</f>
        <v>320500</v>
      </c>
      <c r="T77" s="9">
        <f>IF(Tabell2[[#This Row],[NIBR11-T]]&lt;=K$437,100,IF(Tabell2[[#This Row],[NIBR11-T]]&gt;=K$436,0,100*(K$436-Tabell2[[#This Row],[NIBR11-T]])/K$439))</f>
        <v>60</v>
      </c>
      <c r="U77" s="9">
        <f>(L$436-Tabell2[[#This Row],[ReisetidOslo-T]])*100/L$439</f>
        <v>47.363596982758459</v>
      </c>
      <c r="V77" s="9">
        <f>100-(M$436-Tabell2[[#This Row],[Beftettotal-T]])*100/M$439</f>
        <v>1.7826735375982423</v>
      </c>
      <c r="W77" s="9">
        <f>100-(N$436-Tabell2[[#This Row],[Befvekst10-T]])*100/N$439</f>
        <v>22.510443788705601</v>
      </c>
      <c r="X77" s="9">
        <f>100-(O$436-Tabell2[[#This Row],[Kvinneandel-T]])*100/O$439</f>
        <v>31.97775946530389</v>
      </c>
      <c r="Y77" s="9">
        <f>(P$436-Tabell2[[#This Row],[Eldreandel-T]])*100/P$439</f>
        <v>17.228842908948117</v>
      </c>
      <c r="Z77" s="9">
        <f>100-(Q$436-Tabell2[[#This Row],[Sysselsettingsvekst10-T]])*100/Q$439</f>
        <v>19.583763163089685</v>
      </c>
      <c r="AA77" s="9">
        <f>100-(R$436-Tabell2[[#This Row],[Yrkesaktivandel-T]])*100/R$439</f>
        <v>60.667071247125328</v>
      </c>
      <c r="AB77" s="9">
        <f>100-(S$436-Tabell2[[#This Row],[Inntekt-T]])*100/S$439</f>
        <v>3.7721614485093369E-2</v>
      </c>
      <c r="AC77" s="48">
        <f>Tabell2[[#This Row],[NIBR11-I]]*Vekter!$B$3</f>
        <v>12</v>
      </c>
      <c r="AD77" s="48">
        <f>Tabell2[[#This Row],[ReisetidOslo-I]]*Vekter!$C$3</f>
        <v>4.7363596982758462</v>
      </c>
      <c r="AE77" s="48">
        <f>Tabell2[[#This Row],[Beftettotal-I]]*Vekter!$D$3</f>
        <v>0.17826735375982425</v>
      </c>
      <c r="AF77" s="48">
        <f>Tabell2[[#This Row],[Befvekst10-I]]*Vekter!$E$3</f>
        <v>4.5020887577411202</v>
      </c>
      <c r="AG77" s="48">
        <f>Tabell2[[#This Row],[Kvinneandel-I]]*Vekter!$F$3</f>
        <v>1.5988879732651946</v>
      </c>
      <c r="AH77" s="48">
        <f>Tabell2[[#This Row],[Eldreandel-I]]*Vekter!$G$3</f>
        <v>0.86144214544740594</v>
      </c>
      <c r="AI77" s="48">
        <f>Tabell2[[#This Row],[Sysselsettingsvekst10-I]]*Vekter!$H$3</f>
        <v>1.9583763163089687</v>
      </c>
      <c r="AJ77" s="48">
        <f>Tabell2[[#This Row],[Yrkesaktivandel-I]]*Vekter!$J$3</f>
        <v>6.0667071247125328</v>
      </c>
      <c r="AK77" s="48">
        <f>Tabell2[[#This Row],[Inntekt-I]]*Vekter!$L$3</f>
        <v>3.7721614485093369E-3</v>
      </c>
      <c r="AL77" s="37">
        <f>SUM(Tabell2[[#This Row],[NIBR11-v]:[Inntekt-v]])</f>
        <v>31.905901530959405</v>
      </c>
    </row>
    <row r="78" spans="1:38">
      <c r="A78" s="2" t="s">
        <v>75</v>
      </c>
      <c r="B78">
        <f>'Rådata-K'!M77</f>
        <v>4</v>
      </c>
      <c r="C78" s="9">
        <f>'Rådata-K'!L77</f>
        <v>150.45563992300001</v>
      </c>
      <c r="D78" s="51">
        <f>'Rådata-K'!N77</f>
        <v>7.9543678699796843</v>
      </c>
      <c r="E78" s="51">
        <f>'Rådata-K'!O77</f>
        <v>4.5174537987679564E-2</v>
      </c>
      <c r="F78" s="51">
        <f>'Rådata-K'!P77</f>
        <v>0.10353634577603144</v>
      </c>
      <c r="G78" s="51">
        <f>'Rådata-K'!Q77</f>
        <v>0.15697445972495089</v>
      </c>
      <c r="H78" s="51">
        <f>'Rådata-K'!R77</f>
        <v>6.2006764374296086E-3</v>
      </c>
      <c r="I78" s="51">
        <f>'Rådata-K'!S77</f>
        <v>0.89949579831932769</v>
      </c>
      <c r="J78" s="52">
        <f>'Rådata-K'!K77</f>
        <v>335800</v>
      </c>
      <c r="K78" s="26">
        <f>Tabell2[[#This Row],[NIBR11]]</f>
        <v>4</v>
      </c>
      <c r="L78" s="52">
        <f>IF(Tabell2[[#This Row],[ReisetidOslo]]&lt;=C$434,C$434,IF(Tabell2[[#This Row],[ReisetidOslo]]&gt;=C$435,C$435,Tabell2[[#This Row],[ReisetidOslo]]))</f>
        <v>150.45563992300001</v>
      </c>
      <c r="M78" s="51">
        <f>IF(Tabell2[[#This Row],[Beftettotal]]&lt;=D$434,D$434,IF(Tabell2[[#This Row],[Beftettotal]]&gt;=D$435,D$435,Tabell2[[#This Row],[Beftettotal]]))</f>
        <v>7.9543678699796843</v>
      </c>
      <c r="N78" s="51">
        <f>IF(Tabell2[[#This Row],[Befvekst10]]&lt;=E$434,E$434,IF(Tabell2[[#This Row],[Befvekst10]]&gt;=E$435,E$435,Tabell2[[#This Row],[Befvekst10]]))</f>
        <v>4.5174537987679564E-2</v>
      </c>
      <c r="O78" s="51">
        <f>IF(Tabell2[[#This Row],[Kvinneandel]]&lt;=F$434,F$434,IF(Tabell2[[#This Row],[Kvinneandel]]&gt;=F$435,F$435,Tabell2[[#This Row],[Kvinneandel]]))</f>
        <v>0.10353634577603144</v>
      </c>
      <c r="P78" s="51">
        <f>IF(Tabell2[[#This Row],[Eldreandel]]&lt;=G$434,G$434,IF(Tabell2[[#This Row],[Eldreandel]]&gt;=G$435,G$435,Tabell2[[#This Row],[Eldreandel]]))</f>
        <v>0.15697445972495089</v>
      </c>
      <c r="Q78" s="51">
        <f>IF(Tabell2[[#This Row],[Sysselsettingsvekst10]]&lt;=H$434,H$434,IF(Tabell2[[#This Row],[Sysselsettingsvekst10]]&gt;=H$435,H$435,Tabell2[[#This Row],[Sysselsettingsvekst10]]))</f>
        <v>6.2006764374296086E-3</v>
      </c>
      <c r="R78" s="51">
        <f>IF(Tabell2[[#This Row],[Yrkesaktivandel]]&lt;=I$434,I$434,IF(Tabell2[[#This Row],[Yrkesaktivandel]]&gt;=I$435,I$435,Tabell2[[#This Row],[Yrkesaktivandel]]))</f>
        <v>0.89949579831932769</v>
      </c>
      <c r="S78" s="52">
        <f>IF(Tabell2[[#This Row],[Inntekt]]&lt;=J$434,J$434,IF(Tabell2[[#This Row],[Inntekt]]&gt;=J$435,J$435,Tabell2[[#This Row],[Inntekt]]))</f>
        <v>335800</v>
      </c>
      <c r="T78" s="9">
        <f>IF(Tabell2[[#This Row],[NIBR11-T]]&lt;=K$437,100,IF(Tabell2[[#This Row],[NIBR11-T]]&gt;=K$436,0,100*(K$436-Tabell2[[#This Row],[NIBR11-T]])/K$439))</f>
        <v>70</v>
      </c>
      <c r="U78" s="9">
        <f>(L$436-Tabell2[[#This Row],[ReisetidOslo-T]])*100/L$439</f>
        <v>57.092017524902538</v>
      </c>
      <c r="V78" s="9">
        <f>100-(M$436-Tabell2[[#This Row],[Beftettotal-T]])*100/M$439</f>
        <v>5.210100154545529</v>
      </c>
      <c r="W78" s="9">
        <f>100-(N$436-Tabell2[[#This Row],[Befvekst10-T]])*100/N$439</f>
        <v>50.970597641242932</v>
      </c>
      <c r="X78" s="9">
        <f>100-(O$436-Tabell2[[#This Row],[Kvinneandel-T]])*100/O$439</f>
        <v>35.15730122644095</v>
      </c>
      <c r="Y78" s="9">
        <f>(P$436-Tabell2[[#This Row],[Eldreandel-T]])*100/P$439</f>
        <v>58.187788040661736</v>
      </c>
      <c r="Z78" s="9">
        <f>100-(Q$436-Tabell2[[#This Row],[Sysselsettingsvekst10-T]])*100/Q$439</f>
        <v>24.038549783164981</v>
      </c>
      <c r="AA78" s="9">
        <f>100-(R$436-Tabell2[[#This Row],[Yrkesaktivandel-T]])*100/R$439</f>
        <v>53.271822891193338</v>
      </c>
      <c r="AB78" s="9">
        <f>100-(S$436-Tabell2[[#This Row],[Inntekt-T]])*100/S$439</f>
        <v>19.275745001886079</v>
      </c>
      <c r="AC78" s="48">
        <f>Tabell2[[#This Row],[NIBR11-I]]*Vekter!$B$3</f>
        <v>14</v>
      </c>
      <c r="AD78" s="48">
        <f>Tabell2[[#This Row],[ReisetidOslo-I]]*Vekter!$C$3</f>
        <v>5.7092017524902543</v>
      </c>
      <c r="AE78" s="48">
        <f>Tabell2[[#This Row],[Beftettotal-I]]*Vekter!$D$3</f>
        <v>0.52101001545455294</v>
      </c>
      <c r="AF78" s="48">
        <f>Tabell2[[#This Row],[Befvekst10-I]]*Vekter!$E$3</f>
        <v>10.194119528248587</v>
      </c>
      <c r="AG78" s="48">
        <f>Tabell2[[#This Row],[Kvinneandel-I]]*Vekter!$F$3</f>
        <v>1.7578650613220477</v>
      </c>
      <c r="AH78" s="48">
        <f>Tabell2[[#This Row],[Eldreandel-I]]*Vekter!$G$3</f>
        <v>2.9093894020330868</v>
      </c>
      <c r="AI78" s="48">
        <f>Tabell2[[#This Row],[Sysselsettingsvekst10-I]]*Vekter!$H$3</f>
        <v>2.4038549783164984</v>
      </c>
      <c r="AJ78" s="48">
        <f>Tabell2[[#This Row],[Yrkesaktivandel-I]]*Vekter!$J$3</f>
        <v>5.3271822891193343</v>
      </c>
      <c r="AK78" s="48">
        <f>Tabell2[[#This Row],[Inntekt-I]]*Vekter!$L$3</f>
        <v>1.927574500188608</v>
      </c>
      <c r="AL78" s="37">
        <f>SUM(Tabell2[[#This Row],[NIBR11-v]:[Inntekt-v]])</f>
        <v>44.750197527172965</v>
      </c>
    </row>
    <row r="79" spans="1:38">
      <c r="A79" s="2" t="s">
        <v>76</v>
      </c>
      <c r="B79">
        <f>'Rådata-K'!M78</f>
        <v>4</v>
      </c>
      <c r="C79" s="9">
        <f>'Rådata-K'!L78</f>
        <v>144.21835527600001</v>
      </c>
      <c r="D79" s="51">
        <f>'Rådata-K'!N78</f>
        <v>5.2360724000134322</v>
      </c>
      <c r="E79" s="51">
        <f>'Rådata-K'!O78</f>
        <v>8.244422890397729E-3</v>
      </c>
      <c r="F79" s="51">
        <f>'Rådata-K'!P78</f>
        <v>0.10068943402276735</v>
      </c>
      <c r="G79" s="51">
        <f>'Rådata-K'!Q78</f>
        <v>0.18566618566618567</v>
      </c>
      <c r="H79" s="51">
        <f>'Rådata-K'!R78</f>
        <v>9.3444909344490901E-2</v>
      </c>
      <c r="I79" s="51">
        <f>'Rådata-K'!S78</f>
        <v>0.94537572254335256</v>
      </c>
      <c r="J79" s="52">
        <f>'Rådata-K'!K78</f>
        <v>335300</v>
      </c>
      <c r="K79" s="26">
        <f>Tabell2[[#This Row],[NIBR11]]</f>
        <v>4</v>
      </c>
      <c r="L79" s="52">
        <f>IF(Tabell2[[#This Row],[ReisetidOslo]]&lt;=C$434,C$434,IF(Tabell2[[#This Row],[ReisetidOslo]]&gt;=C$435,C$435,Tabell2[[#This Row],[ReisetidOslo]]))</f>
        <v>144.21835527600001</v>
      </c>
      <c r="M79" s="51">
        <f>IF(Tabell2[[#This Row],[Beftettotal]]&lt;=D$434,D$434,IF(Tabell2[[#This Row],[Beftettotal]]&gt;=D$435,D$435,Tabell2[[#This Row],[Beftettotal]]))</f>
        <v>5.2360724000134322</v>
      </c>
      <c r="N79" s="51">
        <f>IF(Tabell2[[#This Row],[Befvekst10]]&lt;=E$434,E$434,IF(Tabell2[[#This Row],[Befvekst10]]&gt;=E$435,E$435,Tabell2[[#This Row],[Befvekst10]]))</f>
        <v>8.244422890397729E-3</v>
      </c>
      <c r="O79" s="51">
        <f>IF(Tabell2[[#This Row],[Kvinneandel]]&lt;=F$434,F$434,IF(Tabell2[[#This Row],[Kvinneandel]]&gt;=F$435,F$435,Tabell2[[#This Row],[Kvinneandel]]))</f>
        <v>0.10068943402276735</v>
      </c>
      <c r="P79" s="51">
        <f>IF(Tabell2[[#This Row],[Eldreandel]]&lt;=G$434,G$434,IF(Tabell2[[#This Row],[Eldreandel]]&gt;=G$435,G$435,Tabell2[[#This Row],[Eldreandel]]))</f>
        <v>0.18566618566618567</v>
      </c>
      <c r="Q79" s="51">
        <f>IF(Tabell2[[#This Row],[Sysselsettingsvekst10]]&lt;=H$434,H$434,IF(Tabell2[[#This Row],[Sysselsettingsvekst10]]&gt;=H$435,H$435,Tabell2[[#This Row],[Sysselsettingsvekst10]]))</f>
        <v>9.3444909344490901E-2</v>
      </c>
      <c r="R79" s="51">
        <f>IF(Tabell2[[#This Row],[Yrkesaktivandel]]&lt;=I$434,I$434,IF(Tabell2[[#This Row],[Yrkesaktivandel]]&gt;=I$435,I$435,Tabell2[[#This Row],[Yrkesaktivandel]]))</f>
        <v>0.94537572254335256</v>
      </c>
      <c r="S79" s="52">
        <f>IF(Tabell2[[#This Row],[Inntekt]]&lt;=J$434,J$434,IF(Tabell2[[#This Row],[Inntekt]]&gt;=J$435,J$435,Tabell2[[#This Row],[Inntekt]]))</f>
        <v>335300</v>
      </c>
      <c r="T79" s="9">
        <f>IF(Tabell2[[#This Row],[NIBR11-T]]&lt;=K$437,100,IF(Tabell2[[#This Row],[NIBR11-T]]&gt;=K$436,0,100*(K$436-Tabell2[[#This Row],[NIBR11-T]])/K$439))</f>
        <v>70</v>
      </c>
      <c r="U79" s="9">
        <f>(L$436-Tabell2[[#This Row],[ReisetidOslo-T]])*100/L$439</f>
        <v>59.861063735480542</v>
      </c>
      <c r="V79" s="9">
        <f>100-(M$436-Tabell2[[#This Row],[Beftettotal-T]])*100/M$439</f>
        <v>3.069002051867102</v>
      </c>
      <c r="W79" s="9">
        <f>100-(N$436-Tabell2[[#This Row],[Befvekst10-T]])*100/N$439</f>
        <v>36.026615041088121</v>
      </c>
      <c r="X79" s="9">
        <f>100-(O$436-Tabell2[[#This Row],[Kvinneandel-T]])*100/O$439</f>
        <v>27.616692367748414</v>
      </c>
      <c r="Y79" s="9">
        <f>(P$436-Tabell2[[#This Row],[Eldreandel-T]])*100/P$439</f>
        <v>25.660366828601216</v>
      </c>
      <c r="Z79" s="9">
        <f>100-(Q$436-Tabell2[[#This Row],[Sysselsettingsvekst10-T]])*100/Q$439</f>
        <v>52.041433106700367</v>
      </c>
      <c r="AA79" s="9">
        <f>100-(R$436-Tabell2[[#This Row],[Yrkesaktivandel-T]])*100/R$439</f>
        <v>87.474193315211465</v>
      </c>
      <c r="AB79" s="9">
        <f>100-(S$436-Tabell2[[#This Row],[Inntekt-T]])*100/S$439</f>
        <v>18.647051427134414</v>
      </c>
      <c r="AC79" s="48">
        <f>Tabell2[[#This Row],[NIBR11-I]]*Vekter!$B$3</f>
        <v>14</v>
      </c>
      <c r="AD79" s="48">
        <f>Tabell2[[#This Row],[ReisetidOslo-I]]*Vekter!$C$3</f>
        <v>5.9861063735480542</v>
      </c>
      <c r="AE79" s="48">
        <f>Tabell2[[#This Row],[Beftettotal-I]]*Vekter!$D$3</f>
        <v>0.30690020518671024</v>
      </c>
      <c r="AF79" s="48">
        <f>Tabell2[[#This Row],[Befvekst10-I]]*Vekter!$E$3</f>
        <v>7.2053230082176247</v>
      </c>
      <c r="AG79" s="48">
        <f>Tabell2[[#This Row],[Kvinneandel-I]]*Vekter!$F$3</f>
        <v>1.3808346183874207</v>
      </c>
      <c r="AH79" s="48">
        <f>Tabell2[[#This Row],[Eldreandel-I]]*Vekter!$G$3</f>
        <v>1.2830183414300609</v>
      </c>
      <c r="AI79" s="48">
        <f>Tabell2[[#This Row],[Sysselsettingsvekst10-I]]*Vekter!$H$3</f>
        <v>5.2041433106700374</v>
      </c>
      <c r="AJ79" s="48">
        <f>Tabell2[[#This Row],[Yrkesaktivandel-I]]*Vekter!$J$3</f>
        <v>8.7474193315211473</v>
      </c>
      <c r="AK79" s="48">
        <f>Tabell2[[#This Row],[Inntekt-I]]*Vekter!$L$3</f>
        <v>1.8647051427134416</v>
      </c>
      <c r="AL79" s="37">
        <f>SUM(Tabell2[[#This Row],[NIBR11-v]:[Inntekt-v]])</f>
        <v>45.978450331674502</v>
      </c>
    </row>
    <row r="80" spans="1:38">
      <c r="A80" s="2" t="s">
        <v>77</v>
      </c>
      <c r="B80">
        <f>'Rådata-K'!M79</f>
        <v>4</v>
      </c>
      <c r="C80" s="9">
        <f>'Rådata-K'!L79</f>
        <v>90.802721918100005</v>
      </c>
      <c r="D80" s="51">
        <f>'Rådata-K'!N79</f>
        <v>26.266953445793416</v>
      </c>
      <c r="E80" s="51">
        <f>'Rådata-K'!O79</f>
        <v>8.1872143003343112E-3</v>
      </c>
      <c r="F80" s="51">
        <f>'Rådata-K'!P79</f>
        <v>0.10462204777695067</v>
      </c>
      <c r="G80" s="51">
        <f>'Rådata-K'!Q79</f>
        <v>0.17513703728767679</v>
      </c>
      <c r="H80" s="51">
        <f>'Rådata-K'!R79</f>
        <v>0.12567736556898712</v>
      </c>
      <c r="I80" s="51">
        <f>'Rådata-K'!S79</f>
        <v>0.8758588012319356</v>
      </c>
      <c r="J80" s="52">
        <f>'Rådata-K'!K79</f>
        <v>344000</v>
      </c>
      <c r="K80" s="26">
        <f>Tabell2[[#This Row],[NIBR11]]</f>
        <v>4</v>
      </c>
      <c r="L80" s="52">
        <f>IF(Tabell2[[#This Row],[ReisetidOslo]]&lt;=C$434,C$434,IF(Tabell2[[#This Row],[ReisetidOslo]]&gt;=C$435,C$435,Tabell2[[#This Row],[ReisetidOslo]]))</f>
        <v>90.802721918100005</v>
      </c>
      <c r="M80" s="51">
        <f>IF(Tabell2[[#This Row],[Beftettotal]]&lt;=D$434,D$434,IF(Tabell2[[#This Row],[Beftettotal]]&gt;=D$435,D$435,Tabell2[[#This Row],[Beftettotal]]))</f>
        <v>26.266953445793416</v>
      </c>
      <c r="N80" s="51">
        <f>IF(Tabell2[[#This Row],[Befvekst10]]&lt;=E$434,E$434,IF(Tabell2[[#This Row],[Befvekst10]]&gt;=E$435,E$435,Tabell2[[#This Row],[Befvekst10]]))</f>
        <v>8.1872143003343112E-3</v>
      </c>
      <c r="O80" s="51">
        <f>IF(Tabell2[[#This Row],[Kvinneandel]]&lt;=F$434,F$434,IF(Tabell2[[#This Row],[Kvinneandel]]&gt;=F$435,F$435,Tabell2[[#This Row],[Kvinneandel]]))</f>
        <v>0.10462204777695067</v>
      </c>
      <c r="P80" s="51">
        <f>IF(Tabell2[[#This Row],[Eldreandel]]&lt;=G$434,G$434,IF(Tabell2[[#This Row],[Eldreandel]]&gt;=G$435,G$435,Tabell2[[#This Row],[Eldreandel]]))</f>
        <v>0.17513703728767679</v>
      </c>
      <c r="Q80" s="51">
        <f>IF(Tabell2[[#This Row],[Sysselsettingsvekst10]]&lt;=H$434,H$434,IF(Tabell2[[#This Row],[Sysselsettingsvekst10]]&gt;=H$435,H$435,Tabell2[[#This Row],[Sysselsettingsvekst10]]))</f>
        <v>0.12567736556898712</v>
      </c>
      <c r="R80" s="51">
        <f>IF(Tabell2[[#This Row],[Yrkesaktivandel]]&lt;=I$434,I$434,IF(Tabell2[[#This Row],[Yrkesaktivandel]]&gt;=I$435,I$435,Tabell2[[#This Row],[Yrkesaktivandel]]))</f>
        <v>0.8758588012319356</v>
      </c>
      <c r="S80" s="52">
        <f>IF(Tabell2[[#This Row],[Inntekt]]&lt;=J$434,J$434,IF(Tabell2[[#This Row],[Inntekt]]&gt;=J$435,J$435,Tabell2[[#This Row],[Inntekt]]))</f>
        <v>344000</v>
      </c>
      <c r="T80" s="9">
        <f>IF(Tabell2[[#This Row],[NIBR11-T]]&lt;=K$437,100,IF(Tabell2[[#This Row],[NIBR11-T]]&gt;=K$436,0,100*(K$436-Tabell2[[#This Row],[NIBR11-T]])/K$439))</f>
        <v>70</v>
      </c>
      <c r="U80" s="9">
        <f>(L$436-Tabell2[[#This Row],[ReisetidOslo-T]])*100/L$439</f>
        <v>83.5749657788094</v>
      </c>
      <c r="V80" s="9">
        <f>100-(M$436-Tabell2[[#This Row],[Beftettotal-T]])*100/M$439</f>
        <v>19.634228313063119</v>
      </c>
      <c r="W80" s="9">
        <f>100-(N$436-Tabell2[[#This Row],[Befvekst10-T]])*100/N$439</f>
        <v>36.003465257443118</v>
      </c>
      <c r="X80" s="9">
        <f>100-(O$436-Tabell2[[#This Row],[Kvinneandel-T]])*100/O$439</f>
        <v>38.032997712868841</v>
      </c>
      <c r="Y80" s="9">
        <f>(P$436-Tabell2[[#This Row],[Eldreandel-T]])*100/P$439</f>
        <v>37.597119780079574</v>
      </c>
      <c r="Z80" s="9">
        <f>100-(Q$436-Tabell2[[#This Row],[Sysselsettingsvekst10-T]])*100/Q$439</f>
        <v>62.387122223447427</v>
      </c>
      <c r="AA80" s="9">
        <f>100-(R$436-Tabell2[[#This Row],[Yrkesaktivandel-T]])*100/R$439</f>
        <v>35.651015015685047</v>
      </c>
      <c r="AB80" s="9">
        <f>100-(S$436-Tabell2[[#This Row],[Inntekt-T]])*100/S$439</f>
        <v>29.58631962781341</v>
      </c>
      <c r="AC80" s="48">
        <f>Tabell2[[#This Row],[NIBR11-I]]*Vekter!$B$3</f>
        <v>14</v>
      </c>
      <c r="AD80" s="48">
        <f>Tabell2[[#This Row],[ReisetidOslo-I]]*Vekter!$C$3</f>
        <v>8.3574965778809407</v>
      </c>
      <c r="AE80" s="48">
        <f>Tabell2[[#This Row],[Beftettotal-I]]*Vekter!$D$3</f>
        <v>1.963422831306312</v>
      </c>
      <c r="AF80" s="48">
        <f>Tabell2[[#This Row],[Befvekst10-I]]*Vekter!$E$3</f>
        <v>7.2006930514886243</v>
      </c>
      <c r="AG80" s="48">
        <f>Tabell2[[#This Row],[Kvinneandel-I]]*Vekter!$F$3</f>
        <v>1.9016498856434421</v>
      </c>
      <c r="AH80" s="48">
        <f>Tabell2[[#This Row],[Eldreandel-I]]*Vekter!$G$3</f>
        <v>1.8798559890039788</v>
      </c>
      <c r="AI80" s="48">
        <f>Tabell2[[#This Row],[Sysselsettingsvekst10-I]]*Vekter!$H$3</f>
        <v>6.2387122223447431</v>
      </c>
      <c r="AJ80" s="48">
        <f>Tabell2[[#This Row],[Yrkesaktivandel-I]]*Vekter!$J$3</f>
        <v>3.5651015015685048</v>
      </c>
      <c r="AK80" s="48">
        <f>Tabell2[[#This Row],[Inntekt-I]]*Vekter!$L$3</f>
        <v>2.9586319627813413</v>
      </c>
      <c r="AL80" s="37">
        <f>SUM(Tabell2[[#This Row],[NIBR11-v]:[Inntekt-v]])</f>
        <v>48.065564022017888</v>
      </c>
    </row>
    <row r="81" spans="1:38">
      <c r="A81" s="2" t="s">
        <v>78</v>
      </c>
      <c r="B81">
        <f>'Rådata-K'!M80</f>
        <v>4</v>
      </c>
      <c r="C81" s="9">
        <f>'Rådata-K'!L80</f>
        <v>97.644881709299995</v>
      </c>
      <c r="D81" s="51">
        <f>'Rådata-K'!N80</f>
        <v>52.400609169605644</v>
      </c>
      <c r="E81" s="51">
        <f>'Rådata-K'!O80</f>
        <v>3.7945542589505443E-2</v>
      </c>
      <c r="F81" s="51">
        <f>'Rådata-K'!P80</f>
        <v>0.10806883365200765</v>
      </c>
      <c r="G81" s="51">
        <f>'Rådata-K'!Q80</f>
        <v>0.16573613766730402</v>
      </c>
      <c r="H81" s="51">
        <f>'Rådata-K'!R80</f>
        <v>-2.1827889447236126E-2</v>
      </c>
      <c r="I81" s="51">
        <f>'Rådata-K'!S80</f>
        <v>0.84273390842733908</v>
      </c>
      <c r="J81" s="52">
        <f>'Rådata-K'!K80</f>
        <v>341500</v>
      </c>
      <c r="K81" s="26">
        <f>Tabell2[[#This Row],[NIBR11]]</f>
        <v>4</v>
      </c>
      <c r="L81" s="52">
        <f>IF(Tabell2[[#This Row],[ReisetidOslo]]&lt;=C$434,C$434,IF(Tabell2[[#This Row],[ReisetidOslo]]&gt;=C$435,C$435,Tabell2[[#This Row],[ReisetidOslo]]))</f>
        <v>97.644881709299995</v>
      </c>
      <c r="M81" s="51">
        <f>IF(Tabell2[[#This Row],[Beftettotal]]&lt;=D$434,D$434,IF(Tabell2[[#This Row],[Beftettotal]]&gt;=D$435,D$435,Tabell2[[#This Row],[Beftettotal]]))</f>
        <v>52.400609169605644</v>
      </c>
      <c r="N81" s="51">
        <f>IF(Tabell2[[#This Row],[Befvekst10]]&lt;=E$434,E$434,IF(Tabell2[[#This Row],[Befvekst10]]&gt;=E$435,E$435,Tabell2[[#This Row],[Befvekst10]]))</f>
        <v>3.7945542589505443E-2</v>
      </c>
      <c r="O81" s="51">
        <f>IF(Tabell2[[#This Row],[Kvinneandel]]&lt;=F$434,F$434,IF(Tabell2[[#This Row],[Kvinneandel]]&gt;=F$435,F$435,Tabell2[[#This Row],[Kvinneandel]]))</f>
        <v>0.10806883365200765</v>
      </c>
      <c r="P81" s="51">
        <f>IF(Tabell2[[#This Row],[Eldreandel]]&lt;=G$434,G$434,IF(Tabell2[[#This Row],[Eldreandel]]&gt;=G$435,G$435,Tabell2[[#This Row],[Eldreandel]]))</f>
        <v>0.16573613766730402</v>
      </c>
      <c r="Q81" s="51">
        <f>IF(Tabell2[[#This Row],[Sysselsettingsvekst10]]&lt;=H$434,H$434,IF(Tabell2[[#This Row],[Sysselsettingsvekst10]]&gt;=H$435,H$435,Tabell2[[#This Row],[Sysselsettingsvekst10]]))</f>
        <v>-2.1827889447236126E-2</v>
      </c>
      <c r="R81" s="51">
        <f>IF(Tabell2[[#This Row],[Yrkesaktivandel]]&lt;=I$434,I$434,IF(Tabell2[[#This Row],[Yrkesaktivandel]]&gt;=I$435,I$435,Tabell2[[#This Row],[Yrkesaktivandel]]))</f>
        <v>0.84273390842733908</v>
      </c>
      <c r="S81" s="52">
        <f>IF(Tabell2[[#This Row],[Inntekt]]&lt;=J$434,J$434,IF(Tabell2[[#This Row],[Inntekt]]&gt;=J$435,J$435,Tabell2[[#This Row],[Inntekt]]))</f>
        <v>341500</v>
      </c>
      <c r="T81" s="9">
        <f>IF(Tabell2[[#This Row],[NIBR11-T]]&lt;=K$437,100,IF(Tabell2[[#This Row],[NIBR11-T]]&gt;=K$436,0,100*(K$436-Tabell2[[#This Row],[NIBR11-T]])/K$439))</f>
        <v>70</v>
      </c>
      <c r="U81" s="9">
        <f>(L$436-Tabell2[[#This Row],[ReisetidOslo-T]])*100/L$439</f>
        <v>80.537384889967939</v>
      </c>
      <c r="V81" s="9">
        <f>100-(M$436-Tabell2[[#This Row],[Beftettotal-T]])*100/M$439</f>
        <v>40.218716388231833</v>
      </c>
      <c r="W81" s="9">
        <f>100-(N$436-Tabell2[[#This Row],[Befvekst10-T]])*100/N$439</f>
        <v>48.045343247576973</v>
      </c>
      <c r="X81" s="9">
        <f>100-(O$436-Tabell2[[#This Row],[Kvinneandel-T]])*100/O$439</f>
        <v>47.162491830019306</v>
      </c>
      <c r="Y81" s="9">
        <f>(P$436-Tabell2[[#This Row],[Eldreandel-T]])*100/P$439</f>
        <v>48.254792391008088</v>
      </c>
      <c r="Z81" s="9">
        <f>100-(Q$436-Tabell2[[#This Row],[Sysselsettingsvekst10-T]])*100/Q$439</f>
        <v>15.042188258267046</v>
      </c>
      <c r="AA81" s="9">
        <f>100-(R$436-Tabell2[[#This Row],[Yrkesaktivandel-T]])*100/R$439</f>
        <v>10.957211067215638</v>
      </c>
      <c r="AB81" s="9">
        <f>100-(S$436-Tabell2[[#This Row],[Inntekt-T]])*100/S$439</f>
        <v>26.44285175405507</v>
      </c>
      <c r="AC81" s="48">
        <f>Tabell2[[#This Row],[NIBR11-I]]*Vekter!$B$3</f>
        <v>14</v>
      </c>
      <c r="AD81" s="48">
        <f>Tabell2[[#This Row],[ReisetidOslo-I]]*Vekter!$C$3</f>
        <v>8.0537384889967942</v>
      </c>
      <c r="AE81" s="48">
        <f>Tabell2[[#This Row],[Beftettotal-I]]*Vekter!$D$3</f>
        <v>4.0218716388231837</v>
      </c>
      <c r="AF81" s="48">
        <f>Tabell2[[#This Row],[Befvekst10-I]]*Vekter!$E$3</f>
        <v>9.609068649515395</v>
      </c>
      <c r="AG81" s="48">
        <f>Tabell2[[#This Row],[Kvinneandel-I]]*Vekter!$F$3</f>
        <v>2.3581245915009652</v>
      </c>
      <c r="AH81" s="48">
        <f>Tabell2[[#This Row],[Eldreandel-I]]*Vekter!$G$3</f>
        <v>2.4127396195504045</v>
      </c>
      <c r="AI81" s="48">
        <f>Tabell2[[#This Row],[Sysselsettingsvekst10-I]]*Vekter!$H$3</f>
        <v>1.5042188258267046</v>
      </c>
      <c r="AJ81" s="48">
        <f>Tabell2[[#This Row],[Yrkesaktivandel-I]]*Vekter!$J$3</f>
        <v>1.095721106721564</v>
      </c>
      <c r="AK81" s="48">
        <f>Tabell2[[#This Row],[Inntekt-I]]*Vekter!$L$3</f>
        <v>2.644285175405507</v>
      </c>
      <c r="AL81" s="37">
        <f>SUM(Tabell2[[#This Row],[NIBR11-v]:[Inntekt-v]])</f>
        <v>45.69976809634052</v>
      </c>
    </row>
    <row r="82" spans="1:38">
      <c r="A82" s="2" t="s">
        <v>79</v>
      </c>
      <c r="B82">
        <f>'Rådata-K'!M81</f>
        <v>5</v>
      </c>
      <c r="C82" s="9">
        <f>'Rådata-K'!L81</f>
        <v>60.733118964900001</v>
      </c>
      <c r="D82" s="51">
        <f>'Rådata-K'!N81</f>
        <v>28.86762360446571</v>
      </c>
      <c r="E82" s="51">
        <f>'Rådata-K'!O81</f>
        <v>2.8733817492895497E-2</v>
      </c>
      <c r="F82" s="51">
        <f>'Rådata-K'!P81</f>
        <v>0.10773480662983426</v>
      </c>
      <c r="G82" s="51">
        <f>'Rådata-K'!Q81</f>
        <v>0.16298342541436464</v>
      </c>
      <c r="H82" s="51">
        <f>'Rådata-K'!R81</f>
        <v>-2.562907735321529E-2</v>
      </c>
      <c r="I82" s="51">
        <f>'Rådata-K'!S81</f>
        <v>0.86646963997850623</v>
      </c>
      <c r="J82" s="52">
        <f>'Rådata-K'!K81</f>
        <v>349400</v>
      </c>
      <c r="K82" s="26">
        <f>Tabell2[[#This Row],[NIBR11]]</f>
        <v>5</v>
      </c>
      <c r="L82" s="52">
        <f>IF(Tabell2[[#This Row],[ReisetidOslo]]&lt;=C$434,C$434,IF(Tabell2[[#This Row],[ReisetidOslo]]&gt;=C$435,C$435,Tabell2[[#This Row],[ReisetidOslo]]))</f>
        <v>60.733118964900001</v>
      </c>
      <c r="M82" s="51">
        <f>IF(Tabell2[[#This Row],[Beftettotal]]&lt;=D$434,D$434,IF(Tabell2[[#This Row],[Beftettotal]]&gt;=D$435,D$435,Tabell2[[#This Row],[Beftettotal]]))</f>
        <v>28.86762360446571</v>
      </c>
      <c r="N82" s="51">
        <f>IF(Tabell2[[#This Row],[Befvekst10]]&lt;=E$434,E$434,IF(Tabell2[[#This Row],[Befvekst10]]&gt;=E$435,E$435,Tabell2[[#This Row],[Befvekst10]]))</f>
        <v>2.8733817492895497E-2</v>
      </c>
      <c r="O82" s="51">
        <f>IF(Tabell2[[#This Row],[Kvinneandel]]&lt;=F$434,F$434,IF(Tabell2[[#This Row],[Kvinneandel]]&gt;=F$435,F$435,Tabell2[[#This Row],[Kvinneandel]]))</f>
        <v>0.10773480662983426</v>
      </c>
      <c r="P82" s="51">
        <f>IF(Tabell2[[#This Row],[Eldreandel]]&lt;=G$434,G$434,IF(Tabell2[[#This Row],[Eldreandel]]&gt;=G$435,G$435,Tabell2[[#This Row],[Eldreandel]]))</f>
        <v>0.16298342541436464</v>
      </c>
      <c r="Q82" s="51">
        <f>IF(Tabell2[[#This Row],[Sysselsettingsvekst10]]&lt;=H$434,H$434,IF(Tabell2[[#This Row],[Sysselsettingsvekst10]]&gt;=H$435,H$435,Tabell2[[#This Row],[Sysselsettingsvekst10]]))</f>
        <v>-2.562907735321529E-2</v>
      </c>
      <c r="R82" s="51">
        <f>IF(Tabell2[[#This Row],[Yrkesaktivandel]]&lt;=I$434,I$434,IF(Tabell2[[#This Row],[Yrkesaktivandel]]&gt;=I$435,I$435,Tabell2[[#This Row],[Yrkesaktivandel]]))</f>
        <v>0.86646963997850623</v>
      </c>
      <c r="S82" s="52">
        <f>IF(Tabell2[[#This Row],[Inntekt]]&lt;=J$434,J$434,IF(Tabell2[[#This Row],[Inntekt]]&gt;=J$435,J$435,Tabell2[[#This Row],[Inntekt]]))</f>
        <v>349400</v>
      </c>
      <c r="T82" s="9">
        <f>IF(Tabell2[[#This Row],[NIBR11-T]]&lt;=K$437,100,IF(Tabell2[[#This Row],[NIBR11-T]]&gt;=K$436,0,100*(K$436-Tabell2[[#This Row],[NIBR11-T]])/K$439))</f>
        <v>60</v>
      </c>
      <c r="U82" s="9">
        <f>(L$436-Tabell2[[#This Row],[ReisetidOslo-T]])*100/L$439</f>
        <v>96.924383806603274</v>
      </c>
      <c r="V82" s="9">
        <f>100-(M$436-Tabell2[[#This Row],[Beftettotal-T]])*100/M$439</f>
        <v>21.682677425364645</v>
      </c>
      <c r="W82" s="9">
        <f>100-(N$436-Tabell2[[#This Row],[Befvekst10-T]])*100/N$439</f>
        <v>44.317765924881854</v>
      </c>
      <c r="X82" s="9">
        <f>100-(O$436-Tabell2[[#This Row],[Kvinneandel-T]])*100/O$439</f>
        <v>46.277755195820689</v>
      </c>
      <c r="Y82" s="9">
        <f>(P$436-Tabell2[[#This Row],[Eldreandel-T]])*100/P$439</f>
        <v>51.375505000293032</v>
      </c>
      <c r="Z82" s="9">
        <f>100-(Q$436-Tabell2[[#This Row],[Sysselsettingsvekst10-T]])*100/Q$439</f>
        <v>13.822116536903422</v>
      </c>
      <c r="AA82" s="9">
        <f>100-(R$436-Tabell2[[#This Row],[Yrkesaktivandel-T]])*100/R$439</f>
        <v>28.651623090088307</v>
      </c>
      <c r="AB82" s="9">
        <f>100-(S$436-Tabell2[[#This Row],[Inntekt-T]])*100/S$439</f>
        <v>36.376210235131396</v>
      </c>
      <c r="AC82" s="48">
        <f>Tabell2[[#This Row],[NIBR11-I]]*Vekter!$B$3</f>
        <v>12</v>
      </c>
      <c r="AD82" s="48">
        <f>Tabell2[[#This Row],[ReisetidOslo-I]]*Vekter!$C$3</f>
        <v>9.6924383806603274</v>
      </c>
      <c r="AE82" s="48">
        <f>Tabell2[[#This Row],[Beftettotal-I]]*Vekter!$D$3</f>
        <v>2.1682677425364645</v>
      </c>
      <c r="AF82" s="48">
        <f>Tabell2[[#This Row],[Befvekst10-I]]*Vekter!$E$3</f>
        <v>8.8635531849763716</v>
      </c>
      <c r="AG82" s="48">
        <f>Tabell2[[#This Row],[Kvinneandel-I]]*Vekter!$F$3</f>
        <v>2.3138877597910343</v>
      </c>
      <c r="AH82" s="48">
        <f>Tabell2[[#This Row],[Eldreandel-I]]*Vekter!$G$3</f>
        <v>2.5687752500146517</v>
      </c>
      <c r="AI82" s="48">
        <f>Tabell2[[#This Row],[Sysselsettingsvekst10-I]]*Vekter!$H$3</f>
        <v>1.3822116536903424</v>
      </c>
      <c r="AJ82" s="48">
        <f>Tabell2[[#This Row],[Yrkesaktivandel-I]]*Vekter!$J$3</f>
        <v>2.8651623090088307</v>
      </c>
      <c r="AK82" s="48">
        <f>Tabell2[[#This Row],[Inntekt-I]]*Vekter!$L$3</f>
        <v>3.6376210235131397</v>
      </c>
      <c r="AL82" s="37">
        <f>SUM(Tabell2[[#This Row],[NIBR11-v]:[Inntekt-v]])</f>
        <v>45.491917304191162</v>
      </c>
    </row>
    <row r="83" spans="1:38">
      <c r="A83" s="2" t="s">
        <v>80</v>
      </c>
      <c r="B83">
        <f>'Rådata-K'!M82</f>
        <v>1</v>
      </c>
      <c r="C83" s="9">
        <f>'Rådata-K'!L82</f>
        <v>50.809693954799997</v>
      </c>
      <c r="D83" s="51">
        <f>'Rådata-K'!N82</f>
        <v>30.674342105263154</v>
      </c>
      <c r="E83" s="51">
        <f>'Rådata-K'!O82</f>
        <v>5.7780928748670579E-2</v>
      </c>
      <c r="F83" s="51">
        <f>'Rådata-K'!P82</f>
        <v>0.11595174262734584</v>
      </c>
      <c r="G83" s="51">
        <f>'Rådata-K'!Q82</f>
        <v>0.13147899910634495</v>
      </c>
      <c r="H83" s="51">
        <f>'Rådata-K'!R82</f>
        <v>-7.5721722669190861E-3</v>
      </c>
      <c r="I83" s="51">
        <f>'Rådata-K'!S82</f>
        <v>0.87408105560791705</v>
      </c>
      <c r="J83" s="52">
        <f>'Rådata-K'!K82</f>
        <v>379600</v>
      </c>
      <c r="K83" s="26">
        <f>Tabell2[[#This Row],[NIBR11]]</f>
        <v>1</v>
      </c>
      <c r="L83" s="52">
        <f>IF(Tabell2[[#This Row],[ReisetidOslo]]&lt;=C$434,C$434,IF(Tabell2[[#This Row],[ReisetidOslo]]&gt;=C$435,C$435,Tabell2[[#This Row],[ReisetidOslo]]))</f>
        <v>53.805284539509998</v>
      </c>
      <c r="M83" s="51">
        <f>IF(Tabell2[[#This Row],[Beftettotal]]&lt;=D$434,D$434,IF(Tabell2[[#This Row],[Beftettotal]]&gt;=D$435,D$435,Tabell2[[#This Row],[Beftettotal]]))</f>
        <v>30.674342105263154</v>
      </c>
      <c r="N83" s="51">
        <f>IF(Tabell2[[#This Row],[Befvekst10]]&lt;=E$434,E$434,IF(Tabell2[[#This Row],[Befvekst10]]&gt;=E$435,E$435,Tabell2[[#This Row],[Befvekst10]]))</f>
        <v>5.7780928748670579E-2</v>
      </c>
      <c r="O83" s="51">
        <f>IF(Tabell2[[#This Row],[Kvinneandel]]&lt;=F$434,F$434,IF(Tabell2[[#This Row],[Kvinneandel]]&gt;=F$435,F$435,Tabell2[[#This Row],[Kvinneandel]]))</f>
        <v>0.11595174262734584</v>
      </c>
      <c r="P83" s="51">
        <f>IF(Tabell2[[#This Row],[Eldreandel]]&lt;=G$434,G$434,IF(Tabell2[[#This Row],[Eldreandel]]&gt;=G$435,G$435,Tabell2[[#This Row],[Eldreandel]]))</f>
        <v>0.13147899910634495</v>
      </c>
      <c r="Q83" s="51">
        <f>IF(Tabell2[[#This Row],[Sysselsettingsvekst10]]&lt;=H$434,H$434,IF(Tabell2[[#This Row],[Sysselsettingsvekst10]]&gt;=H$435,H$435,Tabell2[[#This Row],[Sysselsettingsvekst10]]))</f>
        <v>-7.5721722669190861E-3</v>
      </c>
      <c r="R83" s="51">
        <f>IF(Tabell2[[#This Row],[Yrkesaktivandel]]&lt;=I$434,I$434,IF(Tabell2[[#This Row],[Yrkesaktivandel]]&gt;=I$435,I$435,Tabell2[[#This Row],[Yrkesaktivandel]]))</f>
        <v>0.87408105560791705</v>
      </c>
      <c r="S83" s="52">
        <f>IF(Tabell2[[#This Row],[Inntekt]]&lt;=J$434,J$434,IF(Tabell2[[#This Row],[Inntekt]]&gt;=J$435,J$435,Tabell2[[#This Row],[Inntekt]]))</f>
        <v>379600</v>
      </c>
      <c r="T83" s="9">
        <f>IF(Tabell2[[#This Row],[NIBR11-T]]&lt;=K$437,100,IF(Tabell2[[#This Row],[NIBR11-T]]&gt;=K$436,0,100*(K$436-Tabell2[[#This Row],[NIBR11-T]])/K$439))</f>
        <v>100</v>
      </c>
      <c r="U83" s="9">
        <f>(L$436-Tabell2[[#This Row],[ReisetidOslo-T]])*100/L$439</f>
        <v>100</v>
      </c>
      <c r="V83" s="9">
        <f>100-(M$436-Tabell2[[#This Row],[Beftettotal-T]])*100/M$439</f>
        <v>23.105760970502374</v>
      </c>
      <c r="W83" s="9">
        <f>100-(N$436-Tabell2[[#This Row],[Befvekst10-T]])*100/N$439</f>
        <v>56.071845868786859</v>
      </c>
      <c r="X83" s="9">
        <f>100-(O$436-Tabell2[[#This Row],[Kvinneandel-T]])*100/O$439</f>
        <v>68.041935382686461</v>
      </c>
      <c r="Y83" s="9">
        <f>(P$436-Tabell2[[#This Row],[Eldreandel-T]])*100/P$439</f>
        <v>87.091646534062875</v>
      </c>
      <c r="Z83" s="9">
        <f>100-(Q$436-Tabell2[[#This Row],[Sysselsettingsvekst10-T]])*100/Q$439</f>
        <v>19.617862450038501</v>
      </c>
      <c r="AA83" s="9">
        <f>100-(R$436-Tabell2[[#This Row],[Yrkesaktivandel-T]])*100/R$439</f>
        <v>34.325748782561647</v>
      </c>
      <c r="AB83" s="9">
        <f>100-(S$436-Tabell2[[#This Row],[Inntekt-T]])*100/S$439</f>
        <v>74.349302150132019</v>
      </c>
      <c r="AC83" s="48">
        <f>Tabell2[[#This Row],[NIBR11-I]]*Vekter!$B$3</f>
        <v>20</v>
      </c>
      <c r="AD83" s="48">
        <f>Tabell2[[#This Row],[ReisetidOslo-I]]*Vekter!$C$3</f>
        <v>10</v>
      </c>
      <c r="AE83" s="48">
        <f>Tabell2[[#This Row],[Beftettotal-I]]*Vekter!$D$3</f>
        <v>2.3105760970502374</v>
      </c>
      <c r="AF83" s="48">
        <f>Tabell2[[#This Row],[Befvekst10-I]]*Vekter!$E$3</f>
        <v>11.214369173757373</v>
      </c>
      <c r="AG83" s="48">
        <f>Tabell2[[#This Row],[Kvinneandel-I]]*Vekter!$F$3</f>
        <v>3.4020967691343231</v>
      </c>
      <c r="AH83" s="48">
        <f>Tabell2[[#This Row],[Eldreandel-I]]*Vekter!$G$3</f>
        <v>4.3545823267031443</v>
      </c>
      <c r="AI83" s="48">
        <f>Tabell2[[#This Row],[Sysselsettingsvekst10-I]]*Vekter!$H$3</f>
        <v>1.9617862450038501</v>
      </c>
      <c r="AJ83" s="48">
        <f>Tabell2[[#This Row],[Yrkesaktivandel-I]]*Vekter!$J$3</f>
        <v>3.4325748782561649</v>
      </c>
      <c r="AK83" s="48">
        <f>Tabell2[[#This Row],[Inntekt-I]]*Vekter!$L$3</f>
        <v>7.4349302150132024</v>
      </c>
      <c r="AL83" s="37">
        <f>SUM(Tabell2[[#This Row],[NIBR11-v]:[Inntekt-v]])</f>
        <v>64.110915704918284</v>
      </c>
    </row>
    <row r="84" spans="1:38">
      <c r="A84" s="2" t="s">
        <v>81</v>
      </c>
      <c r="B84">
        <f>'Rådata-K'!M83</f>
        <v>1</v>
      </c>
      <c r="C84" s="9">
        <f>'Rådata-K'!L83</f>
        <v>62.294768634500002</v>
      </c>
      <c r="D84" s="51">
        <f>'Rådata-K'!N83</f>
        <v>17.983215489327961</v>
      </c>
      <c r="E84" s="51">
        <f>'Rådata-K'!O83</f>
        <v>3.9098892707140065E-2</v>
      </c>
      <c r="F84" s="51">
        <f>'Rådata-K'!P83</f>
        <v>0.10788564709340781</v>
      </c>
      <c r="G84" s="51">
        <f>'Rådata-K'!Q83</f>
        <v>0.16366576027044905</v>
      </c>
      <c r="H84" s="51">
        <f>'Rådata-K'!R83</f>
        <v>0.1448013064779532</v>
      </c>
      <c r="I84" s="51">
        <f>'Rådata-K'!S83</f>
        <v>0.86646201074443596</v>
      </c>
      <c r="J84" s="52">
        <f>'Rådata-K'!K83</f>
        <v>354500</v>
      </c>
      <c r="K84" s="26">
        <f>Tabell2[[#This Row],[NIBR11]]</f>
        <v>1</v>
      </c>
      <c r="L84" s="52">
        <f>IF(Tabell2[[#This Row],[ReisetidOslo]]&lt;=C$434,C$434,IF(Tabell2[[#This Row],[ReisetidOslo]]&gt;=C$435,C$435,Tabell2[[#This Row],[ReisetidOslo]]))</f>
        <v>62.294768634500002</v>
      </c>
      <c r="M84" s="51">
        <f>IF(Tabell2[[#This Row],[Beftettotal]]&lt;=D$434,D$434,IF(Tabell2[[#This Row],[Beftettotal]]&gt;=D$435,D$435,Tabell2[[#This Row],[Beftettotal]]))</f>
        <v>17.983215489327961</v>
      </c>
      <c r="N84" s="51">
        <f>IF(Tabell2[[#This Row],[Befvekst10]]&lt;=E$434,E$434,IF(Tabell2[[#This Row],[Befvekst10]]&gt;=E$435,E$435,Tabell2[[#This Row],[Befvekst10]]))</f>
        <v>3.9098892707140065E-2</v>
      </c>
      <c r="O84" s="51">
        <f>IF(Tabell2[[#This Row],[Kvinneandel]]&lt;=F$434,F$434,IF(Tabell2[[#This Row],[Kvinneandel]]&gt;=F$435,F$435,Tabell2[[#This Row],[Kvinneandel]]))</f>
        <v>0.10788564709340781</v>
      </c>
      <c r="P84" s="51">
        <f>IF(Tabell2[[#This Row],[Eldreandel]]&lt;=G$434,G$434,IF(Tabell2[[#This Row],[Eldreandel]]&gt;=G$435,G$435,Tabell2[[#This Row],[Eldreandel]]))</f>
        <v>0.16366576027044905</v>
      </c>
      <c r="Q84" s="51">
        <f>IF(Tabell2[[#This Row],[Sysselsettingsvekst10]]&lt;=H$434,H$434,IF(Tabell2[[#This Row],[Sysselsettingsvekst10]]&gt;=H$435,H$435,Tabell2[[#This Row],[Sysselsettingsvekst10]]))</f>
        <v>0.1448013064779532</v>
      </c>
      <c r="R84" s="51">
        <f>IF(Tabell2[[#This Row],[Yrkesaktivandel]]&lt;=I$434,I$434,IF(Tabell2[[#This Row],[Yrkesaktivandel]]&gt;=I$435,I$435,Tabell2[[#This Row],[Yrkesaktivandel]]))</f>
        <v>0.86646201074443596</v>
      </c>
      <c r="S84" s="52">
        <f>IF(Tabell2[[#This Row],[Inntekt]]&lt;=J$434,J$434,IF(Tabell2[[#This Row],[Inntekt]]&gt;=J$435,J$435,Tabell2[[#This Row],[Inntekt]]))</f>
        <v>354500</v>
      </c>
      <c r="T84" s="9">
        <f>IF(Tabell2[[#This Row],[NIBR11-T]]&lt;=K$437,100,IF(Tabell2[[#This Row],[NIBR11-T]]&gt;=K$436,0,100*(K$436-Tabell2[[#This Row],[NIBR11-T]])/K$439))</f>
        <v>100</v>
      </c>
      <c r="U84" s="9">
        <f>(L$436-Tabell2[[#This Row],[ReisetidOslo-T]])*100/L$439</f>
        <v>96.231088511520625</v>
      </c>
      <c r="V84" s="9">
        <f>100-(M$436-Tabell2[[#This Row],[Beftettotal-T]])*100/M$439</f>
        <v>13.109442535491397</v>
      </c>
      <c r="W84" s="9">
        <f>100-(N$436-Tabell2[[#This Row],[Befvekst10-T]])*100/N$439</f>
        <v>48.512052978765617</v>
      </c>
      <c r="X84" s="9">
        <f>100-(O$436-Tabell2[[#This Row],[Kvinneandel-T]])*100/O$439</f>
        <v>46.67728599777405</v>
      </c>
      <c r="Y84" s="9">
        <f>(P$436-Tabell2[[#This Row],[Eldreandel-T]])*100/P$439</f>
        <v>50.601951212800905</v>
      </c>
      <c r="Z84" s="9">
        <f>100-(Q$436-Tabell2[[#This Row],[Sysselsettingsvekst10-T]])*100/Q$439</f>
        <v>68.525355870712588</v>
      </c>
      <c r="AA84" s="9">
        <f>100-(R$436-Tabell2[[#This Row],[Yrkesaktivandel-T]])*100/R$439</f>
        <v>28.645935681180461</v>
      </c>
      <c r="AB84" s="9">
        <f>100-(S$436-Tabell2[[#This Row],[Inntekt-T]])*100/S$439</f>
        <v>42.788884697598391</v>
      </c>
      <c r="AC84" s="48">
        <f>Tabell2[[#This Row],[NIBR11-I]]*Vekter!$B$3</f>
        <v>20</v>
      </c>
      <c r="AD84" s="48">
        <f>Tabell2[[#This Row],[ReisetidOslo-I]]*Vekter!$C$3</f>
        <v>9.6231088511520628</v>
      </c>
      <c r="AE84" s="48">
        <f>Tabell2[[#This Row],[Beftettotal-I]]*Vekter!$D$3</f>
        <v>1.3109442535491398</v>
      </c>
      <c r="AF84" s="48">
        <f>Tabell2[[#This Row],[Befvekst10-I]]*Vekter!$E$3</f>
        <v>9.7024105957531237</v>
      </c>
      <c r="AG84" s="48">
        <f>Tabell2[[#This Row],[Kvinneandel-I]]*Vekter!$F$3</f>
        <v>2.3338642998887025</v>
      </c>
      <c r="AH84" s="48">
        <f>Tabell2[[#This Row],[Eldreandel-I]]*Vekter!$G$3</f>
        <v>2.5300975606400455</v>
      </c>
      <c r="AI84" s="48">
        <f>Tabell2[[#This Row],[Sysselsettingsvekst10-I]]*Vekter!$H$3</f>
        <v>6.8525355870712588</v>
      </c>
      <c r="AJ84" s="48">
        <f>Tabell2[[#This Row],[Yrkesaktivandel-I]]*Vekter!$J$3</f>
        <v>2.8645935681180461</v>
      </c>
      <c r="AK84" s="48">
        <f>Tabell2[[#This Row],[Inntekt-I]]*Vekter!$L$3</f>
        <v>4.2788884697598393</v>
      </c>
      <c r="AL84" s="37">
        <f>SUM(Tabell2[[#This Row],[NIBR11-v]:[Inntekt-v]])</f>
        <v>59.496443185932215</v>
      </c>
    </row>
    <row r="85" spans="1:38">
      <c r="A85" s="2" t="s">
        <v>82</v>
      </c>
      <c r="B85">
        <f>'Rådata-K'!M84</f>
        <v>4</v>
      </c>
      <c r="C85" s="9">
        <f>'Rådata-K'!L84</f>
        <v>100.843245534</v>
      </c>
      <c r="D85" s="51">
        <f>'Rådata-K'!N84</f>
        <v>7.8271733758031754</v>
      </c>
      <c r="E85" s="51">
        <f>'Rådata-K'!O84</f>
        <v>-5.6438265475008298E-2</v>
      </c>
      <c r="F85" s="51">
        <f>'Rådata-K'!P84</f>
        <v>9.3667777582880196E-2</v>
      </c>
      <c r="G85" s="51">
        <f>'Rådata-K'!Q84</f>
        <v>0.17505700754253639</v>
      </c>
      <c r="H85" s="51">
        <f>'Rådata-K'!R84</f>
        <v>-6.9002695417789806E-2</v>
      </c>
      <c r="I85" s="51">
        <f>'Rådata-K'!S84</f>
        <v>0.79338592233009708</v>
      </c>
      <c r="J85" s="52">
        <f>'Rådata-K'!K84</f>
        <v>312600</v>
      </c>
      <c r="K85" s="26">
        <f>Tabell2[[#This Row],[NIBR11]]</f>
        <v>4</v>
      </c>
      <c r="L85" s="52">
        <f>IF(Tabell2[[#This Row],[ReisetidOslo]]&lt;=C$434,C$434,IF(Tabell2[[#This Row],[ReisetidOslo]]&gt;=C$435,C$435,Tabell2[[#This Row],[ReisetidOslo]]))</f>
        <v>100.843245534</v>
      </c>
      <c r="M85" s="51">
        <f>IF(Tabell2[[#This Row],[Beftettotal]]&lt;=D$434,D$434,IF(Tabell2[[#This Row],[Beftettotal]]&gt;=D$435,D$435,Tabell2[[#This Row],[Beftettotal]]))</f>
        <v>7.8271733758031754</v>
      </c>
      <c r="N85" s="51">
        <f>IF(Tabell2[[#This Row],[Befvekst10]]&lt;=E$434,E$434,IF(Tabell2[[#This Row],[Befvekst10]]&gt;=E$435,E$435,Tabell2[[#This Row],[Befvekst10]]))</f>
        <v>-5.6438265475008298E-2</v>
      </c>
      <c r="O85" s="51">
        <f>IF(Tabell2[[#This Row],[Kvinneandel]]&lt;=F$434,F$434,IF(Tabell2[[#This Row],[Kvinneandel]]&gt;=F$435,F$435,Tabell2[[#This Row],[Kvinneandel]]))</f>
        <v>9.3667777582880196E-2</v>
      </c>
      <c r="P85" s="51">
        <f>IF(Tabell2[[#This Row],[Eldreandel]]&lt;=G$434,G$434,IF(Tabell2[[#This Row],[Eldreandel]]&gt;=G$435,G$435,Tabell2[[#This Row],[Eldreandel]]))</f>
        <v>0.17505700754253639</v>
      </c>
      <c r="Q85" s="51">
        <f>IF(Tabell2[[#This Row],[Sysselsettingsvekst10]]&lt;=H$434,H$434,IF(Tabell2[[#This Row],[Sysselsettingsvekst10]]&gt;=H$435,H$435,Tabell2[[#This Row],[Sysselsettingsvekst10]]))</f>
        <v>-6.8692498376029434E-2</v>
      </c>
      <c r="R85" s="51">
        <f>IF(Tabell2[[#This Row],[Yrkesaktivandel]]&lt;=I$434,I$434,IF(Tabell2[[#This Row],[Yrkesaktivandel]]&gt;=I$435,I$435,Tabell2[[#This Row],[Yrkesaktivandel]]))</f>
        <v>0.82803562853509294</v>
      </c>
      <c r="S85" s="52">
        <f>IF(Tabell2[[#This Row],[Inntekt]]&lt;=J$434,J$434,IF(Tabell2[[#This Row],[Inntekt]]&gt;=J$435,J$435,Tabell2[[#This Row],[Inntekt]]))</f>
        <v>320470</v>
      </c>
      <c r="T85" s="9">
        <f>IF(Tabell2[[#This Row],[NIBR11-T]]&lt;=K$437,100,IF(Tabell2[[#This Row],[NIBR11-T]]&gt;=K$436,0,100*(K$436-Tabell2[[#This Row],[NIBR11-T]])/K$439))</f>
        <v>70</v>
      </c>
      <c r="U85" s="9">
        <f>(L$436-Tabell2[[#This Row],[ReisetidOslo-T]])*100/L$439</f>
        <v>79.117469377037949</v>
      </c>
      <c r="V85" s="9">
        <f>100-(M$436-Tabell2[[#This Row],[Beftettotal-T]])*100/M$439</f>
        <v>5.1099138822431058</v>
      </c>
      <c r="W85" s="9">
        <f>100-(N$436-Tabell2[[#This Row],[Befvekst10-T]])*100/N$439</f>
        <v>9.8523947085062247</v>
      </c>
      <c r="X85" s="9">
        <f>100-(O$436-Tabell2[[#This Row],[Kvinneandel-T]])*100/O$439</f>
        <v>9.0184464991849183</v>
      </c>
      <c r="Y85" s="9">
        <f>(P$436-Tabell2[[#This Row],[Eldreandel-T]])*100/P$439</f>
        <v>37.687848418538181</v>
      </c>
      <c r="Z85" s="9">
        <f>100-(Q$436-Tabell2[[#This Row],[Sysselsettingsvekst10-T]])*100/Q$439</f>
        <v>0</v>
      </c>
      <c r="AA85" s="9">
        <f>100-(R$436-Tabell2[[#This Row],[Yrkesaktivandel-T]])*100/R$439</f>
        <v>0</v>
      </c>
      <c r="AB85" s="9">
        <f>100-(S$436-Tabell2[[#This Row],[Inntekt-T]])*100/S$439</f>
        <v>0</v>
      </c>
      <c r="AC85" s="48">
        <f>Tabell2[[#This Row],[NIBR11-I]]*Vekter!$B$3</f>
        <v>14</v>
      </c>
      <c r="AD85" s="48">
        <f>Tabell2[[#This Row],[ReisetidOslo-I]]*Vekter!$C$3</f>
        <v>7.9117469377037954</v>
      </c>
      <c r="AE85" s="48">
        <f>Tabell2[[#This Row],[Beftettotal-I]]*Vekter!$D$3</f>
        <v>0.51099138822431056</v>
      </c>
      <c r="AF85" s="48">
        <f>Tabell2[[#This Row],[Befvekst10-I]]*Vekter!$E$3</f>
        <v>1.9704789417012449</v>
      </c>
      <c r="AG85" s="48">
        <f>Tabell2[[#This Row],[Kvinneandel-I]]*Vekter!$F$3</f>
        <v>0.45092232495924595</v>
      </c>
      <c r="AH85" s="48">
        <f>Tabell2[[#This Row],[Eldreandel-I]]*Vekter!$G$3</f>
        <v>1.8843924209269092</v>
      </c>
      <c r="AI85" s="48">
        <f>Tabell2[[#This Row],[Sysselsettingsvekst10-I]]*Vekter!$H$3</f>
        <v>0</v>
      </c>
      <c r="AJ85" s="48">
        <f>Tabell2[[#This Row],[Yrkesaktivandel-I]]*Vekter!$J$3</f>
        <v>0</v>
      </c>
      <c r="AK85" s="48">
        <f>Tabell2[[#This Row],[Inntekt-I]]*Vekter!$L$3</f>
        <v>0</v>
      </c>
      <c r="AL85" s="37">
        <f>SUM(Tabell2[[#This Row],[NIBR11-v]:[Inntekt-v]])</f>
        <v>26.728532013515508</v>
      </c>
    </row>
    <row r="86" spans="1:38">
      <c r="A86" s="2" t="s">
        <v>83</v>
      </c>
      <c r="B86">
        <f>'Rådata-K'!M85</f>
        <v>4</v>
      </c>
      <c r="C86" s="9">
        <f>'Rådata-K'!L85</f>
        <v>124.109365427</v>
      </c>
      <c r="D86" s="51">
        <f>'Rådata-K'!N85</f>
        <v>7.0134301954339424</v>
      </c>
      <c r="E86" s="51">
        <f>'Rådata-K'!O85</f>
        <v>-3.1231925968768115E-2</v>
      </c>
      <c r="F86" s="51">
        <f>'Rådata-K'!P85</f>
        <v>9.7462686567164183E-2</v>
      </c>
      <c r="G86" s="51">
        <f>'Rådata-K'!Q85</f>
        <v>0.18656716417910449</v>
      </c>
      <c r="H86" s="51">
        <f>'Rådata-K'!R85</f>
        <v>8.2818743189248201E-2</v>
      </c>
      <c r="I86" s="51">
        <f>'Rådata-K'!S85</f>
        <v>0.85921434220933302</v>
      </c>
      <c r="J86" s="52">
        <f>'Rådata-K'!K85</f>
        <v>315200</v>
      </c>
      <c r="K86" s="26">
        <f>Tabell2[[#This Row],[NIBR11]]</f>
        <v>4</v>
      </c>
      <c r="L86" s="52">
        <f>IF(Tabell2[[#This Row],[ReisetidOslo]]&lt;=C$434,C$434,IF(Tabell2[[#This Row],[ReisetidOslo]]&gt;=C$435,C$435,Tabell2[[#This Row],[ReisetidOslo]]))</f>
        <v>124.109365427</v>
      </c>
      <c r="M86" s="51">
        <f>IF(Tabell2[[#This Row],[Beftettotal]]&lt;=D$434,D$434,IF(Tabell2[[#This Row],[Beftettotal]]&gt;=D$435,D$435,Tabell2[[#This Row],[Beftettotal]]))</f>
        <v>7.0134301954339424</v>
      </c>
      <c r="N86" s="51">
        <f>IF(Tabell2[[#This Row],[Befvekst10]]&lt;=E$434,E$434,IF(Tabell2[[#This Row],[Befvekst10]]&gt;=E$435,E$435,Tabell2[[#This Row],[Befvekst10]]))</f>
        <v>-3.1231925968768115E-2</v>
      </c>
      <c r="O86" s="51">
        <f>IF(Tabell2[[#This Row],[Kvinneandel]]&lt;=F$434,F$434,IF(Tabell2[[#This Row],[Kvinneandel]]&gt;=F$435,F$435,Tabell2[[#This Row],[Kvinneandel]]))</f>
        <v>9.7462686567164183E-2</v>
      </c>
      <c r="P86" s="51">
        <f>IF(Tabell2[[#This Row],[Eldreandel]]&lt;=G$434,G$434,IF(Tabell2[[#This Row],[Eldreandel]]&gt;=G$435,G$435,Tabell2[[#This Row],[Eldreandel]]))</f>
        <v>0.18656716417910449</v>
      </c>
      <c r="Q86" s="51">
        <f>IF(Tabell2[[#This Row],[Sysselsettingsvekst10]]&lt;=H$434,H$434,IF(Tabell2[[#This Row],[Sysselsettingsvekst10]]&gt;=H$435,H$435,Tabell2[[#This Row],[Sysselsettingsvekst10]]))</f>
        <v>8.2818743189248201E-2</v>
      </c>
      <c r="R86" s="51">
        <f>IF(Tabell2[[#This Row],[Yrkesaktivandel]]&lt;=I$434,I$434,IF(Tabell2[[#This Row],[Yrkesaktivandel]]&gt;=I$435,I$435,Tabell2[[#This Row],[Yrkesaktivandel]]))</f>
        <v>0.85921434220933302</v>
      </c>
      <c r="S86" s="52">
        <f>IF(Tabell2[[#This Row],[Inntekt]]&lt;=J$434,J$434,IF(Tabell2[[#This Row],[Inntekt]]&gt;=J$435,J$435,Tabell2[[#This Row],[Inntekt]]))</f>
        <v>320470</v>
      </c>
      <c r="T86" s="9">
        <f>IF(Tabell2[[#This Row],[NIBR11-T]]&lt;=K$437,100,IF(Tabell2[[#This Row],[NIBR11-T]]&gt;=K$436,0,100*(K$436-Tabell2[[#This Row],[NIBR11-T]])/K$439))</f>
        <v>70</v>
      </c>
      <c r="U86" s="9">
        <f>(L$436-Tabell2[[#This Row],[ReisetidOslo-T]])*100/L$439</f>
        <v>68.788461680467265</v>
      </c>
      <c r="V86" s="9">
        <f>100-(M$436-Tabell2[[#This Row],[Beftettotal-T]])*100/M$439</f>
        <v>4.4689592844790411</v>
      </c>
      <c r="W86" s="9">
        <f>100-(N$436-Tabell2[[#This Row],[Befvekst10-T]])*100/N$439</f>
        <v>20.052284365025969</v>
      </c>
      <c r="X86" s="9">
        <f>100-(O$436-Tabell2[[#This Row],[Kvinneandel-T]])*100/O$439</f>
        <v>19.070013525108564</v>
      </c>
      <c r="Y86" s="9">
        <f>(P$436-Tabell2[[#This Row],[Eldreandel-T]])*100/P$439</f>
        <v>24.638939687802836</v>
      </c>
      <c r="Z86" s="9">
        <f>100-(Q$436-Tabell2[[#This Row],[Sysselsettingsvekst10-T]])*100/Q$439</f>
        <v>48.630740146184024</v>
      </c>
      <c r="AA86" s="9">
        <f>100-(R$436-Tabell2[[#This Row],[Yrkesaktivandel-T]])*100/R$439</f>
        <v>23.242974622707607</v>
      </c>
      <c r="AB86" s="9">
        <f>100-(S$436-Tabell2[[#This Row],[Inntekt-T]])*100/S$439</f>
        <v>0</v>
      </c>
      <c r="AC86" s="48">
        <f>Tabell2[[#This Row],[NIBR11-I]]*Vekter!$B$3</f>
        <v>14</v>
      </c>
      <c r="AD86" s="48">
        <f>Tabell2[[#This Row],[ReisetidOslo-I]]*Vekter!$C$3</f>
        <v>6.878846168046727</v>
      </c>
      <c r="AE86" s="48">
        <f>Tabell2[[#This Row],[Beftettotal-I]]*Vekter!$D$3</f>
        <v>0.44689592844790416</v>
      </c>
      <c r="AF86" s="48">
        <f>Tabell2[[#This Row],[Befvekst10-I]]*Vekter!$E$3</f>
        <v>4.0104568730051939</v>
      </c>
      <c r="AG86" s="48">
        <f>Tabell2[[#This Row],[Kvinneandel-I]]*Vekter!$F$3</f>
        <v>0.95350067625542823</v>
      </c>
      <c r="AH86" s="48">
        <f>Tabell2[[#This Row],[Eldreandel-I]]*Vekter!$G$3</f>
        <v>1.2319469843901418</v>
      </c>
      <c r="AI86" s="48">
        <f>Tabell2[[#This Row],[Sysselsettingsvekst10-I]]*Vekter!$H$3</f>
        <v>4.8630740146184026</v>
      </c>
      <c r="AJ86" s="48">
        <f>Tabell2[[#This Row],[Yrkesaktivandel-I]]*Vekter!$J$3</f>
        <v>2.3242974622707608</v>
      </c>
      <c r="AK86" s="48">
        <f>Tabell2[[#This Row],[Inntekt-I]]*Vekter!$L$3</f>
        <v>0</v>
      </c>
      <c r="AL86" s="37">
        <f>SUM(Tabell2[[#This Row],[NIBR11-v]:[Inntekt-v]])</f>
        <v>34.709018107034559</v>
      </c>
    </row>
    <row r="87" spans="1:38">
      <c r="A87" s="2" t="s">
        <v>84</v>
      </c>
      <c r="B87">
        <f>'Rådata-K'!M86</f>
        <v>10</v>
      </c>
      <c r="C87" s="9">
        <f>'Rådata-K'!L86</f>
        <v>125.56281269900001</v>
      </c>
      <c r="D87" s="51">
        <f>'Rådata-K'!N86</f>
        <v>2.8249657361321505</v>
      </c>
      <c r="E87" s="51">
        <f>'Rådata-K'!O86</f>
        <v>-3.6296524146416487E-2</v>
      </c>
      <c r="F87" s="51">
        <f>'Rådata-K'!P86</f>
        <v>9.7989147781678901E-2</v>
      </c>
      <c r="G87" s="51">
        <f>'Rådata-K'!Q86</f>
        <v>0.19980849026492181</v>
      </c>
      <c r="H87" s="51">
        <f>'Rådata-K'!R86</f>
        <v>2.6856240126382325E-2</v>
      </c>
      <c r="I87" s="51">
        <f>'Rådata-K'!S86</f>
        <v>0.93239271017048797</v>
      </c>
      <c r="J87" s="52">
        <f>'Rådata-K'!K86</f>
        <v>322100</v>
      </c>
      <c r="K87" s="26">
        <f>Tabell2[[#This Row],[NIBR11]]</f>
        <v>10</v>
      </c>
      <c r="L87" s="52">
        <f>IF(Tabell2[[#This Row],[ReisetidOslo]]&lt;=C$434,C$434,IF(Tabell2[[#This Row],[ReisetidOslo]]&gt;=C$435,C$435,Tabell2[[#This Row],[ReisetidOslo]]))</f>
        <v>125.56281269900001</v>
      </c>
      <c r="M87" s="51">
        <f>IF(Tabell2[[#This Row],[Beftettotal]]&lt;=D$434,D$434,IF(Tabell2[[#This Row],[Beftettotal]]&gt;=D$435,D$435,Tabell2[[#This Row],[Beftettotal]]))</f>
        <v>2.8249657361321505</v>
      </c>
      <c r="N87" s="51">
        <f>IF(Tabell2[[#This Row],[Befvekst10]]&lt;=E$434,E$434,IF(Tabell2[[#This Row],[Befvekst10]]&gt;=E$435,E$435,Tabell2[[#This Row],[Befvekst10]]))</f>
        <v>-3.6296524146416487E-2</v>
      </c>
      <c r="O87" s="51">
        <f>IF(Tabell2[[#This Row],[Kvinneandel]]&lt;=F$434,F$434,IF(Tabell2[[#This Row],[Kvinneandel]]&gt;=F$435,F$435,Tabell2[[#This Row],[Kvinneandel]]))</f>
        <v>9.7989147781678901E-2</v>
      </c>
      <c r="P87" s="51">
        <f>IF(Tabell2[[#This Row],[Eldreandel]]&lt;=G$434,G$434,IF(Tabell2[[#This Row],[Eldreandel]]&gt;=G$435,G$435,Tabell2[[#This Row],[Eldreandel]]))</f>
        <v>0.19980849026492181</v>
      </c>
      <c r="Q87" s="51">
        <f>IF(Tabell2[[#This Row],[Sysselsettingsvekst10]]&lt;=H$434,H$434,IF(Tabell2[[#This Row],[Sysselsettingsvekst10]]&gt;=H$435,H$435,Tabell2[[#This Row],[Sysselsettingsvekst10]]))</f>
        <v>2.6856240126382325E-2</v>
      </c>
      <c r="R87" s="51">
        <f>IF(Tabell2[[#This Row],[Yrkesaktivandel]]&lt;=I$434,I$434,IF(Tabell2[[#This Row],[Yrkesaktivandel]]&gt;=I$435,I$435,Tabell2[[#This Row],[Yrkesaktivandel]]))</f>
        <v>0.93239271017048797</v>
      </c>
      <c r="S87" s="52">
        <f>IF(Tabell2[[#This Row],[Inntekt]]&lt;=J$434,J$434,IF(Tabell2[[#This Row],[Inntekt]]&gt;=J$435,J$435,Tabell2[[#This Row],[Inntekt]]))</f>
        <v>322100</v>
      </c>
      <c r="T87" s="9">
        <f>IF(Tabell2[[#This Row],[NIBR11-T]]&lt;=K$437,100,IF(Tabell2[[#This Row],[NIBR11-T]]&gt;=K$436,0,100*(K$436-Tabell2[[#This Row],[NIBR11-T]])/K$439))</f>
        <v>10</v>
      </c>
      <c r="U87" s="9">
        <f>(L$436-Tabell2[[#This Row],[ReisetidOslo-T]])*100/L$439</f>
        <v>68.143202903838827</v>
      </c>
      <c r="V87" s="9">
        <f>100-(M$436-Tabell2[[#This Row],[Beftettotal-T]])*100/M$439</f>
        <v>1.1698649049197911</v>
      </c>
      <c r="W87" s="9">
        <f>100-(N$436-Tabell2[[#This Row],[Befvekst10-T]])*100/N$439</f>
        <v>18.002865703746892</v>
      </c>
      <c r="X87" s="9">
        <f>100-(O$436-Tabell2[[#This Row],[Kvinneandel-T]])*100/O$439</f>
        <v>20.464450178572136</v>
      </c>
      <c r="Y87" s="9">
        <f>(P$436-Tabell2[[#This Row],[Eldreandel-T]])*100/P$439</f>
        <v>9.6274275925813946</v>
      </c>
      <c r="Z87" s="9">
        <f>100-(Q$436-Tabell2[[#This Row],[Sysselsettingsvekst10-T]])*100/Q$439</f>
        <v>30.668390182813695</v>
      </c>
      <c r="AA87" s="9">
        <f>100-(R$436-Tabell2[[#This Row],[Yrkesaktivandel-T]])*100/R$439</f>
        <v>77.795672569882953</v>
      </c>
      <c r="AB87" s="9">
        <f>100-(S$436-Tabell2[[#This Row],[Inntekt-T]])*100/S$439</f>
        <v>2.049541053690433</v>
      </c>
      <c r="AC87" s="48">
        <f>Tabell2[[#This Row],[NIBR11-I]]*Vekter!$B$3</f>
        <v>2</v>
      </c>
      <c r="AD87" s="48">
        <f>Tabell2[[#This Row],[ReisetidOslo-I]]*Vekter!$C$3</f>
        <v>6.8143202903838827</v>
      </c>
      <c r="AE87" s="48">
        <f>Tabell2[[#This Row],[Beftettotal-I]]*Vekter!$D$3</f>
        <v>0.11698649049197912</v>
      </c>
      <c r="AF87" s="48">
        <f>Tabell2[[#This Row],[Befvekst10-I]]*Vekter!$E$3</f>
        <v>3.6005731407493786</v>
      </c>
      <c r="AG87" s="48">
        <f>Tabell2[[#This Row],[Kvinneandel-I]]*Vekter!$F$3</f>
        <v>1.0232225089286069</v>
      </c>
      <c r="AH87" s="48">
        <f>Tabell2[[#This Row],[Eldreandel-I]]*Vekter!$G$3</f>
        <v>0.48137137962906973</v>
      </c>
      <c r="AI87" s="48">
        <f>Tabell2[[#This Row],[Sysselsettingsvekst10-I]]*Vekter!$H$3</f>
        <v>3.0668390182813696</v>
      </c>
      <c r="AJ87" s="48">
        <f>Tabell2[[#This Row],[Yrkesaktivandel-I]]*Vekter!$J$3</f>
        <v>7.7795672569882957</v>
      </c>
      <c r="AK87" s="48">
        <f>Tabell2[[#This Row],[Inntekt-I]]*Vekter!$L$3</f>
        <v>0.20495410536904332</v>
      </c>
      <c r="AL87" s="37">
        <f>SUM(Tabell2[[#This Row],[NIBR11-v]:[Inntekt-v]])</f>
        <v>25.087834190821628</v>
      </c>
    </row>
    <row r="88" spans="1:38">
      <c r="A88" s="2" t="s">
        <v>85</v>
      </c>
      <c r="B88">
        <f>'Rådata-K'!M87</f>
        <v>5</v>
      </c>
      <c r="C88" s="9">
        <f>'Rådata-K'!L87</f>
        <v>136.953239018</v>
      </c>
      <c r="D88" s="51">
        <f>'Rådata-K'!N87</f>
        <v>3.0666027791087687</v>
      </c>
      <c r="E88" s="51">
        <f>'Rådata-K'!O87</f>
        <v>-1.4184397163120588E-3</v>
      </c>
      <c r="F88" s="51">
        <f>'Rådata-K'!P87</f>
        <v>8.8068181818181823E-2</v>
      </c>
      <c r="G88" s="51">
        <f>'Rådata-K'!Q87</f>
        <v>0.20667613636363635</v>
      </c>
      <c r="H88" s="51">
        <f>'Rådata-K'!R87</f>
        <v>-9.7690941385435215E-2</v>
      </c>
      <c r="I88" s="51">
        <f>'Rådata-K'!S87</f>
        <v>0.83908045977011492</v>
      </c>
      <c r="J88" s="52">
        <f>'Rådata-K'!K87</f>
        <v>283200</v>
      </c>
      <c r="K88" s="26">
        <f>Tabell2[[#This Row],[NIBR11]]</f>
        <v>5</v>
      </c>
      <c r="L88" s="52">
        <f>IF(Tabell2[[#This Row],[ReisetidOslo]]&lt;=C$434,C$434,IF(Tabell2[[#This Row],[ReisetidOslo]]&gt;=C$435,C$435,Tabell2[[#This Row],[ReisetidOslo]]))</f>
        <v>136.953239018</v>
      </c>
      <c r="M88" s="51">
        <f>IF(Tabell2[[#This Row],[Beftettotal]]&lt;=D$434,D$434,IF(Tabell2[[#This Row],[Beftettotal]]&gt;=D$435,D$435,Tabell2[[#This Row],[Beftettotal]]))</f>
        <v>3.0666027791087687</v>
      </c>
      <c r="N88" s="51">
        <f>IF(Tabell2[[#This Row],[Befvekst10]]&lt;=E$434,E$434,IF(Tabell2[[#This Row],[Befvekst10]]&gt;=E$435,E$435,Tabell2[[#This Row],[Befvekst10]]))</f>
        <v>-1.4184397163120588E-3</v>
      </c>
      <c r="O88" s="51">
        <f>IF(Tabell2[[#This Row],[Kvinneandel]]&lt;=F$434,F$434,IF(Tabell2[[#This Row],[Kvinneandel]]&gt;=F$435,F$435,Tabell2[[#This Row],[Kvinneandel]]))</f>
        <v>9.0262917071501733E-2</v>
      </c>
      <c r="P88" s="51">
        <f>IF(Tabell2[[#This Row],[Eldreandel]]&lt;=G$434,G$434,IF(Tabell2[[#This Row],[Eldreandel]]&gt;=G$435,G$435,Tabell2[[#This Row],[Eldreandel]]))</f>
        <v>0.20667613636363635</v>
      </c>
      <c r="Q88" s="51">
        <f>IF(Tabell2[[#This Row],[Sysselsettingsvekst10]]&lt;=H$434,H$434,IF(Tabell2[[#This Row],[Sysselsettingsvekst10]]&gt;=H$435,H$435,Tabell2[[#This Row],[Sysselsettingsvekst10]]))</f>
        <v>-6.8692498376029434E-2</v>
      </c>
      <c r="R88" s="51">
        <f>IF(Tabell2[[#This Row],[Yrkesaktivandel]]&lt;=I$434,I$434,IF(Tabell2[[#This Row],[Yrkesaktivandel]]&gt;=I$435,I$435,Tabell2[[#This Row],[Yrkesaktivandel]]))</f>
        <v>0.83908045977011492</v>
      </c>
      <c r="S88" s="52">
        <f>IF(Tabell2[[#This Row],[Inntekt]]&lt;=J$434,J$434,IF(Tabell2[[#This Row],[Inntekt]]&gt;=J$435,J$435,Tabell2[[#This Row],[Inntekt]]))</f>
        <v>320470</v>
      </c>
      <c r="T88" s="9">
        <f>IF(Tabell2[[#This Row],[NIBR11-T]]&lt;=K$437,100,IF(Tabell2[[#This Row],[NIBR11-T]]&gt;=K$436,0,100*(K$436-Tabell2[[#This Row],[NIBR11-T]])/K$439))</f>
        <v>60</v>
      </c>
      <c r="U88" s="9">
        <f>(L$436-Tabell2[[#This Row],[ReisetidOslo-T]])*100/L$439</f>
        <v>63.086416398085035</v>
      </c>
      <c r="V88" s="9">
        <f>100-(M$436-Tabell2[[#This Row],[Beftettotal-T]])*100/M$439</f>
        <v>1.3601932264618455</v>
      </c>
      <c r="W88" s="9">
        <f>100-(N$436-Tabell2[[#This Row],[Befvekst10-T]])*100/N$439</f>
        <v>32.116482340933445</v>
      </c>
      <c r="X88" s="9">
        <f>100-(O$436-Tabell2[[#This Row],[Kvinneandel-T]])*100/O$439</f>
        <v>0</v>
      </c>
      <c r="Y88" s="9">
        <f>(P$436-Tabell2[[#This Row],[Eldreandel-T]])*100/P$439</f>
        <v>1.8416701987674504</v>
      </c>
      <c r="Z88" s="9">
        <f>100-(Q$436-Tabell2[[#This Row],[Sysselsettingsvekst10-T]])*100/Q$439</f>
        <v>0</v>
      </c>
      <c r="AA88" s="9">
        <f>100-(R$436-Tabell2[[#This Row],[Yrkesaktivandel-T]])*100/R$439</f>
        <v>8.2336537289478571</v>
      </c>
      <c r="AB88" s="9">
        <f>100-(S$436-Tabell2[[#This Row],[Inntekt-T]])*100/S$439</f>
        <v>0</v>
      </c>
      <c r="AC88" s="48">
        <f>Tabell2[[#This Row],[NIBR11-I]]*Vekter!$B$3</f>
        <v>12</v>
      </c>
      <c r="AD88" s="48">
        <f>Tabell2[[#This Row],[ReisetidOslo-I]]*Vekter!$C$3</f>
        <v>6.3086416398085037</v>
      </c>
      <c r="AE88" s="48">
        <f>Tabell2[[#This Row],[Beftettotal-I]]*Vekter!$D$3</f>
        <v>0.13601932264618455</v>
      </c>
      <c r="AF88" s="48">
        <f>Tabell2[[#This Row],[Befvekst10-I]]*Vekter!$E$3</f>
        <v>6.4232964681866891</v>
      </c>
      <c r="AG88" s="48">
        <f>Tabell2[[#This Row],[Kvinneandel-I]]*Vekter!$F$3</f>
        <v>0</v>
      </c>
      <c r="AH88" s="48">
        <f>Tabell2[[#This Row],[Eldreandel-I]]*Vekter!$G$3</f>
        <v>9.2083509938372526E-2</v>
      </c>
      <c r="AI88" s="48">
        <f>Tabell2[[#This Row],[Sysselsettingsvekst10-I]]*Vekter!$H$3</f>
        <v>0</v>
      </c>
      <c r="AJ88" s="48">
        <f>Tabell2[[#This Row],[Yrkesaktivandel-I]]*Vekter!$J$3</f>
        <v>0.82336537289478573</v>
      </c>
      <c r="AK88" s="48">
        <f>Tabell2[[#This Row],[Inntekt-I]]*Vekter!$L$3</f>
        <v>0</v>
      </c>
      <c r="AL88" s="37">
        <f>SUM(Tabell2[[#This Row],[NIBR11-v]:[Inntekt-v]])</f>
        <v>25.783406313474533</v>
      </c>
    </row>
    <row r="89" spans="1:38">
      <c r="A89" s="2" t="s">
        <v>86</v>
      </c>
      <c r="B89">
        <f>'Rådata-K'!M88</f>
        <v>10</v>
      </c>
      <c r="C89" s="9">
        <f>'Rådata-K'!L88</f>
        <v>138.63652492040001</v>
      </c>
      <c r="D89" s="51">
        <f>'Rådata-K'!N88</f>
        <v>7.0787186162467464</v>
      </c>
      <c r="E89" s="51">
        <f>'Rådata-K'!O88</f>
        <v>-1.8657287046949023E-2</v>
      </c>
      <c r="F89" s="51">
        <f>'Rådata-K'!P88</f>
        <v>0.1111111111111111</v>
      </c>
      <c r="G89" s="51">
        <f>'Rådata-K'!Q88</f>
        <v>0.16767960105968521</v>
      </c>
      <c r="H89" s="51">
        <f>'Rådata-K'!R88</f>
        <v>-1.0579345088161163E-2</v>
      </c>
      <c r="I89" s="51">
        <f>'Rådata-K'!S88</f>
        <v>0.90719443701524471</v>
      </c>
      <c r="J89" s="52">
        <f>'Rådata-K'!K88</f>
        <v>338800</v>
      </c>
      <c r="K89" s="26">
        <f>Tabell2[[#This Row],[NIBR11]]</f>
        <v>10</v>
      </c>
      <c r="L89" s="52">
        <f>IF(Tabell2[[#This Row],[ReisetidOslo]]&lt;=C$434,C$434,IF(Tabell2[[#This Row],[ReisetidOslo]]&gt;=C$435,C$435,Tabell2[[#This Row],[ReisetidOslo]]))</f>
        <v>138.63652492040001</v>
      </c>
      <c r="M89" s="51">
        <f>IF(Tabell2[[#This Row],[Beftettotal]]&lt;=D$434,D$434,IF(Tabell2[[#This Row],[Beftettotal]]&gt;=D$435,D$435,Tabell2[[#This Row],[Beftettotal]]))</f>
        <v>7.0787186162467464</v>
      </c>
      <c r="N89" s="51">
        <f>IF(Tabell2[[#This Row],[Befvekst10]]&lt;=E$434,E$434,IF(Tabell2[[#This Row],[Befvekst10]]&gt;=E$435,E$435,Tabell2[[#This Row],[Befvekst10]]))</f>
        <v>-1.8657287046949023E-2</v>
      </c>
      <c r="O89" s="51">
        <f>IF(Tabell2[[#This Row],[Kvinneandel]]&lt;=F$434,F$434,IF(Tabell2[[#This Row],[Kvinneandel]]&gt;=F$435,F$435,Tabell2[[#This Row],[Kvinneandel]]))</f>
        <v>0.1111111111111111</v>
      </c>
      <c r="P89" s="51">
        <f>IF(Tabell2[[#This Row],[Eldreandel]]&lt;=G$434,G$434,IF(Tabell2[[#This Row],[Eldreandel]]&gt;=G$435,G$435,Tabell2[[#This Row],[Eldreandel]]))</f>
        <v>0.16767960105968521</v>
      </c>
      <c r="Q89" s="51">
        <f>IF(Tabell2[[#This Row],[Sysselsettingsvekst10]]&lt;=H$434,H$434,IF(Tabell2[[#This Row],[Sysselsettingsvekst10]]&gt;=H$435,H$435,Tabell2[[#This Row],[Sysselsettingsvekst10]]))</f>
        <v>-1.0579345088161163E-2</v>
      </c>
      <c r="R89" s="51">
        <f>IF(Tabell2[[#This Row],[Yrkesaktivandel]]&lt;=I$434,I$434,IF(Tabell2[[#This Row],[Yrkesaktivandel]]&gt;=I$435,I$435,Tabell2[[#This Row],[Yrkesaktivandel]]))</f>
        <v>0.90719443701524471</v>
      </c>
      <c r="S89" s="52">
        <f>IF(Tabell2[[#This Row],[Inntekt]]&lt;=J$434,J$434,IF(Tabell2[[#This Row],[Inntekt]]&gt;=J$435,J$435,Tabell2[[#This Row],[Inntekt]]))</f>
        <v>338800</v>
      </c>
      <c r="T89" s="9">
        <f>IF(Tabell2[[#This Row],[NIBR11-T]]&lt;=K$437,100,IF(Tabell2[[#This Row],[NIBR11-T]]&gt;=K$436,0,100*(K$436-Tabell2[[#This Row],[NIBR11-T]])/K$439))</f>
        <v>10</v>
      </c>
      <c r="U89" s="9">
        <f>(L$436-Tabell2[[#This Row],[ReisetidOslo-T]])*100/L$439</f>
        <v>62.339120625460325</v>
      </c>
      <c r="V89" s="9">
        <f>100-(M$436-Tabell2[[#This Row],[Beftettotal-T]])*100/M$439</f>
        <v>4.5203844939434674</v>
      </c>
      <c r="W89" s="9">
        <f>100-(N$436-Tabell2[[#This Row],[Befvekst10-T]])*100/N$439</f>
        <v>25.140684028982733</v>
      </c>
      <c r="X89" s="9">
        <f>100-(O$436-Tabell2[[#This Row],[Kvinneandel-T]])*100/O$439</f>
        <v>55.220565401289633</v>
      </c>
      <c r="Y89" s="9">
        <f>(P$436-Tabell2[[#This Row],[Eldreandel-T]])*100/P$439</f>
        <v>46.051514257664721</v>
      </c>
      <c r="Z89" s="9">
        <f>100-(Q$436-Tabell2[[#This Row],[Sysselsettingsvekst10-T]])*100/Q$439</f>
        <v>18.65264667770596</v>
      </c>
      <c r="AA89" s="9">
        <f>100-(R$436-Tabell2[[#This Row],[Yrkesaktivandel-T]])*100/R$439</f>
        <v>59.010971263643171</v>
      </c>
      <c r="AB89" s="9">
        <f>100-(S$436-Tabell2[[#This Row],[Inntekt-T]])*100/S$439</f>
        <v>23.04790645039607</v>
      </c>
      <c r="AC89" s="48">
        <f>Tabell2[[#This Row],[NIBR11-I]]*Vekter!$B$3</f>
        <v>2</v>
      </c>
      <c r="AD89" s="48">
        <f>Tabell2[[#This Row],[ReisetidOslo-I]]*Vekter!$C$3</f>
        <v>6.2339120625460325</v>
      </c>
      <c r="AE89" s="48">
        <f>Tabell2[[#This Row],[Beftettotal-I]]*Vekter!$D$3</f>
        <v>0.45203844939434679</v>
      </c>
      <c r="AF89" s="48">
        <f>Tabell2[[#This Row],[Befvekst10-I]]*Vekter!$E$3</f>
        <v>5.0281368057965468</v>
      </c>
      <c r="AG89" s="48">
        <f>Tabell2[[#This Row],[Kvinneandel-I]]*Vekter!$F$3</f>
        <v>2.7610282700644819</v>
      </c>
      <c r="AH89" s="48">
        <f>Tabell2[[#This Row],[Eldreandel-I]]*Vekter!$G$3</f>
        <v>2.302575712883236</v>
      </c>
      <c r="AI89" s="48">
        <f>Tabell2[[#This Row],[Sysselsettingsvekst10-I]]*Vekter!$H$3</f>
        <v>1.865264667770596</v>
      </c>
      <c r="AJ89" s="48">
        <f>Tabell2[[#This Row],[Yrkesaktivandel-I]]*Vekter!$J$3</f>
        <v>5.9010971263643173</v>
      </c>
      <c r="AK89" s="48">
        <f>Tabell2[[#This Row],[Inntekt-I]]*Vekter!$L$3</f>
        <v>2.3047906450396072</v>
      </c>
      <c r="AL89" s="37">
        <f>SUM(Tabell2[[#This Row],[NIBR11-v]:[Inntekt-v]])</f>
        <v>28.848843739859163</v>
      </c>
    </row>
    <row r="90" spans="1:38">
      <c r="A90" s="2" t="s">
        <v>87</v>
      </c>
      <c r="B90">
        <f>'Rådata-K'!M89</f>
        <v>10</v>
      </c>
      <c r="C90" s="9">
        <f>'Rådata-K'!L89</f>
        <v>157.99251420979999</v>
      </c>
      <c r="D90" s="51">
        <f>'Rådata-K'!N89</f>
        <v>4.7209929843497029</v>
      </c>
      <c r="E90" s="51">
        <f>'Rådata-K'!O89</f>
        <v>-5.078125E-2</v>
      </c>
      <c r="F90" s="51">
        <f>'Rådata-K'!P89</f>
        <v>9.647919524462735E-2</v>
      </c>
      <c r="G90" s="51">
        <f>'Rådata-K'!Q89</f>
        <v>0.17192501143118427</v>
      </c>
      <c r="H90" s="51">
        <f>'Rådata-K'!R89</f>
        <v>2.0942408376962707E-3</v>
      </c>
      <c r="I90" s="51">
        <f>'Rådata-K'!S89</f>
        <v>0.9437299035369775</v>
      </c>
      <c r="J90" s="52">
        <f>'Rådata-K'!K89</f>
        <v>326900</v>
      </c>
      <c r="K90" s="26">
        <f>Tabell2[[#This Row],[NIBR11]]</f>
        <v>10</v>
      </c>
      <c r="L90" s="52">
        <f>IF(Tabell2[[#This Row],[ReisetidOslo]]&lt;=C$434,C$434,IF(Tabell2[[#This Row],[ReisetidOslo]]&gt;=C$435,C$435,Tabell2[[#This Row],[ReisetidOslo]]))</f>
        <v>157.99251420979999</v>
      </c>
      <c r="M90" s="51">
        <f>IF(Tabell2[[#This Row],[Beftettotal]]&lt;=D$434,D$434,IF(Tabell2[[#This Row],[Beftettotal]]&gt;=D$435,D$435,Tabell2[[#This Row],[Beftettotal]]))</f>
        <v>4.7209929843497029</v>
      </c>
      <c r="N90" s="51">
        <f>IF(Tabell2[[#This Row],[Befvekst10]]&lt;=E$434,E$434,IF(Tabell2[[#This Row],[Befvekst10]]&gt;=E$435,E$435,Tabell2[[#This Row],[Befvekst10]]))</f>
        <v>-5.078125E-2</v>
      </c>
      <c r="O90" s="51">
        <f>IF(Tabell2[[#This Row],[Kvinneandel]]&lt;=F$434,F$434,IF(Tabell2[[#This Row],[Kvinneandel]]&gt;=F$435,F$435,Tabell2[[#This Row],[Kvinneandel]]))</f>
        <v>9.647919524462735E-2</v>
      </c>
      <c r="P90" s="51">
        <f>IF(Tabell2[[#This Row],[Eldreandel]]&lt;=G$434,G$434,IF(Tabell2[[#This Row],[Eldreandel]]&gt;=G$435,G$435,Tabell2[[#This Row],[Eldreandel]]))</f>
        <v>0.17192501143118427</v>
      </c>
      <c r="Q90" s="51">
        <f>IF(Tabell2[[#This Row],[Sysselsettingsvekst10]]&lt;=H$434,H$434,IF(Tabell2[[#This Row],[Sysselsettingsvekst10]]&gt;=H$435,H$435,Tabell2[[#This Row],[Sysselsettingsvekst10]]))</f>
        <v>2.0942408376962707E-3</v>
      </c>
      <c r="R90" s="51">
        <f>IF(Tabell2[[#This Row],[Yrkesaktivandel]]&lt;=I$434,I$434,IF(Tabell2[[#This Row],[Yrkesaktivandel]]&gt;=I$435,I$435,Tabell2[[#This Row],[Yrkesaktivandel]]))</f>
        <v>0.9437299035369775</v>
      </c>
      <c r="S90" s="52">
        <f>IF(Tabell2[[#This Row],[Inntekt]]&lt;=J$434,J$434,IF(Tabell2[[#This Row],[Inntekt]]&gt;=J$435,J$435,Tabell2[[#This Row],[Inntekt]]))</f>
        <v>326900</v>
      </c>
      <c r="T90" s="9">
        <f>IF(Tabell2[[#This Row],[NIBR11-T]]&lt;=K$437,100,IF(Tabell2[[#This Row],[NIBR11-T]]&gt;=K$436,0,100*(K$436-Tabell2[[#This Row],[NIBR11-T]])/K$439))</f>
        <v>10</v>
      </c>
      <c r="U90" s="9">
        <f>(L$436-Tabell2[[#This Row],[ReisetidOslo-T]])*100/L$439</f>
        <v>53.746017724572063</v>
      </c>
      <c r="V90" s="9">
        <f>100-(M$436-Tabell2[[#This Row],[Beftettotal-T]])*100/M$439</f>
        <v>2.6632935585148232</v>
      </c>
      <c r="W90" s="9">
        <f>100-(N$436-Tabell2[[#This Row],[Befvekst10-T]])*100/N$439</f>
        <v>12.141538422373301</v>
      </c>
      <c r="X90" s="9">
        <f>100-(O$436-Tabell2[[#This Row],[Kvinneandel-T]])*100/O$439</f>
        <v>16.465042236249445</v>
      </c>
      <c r="Y90" s="9">
        <f>(P$436-Tabell2[[#This Row],[Eldreandel-T]])*100/P$439</f>
        <v>41.238550002581739</v>
      </c>
      <c r="Z90" s="9">
        <f>100-(Q$436-Tabell2[[#This Row],[Sysselsettingsvekst10-T]])*100/Q$439</f>
        <v>22.720502353056418</v>
      </c>
      <c r="AA90" s="9">
        <f>100-(R$436-Tabell2[[#This Row],[Yrkesaktivandel-T]])*100/R$439</f>
        <v>86.247275174892209</v>
      </c>
      <c r="AB90" s="9">
        <f>100-(S$436-Tabell2[[#This Row],[Inntekt-T]])*100/S$439</f>
        <v>8.0849993713064237</v>
      </c>
      <c r="AC90" s="48">
        <f>Tabell2[[#This Row],[NIBR11-I]]*Vekter!$B$3</f>
        <v>2</v>
      </c>
      <c r="AD90" s="48">
        <f>Tabell2[[#This Row],[ReisetidOslo-I]]*Vekter!$C$3</f>
        <v>5.3746017724572068</v>
      </c>
      <c r="AE90" s="48">
        <f>Tabell2[[#This Row],[Beftettotal-I]]*Vekter!$D$3</f>
        <v>0.26632935585148232</v>
      </c>
      <c r="AF90" s="48">
        <f>Tabell2[[#This Row],[Befvekst10-I]]*Vekter!$E$3</f>
        <v>2.4283076844746603</v>
      </c>
      <c r="AG90" s="48">
        <f>Tabell2[[#This Row],[Kvinneandel-I]]*Vekter!$F$3</f>
        <v>0.82325211181247226</v>
      </c>
      <c r="AH90" s="48">
        <f>Tabell2[[#This Row],[Eldreandel-I]]*Vekter!$G$3</f>
        <v>2.0619275001290869</v>
      </c>
      <c r="AI90" s="48">
        <f>Tabell2[[#This Row],[Sysselsettingsvekst10-I]]*Vekter!$H$3</f>
        <v>2.2720502353056418</v>
      </c>
      <c r="AJ90" s="48">
        <f>Tabell2[[#This Row],[Yrkesaktivandel-I]]*Vekter!$J$3</f>
        <v>8.6247275174892213</v>
      </c>
      <c r="AK90" s="48">
        <f>Tabell2[[#This Row],[Inntekt-I]]*Vekter!$L$3</f>
        <v>0.80849993713064239</v>
      </c>
      <c r="AL90" s="37">
        <f>SUM(Tabell2[[#This Row],[NIBR11-v]:[Inntekt-v]])</f>
        <v>24.659696114650416</v>
      </c>
    </row>
    <row r="91" spans="1:38">
      <c r="A91" s="2" t="s">
        <v>88</v>
      </c>
      <c r="B91">
        <f>'Rådata-K'!M90</f>
        <v>10</v>
      </c>
      <c r="C91" s="9">
        <f>'Rådata-K'!L90</f>
        <v>153.43543214070002</v>
      </c>
      <c r="D91" s="51">
        <f>'Rådata-K'!N90</f>
        <v>3.3287994102438971</v>
      </c>
      <c r="E91" s="51">
        <f>'Rådata-K'!O90</f>
        <v>2.8883183568677806E-2</v>
      </c>
      <c r="F91" s="51">
        <f>'Rådata-K'!P90</f>
        <v>0.11540860885839052</v>
      </c>
      <c r="G91" s="51">
        <f>'Rådata-K'!Q90</f>
        <v>0.17404865876481598</v>
      </c>
      <c r="H91" s="51">
        <f>'Rådata-K'!R90</f>
        <v>-7.9079798705966597E-3</v>
      </c>
      <c r="I91" s="51">
        <f>'Rådata-K'!S90</f>
        <v>0.98379254457050247</v>
      </c>
      <c r="J91" s="52">
        <f>'Rådata-K'!K90</f>
        <v>350300</v>
      </c>
      <c r="K91" s="26">
        <f>Tabell2[[#This Row],[NIBR11]]</f>
        <v>10</v>
      </c>
      <c r="L91" s="52">
        <f>IF(Tabell2[[#This Row],[ReisetidOslo]]&lt;=C$434,C$434,IF(Tabell2[[#This Row],[ReisetidOslo]]&gt;=C$435,C$435,Tabell2[[#This Row],[ReisetidOslo]]))</f>
        <v>153.43543214070002</v>
      </c>
      <c r="M91" s="51">
        <f>IF(Tabell2[[#This Row],[Beftettotal]]&lt;=D$434,D$434,IF(Tabell2[[#This Row],[Beftettotal]]&gt;=D$435,D$435,Tabell2[[#This Row],[Beftettotal]]))</f>
        <v>3.3287994102438971</v>
      </c>
      <c r="N91" s="51">
        <f>IF(Tabell2[[#This Row],[Befvekst10]]&lt;=E$434,E$434,IF(Tabell2[[#This Row],[Befvekst10]]&gt;=E$435,E$435,Tabell2[[#This Row],[Befvekst10]]))</f>
        <v>2.8883183568677806E-2</v>
      </c>
      <c r="O91" s="51">
        <f>IF(Tabell2[[#This Row],[Kvinneandel]]&lt;=F$434,F$434,IF(Tabell2[[#This Row],[Kvinneandel]]&gt;=F$435,F$435,Tabell2[[#This Row],[Kvinneandel]]))</f>
        <v>0.11540860885839052</v>
      </c>
      <c r="P91" s="51">
        <f>IF(Tabell2[[#This Row],[Eldreandel]]&lt;=G$434,G$434,IF(Tabell2[[#This Row],[Eldreandel]]&gt;=G$435,G$435,Tabell2[[#This Row],[Eldreandel]]))</f>
        <v>0.17404865876481598</v>
      </c>
      <c r="Q91" s="51">
        <f>IF(Tabell2[[#This Row],[Sysselsettingsvekst10]]&lt;=H$434,H$434,IF(Tabell2[[#This Row],[Sysselsettingsvekst10]]&gt;=H$435,H$435,Tabell2[[#This Row],[Sysselsettingsvekst10]]))</f>
        <v>-7.9079798705966597E-3</v>
      </c>
      <c r="R91" s="51">
        <f>IF(Tabell2[[#This Row],[Yrkesaktivandel]]&lt;=I$434,I$434,IF(Tabell2[[#This Row],[Yrkesaktivandel]]&gt;=I$435,I$435,Tabell2[[#This Row],[Yrkesaktivandel]]))</f>
        <v>0.96217815624658265</v>
      </c>
      <c r="S91" s="52">
        <f>IF(Tabell2[[#This Row],[Inntekt]]&lt;=J$434,J$434,IF(Tabell2[[#This Row],[Inntekt]]&gt;=J$435,J$435,Tabell2[[#This Row],[Inntekt]]))</f>
        <v>350300</v>
      </c>
      <c r="T91" s="9">
        <f>IF(Tabell2[[#This Row],[NIBR11-T]]&lt;=K$437,100,IF(Tabell2[[#This Row],[NIBR11-T]]&gt;=K$436,0,100*(K$436-Tabell2[[#This Row],[NIBR11-T]])/K$439))</f>
        <v>10</v>
      </c>
      <c r="U91" s="9">
        <f>(L$436-Tabell2[[#This Row],[ReisetidOslo-T]])*100/L$439</f>
        <v>55.769137006262</v>
      </c>
      <c r="V91" s="9">
        <f>100-(M$436-Tabell2[[#This Row],[Beftettotal-T]])*100/M$439</f>
        <v>1.5667155547571809</v>
      </c>
      <c r="W91" s="9">
        <f>100-(N$436-Tabell2[[#This Row],[Befvekst10-T]])*100/N$439</f>
        <v>44.378207762976977</v>
      </c>
      <c r="X91" s="9">
        <f>100-(O$436-Tabell2[[#This Row],[Kvinneandel-T]])*100/O$439</f>
        <v>66.603338171183907</v>
      </c>
      <c r="Y91" s="9">
        <f>(P$436-Tabell2[[#This Row],[Eldreandel-T]])*100/P$439</f>
        <v>38.830999774742949</v>
      </c>
      <c r="Z91" s="9">
        <f>100-(Q$436-Tabell2[[#This Row],[Sysselsettingsvekst10-T]])*100/Q$439</f>
        <v>19.510077891316357</v>
      </c>
      <c r="AA91" s="9">
        <f>100-(R$436-Tabell2[[#This Row],[Yrkesaktivandel-T]])*100/R$439</f>
        <v>100</v>
      </c>
      <c r="AB91" s="9">
        <f>100-(S$436-Tabell2[[#This Row],[Inntekt-T]])*100/S$439</f>
        <v>37.507858669684396</v>
      </c>
      <c r="AC91" s="48">
        <f>Tabell2[[#This Row],[NIBR11-I]]*Vekter!$B$3</f>
        <v>2</v>
      </c>
      <c r="AD91" s="48">
        <f>Tabell2[[#This Row],[ReisetidOslo-I]]*Vekter!$C$3</f>
        <v>5.5769137006262</v>
      </c>
      <c r="AE91" s="48">
        <f>Tabell2[[#This Row],[Beftettotal-I]]*Vekter!$D$3</f>
        <v>0.15667155547571809</v>
      </c>
      <c r="AF91" s="48">
        <f>Tabell2[[#This Row],[Befvekst10-I]]*Vekter!$E$3</f>
        <v>8.8756415525953951</v>
      </c>
      <c r="AG91" s="48">
        <f>Tabell2[[#This Row],[Kvinneandel-I]]*Vekter!$F$3</f>
        <v>3.3301669085591956</v>
      </c>
      <c r="AH91" s="48">
        <f>Tabell2[[#This Row],[Eldreandel-I]]*Vekter!$G$3</f>
        <v>1.9415499887371475</v>
      </c>
      <c r="AI91" s="48">
        <f>Tabell2[[#This Row],[Sysselsettingsvekst10-I]]*Vekter!$H$3</f>
        <v>1.9510077891316358</v>
      </c>
      <c r="AJ91" s="48">
        <f>Tabell2[[#This Row],[Yrkesaktivandel-I]]*Vekter!$J$3</f>
        <v>10</v>
      </c>
      <c r="AK91" s="48">
        <f>Tabell2[[#This Row],[Inntekt-I]]*Vekter!$L$3</f>
        <v>3.7507858669684397</v>
      </c>
      <c r="AL91" s="37">
        <f>SUM(Tabell2[[#This Row],[NIBR11-v]:[Inntekt-v]])</f>
        <v>37.582737362093738</v>
      </c>
    </row>
    <row r="92" spans="1:38">
      <c r="A92" s="2" t="s">
        <v>89</v>
      </c>
      <c r="B92">
        <f>'Rådata-K'!M91</f>
        <v>10</v>
      </c>
      <c r="C92" s="9">
        <f>'Rådata-K'!L91</f>
        <v>181.49229088929999</v>
      </c>
      <c r="D92" s="51">
        <f>'Rådata-K'!N91</f>
        <v>1.0641336477465211</v>
      </c>
      <c r="E92" s="51">
        <f>'Rådata-K'!O91</f>
        <v>-8.6633663366336711E-3</v>
      </c>
      <c r="F92" s="51">
        <f>'Rådata-K'!P91</f>
        <v>0.10237203495630462</v>
      </c>
      <c r="G92" s="51">
        <f>'Rådata-K'!Q91</f>
        <v>0.18289637952559301</v>
      </c>
      <c r="H92" s="51">
        <f>'Rådata-K'!R91</f>
        <v>0.10042432814710045</v>
      </c>
      <c r="I92" s="51">
        <f>'Rådata-K'!S91</f>
        <v>0.9682017543859649</v>
      </c>
      <c r="J92" s="52">
        <f>'Rådata-K'!K91</f>
        <v>304900</v>
      </c>
      <c r="K92" s="26">
        <f>Tabell2[[#This Row],[NIBR11]]</f>
        <v>10</v>
      </c>
      <c r="L92" s="52">
        <f>IF(Tabell2[[#This Row],[ReisetidOslo]]&lt;=C$434,C$434,IF(Tabell2[[#This Row],[ReisetidOslo]]&gt;=C$435,C$435,Tabell2[[#This Row],[ReisetidOslo]]))</f>
        <v>181.49229088929999</v>
      </c>
      <c r="M92" s="51">
        <f>IF(Tabell2[[#This Row],[Beftettotal]]&lt;=D$434,D$434,IF(Tabell2[[#This Row],[Beftettotal]]&gt;=D$435,D$435,Tabell2[[#This Row],[Beftettotal]]))</f>
        <v>1.3397285732306117</v>
      </c>
      <c r="N92" s="51">
        <f>IF(Tabell2[[#This Row],[Befvekst10]]&lt;=E$434,E$434,IF(Tabell2[[#This Row],[Befvekst10]]&gt;=E$435,E$435,Tabell2[[#This Row],[Befvekst10]]))</f>
        <v>-8.6633663366336711E-3</v>
      </c>
      <c r="O92" s="51">
        <f>IF(Tabell2[[#This Row],[Kvinneandel]]&lt;=F$434,F$434,IF(Tabell2[[#This Row],[Kvinneandel]]&gt;=F$435,F$435,Tabell2[[#This Row],[Kvinneandel]]))</f>
        <v>0.10237203495630462</v>
      </c>
      <c r="P92" s="51">
        <f>IF(Tabell2[[#This Row],[Eldreandel]]&lt;=G$434,G$434,IF(Tabell2[[#This Row],[Eldreandel]]&gt;=G$435,G$435,Tabell2[[#This Row],[Eldreandel]]))</f>
        <v>0.18289637952559301</v>
      </c>
      <c r="Q92" s="51">
        <f>IF(Tabell2[[#This Row],[Sysselsettingsvekst10]]&lt;=H$434,H$434,IF(Tabell2[[#This Row],[Sysselsettingsvekst10]]&gt;=H$435,H$435,Tabell2[[#This Row],[Sysselsettingsvekst10]]))</f>
        <v>0.10042432814710045</v>
      </c>
      <c r="R92" s="51">
        <f>IF(Tabell2[[#This Row],[Yrkesaktivandel]]&lt;=I$434,I$434,IF(Tabell2[[#This Row],[Yrkesaktivandel]]&gt;=I$435,I$435,Tabell2[[#This Row],[Yrkesaktivandel]]))</f>
        <v>0.96217815624658265</v>
      </c>
      <c r="S92" s="52">
        <f>IF(Tabell2[[#This Row],[Inntekt]]&lt;=J$434,J$434,IF(Tabell2[[#This Row],[Inntekt]]&gt;=J$435,J$435,Tabell2[[#This Row],[Inntekt]]))</f>
        <v>320470</v>
      </c>
      <c r="T92" s="9">
        <f>IF(Tabell2[[#This Row],[NIBR11-T]]&lt;=K$437,100,IF(Tabell2[[#This Row],[NIBR11-T]]&gt;=K$436,0,100*(K$436-Tabell2[[#This Row],[NIBR11-T]])/K$439))</f>
        <v>10</v>
      </c>
      <c r="U92" s="9">
        <f>(L$436-Tabell2[[#This Row],[ReisetidOslo-T]])*100/L$439</f>
        <v>43.313277959344731</v>
      </c>
      <c r="V92" s="9">
        <f>100-(M$436-Tabell2[[#This Row],[Beftettotal-T]])*100/M$439</f>
        <v>0</v>
      </c>
      <c r="W92" s="9">
        <f>100-(N$436-Tabell2[[#This Row],[Befvekst10-T]])*100/N$439</f>
        <v>29.184781286975621</v>
      </c>
      <c r="X92" s="9">
        <f>100-(O$436-Tabell2[[#This Row],[Kvinneandel-T]])*100/O$439</f>
        <v>32.073393735652914</v>
      </c>
      <c r="Y92" s="9">
        <f>(P$436-Tabell2[[#This Row],[Eldreandel-T]])*100/P$439</f>
        <v>28.80045854686653</v>
      </c>
      <c r="Z92" s="9">
        <f>100-(Q$436-Tabell2[[#This Row],[Sysselsettingsvekst10-T]])*100/Q$439</f>
        <v>54.281625310622488</v>
      </c>
      <c r="AA92" s="9">
        <f>100-(R$436-Tabell2[[#This Row],[Yrkesaktivandel-T]])*100/R$439</f>
        <v>100</v>
      </c>
      <c r="AB92" s="9">
        <f>100-(S$436-Tabell2[[#This Row],[Inntekt-T]])*100/S$439</f>
        <v>0</v>
      </c>
      <c r="AC92" s="48">
        <f>Tabell2[[#This Row],[NIBR11-I]]*Vekter!$B$3</f>
        <v>2</v>
      </c>
      <c r="AD92" s="48">
        <f>Tabell2[[#This Row],[ReisetidOslo-I]]*Vekter!$C$3</f>
        <v>4.3313277959344729</v>
      </c>
      <c r="AE92" s="48">
        <f>Tabell2[[#This Row],[Beftettotal-I]]*Vekter!$D$3</f>
        <v>0</v>
      </c>
      <c r="AF92" s="48">
        <f>Tabell2[[#This Row],[Befvekst10-I]]*Vekter!$E$3</f>
        <v>5.8369562573951246</v>
      </c>
      <c r="AG92" s="48">
        <f>Tabell2[[#This Row],[Kvinneandel-I]]*Vekter!$F$3</f>
        <v>1.6036696867826459</v>
      </c>
      <c r="AH92" s="48">
        <f>Tabell2[[#This Row],[Eldreandel-I]]*Vekter!$G$3</f>
        <v>1.4400229273433265</v>
      </c>
      <c r="AI92" s="48">
        <f>Tabell2[[#This Row],[Sysselsettingsvekst10-I]]*Vekter!$H$3</f>
        <v>5.4281625310622488</v>
      </c>
      <c r="AJ92" s="48">
        <f>Tabell2[[#This Row],[Yrkesaktivandel-I]]*Vekter!$J$3</f>
        <v>10</v>
      </c>
      <c r="AK92" s="48">
        <f>Tabell2[[#This Row],[Inntekt-I]]*Vekter!$L$3</f>
        <v>0</v>
      </c>
      <c r="AL92" s="37">
        <f>SUM(Tabell2[[#This Row],[NIBR11-v]:[Inntekt-v]])</f>
        <v>30.640139198517815</v>
      </c>
    </row>
    <row r="93" spans="1:38">
      <c r="A93" s="2" t="s">
        <v>90</v>
      </c>
      <c r="B93">
        <f>'Rådata-K'!M92</f>
        <v>2</v>
      </c>
      <c r="C93" s="9">
        <f>'Rådata-K'!L92</f>
        <v>31.152421353600001</v>
      </c>
      <c r="D93" s="51">
        <f>'Rådata-K'!N92</f>
        <v>483.31386861313871</v>
      </c>
      <c r="E93" s="51">
        <f>'Rådata-K'!O92</f>
        <v>0.16804261924922392</v>
      </c>
      <c r="F93" s="51">
        <f>'Rådata-K'!P92</f>
        <v>0.13642130063128644</v>
      </c>
      <c r="G93" s="51">
        <f>'Rådata-K'!Q92</f>
        <v>0.14419911197027818</v>
      </c>
      <c r="H93" s="51">
        <f>'Rådata-K'!R92</f>
        <v>0.13032140500801148</v>
      </c>
      <c r="I93" s="51">
        <f>'Rådata-K'!S92</f>
        <v>0.82106727364693977</v>
      </c>
      <c r="J93" s="52">
        <f>'Rådata-K'!K92</f>
        <v>388000</v>
      </c>
      <c r="K93" s="26">
        <f>Tabell2[[#This Row],[NIBR11]]</f>
        <v>2</v>
      </c>
      <c r="L93" s="52">
        <f>IF(Tabell2[[#This Row],[ReisetidOslo]]&lt;=C$434,C$434,IF(Tabell2[[#This Row],[ReisetidOslo]]&gt;=C$435,C$435,Tabell2[[#This Row],[ReisetidOslo]]))</f>
        <v>53.805284539509998</v>
      </c>
      <c r="M93" s="51">
        <f>IF(Tabell2[[#This Row],[Beftettotal]]&lt;=D$434,D$434,IF(Tabell2[[#This Row],[Beftettotal]]&gt;=D$435,D$435,Tabell2[[#This Row],[Beftettotal]]))</f>
        <v>128.29773514779066</v>
      </c>
      <c r="N93" s="51">
        <f>IF(Tabell2[[#This Row],[Befvekst10]]&lt;=E$434,E$434,IF(Tabell2[[#This Row],[Befvekst10]]&gt;=E$435,E$435,Tabell2[[#This Row],[Befvekst10]]))</f>
        <v>0.16633778614624492</v>
      </c>
      <c r="O93" s="51">
        <f>IF(Tabell2[[#This Row],[Kvinneandel]]&lt;=F$434,F$434,IF(Tabell2[[#This Row],[Kvinneandel]]&gt;=F$435,F$435,Tabell2[[#This Row],[Kvinneandel]]))</f>
        <v>0.12801731869362362</v>
      </c>
      <c r="P93" s="51">
        <f>IF(Tabell2[[#This Row],[Eldreandel]]&lt;=G$434,G$434,IF(Tabell2[[#This Row],[Eldreandel]]&gt;=G$435,G$435,Tabell2[[#This Row],[Eldreandel]]))</f>
        <v>0.14419911197027818</v>
      </c>
      <c r="Q93" s="51">
        <f>IF(Tabell2[[#This Row],[Sysselsettingsvekst10]]&lt;=H$434,H$434,IF(Tabell2[[#This Row],[Sysselsettingsvekst10]]&gt;=H$435,H$435,Tabell2[[#This Row],[Sysselsettingsvekst10]]))</f>
        <v>0.13032140500801148</v>
      </c>
      <c r="R93" s="51">
        <f>IF(Tabell2[[#This Row],[Yrkesaktivandel]]&lt;=I$434,I$434,IF(Tabell2[[#This Row],[Yrkesaktivandel]]&gt;=I$435,I$435,Tabell2[[#This Row],[Yrkesaktivandel]]))</f>
        <v>0.82803562853509294</v>
      </c>
      <c r="S93" s="52">
        <f>IF(Tabell2[[#This Row],[Inntekt]]&lt;=J$434,J$434,IF(Tabell2[[#This Row],[Inntekt]]&gt;=J$435,J$435,Tabell2[[#This Row],[Inntekt]]))</f>
        <v>388000</v>
      </c>
      <c r="T93" s="9">
        <f>IF(Tabell2[[#This Row],[NIBR11-T]]&lt;=K$437,100,IF(Tabell2[[#This Row],[NIBR11-T]]&gt;=K$436,0,100*(K$436-Tabell2[[#This Row],[NIBR11-T]])/K$439))</f>
        <v>90</v>
      </c>
      <c r="U93" s="9">
        <f>(L$436-Tabell2[[#This Row],[ReisetidOslo-T]])*100/L$439</f>
        <v>100</v>
      </c>
      <c r="V93" s="9">
        <f>100-(M$436-Tabell2[[#This Row],[Beftettotal-T]])*100/M$439</f>
        <v>100</v>
      </c>
      <c r="W93" s="9">
        <f>100-(N$436-Tabell2[[#This Row],[Befvekst10-T]])*100/N$439</f>
        <v>100</v>
      </c>
      <c r="X93" s="9">
        <f>100-(O$436-Tabell2[[#This Row],[Kvinneandel-T]])*100/O$439</f>
        <v>100</v>
      </c>
      <c r="Y93" s="9">
        <f>(P$436-Tabell2[[#This Row],[Eldreandel-T]])*100/P$439</f>
        <v>72.671026811236274</v>
      </c>
      <c r="Z93" s="9">
        <f>100-(Q$436-Tabell2[[#This Row],[Sysselsettingsvekst10-T]])*100/Q$439</f>
        <v>63.877724985688808</v>
      </c>
      <c r="AA93" s="9">
        <f>100-(R$436-Tabell2[[#This Row],[Yrkesaktivandel-T]])*100/R$439</f>
        <v>0</v>
      </c>
      <c r="AB93" s="9">
        <f>100-(S$436-Tabell2[[#This Row],[Inntekt-T]])*100/S$439</f>
        <v>84.911354205960009</v>
      </c>
      <c r="AC93" s="48">
        <f>Tabell2[[#This Row],[NIBR11-I]]*Vekter!$B$3</f>
        <v>18</v>
      </c>
      <c r="AD93" s="48">
        <f>Tabell2[[#This Row],[ReisetidOslo-I]]*Vekter!$C$3</f>
        <v>10</v>
      </c>
      <c r="AE93" s="48">
        <f>Tabell2[[#This Row],[Beftettotal-I]]*Vekter!$D$3</f>
        <v>10</v>
      </c>
      <c r="AF93" s="48">
        <f>Tabell2[[#This Row],[Befvekst10-I]]*Vekter!$E$3</f>
        <v>20</v>
      </c>
      <c r="AG93" s="48">
        <f>Tabell2[[#This Row],[Kvinneandel-I]]*Vekter!$F$3</f>
        <v>5</v>
      </c>
      <c r="AH93" s="48">
        <f>Tabell2[[#This Row],[Eldreandel-I]]*Vekter!$G$3</f>
        <v>3.6335513405618141</v>
      </c>
      <c r="AI93" s="48">
        <f>Tabell2[[#This Row],[Sysselsettingsvekst10-I]]*Vekter!$H$3</f>
        <v>6.3877724985688813</v>
      </c>
      <c r="AJ93" s="48">
        <f>Tabell2[[#This Row],[Yrkesaktivandel-I]]*Vekter!$J$3</f>
        <v>0</v>
      </c>
      <c r="AK93" s="48">
        <f>Tabell2[[#This Row],[Inntekt-I]]*Vekter!$L$3</f>
        <v>8.4911354205960006</v>
      </c>
      <c r="AL93" s="37">
        <f>SUM(Tabell2[[#This Row],[NIBR11-v]:[Inntekt-v]])</f>
        <v>81.512459259726683</v>
      </c>
    </row>
    <row r="94" spans="1:38">
      <c r="A94" s="2" t="s">
        <v>91</v>
      </c>
      <c r="B94">
        <f>'Rådata-K'!M93</f>
        <v>5</v>
      </c>
      <c r="C94" s="9">
        <f>'Rådata-K'!L93</f>
        <v>61.9301193895</v>
      </c>
      <c r="D94" s="51">
        <f>'Rådata-K'!N93</f>
        <v>33.295086307985223</v>
      </c>
      <c r="E94" s="51">
        <f>'Rådata-K'!O93</f>
        <v>0.14045089401399324</v>
      </c>
      <c r="F94" s="51">
        <f>'Rådata-K'!P93</f>
        <v>0.12375975157161251</v>
      </c>
      <c r="G94" s="51">
        <f>'Rådata-K'!Q93</f>
        <v>0.14280845262440353</v>
      </c>
      <c r="H94" s="51">
        <f>'Rådata-K'!R93</f>
        <v>0.26965782914117375</v>
      </c>
      <c r="I94" s="51">
        <f>'Rådata-K'!S93</f>
        <v>0.88650130714786712</v>
      </c>
      <c r="J94" s="52">
        <f>'Rådata-K'!K93</f>
        <v>425100</v>
      </c>
      <c r="K94" s="26">
        <f>Tabell2[[#This Row],[NIBR11]]</f>
        <v>5</v>
      </c>
      <c r="L94" s="52">
        <f>IF(Tabell2[[#This Row],[ReisetidOslo]]&lt;=C$434,C$434,IF(Tabell2[[#This Row],[ReisetidOslo]]&gt;=C$435,C$435,Tabell2[[#This Row],[ReisetidOslo]]))</f>
        <v>61.9301193895</v>
      </c>
      <c r="M94" s="51">
        <f>IF(Tabell2[[#This Row],[Beftettotal]]&lt;=D$434,D$434,IF(Tabell2[[#This Row],[Beftettotal]]&gt;=D$435,D$435,Tabell2[[#This Row],[Beftettotal]]))</f>
        <v>33.295086307985223</v>
      </c>
      <c r="N94" s="51">
        <f>IF(Tabell2[[#This Row],[Befvekst10]]&lt;=E$434,E$434,IF(Tabell2[[#This Row],[Befvekst10]]&gt;=E$435,E$435,Tabell2[[#This Row],[Befvekst10]]))</f>
        <v>0.14045089401399324</v>
      </c>
      <c r="O94" s="51">
        <f>IF(Tabell2[[#This Row],[Kvinneandel]]&lt;=F$434,F$434,IF(Tabell2[[#This Row],[Kvinneandel]]&gt;=F$435,F$435,Tabell2[[#This Row],[Kvinneandel]]))</f>
        <v>0.12375975157161251</v>
      </c>
      <c r="P94" s="51">
        <f>IF(Tabell2[[#This Row],[Eldreandel]]&lt;=G$434,G$434,IF(Tabell2[[#This Row],[Eldreandel]]&gt;=G$435,G$435,Tabell2[[#This Row],[Eldreandel]]))</f>
        <v>0.14280845262440353</v>
      </c>
      <c r="Q94" s="51">
        <f>IF(Tabell2[[#This Row],[Sysselsettingsvekst10]]&lt;=H$434,H$434,IF(Tabell2[[#This Row],[Sysselsettingsvekst10]]&gt;=H$435,H$435,Tabell2[[#This Row],[Sysselsettingsvekst10]]))</f>
        <v>0.24286196513786068</v>
      </c>
      <c r="R94" s="51">
        <f>IF(Tabell2[[#This Row],[Yrkesaktivandel]]&lt;=I$434,I$434,IF(Tabell2[[#This Row],[Yrkesaktivandel]]&gt;=I$435,I$435,Tabell2[[#This Row],[Yrkesaktivandel]]))</f>
        <v>0.88650130714786712</v>
      </c>
      <c r="S94" s="52">
        <f>IF(Tabell2[[#This Row],[Inntekt]]&lt;=J$434,J$434,IF(Tabell2[[#This Row],[Inntekt]]&gt;=J$435,J$435,Tabell2[[#This Row],[Inntekt]]))</f>
        <v>400000</v>
      </c>
      <c r="T94" s="9">
        <f>IF(Tabell2[[#This Row],[NIBR11-T]]&lt;=K$437,100,IF(Tabell2[[#This Row],[NIBR11-T]]&gt;=K$436,0,100*(K$436-Tabell2[[#This Row],[NIBR11-T]])/K$439))</f>
        <v>60</v>
      </c>
      <c r="U94" s="9">
        <f>(L$436-Tabell2[[#This Row],[ReisetidOslo-T]])*100/L$439</f>
        <v>96.392974759656369</v>
      </c>
      <c r="V94" s="9">
        <f>100-(M$436-Tabell2[[#This Row],[Beftettotal-T]])*100/M$439</f>
        <v>25.170021644903386</v>
      </c>
      <c r="W94" s="9">
        <f>100-(N$436-Tabell2[[#This Row],[Befvekst10-T]])*100/N$439</f>
        <v>89.524720825337283</v>
      </c>
      <c r="X94" s="9">
        <f>100-(O$436-Tabell2[[#This Row],[Kvinneandel-T]])*100/O$439</f>
        <v>88.722991388859867</v>
      </c>
      <c r="Y94" s="9">
        <f>(P$436-Tabell2[[#This Row],[Eldreandel-T]])*100/P$439</f>
        <v>74.247598482051785</v>
      </c>
      <c r="Z94" s="9">
        <f>100-(Q$436-Tabell2[[#This Row],[Sysselsettingsvekst10-T]])*100/Q$439</f>
        <v>100</v>
      </c>
      <c r="AA94" s="9">
        <f>100-(R$436-Tabell2[[#This Row],[Yrkesaktivandel-T]])*100/R$439</f>
        <v>43.584744979996699</v>
      </c>
      <c r="AB94" s="9">
        <f>100-(S$436-Tabell2[[#This Row],[Inntekt-T]])*100/S$439</f>
        <v>100</v>
      </c>
      <c r="AC94" s="48">
        <f>Tabell2[[#This Row],[NIBR11-I]]*Vekter!$B$3</f>
        <v>12</v>
      </c>
      <c r="AD94" s="48">
        <f>Tabell2[[#This Row],[ReisetidOslo-I]]*Vekter!$C$3</f>
        <v>9.6392974759656376</v>
      </c>
      <c r="AE94" s="48">
        <f>Tabell2[[#This Row],[Beftettotal-I]]*Vekter!$D$3</f>
        <v>2.5170021644903389</v>
      </c>
      <c r="AF94" s="48">
        <f>Tabell2[[#This Row],[Befvekst10-I]]*Vekter!$E$3</f>
        <v>17.904944165067459</v>
      </c>
      <c r="AG94" s="48">
        <f>Tabell2[[#This Row],[Kvinneandel-I]]*Vekter!$F$3</f>
        <v>4.4361495694429935</v>
      </c>
      <c r="AH94" s="48">
        <f>Tabell2[[#This Row],[Eldreandel-I]]*Vekter!$G$3</f>
        <v>3.7123799241025894</v>
      </c>
      <c r="AI94" s="48">
        <f>Tabell2[[#This Row],[Sysselsettingsvekst10-I]]*Vekter!$H$3</f>
        <v>10</v>
      </c>
      <c r="AJ94" s="48">
        <f>Tabell2[[#This Row],[Yrkesaktivandel-I]]*Vekter!$J$3</f>
        <v>4.3584744979996701</v>
      </c>
      <c r="AK94" s="48">
        <f>Tabell2[[#This Row],[Inntekt-I]]*Vekter!$L$3</f>
        <v>10</v>
      </c>
      <c r="AL94" s="37">
        <f>SUM(Tabell2[[#This Row],[NIBR11-v]:[Inntekt-v]])</f>
        <v>74.568247797068693</v>
      </c>
    </row>
    <row r="95" spans="1:38">
      <c r="A95" s="2" t="s">
        <v>92</v>
      </c>
      <c r="B95">
        <f>'Rådata-K'!M94</f>
        <v>5</v>
      </c>
      <c r="C95" s="9">
        <f>'Rådata-K'!L94</f>
        <v>49.114770830099999</v>
      </c>
      <c r="D95" s="51">
        <f>'Rådata-K'!N94</f>
        <v>19.049823803277004</v>
      </c>
      <c r="E95" s="51">
        <f>'Rådata-K'!O94</f>
        <v>5.573770491803276E-2</v>
      </c>
      <c r="F95" s="51">
        <f>'Rådata-K'!P94</f>
        <v>0.11801242236024845</v>
      </c>
      <c r="G95" s="51">
        <f>'Rådata-K'!Q94</f>
        <v>0.15953281123413449</v>
      </c>
      <c r="H95" s="51">
        <f>'Rådata-K'!R94</f>
        <v>3.7605813169525826E-2</v>
      </c>
      <c r="I95" s="51">
        <f>'Rådata-K'!S94</f>
        <v>0.83978903192876997</v>
      </c>
      <c r="J95" s="52">
        <f>'Rådata-K'!K94</f>
        <v>355800</v>
      </c>
      <c r="K95" s="26">
        <f>Tabell2[[#This Row],[NIBR11]]</f>
        <v>5</v>
      </c>
      <c r="L95" s="52">
        <f>IF(Tabell2[[#This Row],[ReisetidOslo]]&lt;=C$434,C$434,IF(Tabell2[[#This Row],[ReisetidOslo]]&gt;=C$435,C$435,Tabell2[[#This Row],[ReisetidOslo]]))</f>
        <v>53.805284539509998</v>
      </c>
      <c r="M95" s="51">
        <f>IF(Tabell2[[#This Row],[Beftettotal]]&lt;=D$434,D$434,IF(Tabell2[[#This Row],[Beftettotal]]&gt;=D$435,D$435,Tabell2[[#This Row],[Beftettotal]]))</f>
        <v>19.049823803277004</v>
      </c>
      <c r="N95" s="51">
        <f>IF(Tabell2[[#This Row],[Befvekst10]]&lt;=E$434,E$434,IF(Tabell2[[#This Row],[Befvekst10]]&gt;=E$435,E$435,Tabell2[[#This Row],[Befvekst10]]))</f>
        <v>5.573770491803276E-2</v>
      </c>
      <c r="O95" s="51">
        <f>IF(Tabell2[[#This Row],[Kvinneandel]]&lt;=F$434,F$434,IF(Tabell2[[#This Row],[Kvinneandel]]&gt;=F$435,F$435,Tabell2[[#This Row],[Kvinneandel]]))</f>
        <v>0.11801242236024845</v>
      </c>
      <c r="P95" s="51">
        <f>IF(Tabell2[[#This Row],[Eldreandel]]&lt;=G$434,G$434,IF(Tabell2[[#This Row],[Eldreandel]]&gt;=G$435,G$435,Tabell2[[#This Row],[Eldreandel]]))</f>
        <v>0.15953281123413449</v>
      </c>
      <c r="Q95" s="51">
        <f>IF(Tabell2[[#This Row],[Sysselsettingsvekst10]]&lt;=H$434,H$434,IF(Tabell2[[#This Row],[Sysselsettingsvekst10]]&gt;=H$435,H$435,Tabell2[[#This Row],[Sysselsettingsvekst10]]))</f>
        <v>3.7605813169525826E-2</v>
      </c>
      <c r="R95" s="51">
        <f>IF(Tabell2[[#This Row],[Yrkesaktivandel]]&lt;=I$434,I$434,IF(Tabell2[[#This Row],[Yrkesaktivandel]]&gt;=I$435,I$435,Tabell2[[#This Row],[Yrkesaktivandel]]))</f>
        <v>0.83978903192876997</v>
      </c>
      <c r="S95" s="52">
        <f>IF(Tabell2[[#This Row],[Inntekt]]&lt;=J$434,J$434,IF(Tabell2[[#This Row],[Inntekt]]&gt;=J$435,J$435,Tabell2[[#This Row],[Inntekt]]))</f>
        <v>355800</v>
      </c>
      <c r="T95" s="9">
        <f>IF(Tabell2[[#This Row],[NIBR11-T]]&lt;=K$437,100,IF(Tabell2[[#This Row],[NIBR11-T]]&gt;=K$436,0,100*(K$436-Tabell2[[#This Row],[NIBR11-T]])/K$439))</f>
        <v>60</v>
      </c>
      <c r="U95" s="9">
        <f>(L$436-Tabell2[[#This Row],[ReisetidOslo-T]])*100/L$439</f>
        <v>100</v>
      </c>
      <c r="V95" s="9">
        <f>100-(M$436-Tabell2[[#This Row],[Beftettotal-T]])*100/M$439</f>
        <v>13.949569395330414</v>
      </c>
      <c r="W95" s="9">
        <f>100-(N$436-Tabell2[[#This Row],[Befvekst10-T]])*100/N$439</f>
        <v>55.245043642667589</v>
      </c>
      <c r="X95" s="9">
        <f>100-(O$436-Tabell2[[#This Row],[Kvinneandel-T]])*100/O$439</f>
        <v>73.500053229520958</v>
      </c>
      <c r="Y95" s="9">
        <f>(P$436-Tabell2[[#This Row],[Eldreandel-T]])*100/P$439</f>
        <v>55.28741957491777</v>
      </c>
      <c r="Z95" s="9">
        <f>100-(Q$436-Tabell2[[#This Row],[Sysselsettingsvekst10-T]])*100/Q$439</f>
        <v>34.11869319625913</v>
      </c>
      <c r="AA95" s="9">
        <f>100-(R$436-Tabell2[[#This Row],[Yrkesaktivandel-T]])*100/R$439</f>
        <v>8.7618770826772732</v>
      </c>
      <c r="AB95" s="9">
        <f>100-(S$436-Tabell2[[#This Row],[Inntekt-T]])*100/S$439</f>
        <v>44.423487991952719</v>
      </c>
      <c r="AC95" s="48">
        <f>Tabell2[[#This Row],[NIBR11-I]]*Vekter!$B$3</f>
        <v>12</v>
      </c>
      <c r="AD95" s="48">
        <f>Tabell2[[#This Row],[ReisetidOslo-I]]*Vekter!$C$3</f>
        <v>10</v>
      </c>
      <c r="AE95" s="48">
        <f>Tabell2[[#This Row],[Beftettotal-I]]*Vekter!$D$3</f>
        <v>1.3949569395330415</v>
      </c>
      <c r="AF95" s="48">
        <f>Tabell2[[#This Row],[Befvekst10-I]]*Vekter!$E$3</f>
        <v>11.049008728533519</v>
      </c>
      <c r="AG95" s="48">
        <f>Tabell2[[#This Row],[Kvinneandel-I]]*Vekter!$F$3</f>
        <v>3.6750026614760483</v>
      </c>
      <c r="AH95" s="48">
        <f>Tabell2[[#This Row],[Eldreandel-I]]*Vekter!$G$3</f>
        <v>2.7643709787458888</v>
      </c>
      <c r="AI95" s="48">
        <f>Tabell2[[#This Row],[Sysselsettingsvekst10-I]]*Vekter!$H$3</f>
        <v>3.4118693196259131</v>
      </c>
      <c r="AJ95" s="48">
        <f>Tabell2[[#This Row],[Yrkesaktivandel-I]]*Vekter!$J$3</f>
        <v>0.87618770826772741</v>
      </c>
      <c r="AK95" s="48">
        <f>Tabell2[[#This Row],[Inntekt-I]]*Vekter!$L$3</f>
        <v>4.4423487991952717</v>
      </c>
      <c r="AL95" s="37">
        <f>SUM(Tabell2[[#This Row],[NIBR11-v]:[Inntekt-v]])</f>
        <v>49.613745135377414</v>
      </c>
    </row>
    <row r="96" spans="1:38">
      <c r="A96" s="2" t="s">
        <v>93</v>
      </c>
      <c r="B96">
        <f>'Rådata-K'!M95</f>
        <v>5</v>
      </c>
      <c r="C96" s="9">
        <f>'Rådata-K'!L95</f>
        <v>39.190288194200001</v>
      </c>
      <c r="D96" s="51">
        <f>'Rådata-K'!N95</f>
        <v>34.22418266735859</v>
      </c>
      <c r="E96" s="51">
        <f>'Rådata-K'!O95</f>
        <v>0.26851317561069443</v>
      </c>
      <c r="F96" s="51">
        <f>'Rådata-K'!P95</f>
        <v>0.11705837755875663</v>
      </c>
      <c r="G96" s="51">
        <f>'Rådata-K'!Q95</f>
        <v>0.13388931008339652</v>
      </c>
      <c r="H96" s="51">
        <f>'Rådata-K'!R95</f>
        <v>0.24129930394431565</v>
      </c>
      <c r="I96" s="51">
        <f>'Rådata-K'!S95</f>
        <v>0.86446323341019726</v>
      </c>
      <c r="J96" s="52">
        <f>'Rådata-K'!K95</f>
        <v>419400</v>
      </c>
      <c r="K96" s="26">
        <f>Tabell2[[#This Row],[NIBR11]]</f>
        <v>5</v>
      </c>
      <c r="L96" s="52">
        <f>IF(Tabell2[[#This Row],[ReisetidOslo]]&lt;=C$434,C$434,IF(Tabell2[[#This Row],[ReisetidOslo]]&gt;=C$435,C$435,Tabell2[[#This Row],[ReisetidOslo]]))</f>
        <v>53.805284539509998</v>
      </c>
      <c r="M96" s="51">
        <f>IF(Tabell2[[#This Row],[Beftettotal]]&lt;=D$434,D$434,IF(Tabell2[[#This Row],[Beftettotal]]&gt;=D$435,D$435,Tabell2[[#This Row],[Beftettotal]]))</f>
        <v>34.22418266735859</v>
      </c>
      <c r="N96" s="51">
        <f>IF(Tabell2[[#This Row],[Befvekst10]]&lt;=E$434,E$434,IF(Tabell2[[#This Row],[Befvekst10]]&gt;=E$435,E$435,Tabell2[[#This Row],[Befvekst10]]))</f>
        <v>0.16633778614624492</v>
      </c>
      <c r="O96" s="51">
        <f>IF(Tabell2[[#This Row],[Kvinneandel]]&lt;=F$434,F$434,IF(Tabell2[[#This Row],[Kvinneandel]]&gt;=F$435,F$435,Tabell2[[#This Row],[Kvinneandel]]))</f>
        <v>0.11705837755875663</v>
      </c>
      <c r="P96" s="51">
        <f>IF(Tabell2[[#This Row],[Eldreandel]]&lt;=G$434,G$434,IF(Tabell2[[#This Row],[Eldreandel]]&gt;=G$435,G$435,Tabell2[[#This Row],[Eldreandel]]))</f>
        <v>0.13388931008339652</v>
      </c>
      <c r="Q96" s="51">
        <f>IF(Tabell2[[#This Row],[Sysselsettingsvekst10]]&lt;=H$434,H$434,IF(Tabell2[[#This Row],[Sysselsettingsvekst10]]&gt;=H$435,H$435,Tabell2[[#This Row],[Sysselsettingsvekst10]]))</f>
        <v>0.24129930394431565</v>
      </c>
      <c r="R96" s="51">
        <f>IF(Tabell2[[#This Row],[Yrkesaktivandel]]&lt;=I$434,I$434,IF(Tabell2[[#This Row],[Yrkesaktivandel]]&gt;=I$435,I$435,Tabell2[[#This Row],[Yrkesaktivandel]]))</f>
        <v>0.86446323341019726</v>
      </c>
      <c r="S96" s="52">
        <f>IF(Tabell2[[#This Row],[Inntekt]]&lt;=J$434,J$434,IF(Tabell2[[#This Row],[Inntekt]]&gt;=J$435,J$435,Tabell2[[#This Row],[Inntekt]]))</f>
        <v>400000</v>
      </c>
      <c r="T96" s="9">
        <f>IF(Tabell2[[#This Row],[NIBR11-T]]&lt;=K$437,100,IF(Tabell2[[#This Row],[NIBR11-T]]&gt;=K$436,0,100*(K$436-Tabell2[[#This Row],[NIBR11-T]])/K$439))</f>
        <v>60</v>
      </c>
      <c r="U96" s="9">
        <f>(L$436-Tabell2[[#This Row],[ReisetidOslo-T]])*100/L$439</f>
        <v>100</v>
      </c>
      <c r="V96" s="9">
        <f>100-(M$436-Tabell2[[#This Row],[Beftettotal-T]])*100/M$439</f>
        <v>25.901835560733673</v>
      </c>
      <c r="W96" s="9">
        <f>100-(N$436-Tabell2[[#This Row],[Befvekst10-T]])*100/N$439</f>
        <v>100</v>
      </c>
      <c r="X96" s="9">
        <f>100-(O$436-Tabell2[[#This Row],[Kvinneandel-T]])*100/O$439</f>
        <v>70.973076875768328</v>
      </c>
      <c r="Y96" s="9">
        <f>(P$436-Tabell2[[#This Row],[Eldreandel-T]])*100/P$439</f>
        <v>84.35910961512019</v>
      </c>
      <c r="Z96" s="9">
        <f>100-(Q$436-Tabell2[[#This Row],[Sysselsettingsvekst10-T]])*100/Q$439</f>
        <v>99.498430811768685</v>
      </c>
      <c r="AA96" s="9">
        <f>100-(R$436-Tabell2[[#This Row],[Yrkesaktivandel-T]])*100/R$439</f>
        <v>27.15589567050047</v>
      </c>
      <c r="AB96" s="9">
        <f>100-(S$436-Tabell2[[#This Row],[Inntekt-T]])*100/S$439</f>
        <v>100</v>
      </c>
      <c r="AC96" s="48">
        <f>Tabell2[[#This Row],[NIBR11-I]]*Vekter!$B$3</f>
        <v>12</v>
      </c>
      <c r="AD96" s="48">
        <f>Tabell2[[#This Row],[ReisetidOslo-I]]*Vekter!$C$3</f>
        <v>10</v>
      </c>
      <c r="AE96" s="48">
        <f>Tabell2[[#This Row],[Beftettotal-I]]*Vekter!$D$3</f>
        <v>2.5901835560733675</v>
      </c>
      <c r="AF96" s="48">
        <f>Tabell2[[#This Row],[Befvekst10-I]]*Vekter!$E$3</f>
        <v>20</v>
      </c>
      <c r="AG96" s="48">
        <f>Tabell2[[#This Row],[Kvinneandel-I]]*Vekter!$F$3</f>
        <v>3.5486538437884168</v>
      </c>
      <c r="AH96" s="48">
        <f>Tabell2[[#This Row],[Eldreandel-I]]*Vekter!$G$3</f>
        <v>4.21795548075601</v>
      </c>
      <c r="AI96" s="48">
        <f>Tabell2[[#This Row],[Sysselsettingsvekst10-I]]*Vekter!$H$3</f>
        <v>9.9498430811768692</v>
      </c>
      <c r="AJ96" s="48">
        <f>Tabell2[[#This Row],[Yrkesaktivandel-I]]*Vekter!$J$3</f>
        <v>2.7155895670500474</v>
      </c>
      <c r="AK96" s="48">
        <f>Tabell2[[#This Row],[Inntekt-I]]*Vekter!$L$3</f>
        <v>10</v>
      </c>
      <c r="AL96" s="37">
        <f>SUM(Tabell2[[#This Row],[NIBR11-v]:[Inntekt-v]])</f>
        <v>75.022225528844714</v>
      </c>
    </row>
    <row r="97" spans="1:38">
      <c r="A97" s="2" t="s">
        <v>94</v>
      </c>
      <c r="B97">
        <f>'Rådata-K'!M96</f>
        <v>8</v>
      </c>
      <c r="C97" s="9">
        <f>'Rådata-K'!L96</f>
        <v>115.459022456</v>
      </c>
      <c r="D97" s="51">
        <f>'Rådata-K'!N96</f>
        <v>1.4664754901264887</v>
      </c>
      <c r="E97" s="51">
        <f>'Rådata-K'!O96</f>
        <v>2.9126213592232109E-3</v>
      </c>
      <c r="F97" s="51">
        <f>'Rådata-K'!P96</f>
        <v>9.3901258470474341E-2</v>
      </c>
      <c r="G97" s="51">
        <f>'Rådata-K'!Q96</f>
        <v>0.21297192642787996</v>
      </c>
      <c r="H97" s="51">
        <f>'Rådata-K'!R96</f>
        <v>0.21606648199445977</v>
      </c>
      <c r="I97" s="51">
        <f>'Rådata-K'!S96</f>
        <v>0.93067590987868287</v>
      </c>
      <c r="J97" s="52">
        <f>'Rådata-K'!K96</f>
        <v>355800</v>
      </c>
      <c r="K97" s="26">
        <f>Tabell2[[#This Row],[NIBR11]]</f>
        <v>8</v>
      </c>
      <c r="L97" s="52">
        <f>IF(Tabell2[[#This Row],[ReisetidOslo]]&lt;=C$434,C$434,IF(Tabell2[[#This Row],[ReisetidOslo]]&gt;=C$435,C$435,Tabell2[[#This Row],[ReisetidOslo]]))</f>
        <v>115.459022456</v>
      </c>
      <c r="M97" s="51">
        <f>IF(Tabell2[[#This Row],[Beftettotal]]&lt;=D$434,D$434,IF(Tabell2[[#This Row],[Beftettotal]]&gt;=D$435,D$435,Tabell2[[#This Row],[Beftettotal]]))</f>
        <v>1.4664754901264887</v>
      </c>
      <c r="N97" s="51">
        <f>IF(Tabell2[[#This Row],[Befvekst10]]&lt;=E$434,E$434,IF(Tabell2[[#This Row],[Befvekst10]]&gt;=E$435,E$435,Tabell2[[#This Row],[Befvekst10]]))</f>
        <v>2.9126213592232109E-3</v>
      </c>
      <c r="O97" s="51">
        <f>IF(Tabell2[[#This Row],[Kvinneandel]]&lt;=F$434,F$434,IF(Tabell2[[#This Row],[Kvinneandel]]&gt;=F$435,F$435,Tabell2[[#This Row],[Kvinneandel]]))</f>
        <v>9.3901258470474341E-2</v>
      </c>
      <c r="P97" s="51">
        <f>IF(Tabell2[[#This Row],[Eldreandel]]&lt;=G$434,G$434,IF(Tabell2[[#This Row],[Eldreandel]]&gt;=G$435,G$435,Tabell2[[#This Row],[Eldreandel]]))</f>
        <v>0.20830063331569054</v>
      </c>
      <c r="Q97" s="51">
        <f>IF(Tabell2[[#This Row],[Sysselsettingsvekst10]]&lt;=H$434,H$434,IF(Tabell2[[#This Row],[Sysselsettingsvekst10]]&gt;=H$435,H$435,Tabell2[[#This Row],[Sysselsettingsvekst10]]))</f>
        <v>0.21606648199445977</v>
      </c>
      <c r="R97" s="51">
        <f>IF(Tabell2[[#This Row],[Yrkesaktivandel]]&lt;=I$434,I$434,IF(Tabell2[[#This Row],[Yrkesaktivandel]]&gt;=I$435,I$435,Tabell2[[#This Row],[Yrkesaktivandel]]))</f>
        <v>0.93067590987868287</v>
      </c>
      <c r="S97" s="52">
        <f>IF(Tabell2[[#This Row],[Inntekt]]&lt;=J$434,J$434,IF(Tabell2[[#This Row],[Inntekt]]&gt;=J$435,J$435,Tabell2[[#This Row],[Inntekt]]))</f>
        <v>355800</v>
      </c>
      <c r="T97" s="9">
        <f>IF(Tabell2[[#This Row],[NIBR11-T]]&lt;=K$437,100,IF(Tabell2[[#This Row],[NIBR11-T]]&gt;=K$436,0,100*(K$436-Tabell2[[#This Row],[NIBR11-T]])/K$439))</f>
        <v>30</v>
      </c>
      <c r="U97" s="9">
        <f>(L$436-Tabell2[[#This Row],[ReisetidOslo-T]])*100/L$439</f>
        <v>72.628786562155739</v>
      </c>
      <c r="V97" s="9">
        <f>100-(M$436-Tabell2[[#This Row],[Beftettotal-T]])*100/M$439</f>
        <v>9.9833732677140574E-2</v>
      </c>
      <c r="W97" s="9">
        <f>100-(N$436-Tabell2[[#This Row],[Befvekst10-T]])*100/N$439</f>
        <v>33.869071012333791</v>
      </c>
      <c r="X97" s="9">
        <f>100-(O$436-Tabell2[[#This Row],[Kvinneandel-T]])*100/O$439</f>
        <v>9.636866809301381</v>
      </c>
      <c r="Y97" s="9">
        <f>(P$436-Tabell2[[#This Row],[Eldreandel-T]])*100/P$439</f>
        <v>0</v>
      </c>
      <c r="Z97" s="9">
        <f>100-(Q$436-Tabell2[[#This Row],[Sysselsettingsvekst10-T]])*100/Q$439</f>
        <v>91.399422482609921</v>
      </c>
      <c r="AA97" s="9">
        <f>100-(R$436-Tabell2[[#This Row],[Yrkesaktivandel-T]])*100/R$439</f>
        <v>76.51583960334041</v>
      </c>
      <c r="AB97" s="9">
        <f>100-(S$436-Tabell2[[#This Row],[Inntekt-T]])*100/S$439</f>
        <v>44.423487991952719</v>
      </c>
      <c r="AC97" s="48">
        <f>Tabell2[[#This Row],[NIBR11-I]]*Vekter!$B$3</f>
        <v>6</v>
      </c>
      <c r="AD97" s="48">
        <f>Tabell2[[#This Row],[ReisetidOslo-I]]*Vekter!$C$3</f>
        <v>7.262878656215574</v>
      </c>
      <c r="AE97" s="48">
        <f>Tabell2[[#This Row],[Beftettotal-I]]*Vekter!$D$3</f>
        <v>9.9833732677140578E-3</v>
      </c>
      <c r="AF97" s="48">
        <f>Tabell2[[#This Row],[Befvekst10-I]]*Vekter!$E$3</f>
        <v>6.7738142024667587</v>
      </c>
      <c r="AG97" s="48">
        <f>Tabell2[[#This Row],[Kvinneandel-I]]*Vekter!$F$3</f>
        <v>0.48184334046506905</v>
      </c>
      <c r="AH97" s="48">
        <f>Tabell2[[#This Row],[Eldreandel-I]]*Vekter!$G$3</f>
        <v>0</v>
      </c>
      <c r="AI97" s="48">
        <f>Tabell2[[#This Row],[Sysselsettingsvekst10-I]]*Vekter!$H$3</f>
        <v>9.1399422482609918</v>
      </c>
      <c r="AJ97" s="48">
        <f>Tabell2[[#This Row],[Yrkesaktivandel-I]]*Vekter!$J$3</f>
        <v>7.6515839603340412</v>
      </c>
      <c r="AK97" s="48">
        <f>Tabell2[[#This Row],[Inntekt-I]]*Vekter!$L$3</f>
        <v>4.4423487991952717</v>
      </c>
      <c r="AL97" s="37">
        <f>SUM(Tabell2[[#This Row],[NIBR11-v]:[Inntekt-v]])</f>
        <v>41.762394580205424</v>
      </c>
    </row>
    <row r="98" spans="1:38">
      <c r="A98" s="2" t="s">
        <v>95</v>
      </c>
      <c r="B98">
        <f>'Rådata-K'!M97</f>
        <v>8</v>
      </c>
      <c r="C98" s="9">
        <f>'Rådata-K'!L97</f>
        <v>140.750035207</v>
      </c>
      <c r="D98" s="51">
        <f>'Rådata-K'!N97</f>
        <v>4.2548198648832241</v>
      </c>
      <c r="E98" s="51">
        <f>'Rådata-K'!O97</f>
        <v>-6.3455436977213342E-3</v>
      </c>
      <c r="F98" s="51">
        <f>'Rådata-K'!P97</f>
        <v>0.10449927431059507</v>
      </c>
      <c r="G98" s="51">
        <f>'Rådata-K'!Q97</f>
        <v>0.1825834542815675</v>
      </c>
      <c r="H98" s="51">
        <f>'Rådata-K'!R97</f>
        <v>-3.4829202947086357E-2</v>
      </c>
      <c r="I98" s="51">
        <f>'Rådata-K'!S97</f>
        <v>0.90268626457171819</v>
      </c>
      <c r="J98" s="52">
        <f>'Rådata-K'!K97</f>
        <v>340400</v>
      </c>
      <c r="K98" s="26">
        <f>Tabell2[[#This Row],[NIBR11]]</f>
        <v>8</v>
      </c>
      <c r="L98" s="52">
        <f>IF(Tabell2[[#This Row],[ReisetidOslo]]&lt;=C$434,C$434,IF(Tabell2[[#This Row],[ReisetidOslo]]&gt;=C$435,C$435,Tabell2[[#This Row],[ReisetidOslo]]))</f>
        <v>140.750035207</v>
      </c>
      <c r="M98" s="51">
        <f>IF(Tabell2[[#This Row],[Beftettotal]]&lt;=D$434,D$434,IF(Tabell2[[#This Row],[Beftettotal]]&gt;=D$435,D$435,Tabell2[[#This Row],[Beftettotal]]))</f>
        <v>4.2548198648832241</v>
      </c>
      <c r="N98" s="51">
        <f>IF(Tabell2[[#This Row],[Befvekst10]]&lt;=E$434,E$434,IF(Tabell2[[#This Row],[Befvekst10]]&gt;=E$435,E$435,Tabell2[[#This Row],[Befvekst10]]))</f>
        <v>-6.3455436977213342E-3</v>
      </c>
      <c r="O98" s="51">
        <f>IF(Tabell2[[#This Row],[Kvinneandel]]&lt;=F$434,F$434,IF(Tabell2[[#This Row],[Kvinneandel]]&gt;=F$435,F$435,Tabell2[[#This Row],[Kvinneandel]]))</f>
        <v>0.10449927431059507</v>
      </c>
      <c r="P98" s="51">
        <f>IF(Tabell2[[#This Row],[Eldreandel]]&lt;=G$434,G$434,IF(Tabell2[[#This Row],[Eldreandel]]&gt;=G$435,G$435,Tabell2[[#This Row],[Eldreandel]]))</f>
        <v>0.1825834542815675</v>
      </c>
      <c r="Q98" s="51">
        <f>IF(Tabell2[[#This Row],[Sysselsettingsvekst10]]&lt;=H$434,H$434,IF(Tabell2[[#This Row],[Sysselsettingsvekst10]]&gt;=H$435,H$435,Tabell2[[#This Row],[Sysselsettingsvekst10]]))</f>
        <v>-3.4829202947086357E-2</v>
      </c>
      <c r="R98" s="51">
        <f>IF(Tabell2[[#This Row],[Yrkesaktivandel]]&lt;=I$434,I$434,IF(Tabell2[[#This Row],[Yrkesaktivandel]]&gt;=I$435,I$435,Tabell2[[#This Row],[Yrkesaktivandel]]))</f>
        <v>0.90268626457171819</v>
      </c>
      <c r="S98" s="52">
        <f>IF(Tabell2[[#This Row],[Inntekt]]&lt;=J$434,J$434,IF(Tabell2[[#This Row],[Inntekt]]&gt;=J$435,J$435,Tabell2[[#This Row],[Inntekt]]))</f>
        <v>340400</v>
      </c>
      <c r="T98" s="9">
        <f>IF(Tabell2[[#This Row],[NIBR11-T]]&lt;=K$437,100,IF(Tabell2[[#This Row],[NIBR11-T]]&gt;=K$436,0,100*(K$436-Tabell2[[#This Row],[NIBR11-T]])/K$439))</f>
        <v>30</v>
      </c>
      <c r="U98" s="9">
        <f>(L$436-Tabell2[[#This Row],[ReisetidOslo-T]])*100/L$439</f>
        <v>61.40082648284136</v>
      </c>
      <c r="V98" s="9">
        <f>100-(M$436-Tabell2[[#This Row],[Beftettotal-T]])*100/M$439</f>
        <v>2.296106697249229</v>
      </c>
      <c r="W98" s="9">
        <f>100-(N$436-Tabell2[[#This Row],[Befvekst10-T]])*100/N$439</f>
        <v>30.122701493693327</v>
      </c>
      <c r="X98" s="9">
        <f>100-(O$436-Tabell2[[#This Row],[Kvinneandel-T]])*100/O$439</f>
        <v>37.707807904315075</v>
      </c>
      <c r="Y98" s="9">
        <f>(P$436-Tabell2[[#This Row],[Eldreandel-T]])*100/P$439</f>
        <v>29.155217658993564</v>
      </c>
      <c r="Z98" s="9">
        <f>100-(Q$436-Tabell2[[#This Row],[Sysselsettingsvekst10-T]])*100/Q$439</f>
        <v>10.869141480758572</v>
      </c>
      <c r="AA98" s="9">
        <f>100-(R$436-Tabell2[[#This Row],[Yrkesaktivandel-T]])*100/R$439</f>
        <v>55.650238078994533</v>
      </c>
      <c r="AB98" s="9">
        <f>100-(S$436-Tabell2[[#This Row],[Inntekt-T]])*100/S$439</f>
        <v>25.05972588960141</v>
      </c>
      <c r="AC98" s="48">
        <f>Tabell2[[#This Row],[NIBR11-I]]*Vekter!$B$3</f>
        <v>6</v>
      </c>
      <c r="AD98" s="48">
        <f>Tabell2[[#This Row],[ReisetidOslo-I]]*Vekter!$C$3</f>
        <v>6.1400826482841362</v>
      </c>
      <c r="AE98" s="48">
        <f>Tabell2[[#This Row],[Beftettotal-I]]*Vekter!$D$3</f>
        <v>0.22961066972492292</v>
      </c>
      <c r="AF98" s="48">
        <f>Tabell2[[#This Row],[Befvekst10-I]]*Vekter!$E$3</f>
        <v>6.0245402987386658</v>
      </c>
      <c r="AG98" s="48">
        <f>Tabell2[[#This Row],[Kvinneandel-I]]*Vekter!$F$3</f>
        <v>1.8853903952157538</v>
      </c>
      <c r="AH98" s="48">
        <f>Tabell2[[#This Row],[Eldreandel-I]]*Vekter!$G$3</f>
        <v>1.4577608829496782</v>
      </c>
      <c r="AI98" s="48">
        <f>Tabell2[[#This Row],[Sysselsettingsvekst10-I]]*Vekter!$H$3</f>
        <v>1.0869141480758573</v>
      </c>
      <c r="AJ98" s="48">
        <f>Tabell2[[#This Row],[Yrkesaktivandel-I]]*Vekter!$J$3</f>
        <v>5.5650238078994541</v>
      </c>
      <c r="AK98" s="48">
        <f>Tabell2[[#This Row],[Inntekt-I]]*Vekter!$L$3</f>
        <v>2.505972588960141</v>
      </c>
      <c r="AL98" s="37">
        <f>SUM(Tabell2[[#This Row],[NIBR11-v]:[Inntekt-v]])</f>
        <v>30.89529543984861</v>
      </c>
    </row>
    <row r="99" spans="1:38">
      <c r="A99" s="2" t="s">
        <v>96</v>
      </c>
      <c r="B99">
        <f>'Rådata-K'!M98</f>
        <v>8</v>
      </c>
      <c r="C99" s="9">
        <f>'Rådata-K'!L98</f>
        <v>157.46708989199999</v>
      </c>
      <c r="D99" s="51">
        <f>'Rådata-K'!N98</f>
        <v>8.6968769366560874</v>
      </c>
      <c r="E99" s="51">
        <f>'Rådata-K'!O98</f>
        <v>5.9240622140896537E-2</v>
      </c>
      <c r="F99" s="51">
        <f>'Rådata-K'!P98</f>
        <v>0.11099114662060031</v>
      </c>
      <c r="G99" s="51">
        <f>'Rådata-K'!Q98</f>
        <v>0.17404448283308141</v>
      </c>
      <c r="H99" s="51">
        <f>'Rådata-K'!R98</f>
        <v>6.4540059347180989E-2</v>
      </c>
      <c r="I99" s="51">
        <f>'Rådata-K'!S98</f>
        <v>0.94977168949771684</v>
      </c>
      <c r="J99" s="52">
        <f>'Rådata-K'!K98</f>
        <v>355800</v>
      </c>
      <c r="K99" s="26">
        <f>Tabell2[[#This Row],[NIBR11]]</f>
        <v>8</v>
      </c>
      <c r="L99" s="52">
        <f>IF(Tabell2[[#This Row],[ReisetidOslo]]&lt;=C$434,C$434,IF(Tabell2[[#This Row],[ReisetidOslo]]&gt;=C$435,C$435,Tabell2[[#This Row],[ReisetidOslo]]))</f>
        <v>157.46708989199999</v>
      </c>
      <c r="M99" s="51">
        <f>IF(Tabell2[[#This Row],[Beftettotal]]&lt;=D$434,D$434,IF(Tabell2[[#This Row],[Beftettotal]]&gt;=D$435,D$435,Tabell2[[#This Row],[Beftettotal]]))</f>
        <v>8.6968769366560874</v>
      </c>
      <c r="N99" s="51">
        <f>IF(Tabell2[[#This Row],[Befvekst10]]&lt;=E$434,E$434,IF(Tabell2[[#This Row],[Befvekst10]]&gt;=E$435,E$435,Tabell2[[#This Row],[Befvekst10]]))</f>
        <v>5.9240622140896537E-2</v>
      </c>
      <c r="O99" s="51">
        <f>IF(Tabell2[[#This Row],[Kvinneandel]]&lt;=F$434,F$434,IF(Tabell2[[#This Row],[Kvinneandel]]&gt;=F$435,F$435,Tabell2[[#This Row],[Kvinneandel]]))</f>
        <v>0.11099114662060031</v>
      </c>
      <c r="P99" s="51">
        <f>IF(Tabell2[[#This Row],[Eldreandel]]&lt;=G$434,G$434,IF(Tabell2[[#This Row],[Eldreandel]]&gt;=G$435,G$435,Tabell2[[#This Row],[Eldreandel]]))</f>
        <v>0.17404448283308141</v>
      </c>
      <c r="Q99" s="51">
        <f>IF(Tabell2[[#This Row],[Sysselsettingsvekst10]]&lt;=H$434,H$434,IF(Tabell2[[#This Row],[Sysselsettingsvekst10]]&gt;=H$435,H$435,Tabell2[[#This Row],[Sysselsettingsvekst10]]))</f>
        <v>6.4540059347180989E-2</v>
      </c>
      <c r="R99" s="51">
        <f>IF(Tabell2[[#This Row],[Yrkesaktivandel]]&lt;=I$434,I$434,IF(Tabell2[[#This Row],[Yrkesaktivandel]]&gt;=I$435,I$435,Tabell2[[#This Row],[Yrkesaktivandel]]))</f>
        <v>0.94977168949771684</v>
      </c>
      <c r="S99" s="52">
        <f>IF(Tabell2[[#This Row],[Inntekt]]&lt;=J$434,J$434,IF(Tabell2[[#This Row],[Inntekt]]&gt;=J$435,J$435,Tabell2[[#This Row],[Inntekt]]))</f>
        <v>355800</v>
      </c>
      <c r="T99" s="9">
        <f>IF(Tabell2[[#This Row],[NIBR11-T]]&lt;=K$437,100,IF(Tabell2[[#This Row],[NIBR11-T]]&gt;=K$436,0,100*(K$436-Tabell2[[#This Row],[NIBR11-T]])/K$439))</f>
        <v>30</v>
      </c>
      <c r="U99" s="9">
        <f>(L$436-Tabell2[[#This Row],[ReisetidOslo-T]])*100/L$439</f>
        <v>53.979280161432222</v>
      </c>
      <c r="V99" s="9">
        <f>100-(M$436-Tabell2[[#This Row],[Beftettotal-T]])*100/M$439</f>
        <v>5.7949463463769462</v>
      </c>
      <c r="W99" s="9">
        <f>100-(N$436-Tabell2[[#This Row],[Befvekst10-T]])*100/N$439</f>
        <v>56.662519160693037</v>
      </c>
      <c r="X99" s="9">
        <f>100-(O$436-Tabell2[[#This Row],[Kvinneandel-T]])*100/O$439</f>
        <v>54.902815720837786</v>
      </c>
      <c r="Y99" s="9">
        <f>(P$436-Tabell2[[#This Row],[Eldreandel-T]])*100/P$439</f>
        <v>38.835733972008093</v>
      </c>
      <c r="Z99" s="9">
        <f>100-(Q$436-Tabell2[[#This Row],[Sysselsettingsvekst10-T]])*100/Q$439</f>
        <v>42.763809646806898</v>
      </c>
      <c r="AA99" s="9">
        <f>100-(R$436-Tabell2[[#This Row],[Yrkesaktivandel-T]])*100/R$439</f>
        <v>90.751280029887823</v>
      </c>
      <c r="AB99" s="9">
        <f>100-(S$436-Tabell2[[#This Row],[Inntekt-T]])*100/S$439</f>
        <v>44.423487991952719</v>
      </c>
      <c r="AC99" s="48">
        <f>Tabell2[[#This Row],[NIBR11-I]]*Vekter!$B$3</f>
        <v>6</v>
      </c>
      <c r="AD99" s="48">
        <f>Tabell2[[#This Row],[ReisetidOslo-I]]*Vekter!$C$3</f>
        <v>5.3979280161432222</v>
      </c>
      <c r="AE99" s="48">
        <f>Tabell2[[#This Row],[Beftettotal-I]]*Vekter!$D$3</f>
        <v>0.57949463463769468</v>
      </c>
      <c r="AF99" s="48">
        <f>Tabell2[[#This Row],[Befvekst10-I]]*Vekter!$E$3</f>
        <v>11.332503832138608</v>
      </c>
      <c r="AG99" s="48">
        <f>Tabell2[[#This Row],[Kvinneandel-I]]*Vekter!$F$3</f>
        <v>2.7451407860418895</v>
      </c>
      <c r="AH99" s="48">
        <f>Tabell2[[#This Row],[Eldreandel-I]]*Vekter!$G$3</f>
        <v>1.9417866986004046</v>
      </c>
      <c r="AI99" s="48">
        <f>Tabell2[[#This Row],[Sysselsettingsvekst10-I]]*Vekter!$H$3</f>
        <v>4.2763809646806896</v>
      </c>
      <c r="AJ99" s="48">
        <f>Tabell2[[#This Row],[Yrkesaktivandel-I]]*Vekter!$J$3</f>
        <v>9.075128002988782</v>
      </c>
      <c r="AK99" s="48">
        <f>Tabell2[[#This Row],[Inntekt-I]]*Vekter!$L$3</f>
        <v>4.4423487991952717</v>
      </c>
      <c r="AL99" s="37">
        <f>SUM(Tabell2[[#This Row],[NIBR11-v]:[Inntekt-v]])</f>
        <v>45.790711734426566</v>
      </c>
    </row>
    <row r="100" spans="1:38">
      <c r="A100" s="2" t="s">
        <v>97</v>
      </c>
      <c r="B100">
        <f>'Rådata-K'!M99</f>
        <v>8</v>
      </c>
      <c r="C100" s="9">
        <f>'Rådata-K'!L99</f>
        <v>182.42166606500001</v>
      </c>
      <c r="D100" s="51">
        <f>'Rådata-K'!N99</f>
        <v>3.0456246516442391</v>
      </c>
      <c r="E100" s="51">
        <f>'Rådata-K'!O99</f>
        <v>0.22334754797441358</v>
      </c>
      <c r="F100" s="51">
        <f>'Rådata-K'!P99</f>
        <v>0.13769063180827887</v>
      </c>
      <c r="G100" s="51">
        <f>'Rådata-K'!Q99</f>
        <v>0.12636165577342048</v>
      </c>
      <c r="H100" s="51">
        <f>'Rådata-K'!R99</f>
        <v>0.1696712619300107</v>
      </c>
      <c r="I100" s="51">
        <f>'Rådata-K'!S99</f>
        <v>0.9242424242424242</v>
      </c>
      <c r="J100" s="52">
        <f>'Rådata-K'!K99</f>
        <v>362500</v>
      </c>
      <c r="K100" s="26">
        <f>Tabell2[[#This Row],[NIBR11]]</f>
        <v>8</v>
      </c>
      <c r="L100" s="52">
        <f>IF(Tabell2[[#This Row],[ReisetidOslo]]&lt;=C$434,C$434,IF(Tabell2[[#This Row],[ReisetidOslo]]&gt;=C$435,C$435,Tabell2[[#This Row],[ReisetidOslo]]))</f>
        <v>182.42166606500001</v>
      </c>
      <c r="M100" s="51">
        <f>IF(Tabell2[[#This Row],[Beftettotal]]&lt;=D$434,D$434,IF(Tabell2[[#This Row],[Beftettotal]]&gt;=D$435,D$435,Tabell2[[#This Row],[Beftettotal]]))</f>
        <v>3.0456246516442391</v>
      </c>
      <c r="N100" s="51">
        <f>IF(Tabell2[[#This Row],[Befvekst10]]&lt;=E$434,E$434,IF(Tabell2[[#This Row],[Befvekst10]]&gt;=E$435,E$435,Tabell2[[#This Row],[Befvekst10]]))</f>
        <v>0.16633778614624492</v>
      </c>
      <c r="O100" s="51">
        <f>IF(Tabell2[[#This Row],[Kvinneandel]]&lt;=F$434,F$434,IF(Tabell2[[#This Row],[Kvinneandel]]&gt;=F$435,F$435,Tabell2[[#This Row],[Kvinneandel]]))</f>
        <v>0.12801731869362362</v>
      </c>
      <c r="P100" s="51">
        <f>IF(Tabell2[[#This Row],[Eldreandel]]&lt;=G$434,G$434,IF(Tabell2[[#This Row],[Eldreandel]]&gt;=G$435,G$435,Tabell2[[#This Row],[Eldreandel]]))</f>
        <v>0.12636165577342048</v>
      </c>
      <c r="Q100" s="51">
        <f>IF(Tabell2[[#This Row],[Sysselsettingsvekst10]]&lt;=H$434,H$434,IF(Tabell2[[#This Row],[Sysselsettingsvekst10]]&gt;=H$435,H$435,Tabell2[[#This Row],[Sysselsettingsvekst10]]))</f>
        <v>0.1696712619300107</v>
      </c>
      <c r="R100" s="51">
        <f>IF(Tabell2[[#This Row],[Yrkesaktivandel]]&lt;=I$434,I$434,IF(Tabell2[[#This Row],[Yrkesaktivandel]]&gt;=I$435,I$435,Tabell2[[#This Row],[Yrkesaktivandel]]))</f>
        <v>0.9242424242424242</v>
      </c>
      <c r="S100" s="52">
        <f>IF(Tabell2[[#This Row],[Inntekt]]&lt;=J$434,J$434,IF(Tabell2[[#This Row],[Inntekt]]&gt;=J$435,J$435,Tabell2[[#This Row],[Inntekt]]))</f>
        <v>362500</v>
      </c>
      <c r="T100" s="9">
        <f>IF(Tabell2[[#This Row],[NIBR11-T]]&lt;=K$437,100,IF(Tabell2[[#This Row],[NIBR11-T]]&gt;=K$436,0,100*(K$436-Tabell2[[#This Row],[NIBR11-T]])/K$439))</f>
        <v>30</v>
      </c>
      <c r="U100" s="9">
        <f>(L$436-Tabell2[[#This Row],[ReisetidOslo-T]])*100/L$439</f>
        <v>42.9006813000412</v>
      </c>
      <c r="V100" s="9">
        <f>100-(M$436-Tabell2[[#This Row],[Beftettotal-T]])*100/M$439</f>
        <v>1.3436695521930488</v>
      </c>
      <c r="W100" s="9">
        <f>100-(N$436-Tabell2[[#This Row],[Befvekst10-T]])*100/N$439</f>
        <v>100</v>
      </c>
      <c r="X100" s="9">
        <f>100-(O$436-Tabell2[[#This Row],[Kvinneandel-T]])*100/O$439</f>
        <v>100</v>
      </c>
      <c r="Y100" s="9">
        <f>(P$436-Tabell2[[#This Row],[Eldreandel-T]])*100/P$439</f>
        <v>92.893109381494497</v>
      </c>
      <c r="Z100" s="9">
        <f>100-(Q$436-Tabell2[[#This Row],[Sysselsettingsvekst10-T]])*100/Q$439</f>
        <v>76.507894516302798</v>
      </c>
      <c r="AA100" s="9">
        <f>100-(R$436-Tabell2[[#This Row],[Yrkesaktivandel-T]])*100/R$439</f>
        <v>71.719832143203945</v>
      </c>
      <c r="AB100" s="9">
        <f>100-(S$436-Tabell2[[#This Row],[Inntekt-T]])*100/S$439</f>
        <v>52.847981893625047</v>
      </c>
      <c r="AC100" s="48">
        <f>Tabell2[[#This Row],[NIBR11-I]]*Vekter!$B$3</f>
        <v>6</v>
      </c>
      <c r="AD100" s="48">
        <f>Tabell2[[#This Row],[ReisetidOslo-I]]*Vekter!$C$3</f>
        <v>4.2900681300041201</v>
      </c>
      <c r="AE100" s="48">
        <f>Tabell2[[#This Row],[Beftettotal-I]]*Vekter!$D$3</f>
        <v>0.13436695521930489</v>
      </c>
      <c r="AF100" s="48">
        <f>Tabell2[[#This Row],[Befvekst10-I]]*Vekter!$E$3</f>
        <v>20</v>
      </c>
      <c r="AG100" s="48">
        <f>Tabell2[[#This Row],[Kvinneandel-I]]*Vekter!$F$3</f>
        <v>5</v>
      </c>
      <c r="AH100" s="48">
        <f>Tabell2[[#This Row],[Eldreandel-I]]*Vekter!$G$3</f>
        <v>4.644655469074725</v>
      </c>
      <c r="AI100" s="48">
        <f>Tabell2[[#This Row],[Sysselsettingsvekst10-I]]*Vekter!$H$3</f>
        <v>7.6507894516302803</v>
      </c>
      <c r="AJ100" s="48">
        <f>Tabell2[[#This Row],[Yrkesaktivandel-I]]*Vekter!$J$3</f>
        <v>7.1719832143203952</v>
      </c>
      <c r="AK100" s="48">
        <f>Tabell2[[#This Row],[Inntekt-I]]*Vekter!$L$3</f>
        <v>5.2847981893625047</v>
      </c>
      <c r="AL100" s="37">
        <f>SUM(Tabell2[[#This Row],[NIBR11-v]:[Inntekt-v]])</f>
        <v>60.176661409611327</v>
      </c>
    </row>
    <row r="101" spans="1:38">
      <c r="A101" s="2" t="s">
        <v>98</v>
      </c>
      <c r="B101">
        <f>'Rådata-K'!M100</f>
        <v>8</v>
      </c>
      <c r="C101" s="9">
        <f>'Rådata-K'!L100</f>
        <v>175.17831171200001</v>
      </c>
      <c r="D101" s="51">
        <f>'Rådata-K'!N100</f>
        <v>4.0113028010179335</v>
      </c>
      <c r="E101" s="51">
        <f>'Rådata-K'!O100</f>
        <v>1.224226804123707E-2</v>
      </c>
      <c r="F101" s="51">
        <f>'Rådata-K'!P100</f>
        <v>9.8875450880543184E-2</v>
      </c>
      <c r="G101" s="51">
        <f>'Rådata-K'!Q100</f>
        <v>0.17335030765966475</v>
      </c>
      <c r="H101" s="51">
        <f>'Rådata-K'!R100</f>
        <v>5.8598726114649669E-2</v>
      </c>
      <c r="I101" s="51">
        <f>'Rådata-K'!S100</f>
        <v>0.9746251441753172</v>
      </c>
      <c r="J101" s="52">
        <f>'Rådata-K'!K100</f>
        <v>347800</v>
      </c>
      <c r="K101" s="26">
        <f>Tabell2[[#This Row],[NIBR11]]</f>
        <v>8</v>
      </c>
      <c r="L101" s="52">
        <f>IF(Tabell2[[#This Row],[ReisetidOslo]]&lt;=C$434,C$434,IF(Tabell2[[#This Row],[ReisetidOslo]]&gt;=C$435,C$435,Tabell2[[#This Row],[ReisetidOslo]]))</f>
        <v>175.17831171200001</v>
      </c>
      <c r="M101" s="51">
        <f>IF(Tabell2[[#This Row],[Beftettotal]]&lt;=D$434,D$434,IF(Tabell2[[#This Row],[Beftettotal]]&gt;=D$435,D$435,Tabell2[[#This Row],[Beftettotal]]))</f>
        <v>4.0113028010179335</v>
      </c>
      <c r="N101" s="51">
        <f>IF(Tabell2[[#This Row],[Befvekst10]]&lt;=E$434,E$434,IF(Tabell2[[#This Row],[Befvekst10]]&gt;=E$435,E$435,Tabell2[[#This Row],[Befvekst10]]))</f>
        <v>1.224226804123707E-2</v>
      </c>
      <c r="O101" s="51">
        <f>IF(Tabell2[[#This Row],[Kvinneandel]]&lt;=F$434,F$434,IF(Tabell2[[#This Row],[Kvinneandel]]&gt;=F$435,F$435,Tabell2[[#This Row],[Kvinneandel]]))</f>
        <v>9.8875450880543184E-2</v>
      </c>
      <c r="P101" s="51">
        <f>IF(Tabell2[[#This Row],[Eldreandel]]&lt;=G$434,G$434,IF(Tabell2[[#This Row],[Eldreandel]]&gt;=G$435,G$435,Tabell2[[#This Row],[Eldreandel]]))</f>
        <v>0.17335030765966475</v>
      </c>
      <c r="Q101" s="51">
        <f>IF(Tabell2[[#This Row],[Sysselsettingsvekst10]]&lt;=H$434,H$434,IF(Tabell2[[#This Row],[Sysselsettingsvekst10]]&gt;=H$435,H$435,Tabell2[[#This Row],[Sysselsettingsvekst10]]))</f>
        <v>5.8598726114649669E-2</v>
      </c>
      <c r="R101" s="51">
        <f>IF(Tabell2[[#This Row],[Yrkesaktivandel]]&lt;=I$434,I$434,IF(Tabell2[[#This Row],[Yrkesaktivandel]]&gt;=I$435,I$435,Tabell2[[#This Row],[Yrkesaktivandel]]))</f>
        <v>0.96217815624658265</v>
      </c>
      <c r="S101" s="52">
        <f>IF(Tabell2[[#This Row],[Inntekt]]&lt;=J$434,J$434,IF(Tabell2[[#This Row],[Inntekt]]&gt;=J$435,J$435,Tabell2[[#This Row],[Inntekt]]))</f>
        <v>347800</v>
      </c>
      <c r="T101" s="9">
        <f>IF(Tabell2[[#This Row],[NIBR11-T]]&lt;=K$437,100,IF(Tabell2[[#This Row],[NIBR11-T]]&gt;=K$436,0,100*(K$436-Tabell2[[#This Row],[NIBR11-T]])/K$439))</f>
        <v>30</v>
      </c>
      <c r="U101" s="9">
        <f>(L$436-Tabell2[[#This Row],[ReisetidOslo-T]])*100/L$439</f>
        <v>46.116372752041137</v>
      </c>
      <c r="V101" s="9">
        <f>100-(M$436-Tabell2[[#This Row],[Beftettotal-T]])*100/M$439</f>
        <v>2.1042975546550906</v>
      </c>
      <c r="W101" s="9">
        <f>100-(N$436-Tabell2[[#This Row],[Befvekst10-T]])*100/N$439</f>
        <v>37.644365979986588</v>
      </c>
      <c r="X101" s="9">
        <f>100-(O$436-Tabell2[[#This Row],[Kvinneandel-T]])*100/O$439</f>
        <v>22.811999234534298</v>
      </c>
      <c r="Y101" s="9">
        <f>(P$436-Tabell2[[#This Row],[Eldreandel-T]])*100/P$439</f>
        <v>39.622710966941256</v>
      </c>
      <c r="Z101" s="9">
        <f>100-(Q$436-Tabell2[[#This Row],[Sysselsettingsvekst10-T]])*100/Q$439</f>
        <v>40.856812980631247</v>
      </c>
      <c r="AA101" s="9">
        <f>100-(R$436-Tabell2[[#This Row],[Yrkesaktivandel-T]])*100/R$439</f>
        <v>100</v>
      </c>
      <c r="AB101" s="9">
        <f>100-(S$436-Tabell2[[#This Row],[Inntekt-T]])*100/S$439</f>
        <v>34.36439079592607</v>
      </c>
      <c r="AC101" s="48">
        <f>Tabell2[[#This Row],[NIBR11-I]]*Vekter!$B$3</f>
        <v>6</v>
      </c>
      <c r="AD101" s="48">
        <f>Tabell2[[#This Row],[ReisetidOslo-I]]*Vekter!$C$3</f>
        <v>4.6116372752041137</v>
      </c>
      <c r="AE101" s="48">
        <f>Tabell2[[#This Row],[Beftettotal-I]]*Vekter!$D$3</f>
        <v>0.21042975546550907</v>
      </c>
      <c r="AF101" s="48">
        <f>Tabell2[[#This Row],[Befvekst10-I]]*Vekter!$E$3</f>
        <v>7.5288731959973179</v>
      </c>
      <c r="AG101" s="48">
        <f>Tabell2[[#This Row],[Kvinneandel-I]]*Vekter!$F$3</f>
        <v>1.1405999617267149</v>
      </c>
      <c r="AH101" s="48">
        <f>Tabell2[[#This Row],[Eldreandel-I]]*Vekter!$G$3</f>
        <v>1.981135548347063</v>
      </c>
      <c r="AI101" s="48">
        <f>Tabell2[[#This Row],[Sysselsettingsvekst10-I]]*Vekter!$H$3</f>
        <v>4.0856812980631245</v>
      </c>
      <c r="AJ101" s="48">
        <f>Tabell2[[#This Row],[Yrkesaktivandel-I]]*Vekter!$J$3</f>
        <v>10</v>
      </c>
      <c r="AK101" s="48">
        <f>Tabell2[[#This Row],[Inntekt-I]]*Vekter!$L$3</f>
        <v>3.4364390795926072</v>
      </c>
      <c r="AL101" s="37">
        <f>SUM(Tabell2[[#This Row],[NIBR11-v]:[Inntekt-v]])</f>
        <v>38.994796114396451</v>
      </c>
    </row>
    <row r="102" spans="1:38">
      <c r="A102" s="2" t="s">
        <v>99</v>
      </c>
      <c r="B102">
        <f>'Rådata-K'!M101</f>
        <v>8</v>
      </c>
      <c r="C102" s="9">
        <f>'Rådata-K'!L101</f>
        <v>189.84361056099999</v>
      </c>
      <c r="D102" s="51">
        <f>'Rådata-K'!N101</f>
        <v>2.4004788017016869</v>
      </c>
      <c r="E102" s="51">
        <f>'Rådata-K'!O101</f>
        <v>-2.2827041264266934E-2</v>
      </c>
      <c r="F102" s="51">
        <f>'Rådata-K'!P101</f>
        <v>0.11522911051212938</v>
      </c>
      <c r="G102" s="51">
        <f>'Rådata-K'!Q101</f>
        <v>0.17677448337825696</v>
      </c>
      <c r="H102" s="51">
        <f>'Rådata-K'!R101</f>
        <v>2.3097826086956541E-2</v>
      </c>
      <c r="I102" s="51">
        <f>'Rådata-K'!S101</f>
        <v>0.95540438397581251</v>
      </c>
      <c r="J102" s="52">
        <f>'Rådata-K'!K101</f>
        <v>370100</v>
      </c>
      <c r="K102" s="26">
        <f>Tabell2[[#This Row],[NIBR11]]</f>
        <v>8</v>
      </c>
      <c r="L102" s="52">
        <f>IF(Tabell2[[#This Row],[ReisetidOslo]]&lt;=C$434,C$434,IF(Tabell2[[#This Row],[ReisetidOslo]]&gt;=C$435,C$435,Tabell2[[#This Row],[ReisetidOslo]]))</f>
        <v>189.84361056099999</v>
      </c>
      <c r="M102" s="51">
        <f>IF(Tabell2[[#This Row],[Beftettotal]]&lt;=D$434,D$434,IF(Tabell2[[#This Row],[Beftettotal]]&gt;=D$435,D$435,Tabell2[[#This Row],[Beftettotal]]))</f>
        <v>2.4004788017016869</v>
      </c>
      <c r="N102" s="51">
        <f>IF(Tabell2[[#This Row],[Befvekst10]]&lt;=E$434,E$434,IF(Tabell2[[#This Row],[Befvekst10]]&gt;=E$435,E$435,Tabell2[[#This Row],[Befvekst10]]))</f>
        <v>-2.2827041264266934E-2</v>
      </c>
      <c r="O102" s="51">
        <f>IF(Tabell2[[#This Row],[Kvinneandel]]&lt;=F$434,F$434,IF(Tabell2[[#This Row],[Kvinneandel]]&gt;=F$435,F$435,Tabell2[[#This Row],[Kvinneandel]]))</f>
        <v>0.11522911051212938</v>
      </c>
      <c r="P102" s="51">
        <f>IF(Tabell2[[#This Row],[Eldreandel]]&lt;=G$434,G$434,IF(Tabell2[[#This Row],[Eldreandel]]&gt;=G$435,G$435,Tabell2[[#This Row],[Eldreandel]]))</f>
        <v>0.17677448337825696</v>
      </c>
      <c r="Q102" s="51">
        <f>IF(Tabell2[[#This Row],[Sysselsettingsvekst10]]&lt;=H$434,H$434,IF(Tabell2[[#This Row],[Sysselsettingsvekst10]]&gt;=H$435,H$435,Tabell2[[#This Row],[Sysselsettingsvekst10]]))</f>
        <v>2.3097826086956541E-2</v>
      </c>
      <c r="R102" s="51">
        <f>IF(Tabell2[[#This Row],[Yrkesaktivandel]]&lt;=I$434,I$434,IF(Tabell2[[#This Row],[Yrkesaktivandel]]&gt;=I$435,I$435,Tabell2[[#This Row],[Yrkesaktivandel]]))</f>
        <v>0.95540438397581251</v>
      </c>
      <c r="S102" s="52">
        <f>IF(Tabell2[[#This Row],[Inntekt]]&lt;=J$434,J$434,IF(Tabell2[[#This Row],[Inntekt]]&gt;=J$435,J$435,Tabell2[[#This Row],[Inntekt]]))</f>
        <v>370100</v>
      </c>
      <c r="T102" s="9">
        <f>IF(Tabell2[[#This Row],[NIBR11-T]]&lt;=K$437,100,IF(Tabell2[[#This Row],[NIBR11-T]]&gt;=K$436,0,100*(K$436-Tabell2[[#This Row],[NIBR11-T]])/K$439))</f>
        <v>30</v>
      </c>
      <c r="U102" s="9">
        <f>(L$436-Tabell2[[#This Row],[ReisetidOslo-T]])*100/L$439</f>
        <v>39.605704648357687</v>
      </c>
      <c r="V102" s="9">
        <f>100-(M$436-Tabell2[[#This Row],[Beftettotal-T]])*100/M$439</f>
        <v>0.83551266839410232</v>
      </c>
      <c r="W102" s="9">
        <f>100-(N$436-Tabell2[[#This Row],[Befvekst10-T]])*100/N$439</f>
        <v>23.453369101683535</v>
      </c>
      <c r="X102" s="9">
        <f>100-(O$436-Tabell2[[#This Row],[Kvinneandel-T]])*100/O$439</f>
        <v>66.127901298795592</v>
      </c>
      <c r="Y102" s="9">
        <f>(P$436-Tabell2[[#This Row],[Eldreandel-T]])*100/P$439</f>
        <v>35.740769318297247</v>
      </c>
      <c r="Z102" s="9">
        <f>100-(Q$436-Tabell2[[#This Row],[Sysselsettingsvekst10-T]])*100/Q$439</f>
        <v>29.462047639350757</v>
      </c>
      <c r="AA102" s="9">
        <f>100-(R$436-Tabell2[[#This Row],[Yrkesaktivandel-T]])*100/R$439</f>
        <v>94.950317109471058</v>
      </c>
      <c r="AB102" s="9">
        <f>100-(S$436-Tabell2[[#This Row],[Inntekt-T]])*100/S$439</f>
        <v>62.404124229850368</v>
      </c>
      <c r="AC102" s="48">
        <f>Tabell2[[#This Row],[NIBR11-I]]*Vekter!$B$3</f>
        <v>6</v>
      </c>
      <c r="AD102" s="48">
        <f>Tabell2[[#This Row],[ReisetidOslo-I]]*Vekter!$C$3</f>
        <v>3.9605704648357687</v>
      </c>
      <c r="AE102" s="48">
        <f>Tabell2[[#This Row],[Beftettotal-I]]*Vekter!$D$3</f>
        <v>8.3551266839410235E-2</v>
      </c>
      <c r="AF102" s="48">
        <f>Tabell2[[#This Row],[Befvekst10-I]]*Vekter!$E$3</f>
        <v>4.6906738203367073</v>
      </c>
      <c r="AG102" s="48">
        <f>Tabell2[[#This Row],[Kvinneandel-I]]*Vekter!$F$3</f>
        <v>3.30639506493978</v>
      </c>
      <c r="AH102" s="48">
        <f>Tabell2[[#This Row],[Eldreandel-I]]*Vekter!$G$3</f>
        <v>1.7870384659148624</v>
      </c>
      <c r="AI102" s="48">
        <f>Tabell2[[#This Row],[Sysselsettingsvekst10-I]]*Vekter!$H$3</f>
        <v>2.9462047639350759</v>
      </c>
      <c r="AJ102" s="48">
        <f>Tabell2[[#This Row],[Yrkesaktivandel-I]]*Vekter!$J$3</f>
        <v>9.4950317109471065</v>
      </c>
      <c r="AK102" s="48">
        <f>Tabell2[[#This Row],[Inntekt-I]]*Vekter!$L$3</f>
        <v>6.2404124229850373</v>
      </c>
      <c r="AL102" s="37">
        <f>SUM(Tabell2[[#This Row],[NIBR11-v]:[Inntekt-v]])</f>
        <v>38.509877980733748</v>
      </c>
    </row>
    <row r="103" spans="1:38">
      <c r="A103" s="2" t="s">
        <v>100</v>
      </c>
      <c r="B103">
        <f>'Rådata-K'!M102</f>
        <v>2</v>
      </c>
      <c r="C103" s="9">
        <f>'Rådata-K'!L102</f>
        <v>83.177573943799999</v>
      </c>
      <c r="D103" s="51">
        <f>'Rådata-K'!N102</f>
        <v>4.1660730398442318</v>
      </c>
      <c r="E103" s="51">
        <f>'Rådata-K'!O102</f>
        <v>-5.9490084985835967E-3</v>
      </c>
      <c r="F103" s="51">
        <f>'Rådata-K'!P102</f>
        <v>9.7748646337988035E-2</v>
      </c>
      <c r="G103" s="51">
        <f>'Rådata-K'!Q102</f>
        <v>0.182958107722998</v>
      </c>
      <c r="H103" s="51">
        <f>'Rådata-K'!R102</f>
        <v>9.5509622238061365E-2</v>
      </c>
      <c r="I103" s="51">
        <f>'Rådata-K'!S102</f>
        <v>0.97368421052631582</v>
      </c>
      <c r="J103" s="52">
        <f>'Rådata-K'!K102</f>
        <v>359500</v>
      </c>
      <c r="K103" s="26">
        <f>Tabell2[[#This Row],[NIBR11]]</f>
        <v>2</v>
      </c>
      <c r="L103" s="52">
        <f>IF(Tabell2[[#This Row],[ReisetidOslo]]&lt;=C$434,C$434,IF(Tabell2[[#This Row],[ReisetidOslo]]&gt;=C$435,C$435,Tabell2[[#This Row],[ReisetidOslo]]))</f>
        <v>83.177573943799999</v>
      </c>
      <c r="M103" s="51">
        <f>IF(Tabell2[[#This Row],[Beftettotal]]&lt;=D$434,D$434,IF(Tabell2[[#This Row],[Beftettotal]]&gt;=D$435,D$435,Tabell2[[#This Row],[Beftettotal]]))</f>
        <v>4.1660730398442318</v>
      </c>
      <c r="N103" s="51">
        <f>IF(Tabell2[[#This Row],[Befvekst10]]&lt;=E$434,E$434,IF(Tabell2[[#This Row],[Befvekst10]]&gt;=E$435,E$435,Tabell2[[#This Row],[Befvekst10]]))</f>
        <v>-5.9490084985835967E-3</v>
      </c>
      <c r="O103" s="51">
        <f>IF(Tabell2[[#This Row],[Kvinneandel]]&lt;=F$434,F$434,IF(Tabell2[[#This Row],[Kvinneandel]]&gt;=F$435,F$435,Tabell2[[#This Row],[Kvinneandel]]))</f>
        <v>9.7748646337988035E-2</v>
      </c>
      <c r="P103" s="51">
        <f>IF(Tabell2[[#This Row],[Eldreandel]]&lt;=G$434,G$434,IF(Tabell2[[#This Row],[Eldreandel]]&gt;=G$435,G$435,Tabell2[[#This Row],[Eldreandel]]))</f>
        <v>0.182958107722998</v>
      </c>
      <c r="Q103" s="51">
        <f>IF(Tabell2[[#This Row],[Sysselsettingsvekst10]]&lt;=H$434,H$434,IF(Tabell2[[#This Row],[Sysselsettingsvekst10]]&gt;=H$435,H$435,Tabell2[[#This Row],[Sysselsettingsvekst10]]))</f>
        <v>9.5509622238061365E-2</v>
      </c>
      <c r="R103" s="51">
        <f>IF(Tabell2[[#This Row],[Yrkesaktivandel]]&lt;=I$434,I$434,IF(Tabell2[[#This Row],[Yrkesaktivandel]]&gt;=I$435,I$435,Tabell2[[#This Row],[Yrkesaktivandel]]))</f>
        <v>0.96217815624658265</v>
      </c>
      <c r="S103" s="52">
        <f>IF(Tabell2[[#This Row],[Inntekt]]&lt;=J$434,J$434,IF(Tabell2[[#This Row],[Inntekt]]&gt;=J$435,J$435,Tabell2[[#This Row],[Inntekt]]))</f>
        <v>359500</v>
      </c>
      <c r="T103" s="9">
        <f>IF(Tabell2[[#This Row],[NIBR11-T]]&lt;=K$437,100,IF(Tabell2[[#This Row],[NIBR11-T]]&gt;=K$436,0,100*(K$436-Tabell2[[#This Row],[NIBR11-T]])/K$439))</f>
        <v>90</v>
      </c>
      <c r="U103" s="9">
        <f>(L$436-Tabell2[[#This Row],[ReisetidOslo-T]])*100/L$439</f>
        <v>86.960154734950393</v>
      </c>
      <c r="V103" s="9">
        <f>100-(M$436-Tabell2[[#This Row],[Beftettotal-T]])*100/M$439</f>
        <v>2.2262041937101174</v>
      </c>
      <c r="W103" s="9">
        <f>100-(N$436-Tabell2[[#This Row],[Befvekst10-T]])*100/N$439</f>
        <v>30.283161733274312</v>
      </c>
      <c r="X103" s="9">
        <f>100-(O$436-Tabell2[[#This Row],[Kvinneandel-T]])*100/O$439</f>
        <v>19.827434537063624</v>
      </c>
      <c r="Y103" s="9">
        <f>(P$436-Tabell2[[#This Row],[Eldreandel-T]])*100/P$439</f>
        <v>28.730478125271613</v>
      </c>
      <c r="Z103" s="9">
        <f>100-(Q$436-Tabell2[[#This Row],[Sysselsettingsvekst10-T]])*100/Q$439</f>
        <v>52.704146415405191</v>
      </c>
      <c r="AA103" s="9">
        <f>100-(R$436-Tabell2[[#This Row],[Yrkesaktivandel-T]])*100/R$439</f>
        <v>100</v>
      </c>
      <c r="AB103" s="9">
        <f>100-(S$436-Tabell2[[#This Row],[Inntekt-T]])*100/S$439</f>
        <v>49.075820445115049</v>
      </c>
      <c r="AC103" s="48">
        <f>Tabell2[[#This Row],[NIBR11-I]]*Vekter!$B$3</f>
        <v>18</v>
      </c>
      <c r="AD103" s="48">
        <f>Tabell2[[#This Row],[ReisetidOslo-I]]*Vekter!$C$3</f>
        <v>8.6960154734950397</v>
      </c>
      <c r="AE103" s="48">
        <f>Tabell2[[#This Row],[Beftettotal-I]]*Vekter!$D$3</f>
        <v>0.22262041937101174</v>
      </c>
      <c r="AF103" s="48">
        <f>Tabell2[[#This Row],[Befvekst10-I]]*Vekter!$E$3</f>
        <v>6.0566323466548626</v>
      </c>
      <c r="AG103" s="48">
        <f>Tabell2[[#This Row],[Kvinneandel-I]]*Vekter!$F$3</f>
        <v>0.9913717268531812</v>
      </c>
      <c r="AH103" s="48">
        <f>Tabell2[[#This Row],[Eldreandel-I]]*Vekter!$G$3</f>
        <v>1.4365239062635808</v>
      </c>
      <c r="AI103" s="48">
        <f>Tabell2[[#This Row],[Sysselsettingsvekst10-I]]*Vekter!$H$3</f>
        <v>5.2704146415405191</v>
      </c>
      <c r="AJ103" s="48">
        <f>Tabell2[[#This Row],[Yrkesaktivandel-I]]*Vekter!$J$3</f>
        <v>10</v>
      </c>
      <c r="AK103" s="48">
        <f>Tabell2[[#This Row],[Inntekt-I]]*Vekter!$L$3</f>
        <v>4.9075820445115053</v>
      </c>
      <c r="AL103" s="37">
        <f>SUM(Tabell2[[#This Row],[NIBR11-v]:[Inntekt-v]])</f>
        <v>55.581160558689703</v>
      </c>
    </row>
    <row r="104" spans="1:38">
      <c r="A104" s="2" t="s">
        <v>101</v>
      </c>
      <c r="B104">
        <f>'Rådata-K'!M103</f>
        <v>5</v>
      </c>
      <c r="C104" s="9">
        <f>'Rådata-K'!L103</f>
        <v>85.434413891299997</v>
      </c>
      <c r="D104" s="51">
        <f>'Rådata-K'!N103</f>
        <v>6.0479025927211554</v>
      </c>
      <c r="E104" s="51">
        <f>'Rådata-K'!O103</f>
        <v>2.9077691958200758E-2</v>
      </c>
      <c r="F104" s="51">
        <f>'Rådata-K'!P103</f>
        <v>0.12317880794701987</v>
      </c>
      <c r="G104" s="51">
        <f>'Rådata-K'!Q103</f>
        <v>0.15761589403973511</v>
      </c>
      <c r="H104" s="51">
        <f>'Rådata-K'!R103</f>
        <v>0.25909090909090904</v>
      </c>
      <c r="I104" s="51">
        <f>'Rådata-K'!S103</f>
        <v>0.86899563318777295</v>
      </c>
      <c r="J104" s="52">
        <f>'Rådata-K'!K103</f>
        <v>363600</v>
      </c>
      <c r="K104" s="26">
        <f>Tabell2[[#This Row],[NIBR11]]</f>
        <v>5</v>
      </c>
      <c r="L104" s="52">
        <f>IF(Tabell2[[#This Row],[ReisetidOslo]]&lt;=C$434,C$434,IF(Tabell2[[#This Row],[ReisetidOslo]]&gt;=C$435,C$435,Tabell2[[#This Row],[ReisetidOslo]]))</f>
        <v>85.434413891299997</v>
      </c>
      <c r="M104" s="51">
        <f>IF(Tabell2[[#This Row],[Beftettotal]]&lt;=D$434,D$434,IF(Tabell2[[#This Row],[Beftettotal]]&gt;=D$435,D$435,Tabell2[[#This Row],[Beftettotal]]))</f>
        <v>6.0479025927211554</v>
      </c>
      <c r="N104" s="51">
        <f>IF(Tabell2[[#This Row],[Befvekst10]]&lt;=E$434,E$434,IF(Tabell2[[#This Row],[Befvekst10]]&gt;=E$435,E$435,Tabell2[[#This Row],[Befvekst10]]))</f>
        <v>2.9077691958200758E-2</v>
      </c>
      <c r="O104" s="51">
        <f>IF(Tabell2[[#This Row],[Kvinneandel]]&lt;=F$434,F$434,IF(Tabell2[[#This Row],[Kvinneandel]]&gt;=F$435,F$435,Tabell2[[#This Row],[Kvinneandel]]))</f>
        <v>0.12317880794701987</v>
      </c>
      <c r="P104" s="51">
        <f>IF(Tabell2[[#This Row],[Eldreandel]]&lt;=G$434,G$434,IF(Tabell2[[#This Row],[Eldreandel]]&gt;=G$435,G$435,Tabell2[[#This Row],[Eldreandel]]))</f>
        <v>0.15761589403973511</v>
      </c>
      <c r="Q104" s="51">
        <f>IF(Tabell2[[#This Row],[Sysselsettingsvekst10]]&lt;=H$434,H$434,IF(Tabell2[[#This Row],[Sysselsettingsvekst10]]&gt;=H$435,H$435,Tabell2[[#This Row],[Sysselsettingsvekst10]]))</f>
        <v>0.24286196513786068</v>
      </c>
      <c r="R104" s="51">
        <f>IF(Tabell2[[#This Row],[Yrkesaktivandel]]&lt;=I$434,I$434,IF(Tabell2[[#This Row],[Yrkesaktivandel]]&gt;=I$435,I$435,Tabell2[[#This Row],[Yrkesaktivandel]]))</f>
        <v>0.86899563318777295</v>
      </c>
      <c r="S104" s="52">
        <f>IF(Tabell2[[#This Row],[Inntekt]]&lt;=J$434,J$434,IF(Tabell2[[#This Row],[Inntekt]]&gt;=J$435,J$435,Tabell2[[#This Row],[Inntekt]]))</f>
        <v>363600</v>
      </c>
      <c r="T104" s="9">
        <f>IF(Tabell2[[#This Row],[NIBR11-T]]&lt;=K$437,100,IF(Tabell2[[#This Row],[NIBR11-T]]&gt;=K$436,0,100*(K$436-Tabell2[[#This Row],[NIBR11-T]])/K$439))</f>
        <v>60</v>
      </c>
      <c r="U104" s="9">
        <f>(L$436-Tabell2[[#This Row],[ReisetidOslo-T]])*100/L$439</f>
        <v>85.958229304545071</v>
      </c>
      <c r="V104" s="9">
        <f>100-(M$436-Tabell2[[#This Row],[Beftettotal-T]])*100/M$439</f>
        <v>3.7084498619041568</v>
      </c>
      <c r="W104" s="9">
        <f>100-(N$436-Tabell2[[#This Row],[Befvekst10-T]])*100/N$439</f>
        <v>44.456916696890616</v>
      </c>
      <c r="X104" s="9">
        <f>100-(O$436-Tabell2[[#This Row],[Kvinneandel-T]])*100/O$439</f>
        <v>87.184247296430016</v>
      </c>
      <c r="Y104" s="9">
        <f>(P$436-Tabell2[[#This Row],[Eldreandel-T]])*100/P$439</f>
        <v>57.460602643046109</v>
      </c>
      <c r="Z104" s="9">
        <f>100-(Q$436-Tabell2[[#This Row],[Sysselsettingsvekst10-T]])*100/Q$439</f>
        <v>100</v>
      </c>
      <c r="AA104" s="9">
        <f>100-(R$436-Tabell2[[#This Row],[Yrkesaktivandel-T]])*100/R$439</f>
        <v>30.534689744907553</v>
      </c>
      <c r="AB104" s="9">
        <f>100-(S$436-Tabell2[[#This Row],[Inntekt-T]])*100/S$439</f>
        <v>54.231107758078714</v>
      </c>
      <c r="AC104" s="48">
        <f>Tabell2[[#This Row],[NIBR11-I]]*Vekter!$B$3</f>
        <v>12</v>
      </c>
      <c r="AD104" s="48">
        <f>Tabell2[[#This Row],[ReisetidOslo-I]]*Vekter!$C$3</f>
        <v>8.5958229304545082</v>
      </c>
      <c r="AE104" s="48">
        <f>Tabell2[[#This Row],[Beftettotal-I]]*Vekter!$D$3</f>
        <v>0.37084498619041573</v>
      </c>
      <c r="AF104" s="48">
        <f>Tabell2[[#This Row],[Befvekst10-I]]*Vekter!$E$3</f>
        <v>8.8913833393781232</v>
      </c>
      <c r="AG104" s="48">
        <f>Tabell2[[#This Row],[Kvinneandel-I]]*Vekter!$F$3</f>
        <v>4.3592123648215013</v>
      </c>
      <c r="AH104" s="48">
        <f>Tabell2[[#This Row],[Eldreandel-I]]*Vekter!$G$3</f>
        <v>2.8730301321523055</v>
      </c>
      <c r="AI104" s="48">
        <f>Tabell2[[#This Row],[Sysselsettingsvekst10-I]]*Vekter!$H$3</f>
        <v>10</v>
      </c>
      <c r="AJ104" s="48">
        <f>Tabell2[[#This Row],[Yrkesaktivandel-I]]*Vekter!$J$3</f>
        <v>3.0534689744907553</v>
      </c>
      <c r="AK104" s="48">
        <f>Tabell2[[#This Row],[Inntekt-I]]*Vekter!$L$3</f>
        <v>5.4231107758078716</v>
      </c>
      <c r="AL104" s="37">
        <f>SUM(Tabell2[[#This Row],[NIBR11-v]:[Inntekt-v]])</f>
        <v>55.566873503295483</v>
      </c>
    </row>
    <row r="105" spans="1:38">
      <c r="A105" s="2" t="s">
        <v>102</v>
      </c>
      <c r="B105">
        <f>'Rådata-K'!M104</f>
        <v>2</v>
      </c>
      <c r="C105" s="9">
        <f>'Rådata-K'!L104</f>
        <v>65.520446642899998</v>
      </c>
      <c r="D105" s="51">
        <f>'Rådata-K'!N104</f>
        <v>26.259716152983483</v>
      </c>
      <c r="E105" s="51">
        <f>'Rådata-K'!O104</f>
        <v>7.8370652691758025E-2</v>
      </c>
      <c r="F105" s="51">
        <f>'Rådata-K'!P104</f>
        <v>0.11589720933657316</v>
      </c>
      <c r="G105" s="51">
        <f>'Rådata-K'!Q104</f>
        <v>0.15727855091672188</v>
      </c>
      <c r="H105" s="51">
        <f>'Rådata-K'!R104</f>
        <v>7.8649453823237403E-2</v>
      </c>
      <c r="I105" s="51">
        <f>'Rådata-K'!S104</f>
        <v>0.83826651679780195</v>
      </c>
      <c r="J105" s="52">
        <f>'Rådata-K'!K104</f>
        <v>355000</v>
      </c>
      <c r="K105" s="26">
        <f>Tabell2[[#This Row],[NIBR11]]</f>
        <v>2</v>
      </c>
      <c r="L105" s="52">
        <f>IF(Tabell2[[#This Row],[ReisetidOslo]]&lt;=C$434,C$434,IF(Tabell2[[#This Row],[ReisetidOslo]]&gt;=C$435,C$435,Tabell2[[#This Row],[ReisetidOslo]]))</f>
        <v>65.520446642899998</v>
      </c>
      <c r="M105" s="51">
        <f>IF(Tabell2[[#This Row],[Beftettotal]]&lt;=D$434,D$434,IF(Tabell2[[#This Row],[Beftettotal]]&gt;=D$435,D$435,Tabell2[[#This Row],[Beftettotal]]))</f>
        <v>26.259716152983483</v>
      </c>
      <c r="N105" s="51">
        <f>IF(Tabell2[[#This Row],[Befvekst10]]&lt;=E$434,E$434,IF(Tabell2[[#This Row],[Befvekst10]]&gt;=E$435,E$435,Tabell2[[#This Row],[Befvekst10]]))</f>
        <v>7.8370652691758025E-2</v>
      </c>
      <c r="O105" s="51">
        <f>IF(Tabell2[[#This Row],[Kvinneandel]]&lt;=F$434,F$434,IF(Tabell2[[#This Row],[Kvinneandel]]&gt;=F$435,F$435,Tabell2[[#This Row],[Kvinneandel]]))</f>
        <v>0.11589720933657316</v>
      </c>
      <c r="P105" s="51">
        <f>IF(Tabell2[[#This Row],[Eldreandel]]&lt;=G$434,G$434,IF(Tabell2[[#This Row],[Eldreandel]]&gt;=G$435,G$435,Tabell2[[#This Row],[Eldreandel]]))</f>
        <v>0.15727855091672188</v>
      </c>
      <c r="Q105" s="51">
        <f>IF(Tabell2[[#This Row],[Sysselsettingsvekst10]]&lt;=H$434,H$434,IF(Tabell2[[#This Row],[Sysselsettingsvekst10]]&gt;=H$435,H$435,Tabell2[[#This Row],[Sysselsettingsvekst10]]))</f>
        <v>7.8649453823237403E-2</v>
      </c>
      <c r="R105" s="51">
        <f>IF(Tabell2[[#This Row],[Yrkesaktivandel]]&lt;=I$434,I$434,IF(Tabell2[[#This Row],[Yrkesaktivandel]]&gt;=I$435,I$435,Tabell2[[#This Row],[Yrkesaktivandel]]))</f>
        <v>0.83826651679780195</v>
      </c>
      <c r="S105" s="52">
        <f>IF(Tabell2[[#This Row],[Inntekt]]&lt;=J$434,J$434,IF(Tabell2[[#This Row],[Inntekt]]&gt;=J$435,J$435,Tabell2[[#This Row],[Inntekt]]))</f>
        <v>355000</v>
      </c>
      <c r="T105" s="9">
        <f>IF(Tabell2[[#This Row],[NIBR11-T]]&lt;=K$437,100,IF(Tabell2[[#This Row],[NIBR11-T]]&gt;=K$436,0,100*(K$436-Tabell2[[#This Row],[NIBR11-T]])/K$439))</f>
        <v>90</v>
      </c>
      <c r="U105" s="9">
        <f>(L$436-Tabell2[[#This Row],[ReisetidOslo-T]])*100/L$439</f>
        <v>94.799046850571102</v>
      </c>
      <c r="V105" s="9">
        <f>100-(M$436-Tabell2[[#This Row],[Beftettotal-T]])*100/M$439</f>
        <v>19.628527772384203</v>
      </c>
      <c r="W105" s="9">
        <f>100-(N$436-Tabell2[[#This Row],[Befvekst10-T]])*100/N$439</f>
        <v>64.403595594910428</v>
      </c>
      <c r="X105" s="9">
        <f>100-(O$436-Tabell2[[#This Row],[Kvinneandel-T]])*100/O$439</f>
        <v>67.897493176136635</v>
      </c>
      <c r="Y105" s="9">
        <f>(P$436-Tabell2[[#This Row],[Eldreandel-T]])*100/P$439</f>
        <v>57.843043973962111</v>
      </c>
      <c r="Z105" s="9">
        <f>100-(Q$436-Tabell2[[#This Row],[Sysselsettingsvekst10-T]])*100/Q$439</f>
        <v>47.292518469310217</v>
      </c>
      <c r="AA105" s="9">
        <f>100-(R$436-Tabell2[[#This Row],[Yrkesaktivandel-T]])*100/R$439</f>
        <v>7.6268789900197334</v>
      </c>
      <c r="AB105" s="9">
        <f>100-(S$436-Tabell2[[#This Row],[Inntekt-T]])*100/S$439</f>
        <v>43.417578272350056</v>
      </c>
      <c r="AC105" s="48">
        <f>Tabell2[[#This Row],[NIBR11-I]]*Vekter!$B$3</f>
        <v>18</v>
      </c>
      <c r="AD105" s="48">
        <f>Tabell2[[#This Row],[ReisetidOslo-I]]*Vekter!$C$3</f>
        <v>9.4799046850571109</v>
      </c>
      <c r="AE105" s="48">
        <f>Tabell2[[#This Row],[Beftettotal-I]]*Vekter!$D$3</f>
        <v>1.9628527772384203</v>
      </c>
      <c r="AF105" s="48">
        <f>Tabell2[[#This Row],[Befvekst10-I]]*Vekter!$E$3</f>
        <v>12.880719118982086</v>
      </c>
      <c r="AG105" s="48">
        <f>Tabell2[[#This Row],[Kvinneandel-I]]*Vekter!$F$3</f>
        <v>3.3948746588068319</v>
      </c>
      <c r="AH105" s="48">
        <f>Tabell2[[#This Row],[Eldreandel-I]]*Vekter!$G$3</f>
        <v>2.8921521986981058</v>
      </c>
      <c r="AI105" s="48">
        <f>Tabell2[[#This Row],[Sysselsettingsvekst10-I]]*Vekter!$H$3</f>
        <v>4.7292518469310219</v>
      </c>
      <c r="AJ105" s="48">
        <f>Tabell2[[#This Row],[Yrkesaktivandel-I]]*Vekter!$J$3</f>
        <v>0.76268789900197342</v>
      </c>
      <c r="AK105" s="48">
        <f>Tabell2[[#This Row],[Inntekt-I]]*Vekter!$L$3</f>
        <v>4.3417578272350061</v>
      </c>
      <c r="AL105" s="37">
        <f>SUM(Tabell2[[#This Row],[NIBR11-v]:[Inntekt-v]])</f>
        <v>58.444201011950561</v>
      </c>
    </row>
    <row r="106" spans="1:38">
      <c r="A106" s="2" t="s">
        <v>103</v>
      </c>
      <c r="B106">
        <f>'Rådata-K'!M105</f>
        <v>2</v>
      </c>
      <c r="C106" s="9">
        <f>'Rådata-K'!L105</f>
        <v>46.958412583700003</v>
      </c>
      <c r="D106" s="51">
        <f>'Rådata-K'!N105</f>
        <v>39.235822202758918</v>
      </c>
      <c r="E106" s="51">
        <f>'Rådata-K'!O105</f>
        <v>0.16266545548922928</v>
      </c>
      <c r="F106" s="51">
        <f>'Rådata-K'!P105</f>
        <v>0.12333277526647693</v>
      </c>
      <c r="G106" s="51">
        <f>'Rådata-K'!Q105</f>
        <v>0.13890284056029911</v>
      </c>
      <c r="H106" s="51">
        <f>'Rådata-K'!R105</f>
        <v>0.21774794929157348</v>
      </c>
      <c r="I106" s="51">
        <f>'Rådata-K'!S105</f>
        <v>0.86420685099556482</v>
      </c>
      <c r="J106" s="52">
        <f>'Rådata-K'!K105</f>
        <v>373600</v>
      </c>
      <c r="K106" s="26">
        <f>Tabell2[[#This Row],[NIBR11]]</f>
        <v>2</v>
      </c>
      <c r="L106" s="52">
        <f>IF(Tabell2[[#This Row],[ReisetidOslo]]&lt;=C$434,C$434,IF(Tabell2[[#This Row],[ReisetidOslo]]&gt;=C$435,C$435,Tabell2[[#This Row],[ReisetidOslo]]))</f>
        <v>53.805284539509998</v>
      </c>
      <c r="M106" s="51">
        <f>IF(Tabell2[[#This Row],[Beftettotal]]&lt;=D$434,D$434,IF(Tabell2[[#This Row],[Beftettotal]]&gt;=D$435,D$435,Tabell2[[#This Row],[Beftettotal]]))</f>
        <v>39.235822202758918</v>
      </c>
      <c r="N106" s="51">
        <f>IF(Tabell2[[#This Row],[Befvekst10]]&lt;=E$434,E$434,IF(Tabell2[[#This Row],[Befvekst10]]&gt;=E$435,E$435,Tabell2[[#This Row],[Befvekst10]]))</f>
        <v>0.16266545548922928</v>
      </c>
      <c r="O106" s="51">
        <f>IF(Tabell2[[#This Row],[Kvinneandel]]&lt;=F$434,F$434,IF(Tabell2[[#This Row],[Kvinneandel]]&gt;=F$435,F$435,Tabell2[[#This Row],[Kvinneandel]]))</f>
        <v>0.12333277526647693</v>
      </c>
      <c r="P106" s="51">
        <f>IF(Tabell2[[#This Row],[Eldreandel]]&lt;=G$434,G$434,IF(Tabell2[[#This Row],[Eldreandel]]&gt;=G$435,G$435,Tabell2[[#This Row],[Eldreandel]]))</f>
        <v>0.13890284056029911</v>
      </c>
      <c r="Q106" s="51">
        <f>IF(Tabell2[[#This Row],[Sysselsettingsvekst10]]&lt;=H$434,H$434,IF(Tabell2[[#This Row],[Sysselsettingsvekst10]]&gt;=H$435,H$435,Tabell2[[#This Row],[Sysselsettingsvekst10]]))</f>
        <v>0.21774794929157348</v>
      </c>
      <c r="R106" s="51">
        <f>IF(Tabell2[[#This Row],[Yrkesaktivandel]]&lt;=I$434,I$434,IF(Tabell2[[#This Row],[Yrkesaktivandel]]&gt;=I$435,I$435,Tabell2[[#This Row],[Yrkesaktivandel]]))</f>
        <v>0.86420685099556482</v>
      </c>
      <c r="S106" s="52">
        <f>IF(Tabell2[[#This Row],[Inntekt]]&lt;=J$434,J$434,IF(Tabell2[[#This Row],[Inntekt]]&gt;=J$435,J$435,Tabell2[[#This Row],[Inntekt]]))</f>
        <v>373600</v>
      </c>
      <c r="T106" s="9">
        <f>IF(Tabell2[[#This Row],[NIBR11-T]]&lt;=K$437,100,IF(Tabell2[[#This Row],[NIBR11-T]]&gt;=K$436,0,100*(K$436-Tabell2[[#This Row],[NIBR11-T]])/K$439))</f>
        <v>90</v>
      </c>
      <c r="U106" s="9">
        <f>(L$436-Tabell2[[#This Row],[ReisetidOslo-T]])*100/L$439</f>
        <v>100</v>
      </c>
      <c r="V106" s="9">
        <f>100-(M$436-Tabell2[[#This Row],[Beftettotal-T]])*100/M$439</f>
        <v>29.849313684105979</v>
      </c>
      <c r="W106" s="9">
        <f>100-(N$436-Tabell2[[#This Row],[Befvekst10-T]])*100/N$439</f>
        <v>98.513970365489172</v>
      </c>
      <c r="X106" s="9">
        <f>100-(O$436-Tabell2[[#This Row],[Kvinneandel-T]])*100/O$439</f>
        <v>87.59206019464014</v>
      </c>
      <c r="Y106" s="9">
        <f>(P$436-Tabell2[[#This Row],[Eldreandel-T]])*100/P$439</f>
        <v>78.675337996928889</v>
      </c>
      <c r="Z106" s="9">
        <f>100-(Q$436-Tabell2[[#This Row],[Sysselsettingsvekst10-T]])*100/Q$439</f>
        <v>91.939125004650265</v>
      </c>
      <c r="AA106" s="9">
        <f>100-(R$436-Tabell2[[#This Row],[Yrkesaktivandel-T]])*100/R$439</f>
        <v>26.964768800441888</v>
      </c>
      <c r="AB106" s="9">
        <f>100-(S$436-Tabell2[[#This Row],[Inntekt-T]])*100/S$439</f>
        <v>66.804979253112037</v>
      </c>
      <c r="AC106" s="48">
        <f>Tabell2[[#This Row],[NIBR11-I]]*Vekter!$B$3</f>
        <v>18</v>
      </c>
      <c r="AD106" s="48">
        <f>Tabell2[[#This Row],[ReisetidOslo-I]]*Vekter!$C$3</f>
        <v>10</v>
      </c>
      <c r="AE106" s="48">
        <f>Tabell2[[#This Row],[Beftettotal-I]]*Vekter!$D$3</f>
        <v>2.984931368410598</v>
      </c>
      <c r="AF106" s="48">
        <f>Tabell2[[#This Row],[Befvekst10-I]]*Vekter!$E$3</f>
        <v>19.702794073097834</v>
      </c>
      <c r="AG106" s="48">
        <f>Tabell2[[#This Row],[Kvinneandel-I]]*Vekter!$F$3</f>
        <v>4.3796030097320076</v>
      </c>
      <c r="AH106" s="48">
        <f>Tabell2[[#This Row],[Eldreandel-I]]*Vekter!$G$3</f>
        <v>3.9337668998464448</v>
      </c>
      <c r="AI106" s="48">
        <f>Tabell2[[#This Row],[Sysselsettingsvekst10-I]]*Vekter!$H$3</f>
        <v>9.1939125004650268</v>
      </c>
      <c r="AJ106" s="48">
        <f>Tabell2[[#This Row],[Yrkesaktivandel-I]]*Vekter!$J$3</f>
        <v>2.6964768800441892</v>
      </c>
      <c r="AK106" s="48">
        <f>Tabell2[[#This Row],[Inntekt-I]]*Vekter!$L$3</f>
        <v>6.6804979253112045</v>
      </c>
      <c r="AL106" s="37">
        <f>SUM(Tabell2[[#This Row],[NIBR11-v]:[Inntekt-v]])</f>
        <v>77.571982656907309</v>
      </c>
    </row>
    <row r="107" spans="1:38">
      <c r="A107" s="2" t="s">
        <v>104</v>
      </c>
      <c r="B107">
        <f>'Rådata-K'!M106</f>
        <v>2</v>
      </c>
      <c r="C107" s="9">
        <f>'Rådata-K'!L106</f>
        <v>40.906691844800001</v>
      </c>
      <c r="D107" s="51">
        <f>'Rådata-K'!N106</f>
        <v>195.55683311432327</v>
      </c>
      <c r="E107" s="51">
        <f>'Rådata-K'!O106</f>
        <v>0.11386069139729615</v>
      </c>
      <c r="F107" s="51">
        <f>'Rådata-K'!P106</f>
        <v>0.12435429003401789</v>
      </c>
      <c r="G107" s="51">
        <f>'Rådata-K'!Q106</f>
        <v>0.12364033429927344</v>
      </c>
      <c r="H107" s="51">
        <f>'Rådata-K'!R106</f>
        <v>0.2288259109311741</v>
      </c>
      <c r="I107" s="51">
        <f>'Rådata-K'!S106</f>
        <v>0.85938833570412521</v>
      </c>
      <c r="J107" s="52">
        <f>'Rådata-K'!K106</f>
        <v>369500</v>
      </c>
      <c r="K107" s="26">
        <f>Tabell2[[#This Row],[NIBR11]]</f>
        <v>2</v>
      </c>
      <c r="L107" s="52">
        <f>IF(Tabell2[[#This Row],[ReisetidOslo]]&lt;=C$434,C$434,IF(Tabell2[[#This Row],[ReisetidOslo]]&gt;=C$435,C$435,Tabell2[[#This Row],[ReisetidOslo]]))</f>
        <v>53.805284539509998</v>
      </c>
      <c r="M107" s="51">
        <f>IF(Tabell2[[#This Row],[Beftettotal]]&lt;=D$434,D$434,IF(Tabell2[[#This Row],[Beftettotal]]&gt;=D$435,D$435,Tabell2[[#This Row],[Beftettotal]]))</f>
        <v>128.29773514779066</v>
      </c>
      <c r="N107" s="51">
        <f>IF(Tabell2[[#This Row],[Befvekst10]]&lt;=E$434,E$434,IF(Tabell2[[#This Row],[Befvekst10]]&gt;=E$435,E$435,Tabell2[[#This Row],[Befvekst10]]))</f>
        <v>0.11386069139729615</v>
      </c>
      <c r="O107" s="51">
        <f>IF(Tabell2[[#This Row],[Kvinneandel]]&lt;=F$434,F$434,IF(Tabell2[[#This Row],[Kvinneandel]]&gt;=F$435,F$435,Tabell2[[#This Row],[Kvinneandel]]))</f>
        <v>0.12435429003401789</v>
      </c>
      <c r="P107" s="51">
        <f>IF(Tabell2[[#This Row],[Eldreandel]]&lt;=G$434,G$434,IF(Tabell2[[#This Row],[Eldreandel]]&gt;=G$435,G$435,Tabell2[[#This Row],[Eldreandel]]))</f>
        <v>0.12364033429927344</v>
      </c>
      <c r="Q107" s="51">
        <f>IF(Tabell2[[#This Row],[Sysselsettingsvekst10]]&lt;=H$434,H$434,IF(Tabell2[[#This Row],[Sysselsettingsvekst10]]&gt;=H$435,H$435,Tabell2[[#This Row],[Sysselsettingsvekst10]]))</f>
        <v>0.2288259109311741</v>
      </c>
      <c r="R107" s="51">
        <f>IF(Tabell2[[#This Row],[Yrkesaktivandel]]&lt;=I$434,I$434,IF(Tabell2[[#This Row],[Yrkesaktivandel]]&gt;=I$435,I$435,Tabell2[[#This Row],[Yrkesaktivandel]]))</f>
        <v>0.85938833570412521</v>
      </c>
      <c r="S107" s="52">
        <f>IF(Tabell2[[#This Row],[Inntekt]]&lt;=J$434,J$434,IF(Tabell2[[#This Row],[Inntekt]]&gt;=J$435,J$435,Tabell2[[#This Row],[Inntekt]]))</f>
        <v>369500</v>
      </c>
      <c r="T107" s="9">
        <f>IF(Tabell2[[#This Row],[NIBR11-T]]&lt;=K$437,100,IF(Tabell2[[#This Row],[NIBR11-T]]&gt;=K$436,0,100*(K$436-Tabell2[[#This Row],[NIBR11-T]])/K$439))</f>
        <v>90</v>
      </c>
      <c r="U107" s="9">
        <f>(L$436-Tabell2[[#This Row],[ReisetidOslo-T]])*100/L$439</f>
        <v>100</v>
      </c>
      <c r="V107" s="9">
        <f>100-(M$436-Tabell2[[#This Row],[Beftettotal-T]])*100/M$439</f>
        <v>100</v>
      </c>
      <c r="W107" s="9">
        <f>100-(N$436-Tabell2[[#This Row],[Befvekst10-T]])*100/N$439</f>
        <v>78.764843034765235</v>
      </c>
      <c r="X107" s="9">
        <f>100-(O$436-Tabell2[[#This Row],[Kvinneandel-T]])*100/O$439</f>
        <v>90.29774409810959</v>
      </c>
      <c r="Y107" s="9">
        <f>(P$436-Tabell2[[#This Row],[Eldreandel-T]])*100/P$439</f>
        <v>95.978234689895402</v>
      </c>
      <c r="Z107" s="9">
        <f>100-(Q$436-Tabell2[[#This Row],[Sysselsettingsvekst10-T]])*100/Q$439</f>
        <v>95.494831289406065</v>
      </c>
      <c r="AA107" s="9">
        <f>100-(R$436-Tabell2[[#This Row],[Yrkesaktivandel-T]])*100/R$439</f>
        <v>23.372682551848769</v>
      </c>
      <c r="AB107" s="9">
        <f>100-(S$436-Tabell2[[#This Row],[Inntekt-T]])*100/S$439</f>
        <v>61.649691940148372</v>
      </c>
      <c r="AC107" s="48">
        <f>Tabell2[[#This Row],[NIBR11-I]]*Vekter!$B$3</f>
        <v>18</v>
      </c>
      <c r="AD107" s="48">
        <f>Tabell2[[#This Row],[ReisetidOslo-I]]*Vekter!$C$3</f>
        <v>10</v>
      </c>
      <c r="AE107" s="48">
        <f>Tabell2[[#This Row],[Beftettotal-I]]*Vekter!$D$3</f>
        <v>10</v>
      </c>
      <c r="AF107" s="48">
        <f>Tabell2[[#This Row],[Befvekst10-I]]*Vekter!$E$3</f>
        <v>15.752968606953047</v>
      </c>
      <c r="AG107" s="48">
        <f>Tabell2[[#This Row],[Kvinneandel-I]]*Vekter!$F$3</f>
        <v>4.51488720490548</v>
      </c>
      <c r="AH107" s="48">
        <f>Tabell2[[#This Row],[Eldreandel-I]]*Vekter!$G$3</f>
        <v>4.7989117344947703</v>
      </c>
      <c r="AI107" s="48">
        <f>Tabell2[[#This Row],[Sysselsettingsvekst10-I]]*Vekter!$H$3</f>
        <v>9.5494831289406061</v>
      </c>
      <c r="AJ107" s="48">
        <f>Tabell2[[#This Row],[Yrkesaktivandel-I]]*Vekter!$J$3</f>
        <v>2.3372682551848771</v>
      </c>
      <c r="AK107" s="48">
        <f>Tabell2[[#This Row],[Inntekt-I]]*Vekter!$L$3</f>
        <v>6.1649691940148372</v>
      </c>
      <c r="AL107" s="37">
        <f>SUM(Tabell2[[#This Row],[NIBR11-v]:[Inntekt-v]])</f>
        <v>81.118488124493609</v>
      </c>
    </row>
    <row r="108" spans="1:38">
      <c r="A108" s="2" t="s">
        <v>105</v>
      </c>
      <c r="B108">
        <f>'Rådata-K'!M107</f>
        <v>2</v>
      </c>
      <c r="C108" s="9">
        <f>'Rådata-K'!L107</f>
        <v>30.011142560700002</v>
      </c>
      <c r="D108" s="51">
        <f>'Rådata-K'!N107</f>
        <v>83.471485411140577</v>
      </c>
      <c r="E108" s="51">
        <f>'Rådata-K'!O107</f>
        <v>0.16583310178753363</v>
      </c>
      <c r="F108" s="51">
        <f>'Rådata-K'!P107</f>
        <v>0.11777557100297914</v>
      </c>
      <c r="G108" s="51">
        <f>'Rådata-K'!Q107</f>
        <v>0.12969215491559086</v>
      </c>
      <c r="H108" s="51">
        <f>'Rådata-K'!R107</f>
        <v>0.2755632582322356</v>
      </c>
      <c r="I108" s="51">
        <f>'Rådata-K'!S107</f>
        <v>0.88799945729597718</v>
      </c>
      <c r="J108" s="52">
        <f>'Rådata-K'!K107</f>
        <v>429200</v>
      </c>
      <c r="K108" s="26">
        <f>Tabell2[[#This Row],[NIBR11]]</f>
        <v>2</v>
      </c>
      <c r="L108" s="52">
        <f>IF(Tabell2[[#This Row],[ReisetidOslo]]&lt;=C$434,C$434,IF(Tabell2[[#This Row],[ReisetidOslo]]&gt;=C$435,C$435,Tabell2[[#This Row],[ReisetidOslo]]))</f>
        <v>53.805284539509998</v>
      </c>
      <c r="M108" s="51">
        <f>IF(Tabell2[[#This Row],[Beftettotal]]&lt;=D$434,D$434,IF(Tabell2[[#This Row],[Beftettotal]]&gt;=D$435,D$435,Tabell2[[#This Row],[Beftettotal]]))</f>
        <v>83.471485411140577</v>
      </c>
      <c r="N108" s="51">
        <f>IF(Tabell2[[#This Row],[Befvekst10]]&lt;=E$434,E$434,IF(Tabell2[[#This Row],[Befvekst10]]&gt;=E$435,E$435,Tabell2[[#This Row],[Befvekst10]]))</f>
        <v>0.16583310178753363</v>
      </c>
      <c r="O108" s="51">
        <f>IF(Tabell2[[#This Row],[Kvinneandel]]&lt;=F$434,F$434,IF(Tabell2[[#This Row],[Kvinneandel]]&gt;=F$435,F$435,Tabell2[[#This Row],[Kvinneandel]]))</f>
        <v>0.11777557100297914</v>
      </c>
      <c r="P108" s="51">
        <f>IF(Tabell2[[#This Row],[Eldreandel]]&lt;=G$434,G$434,IF(Tabell2[[#This Row],[Eldreandel]]&gt;=G$435,G$435,Tabell2[[#This Row],[Eldreandel]]))</f>
        <v>0.12969215491559086</v>
      </c>
      <c r="Q108" s="51">
        <f>IF(Tabell2[[#This Row],[Sysselsettingsvekst10]]&lt;=H$434,H$434,IF(Tabell2[[#This Row],[Sysselsettingsvekst10]]&gt;=H$435,H$435,Tabell2[[#This Row],[Sysselsettingsvekst10]]))</f>
        <v>0.24286196513786068</v>
      </c>
      <c r="R108" s="51">
        <f>IF(Tabell2[[#This Row],[Yrkesaktivandel]]&lt;=I$434,I$434,IF(Tabell2[[#This Row],[Yrkesaktivandel]]&gt;=I$435,I$435,Tabell2[[#This Row],[Yrkesaktivandel]]))</f>
        <v>0.88799945729597718</v>
      </c>
      <c r="S108" s="52">
        <f>IF(Tabell2[[#This Row],[Inntekt]]&lt;=J$434,J$434,IF(Tabell2[[#This Row],[Inntekt]]&gt;=J$435,J$435,Tabell2[[#This Row],[Inntekt]]))</f>
        <v>400000</v>
      </c>
      <c r="T108" s="9">
        <f>IF(Tabell2[[#This Row],[NIBR11-T]]&lt;=K$437,100,IF(Tabell2[[#This Row],[NIBR11-T]]&gt;=K$436,0,100*(K$436-Tabell2[[#This Row],[NIBR11-T]])/K$439))</f>
        <v>90</v>
      </c>
      <c r="U108" s="9">
        <f>(L$436-Tabell2[[#This Row],[ReisetidOslo-T]])*100/L$439</f>
        <v>100</v>
      </c>
      <c r="V108" s="9">
        <f>100-(M$436-Tabell2[[#This Row],[Beftettotal-T]])*100/M$439</f>
        <v>64.692065552931894</v>
      </c>
      <c r="W108" s="9">
        <f>100-(N$436-Tabell2[[#This Row],[Befvekst10-T]])*100/N$439</f>
        <v>99.795776583547479</v>
      </c>
      <c r="X108" s="9">
        <f>100-(O$436-Tabell2[[#This Row],[Kvinneandel-T]])*100/O$439</f>
        <v>72.872705563837059</v>
      </c>
      <c r="Y108" s="9">
        <f>(P$436-Tabell2[[#This Row],[Eldreandel-T]])*100/P$439</f>
        <v>89.117367599154036</v>
      </c>
      <c r="Z108" s="9">
        <f>100-(Q$436-Tabell2[[#This Row],[Sysselsettingsvekst10-T]])*100/Q$439</f>
        <v>100</v>
      </c>
      <c r="AA108" s="9">
        <f>100-(R$436-Tabell2[[#This Row],[Yrkesaktivandel-T]])*100/R$439</f>
        <v>44.701579569048299</v>
      </c>
      <c r="AB108" s="9">
        <f>100-(S$436-Tabell2[[#This Row],[Inntekt-T]])*100/S$439</f>
        <v>100</v>
      </c>
      <c r="AC108" s="48">
        <f>Tabell2[[#This Row],[NIBR11-I]]*Vekter!$B$3</f>
        <v>18</v>
      </c>
      <c r="AD108" s="48">
        <f>Tabell2[[#This Row],[ReisetidOslo-I]]*Vekter!$C$3</f>
        <v>10</v>
      </c>
      <c r="AE108" s="48">
        <f>Tabell2[[#This Row],[Beftettotal-I]]*Vekter!$D$3</f>
        <v>6.4692065552931899</v>
      </c>
      <c r="AF108" s="48">
        <f>Tabell2[[#This Row],[Befvekst10-I]]*Vekter!$E$3</f>
        <v>19.959155316709499</v>
      </c>
      <c r="AG108" s="48">
        <f>Tabell2[[#This Row],[Kvinneandel-I]]*Vekter!$F$3</f>
        <v>3.6436352781918533</v>
      </c>
      <c r="AH108" s="48">
        <f>Tabell2[[#This Row],[Eldreandel-I]]*Vekter!$G$3</f>
        <v>4.4558683799577024</v>
      </c>
      <c r="AI108" s="48">
        <f>Tabell2[[#This Row],[Sysselsettingsvekst10-I]]*Vekter!$H$3</f>
        <v>10</v>
      </c>
      <c r="AJ108" s="48">
        <f>Tabell2[[#This Row],[Yrkesaktivandel-I]]*Vekter!$J$3</f>
        <v>4.4701579569048304</v>
      </c>
      <c r="AK108" s="48">
        <f>Tabell2[[#This Row],[Inntekt-I]]*Vekter!$L$3</f>
        <v>10</v>
      </c>
      <c r="AL108" s="37">
        <f>SUM(Tabell2[[#This Row],[NIBR11-v]:[Inntekt-v]])</f>
        <v>86.998023487057068</v>
      </c>
    </row>
    <row r="109" spans="1:38">
      <c r="A109" s="2" t="s">
        <v>106</v>
      </c>
      <c r="B109">
        <f>'Rådata-K'!M108</f>
        <v>1</v>
      </c>
      <c r="C109" s="9">
        <f>'Rådata-K'!L108</f>
        <v>27.462255083300001</v>
      </c>
      <c r="D109" s="51">
        <f>'Rådata-K'!N108</f>
        <v>183.08621148894611</v>
      </c>
      <c r="E109" s="51">
        <f>'Rådata-K'!O108</f>
        <v>0.20717714553331001</v>
      </c>
      <c r="F109" s="51">
        <f>'Rådata-K'!P108</f>
        <v>0.11881092090587266</v>
      </c>
      <c r="G109" s="51">
        <f>'Rådata-K'!Q108</f>
        <v>0.11691964502206488</v>
      </c>
      <c r="H109" s="51">
        <f>'Rådata-K'!R108</f>
        <v>0.20778052619743637</v>
      </c>
      <c r="I109" s="51">
        <f>'Rådata-K'!S108</f>
        <v>0.90313014827018123</v>
      </c>
      <c r="J109" s="52">
        <f>'Rådata-K'!K108</f>
        <v>421400</v>
      </c>
      <c r="K109" s="26">
        <f>Tabell2[[#This Row],[NIBR11]]</f>
        <v>1</v>
      </c>
      <c r="L109" s="52">
        <f>IF(Tabell2[[#This Row],[ReisetidOslo]]&lt;=C$434,C$434,IF(Tabell2[[#This Row],[ReisetidOslo]]&gt;=C$435,C$435,Tabell2[[#This Row],[ReisetidOslo]]))</f>
        <v>53.805284539509998</v>
      </c>
      <c r="M109" s="51">
        <f>IF(Tabell2[[#This Row],[Beftettotal]]&lt;=D$434,D$434,IF(Tabell2[[#This Row],[Beftettotal]]&gt;=D$435,D$435,Tabell2[[#This Row],[Beftettotal]]))</f>
        <v>128.29773514779066</v>
      </c>
      <c r="N109" s="51">
        <f>IF(Tabell2[[#This Row],[Befvekst10]]&lt;=E$434,E$434,IF(Tabell2[[#This Row],[Befvekst10]]&gt;=E$435,E$435,Tabell2[[#This Row],[Befvekst10]]))</f>
        <v>0.16633778614624492</v>
      </c>
      <c r="O109" s="51">
        <f>IF(Tabell2[[#This Row],[Kvinneandel]]&lt;=F$434,F$434,IF(Tabell2[[#This Row],[Kvinneandel]]&gt;=F$435,F$435,Tabell2[[#This Row],[Kvinneandel]]))</f>
        <v>0.11881092090587266</v>
      </c>
      <c r="P109" s="51">
        <f>IF(Tabell2[[#This Row],[Eldreandel]]&lt;=G$434,G$434,IF(Tabell2[[#This Row],[Eldreandel]]&gt;=G$435,G$435,Tabell2[[#This Row],[Eldreandel]]))</f>
        <v>0.1200928231908705</v>
      </c>
      <c r="Q109" s="51">
        <f>IF(Tabell2[[#This Row],[Sysselsettingsvekst10]]&lt;=H$434,H$434,IF(Tabell2[[#This Row],[Sysselsettingsvekst10]]&gt;=H$435,H$435,Tabell2[[#This Row],[Sysselsettingsvekst10]]))</f>
        <v>0.20778052619743637</v>
      </c>
      <c r="R109" s="51">
        <f>IF(Tabell2[[#This Row],[Yrkesaktivandel]]&lt;=I$434,I$434,IF(Tabell2[[#This Row],[Yrkesaktivandel]]&gt;=I$435,I$435,Tabell2[[#This Row],[Yrkesaktivandel]]))</f>
        <v>0.90313014827018123</v>
      </c>
      <c r="S109" s="52">
        <f>IF(Tabell2[[#This Row],[Inntekt]]&lt;=J$434,J$434,IF(Tabell2[[#This Row],[Inntekt]]&gt;=J$435,J$435,Tabell2[[#This Row],[Inntekt]]))</f>
        <v>400000</v>
      </c>
      <c r="T109" s="9">
        <f>IF(Tabell2[[#This Row],[NIBR11-T]]&lt;=K$437,100,IF(Tabell2[[#This Row],[NIBR11-T]]&gt;=K$436,0,100*(K$436-Tabell2[[#This Row],[NIBR11-T]])/K$439))</f>
        <v>100</v>
      </c>
      <c r="U109" s="9">
        <f>(L$436-Tabell2[[#This Row],[ReisetidOslo-T]])*100/L$439</f>
        <v>100</v>
      </c>
      <c r="V109" s="9">
        <f>100-(M$436-Tabell2[[#This Row],[Beftettotal-T]])*100/M$439</f>
        <v>100</v>
      </c>
      <c r="W109" s="9">
        <f>100-(N$436-Tabell2[[#This Row],[Befvekst10-T]])*100/N$439</f>
        <v>100</v>
      </c>
      <c r="X109" s="9">
        <f>100-(O$436-Tabell2[[#This Row],[Kvinneandel-T]])*100/O$439</f>
        <v>75.615034559688127</v>
      </c>
      <c r="Y109" s="9">
        <f>(P$436-Tabell2[[#This Row],[Eldreandel-T]])*100/P$439</f>
        <v>100.00000000000001</v>
      </c>
      <c r="Z109" s="9">
        <f>100-(Q$436-Tabell2[[#This Row],[Sysselsettingsvekst10-T]])*100/Q$439</f>
        <v>88.739869573763855</v>
      </c>
      <c r="AA109" s="9">
        <f>100-(R$436-Tabell2[[#This Row],[Yrkesaktivandel-T]])*100/R$439</f>
        <v>55.98114260721227</v>
      </c>
      <c r="AB109" s="9">
        <f>100-(S$436-Tabell2[[#This Row],[Inntekt-T]])*100/S$439</f>
        <v>100</v>
      </c>
      <c r="AC109" s="48">
        <f>Tabell2[[#This Row],[NIBR11-I]]*Vekter!$B$3</f>
        <v>20</v>
      </c>
      <c r="AD109" s="48">
        <f>Tabell2[[#This Row],[ReisetidOslo-I]]*Vekter!$C$3</f>
        <v>10</v>
      </c>
      <c r="AE109" s="48">
        <f>Tabell2[[#This Row],[Beftettotal-I]]*Vekter!$D$3</f>
        <v>10</v>
      </c>
      <c r="AF109" s="48">
        <f>Tabell2[[#This Row],[Befvekst10-I]]*Vekter!$E$3</f>
        <v>20</v>
      </c>
      <c r="AG109" s="48">
        <f>Tabell2[[#This Row],[Kvinneandel-I]]*Vekter!$F$3</f>
        <v>3.7807517279844065</v>
      </c>
      <c r="AH109" s="48">
        <f>Tabell2[[#This Row],[Eldreandel-I]]*Vekter!$G$3</f>
        <v>5.0000000000000009</v>
      </c>
      <c r="AI109" s="48">
        <f>Tabell2[[#This Row],[Sysselsettingsvekst10-I]]*Vekter!$H$3</f>
        <v>8.8739869573763865</v>
      </c>
      <c r="AJ109" s="48">
        <f>Tabell2[[#This Row],[Yrkesaktivandel-I]]*Vekter!$J$3</f>
        <v>5.5981142607212275</v>
      </c>
      <c r="AK109" s="48">
        <f>Tabell2[[#This Row],[Inntekt-I]]*Vekter!$L$3</f>
        <v>10</v>
      </c>
      <c r="AL109" s="37">
        <f>SUM(Tabell2[[#This Row],[NIBR11-v]:[Inntekt-v]])</f>
        <v>93.252852946082029</v>
      </c>
    </row>
    <row r="110" spans="1:38">
      <c r="A110" s="2" t="s">
        <v>107</v>
      </c>
      <c r="B110">
        <f>'Rådata-K'!M109</f>
        <v>1</v>
      </c>
      <c r="C110" s="9">
        <f>'Rådata-K'!L109</f>
        <v>53.245901226299999</v>
      </c>
      <c r="D110" s="51">
        <f>'Rådata-K'!N109</f>
        <v>57.144607092546096</v>
      </c>
      <c r="E110" s="51">
        <f>'Rådata-K'!O109</f>
        <v>6.252135292107952E-2</v>
      </c>
      <c r="F110" s="51">
        <f>'Rådata-K'!P109</f>
        <v>9.9785637727759918E-2</v>
      </c>
      <c r="G110" s="51">
        <f>'Rådata-K'!Q109</f>
        <v>0.15680600214362272</v>
      </c>
      <c r="H110" s="51">
        <f>'Rådata-K'!R109</f>
        <v>7.1428571428571397E-2</v>
      </c>
      <c r="I110" s="51">
        <f>'Rådata-K'!S109</f>
        <v>0.87223587223587229</v>
      </c>
      <c r="J110" s="52">
        <f>'Rådata-K'!K109</f>
        <v>387500</v>
      </c>
      <c r="K110" s="26">
        <f>Tabell2[[#This Row],[NIBR11]]</f>
        <v>1</v>
      </c>
      <c r="L110" s="52">
        <f>IF(Tabell2[[#This Row],[ReisetidOslo]]&lt;=C$434,C$434,IF(Tabell2[[#This Row],[ReisetidOslo]]&gt;=C$435,C$435,Tabell2[[#This Row],[ReisetidOslo]]))</f>
        <v>53.805284539509998</v>
      </c>
      <c r="M110" s="51">
        <f>IF(Tabell2[[#This Row],[Beftettotal]]&lt;=D$434,D$434,IF(Tabell2[[#This Row],[Beftettotal]]&gt;=D$435,D$435,Tabell2[[#This Row],[Beftettotal]]))</f>
        <v>57.144607092546096</v>
      </c>
      <c r="N110" s="51">
        <f>IF(Tabell2[[#This Row],[Befvekst10]]&lt;=E$434,E$434,IF(Tabell2[[#This Row],[Befvekst10]]&gt;=E$435,E$435,Tabell2[[#This Row],[Befvekst10]]))</f>
        <v>6.252135292107952E-2</v>
      </c>
      <c r="O110" s="51">
        <f>IF(Tabell2[[#This Row],[Kvinneandel]]&lt;=F$434,F$434,IF(Tabell2[[#This Row],[Kvinneandel]]&gt;=F$435,F$435,Tabell2[[#This Row],[Kvinneandel]]))</f>
        <v>9.9785637727759918E-2</v>
      </c>
      <c r="P110" s="51">
        <f>IF(Tabell2[[#This Row],[Eldreandel]]&lt;=G$434,G$434,IF(Tabell2[[#This Row],[Eldreandel]]&gt;=G$435,G$435,Tabell2[[#This Row],[Eldreandel]]))</f>
        <v>0.15680600214362272</v>
      </c>
      <c r="Q110" s="51">
        <f>IF(Tabell2[[#This Row],[Sysselsettingsvekst10]]&lt;=H$434,H$434,IF(Tabell2[[#This Row],[Sysselsettingsvekst10]]&gt;=H$435,H$435,Tabell2[[#This Row],[Sysselsettingsvekst10]]))</f>
        <v>7.1428571428571397E-2</v>
      </c>
      <c r="R110" s="51">
        <f>IF(Tabell2[[#This Row],[Yrkesaktivandel]]&lt;=I$434,I$434,IF(Tabell2[[#This Row],[Yrkesaktivandel]]&gt;=I$435,I$435,Tabell2[[#This Row],[Yrkesaktivandel]]))</f>
        <v>0.87223587223587229</v>
      </c>
      <c r="S110" s="52">
        <f>IF(Tabell2[[#This Row],[Inntekt]]&lt;=J$434,J$434,IF(Tabell2[[#This Row],[Inntekt]]&gt;=J$435,J$435,Tabell2[[#This Row],[Inntekt]]))</f>
        <v>387500</v>
      </c>
      <c r="T110" s="9">
        <f>IF(Tabell2[[#This Row],[NIBR11-T]]&lt;=K$437,100,IF(Tabell2[[#This Row],[NIBR11-T]]&gt;=K$436,0,100*(K$436-Tabell2[[#This Row],[NIBR11-T]])/K$439))</f>
        <v>100</v>
      </c>
      <c r="U110" s="9">
        <f>(L$436-Tabell2[[#This Row],[ReisetidOslo-T]])*100/L$439</f>
        <v>100</v>
      </c>
      <c r="V110" s="9">
        <f>100-(M$436-Tabell2[[#This Row],[Beftettotal-T]])*100/M$439</f>
        <v>43.955383378315986</v>
      </c>
      <c r="W110" s="9">
        <f>100-(N$436-Tabell2[[#This Row],[Befvekst10-T]])*100/N$439</f>
        <v>57.990085662061873</v>
      </c>
      <c r="X110" s="9">
        <f>100-(O$436-Tabell2[[#This Row],[Kvinneandel-T]])*100/O$439</f>
        <v>25.222809121886399</v>
      </c>
      <c r="Y110" s="9">
        <f>(P$436-Tabell2[[#This Row],[Eldreandel-T]])*100/P$439</f>
        <v>58.378766119688741</v>
      </c>
      <c r="Z110" s="9">
        <f>100-(Q$436-Tabell2[[#This Row],[Sysselsettingsvekst10-T]])*100/Q$439</f>
        <v>44.97482341425475</v>
      </c>
      <c r="AA110" s="9">
        <f>100-(R$436-Tabell2[[#This Row],[Yrkesaktivandel-T]])*100/R$439</f>
        <v>32.950209344380397</v>
      </c>
      <c r="AB110" s="9">
        <f>100-(S$436-Tabell2[[#This Row],[Inntekt-T]])*100/S$439</f>
        <v>84.282660631208344</v>
      </c>
      <c r="AC110" s="48">
        <f>Tabell2[[#This Row],[NIBR11-I]]*Vekter!$B$3</f>
        <v>20</v>
      </c>
      <c r="AD110" s="48">
        <f>Tabell2[[#This Row],[ReisetidOslo-I]]*Vekter!$C$3</f>
        <v>10</v>
      </c>
      <c r="AE110" s="48">
        <f>Tabell2[[#This Row],[Beftettotal-I]]*Vekter!$D$3</f>
        <v>4.3955383378315984</v>
      </c>
      <c r="AF110" s="48">
        <f>Tabell2[[#This Row],[Befvekst10-I]]*Vekter!$E$3</f>
        <v>11.598017132412375</v>
      </c>
      <c r="AG110" s="48">
        <f>Tabell2[[#This Row],[Kvinneandel-I]]*Vekter!$F$3</f>
        <v>1.26114045609432</v>
      </c>
      <c r="AH110" s="48">
        <f>Tabell2[[#This Row],[Eldreandel-I]]*Vekter!$G$3</f>
        <v>2.9189383059844372</v>
      </c>
      <c r="AI110" s="48">
        <f>Tabell2[[#This Row],[Sysselsettingsvekst10-I]]*Vekter!$H$3</f>
        <v>4.4974823414254752</v>
      </c>
      <c r="AJ110" s="48">
        <f>Tabell2[[#This Row],[Yrkesaktivandel-I]]*Vekter!$J$3</f>
        <v>3.2950209344380399</v>
      </c>
      <c r="AK110" s="48">
        <f>Tabell2[[#This Row],[Inntekt-I]]*Vekter!$L$3</f>
        <v>8.4282660631208355</v>
      </c>
      <c r="AL110" s="37">
        <f>SUM(Tabell2[[#This Row],[NIBR11-v]:[Inntekt-v]])</f>
        <v>66.39440357130708</v>
      </c>
    </row>
    <row r="111" spans="1:38">
      <c r="A111" s="2" t="s">
        <v>108</v>
      </c>
      <c r="B111">
        <f>'Rådata-K'!M110</f>
        <v>5</v>
      </c>
      <c r="C111" s="9">
        <f>'Rådata-K'!L110</f>
        <v>78.550626897800001</v>
      </c>
      <c r="D111" s="51">
        <f>'Rådata-K'!N110</f>
        <v>4.7747859977576477</v>
      </c>
      <c r="E111" s="51">
        <f>'Rådata-K'!O110</f>
        <v>6.8073248407643394E-2</v>
      </c>
      <c r="F111" s="51">
        <f>'Rådata-K'!P110</f>
        <v>0.10771524412970555</v>
      </c>
      <c r="G111" s="51">
        <f>'Rådata-K'!Q110</f>
        <v>0.16250465896384644</v>
      </c>
      <c r="H111" s="51">
        <f>'Rådata-K'!R110</f>
        <v>2.7954256670902122E-2</v>
      </c>
      <c r="I111" s="51">
        <f>'Rådata-K'!S110</f>
        <v>0.95620437956204385</v>
      </c>
      <c r="J111" s="52">
        <f>'Rådata-K'!K110</f>
        <v>375300</v>
      </c>
      <c r="K111" s="26">
        <f>Tabell2[[#This Row],[NIBR11]]</f>
        <v>5</v>
      </c>
      <c r="L111" s="52">
        <f>IF(Tabell2[[#This Row],[ReisetidOslo]]&lt;=C$434,C$434,IF(Tabell2[[#This Row],[ReisetidOslo]]&gt;=C$435,C$435,Tabell2[[#This Row],[ReisetidOslo]]))</f>
        <v>78.550626897800001</v>
      </c>
      <c r="M111" s="51">
        <f>IF(Tabell2[[#This Row],[Beftettotal]]&lt;=D$434,D$434,IF(Tabell2[[#This Row],[Beftettotal]]&gt;=D$435,D$435,Tabell2[[#This Row],[Beftettotal]]))</f>
        <v>4.7747859977576477</v>
      </c>
      <c r="N111" s="51">
        <f>IF(Tabell2[[#This Row],[Befvekst10]]&lt;=E$434,E$434,IF(Tabell2[[#This Row],[Befvekst10]]&gt;=E$435,E$435,Tabell2[[#This Row],[Befvekst10]]))</f>
        <v>6.8073248407643394E-2</v>
      </c>
      <c r="O111" s="51">
        <f>IF(Tabell2[[#This Row],[Kvinneandel]]&lt;=F$434,F$434,IF(Tabell2[[#This Row],[Kvinneandel]]&gt;=F$435,F$435,Tabell2[[#This Row],[Kvinneandel]]))</f>
        <v>0.10771524412970555</v>
      </c>
      <c r="P111" s="51">
        <f>IF(Tabell2[[#This Row],[Eldreandel]]&lt;=G$434,G$434,IF(Tabell2[[#This Row],[Eldreandel]]&gt;=G$435,G$435,Tabell2[[#This Row],[Eldreandel]]))</f>
        <v>0.16250465896384644</v>
      </c>
      <c r="Q111" s="51">
        <f>IF(Tabell2[[#This Row],[Sysselsettingsvekst10]]&lt;=H$434,H$434,IF(Tabell2[[#This Row],[Sysselsettingsvekst10]]&gt;=H$435,H$435,Tabell2[[#This Row],[Sysselsettingsvekst10]]))</f>
        <v>2.7954256670902122E-2</v>
      </c>
      <c r="R111" s="51">
        <f>IF(Tabell2[[#This Row],[Yrkesaktivandel]]&lt;=I$434,I$434,IF(Tabell2[[#This Row],[Yrkesaktivandel]]&gt;=I$435,I$435,Tabell2[[#This Row],[Yrkesaktivandel]]))</f>
        <v>0.95620437956204385</v>
      </c>
      <c r="S111" s="52">
        <f>IF(Tabell2[[#This Row],[Inntekt]]&lt;=J$434,J$434,IF(Tabell2[[#This Row],[Inntekt]]&gt;=J$435,J$435,Tabell2[[#This Row],[Inntekt]]))</f>
        <v>375300</v>
      </c>
      <c r="T111" s="9">
        <f>IF(Tabell2[[#This Row],[NIBR11-T]]&lt;=K$437,100,IF(Tabell2[[#This Row],[NIBR11-T]]&gt;=K$436,0,100*(K$436-Tabell2[[#This Row],[NIBR11-T]])/K$439))</f>
        <v>60</v>
      </c>
      <c r="U111" s="9">
        <f>(L$436-Tabell2[[#This Row],[ReisetidOslo-T]])*100/L$439</f>
        <v>89.014290614484722</v>
      </c>
      <c r="V111" s="9">
        <f>100-(M$436-Tabell2[[#This Row],[Beftettotal-T]])*100/M$439</f>
        <v>2.7056642721541806</v>
      </c>
      <c r="W111" s="9">
        <f>100-(N$436-Tabell2[[#This Row],[Befvekst10-T]])*100/N$439</f>
        <v>60.23669197050512</v>
      </c>
      <c r="X111" s="9">
        <f>100-(O$436-Tabell2[[#This Row],[Kvinneandel-T]])*100/O$439</f>
        <v>46.225940045035088</v>
      </c>
      <c r="Y111" s="9">
        <f>(P$436-Tabell2[[#This Row],[Eldreandel-T]])*100/P$439</f>
        <v>51.918276042721942</v>
      </c>
      <c r="Z111" s="9">
        <f>100-(Q$436-Tabell2[[#This Row],[Sysselsettingsvekst10-T]])*100/Q$439</f>
        <v>31.020821835416498</v>
      </c>
      <c r="AA111" s="9">
        <f>100-(R$436-Tabell2[[#This Row],[Yrkesaktivandel-T]])*100/R$439</f>
        <v>95.546694410450471</v>
      </c>
      <c r="AB111" s="9">
        <f>100-(S$436-Tabell2[[#This Row],[Inntekt-T]])*100/S$439</f>
        <v>68.942537407267693</v>
      </c>
      <c r="AC111" s="48">
        <f>Tabell2[[#This Row],[NIBR11-I]]*Vekter!$B$3</f>
        <v>12</v>
      </c>
      <c r="AD111" s="48">
        <f>Tabell2[[#This Row],[ReisetidOslo-I]]*Vekter!$C$3</f>
        <v>8.9014290614484732</v>
      </c>
      <c r="AE111" s="48">
        <f>Tabell2[[#This Row],[Beftettotal-I]]*Vekter!$D$3</f>
        <v>0.27056642721541807</v>
      </c>
      <c r="AF111" s="48">
        <f>Tabell2[[#This Row],[Befvekst10-I]]*Vekter!$E$3</f>
        <v>12.047338394101025</v>
      </c>
      <c r="AG111" s="48">
        <f>Tabell2[[#This Row],[Kvinneandel-I]]*Vekter!$F$3</f>
        <v>2.3112970022517545</v>
      </c>
      <c r="AH111" s="48">
        <f>Tabell2[[#This Row],[Eldreandel-I]]*Vekter!$G$3</f>
        <v>2.5959138021360975</v>
      </c>
      <c r="AI111" s="48">
        <f>Tabell2[[#This Row],[Sysselsettingsvekst10-I]]*Vekter!$H$3</f>
        <v>3.1020821835416501</v>
      </c>
      <c r="AJ111" s="48">
        <f>Tabell2[[#This Row],[Yrkesaktivandel-I]]*Vekter!$J$3</f>
        <v>9.5546694410450481</v>
      </c>
      <c r="AK111" s="48">
        <f>Tabell2[[#This Row],[Inntekt-I]]*Vekter!$L$3</f>
        <v>6.8942537407267697</v>
      </c>
      <c r="AL111" s="37">
        <f>SUM(Tabell2[[#This Row],[NIBR11-v]:[Inntekt-v]])</f>
        <v>57.677550052466231</v>
      </c>
    </row>
    <row r="112" spans="1:38">
      <c r="A112" s="2" t="s">
        <v>109</v>
      </c>
      <c r="B112">
        <f>'Rådata-K'!M111</f>
        <v>5</v>
      </c>
      <c r="C112" s="9">
        <f>'Rådata-K'!L111</f>
        <v>99.953514368900002</v>
      </c>
      <c r="D112" s="51">
        <f>'Rådata-K'!N111</f>
        <v>3.0470297580627212</v>
      </c>
      <c r="E112" s="51">
        <f>'Rådata-K'!O111</f>
        <v>-8.4280936454849464E-2</v>
      </c>
      <c r="F112" s="51">
        <f>'Rådata-K'!P111</f>
        <v>8.9116143170197226E-2</v>
      </c>
      <c r="G112" s="51">
        <f>'Rådata-K'!Q111</f>
        <v>0.21256391526661797</v>
      </c>
      <c r="H112" s="51">
        <f>'Rådata-K'!R111</f>
        <v>3.0546623794212246E-2</v>
      </c>
      <c r="I112" s="51">
        <f>'Rådata-K'!S111</f>
        <v>0.94779116465863456</v>
      </c>
      <c r="J112" s="52">
        <f>'Rådata-K'!K111</f>
        <v>361900</v>
      </c>
      <c r="K112" s="26">
        <f>Tabell2[[#This Row],[NIBR11]]</f>
        <v>5</v>
      </c>
      <c r="L112" s="52">
        <f>IF(Tabell2[[#This Row],[ReisetidOslo]]&lt;=C$434,C$434,IF(Tabell2[[#This Row],[ReisetidOslo]]&gt;=C$435,C$435,Tabell2[[#This Row],[ReisetidOslo]]))</f>
        <v>99.953514368900002</v>
      </c>
      <c r="M112" s="51">
        <f>IF(Tabell2[[#This Row],[Beftettotal]]&lt;=D$434,D$434,IF(Tabell2[[#This Row],[Beftettotal]]&gt;=D$435,D$435,Tabell2[[#This Row],[Beftettotal]]))</f>
        <v>3.0470297580627212</v>
      </c>
      <c r="N112" s="51">
        <f>IF(Tabell2[[#This Row],[Befvekst10]]&lt;=E$434,E$434,IF(Tabell2[[#This Row],[Befvekst10]]&gt;=E$435,E$435,Tabell2[[#This Row],[Befvekst10]]))</f>
        <v>-8.0785862785862778E-2</v>
      </c>
      <c r="O112" s="51">
        <f>IF(Tabell2[[#This Row],[Kvinneandel]]&lt;=F$434,F$434,IF(Tabell2[[#This Row],[Kvinneandel]]&gt;=F$435,F$435,Tabell2[[#This Row],[Kvinneandel]]))</f>
        <v>9.0262917071501733E-2</v>
      </c>
      <c r="P112" s="51">
        <f>IF(Tabell2[[#This Row],[Eldreandel]]&lt;=G$434,G$434,IF(Tabell2[[#This Row],[Eldreandel]]&gt;=G$435,G$435,Tabell2[[#This Row],[Eldreandel]]))</f>
        <v>0.20830063331569054</v>
      </c>
      <c r="Q112" s="51">
        <f>IF(Tabell2[[#This Row],[Sysselsettingsvekst10]]&lt;=H$434,H$434,IF(Tabell2[[#This Row],[Sysselsettingsvekst10]]&gt;=H$435,H$435,Tabell2[[#This Row],[Sysselsettingsvekst10]]))</f>
        <v>3.0546623794212246E-2</v>
      </c>
      <c r="R112" s="51">
        <f>IF(Tabell2[[#This Row],[Yrkesaktivandel]]&lt;=I$434,I$434,IF(Tabell2[[#This Row],[Yrkesaktivandel]]&gt;=I$435,I$435,Tabell2[[#This Row],[Yrkesaktivandel]]))</f>
        <v>0.94779116465863456</v>
      </c>
      <c r="S112" s="52">
        <f>IF(Tabell2[[#This Row],[Inntekt]]&lt;=J$434,J$434,IF(Tabell2[[#This Row],[Inntekt]]&gt;=J$435,J$435,Tabell2[[#This Row],[Inntekt]]))</f>
        <v>361900</v>
      </c>
      <c r="T112" s="9">
        <f>IF(Tabell2[[#This Row],[NIBR11-T]]&lt;=K$437,100,IF(Tabell2[[#This Row],[NIBR11-T]]&gt;=K$436,0,100*(K$436-Tabell2[[#This Row],[NIBR11-T]])/K$439))</f>
        <v>60</v>
      </c>
      <c r="U112" s="9">
        <f>(L$436-Tabell2[[#This Row],[ReisetidOslo-T]])*100/L$439</f>
        <v>79.512466054372254</v>
      </c>
      <c r="V112" s="9">
        <f>100-(M$436-Tabell2[[#This Row],[Beftettotal-T]])*100/M$439</f>
        <v>1.3447763011539138</v>
      </c>
      <c r="W112" s="9">
        <f>100-(N$436-Tabell2[[#This Row],[Befvekst10-T]])*100/N$439</f>
        <v>0</v>
      </c>
      <c r="X112" s="9">
        <f>100-(O$436-Tabell2[[#This Row],[Kvinneandel-T]])*100/O$439</f>
        <v>0</v>
      </c>
      <c r="Y112" s="9">
        <f>(P$436-Tabell2[[#This Row],[Eldreandel-T]])*100/P$439</f>
        <v>0</v>
      </c>
      <c r="Z112" s="9">
        <f>100-(Q$436-Tabell2[[#This Row],[Sysselsettingsvekst10-T]])*100/Q$439</f>
        <v>31.85289693845688</v>
      </c>
      <c r="AA112" s="9">
        <f>100-(R$436-Tabell2[[#This Row],[Yrkesaktivandel-T]])*100/R$439</f>
        <v>89.274846811526274</v>
      </c>
      <c r="AB112" s="9">
        <f>100-(S$436-Tabell2[[#This Row],[Inntekt-T]])*100/S$439</f>
        <v>52.093549603923051</v>
      </c>
      <c r="AC112" s="48">
        <f>Tabell2[[#This Row],[NIBR11-I]]*Vekter!$B$3</f>
        <v>12</v>
      </c>
      <c r="AD112" s="48">
        <f>Tabell2[[#This Row],[ReisetidOslo-I]]*Vekter!$C$3</f>
        <v>7.9512466054372259</v>
      </c>
      <c r="AE112" s="48">
        <f>Tabell2[[#This Row],[Beftettotal-I]]*Vekter!$D$3</f>
        <v>0.13447763011539138</v>
      </c>
      <c r="AF112" s="48">
        <f>Tabell2[[#This Row],[Befvekst10-I]]*Vekter!$E$3</f>
        <v>0</v>
      </c>
      <c r="AG112" s="48">
        <f>Tabell2[[#This Row],[Kvinneandel-I]]*Vekter!$F$3</f>
        <v>0</v>
      </c>
      <c r="AH112" s="48">
        <f>Tabell2[[#This Row],[Eldreandel-I]]*Vekter!$G$3</f>
        <v>0</v>
      </c>
      <c r="AI112" s="48">
        <f>Tabell2[[#This Row],[Sysselsettingsvekst10-I]]*Vekter!$H$3</f>
        <v>3.1852896938456881</v>
      </c>
      <c r="AJ112" s="48">
        <f>Tabell2[[#This Row],[Yrkesaktivandel-I]]*Vekter!$J$3</f>
        <v>8.9274846811526274</v>
      </c>
      <c r="AK112" s="48">
        <f>Tabell2[[#This Row],[Inntekt-I]]*Vekter!$L$3</f>
        <v>5.2093549603923055</v>
      </c>
      <c r="AL112" s="37">
        <f>SUM(Tabell2[[#This Row],[NIBR11-v]:[Inntekt-v]])</f>
        <v>37.407853570943239</v>
      </c>
    </row>
    <row r="113" spans="1:38">
      <c r="A113" s="2" t="s">
        <v>110</v>
      </c>
      <c r="B113">
        <f>'Rådata-K'!M112</f>
        <v>11</v>
      </c>
      <c r="C113" s="9">
        <f>'Rådata-K'!L112</f>
        <v>134.60092777</v>
      </c>
      <c r="D113" s="51">
        <f>'Rådata-K'!N112</f>
        <v>1.0218639726010974</v>
      </c>
      <c r="E113" s="51">
        <f>'Rådata-K'!O112</f>
        <v>-5.1205936920222683E-2</v>
      </c>
      <c r="F113" s="51">
        <f>'Rådata-K'!P112</f>
        <v>8.6820492764958943E-2</v>
      </c>
      <c r="G113" s="51">
        <f>'Rådata-K'!Q112</f>
        <v>0.19554165037152912</v>
      </c>
      <c r="H113" s="51">
        <f>'Rådata-K'!R112</f>
        <v>0.14859094790777116</v>
      </c>
      <c r="I113" s="51">
        <f>'Rådata-K'!S112</f>
        <v>1.0142247510668563</v>
      </c>
      <c r="J113" s="52">
        <f>'Rådata-K'!K112</f>
        <v>333700</v>
      </c>
      <c r="K113" s="26">
        <f>Tabell2[[#This Row],[NIBR11]]</f>
        <v>11</v>
      </c>
      <c r="L113" s="52">
        <f>IF(Tabell2[[#This Row],[ReisetidOslo]]&lt;=C$434,C$434,IF(Tabell2[[#This Row],[ReisetidOslo]]&gt;=C$435,C$435,Tabell2[[#This Row],[ReisetidOslo]]))</f>
        <v>134.60092777</v>
      </c>
      <c r="M113" s="51">
        <f>IF(Tabell2[[#This Row],[Beftettotal]]&lt;=D$434,D$434,IF(Tabell2[[#This Row],[Beftettotal]]&gt;=D$435,D$435,Tabell2[[#This Row],[Beftettotal]]))</f>
        <v>1.3397285732306117</v>
      </c>
      <c r="N113" s="51">
        <f>IF(Tabell2[[#This Row],[Befvekst10]]&lt;=E$434,E$434,IF(Tabell2[[#This Row],[Befvekst10]]&gt;=E$435,E$435,Tabell2[[#This Row],[Befvekst10]]))</f>
        <v>-5.1205936920222683E-2</v>
      </c>
      <c r="O113" s="51">
        <f>IF(Tabell2[[#This Row],[Kvinneandel]]&lt;=F$434,F$434,IF(Tabell2[[#This Row],[Kvinneandel]]&gt;=F$435,F$435,Tabell2[[#This Row],[Kvinneandel]]))</f>
        <v>9.0262917071501733E-2</v>
      </c>
      <c r="P113" s="51">
        <f>IF(Tabell2[[#This Row],[Eldreandel]]&lt;=G$434,G$434,IF(Tabell2[[#This Row],[Eldreandel]]&gt;=G$435,G$435,Tabell2[[#This Row],[Eldreandel]]))</f>
        <v>0.19554165037152912</v>
      </c>
      <c r="Q113" s="51">
        <f>IF(Tabell2[[#This Row],[Sysselsettingsvekst10]]&lt;=H$434,H$434,IF(Tabell2[[#This Row],[Sysselsettingsvekst10]]&gt;=H$435,H$435,Tabell2[[#This Row],[Sysselsettingsvekst10]]))</f>
        <v>0.14859094790777116</v>
      </c>
      <c r="R113" s="51">
        <f>IF(Tabell2[[#This Row],[Yrkesaktivandel]]&lt;=I$434,I$434,IF(Tabell2[[#This Row],[Yrkesaktivandel]]&gt;=I$435,I$435,Tabell2[[#This Row],[Yrkesaktivandel]]))</f>
        <v>0.96217815624658265</v>
      </c>
      <c r="S113" s="52">
        <f>IF(Tabell2[[#This Row],[Inntekt]]&lt;=J$434,J$434,IF(Tabell2[[#This Row],[Inntekt]]&gt;=J$435,J$435,Tabell2[[#This Row],[Inntekt]]))</f>
        <v>333700</v>
      </c>
      <c r="T113" s="9">
        <f>IF(Tabell2[[#This Row],[NIBR11-T]]&lt;=K$437,100,IF(Tabell2[[#This Row],[NIBR11-T]]&gt;=K$436,0,100*(K$436-Tabell2[[#This Row],[NIBR11-T]])/K$439))</f>
        <v>0</v>
      </c>
      <c r="U113" s="9">
        <f>(L$436-Tabell2[[#This Row],[ReisetidOslo-T]])*100/L$439</f>
        <v>64.130726368852095</v>
      </c>
      <c r="V113" s="9">
        <f>100-(M$436-Tabell2[[#This Row],[Beftettotal-T]])*100/M$439</f>
        <v>0</v>
      </c>
      <c r="W113" s="9">
        <f>100-(N$436-Tabell2[[#This Row],[Befvekst10-T]])*100/N$439</f>
        <v>11.969686427609602</v>
      </c>
      <c r="X113" s="9">
        <f>100-(O$436-Tabell2[[#This Row],[Kvinneandel-T]])*100/O$439</f>
        <v>0</v>
      </c>
      <c r="Y113" s="9">
        <f>(P$436-Tabell2[[#This Row],[Eldreandel-T]])*100/P$439</f>
        <v>14.464686206478305</v>
      </c>
      <c r="Z113" s="9">
        <f>100-(Q$436-Tabell2[[#This Row],[Sysselsettingsvekst10-T]])*100/Q$439</f>
        <v>69.741721506138333</v>
      </c>
      <c r="AA113" s="9">
        <f>100-(R$436-Tabell2[[#This Row],[Yrkesaktivandel-T]])*100/R$439</f>
        <v>100</v>
      </c>
      <c r="AB113" s="9">
        <f>100-(S$436-Tabell2[[#This Row],[Inntekt-T]])*100/S$439</f>
        <v>16.635231987929089</v>
      </c>
      <c r="AC113" s="48">
        <f>Tabell2[[#This Row],[NIBR11-I]]*Vekter!$B$3</f>
        <v>0</v>
      </c>
      <c r="AD113" s="48">
        <f>Tabell2[[#This Row],[ReisetidOslo-I]]*Vekter!$C$3</f>
        <v>6.41307263688521</v>
      </c>
      <c r="AE113" s="48">
        <f>Tabell2[[#This Row],[Beftettotal-I]]*Vekter!$D$3</f>
        <v>0</v>
      </c>
      <c r="AF113" s="48">
        <f>Tabell2[[#This Row],[Befvekst10-I]]*Vekter!$E$3</f>
        <v>2.3939372855219205</v>
      </c>
      <c r="AG113" s="48">
        <f>Tabell2[[#This Row],[Kvinneandel-I]]*Vekter!$F$3</f>
        <v>0</v>
      </c>
      <c r="AH113" s="48">
        <f>Tabell2[[#This Row],[Eldreandel-I]]*Vekter!$G$3</f>
        <v>0.72323431032391527</v>
      </c>
      <c r="AI113" s="48">
        <f>Tabell2[[#This Row],[Sysselsettingsvekst10-I]]*Vekter!$H$3</f>
        <v>6.9741721506138337</v>
      </c>
      <c r="AJ113" s="48">
        <f>Tabell2[[#This Row],[Yrkesaktivandel-I]]*Vekter!$J$3</f>
        <v>10</v>
      </c>
      <c r="AK113" s="48">
        <f>Tabell2[[#This Row],[Inntekt-I]]*Vekter!$L$3</f>
        <v>1.6635231987929089</v>
      </c>
      <c r="AL113" s="37">
        <f>SUM(Tabell2[[#This Row],[NIBR11-v]:[Inntekt-v]])</f>
        <v>28.167939582137791</v>
      </c>
    </row>
    <row r="114" spans="1:38">
      <c r="A114" s="2" t="s">
        <v>111</v>
      </c>
      <c r="B114">
        <f>'Rådata-K'!M113</f>
        <v>2</v>
      </c>
      <c r="C114" s="9">
        <f>'Rådata-K'!L113</f>
        <v>65.074581249700003</v>
      </c>
      <c r="D114" s="51">
        <f>'Rådata-K'!N113</f>
        <v>380.09377664109127</v>
      </c>
      <c r="E114" s="51">
        <f>'Rådata-K'!O113</f>
        <v>8.4309513193628227E-2</v>
      </c>
      <c r="F114" s="51">
        <f>'Rådata-K'!P113</f>
        <v>0.11364061156592277</v>
      </c>
      <c r="G114" s="51">
        <f>'Rådata-K'!Q113</f>
        <v>0.15550820530073642</v>
      </c>
      <c r="H114" s="51">
        <f>'Rådata-K'!R113</f>
        <v>0.12650169421911905</v>
      </c>
      <c r="I114" s="51">
        <f>'Rådata-K'!S113</f>
        <v>0.797380983098955</v>
      </c>
      <c r="J114" s="52">
        <f>'Rådata-K'!K113</f>
        <v>363900</v>
      </c>
      <c r="K114" s="26">
        <f>Tabell2[[#This Row],[NIBR11]]</f>
        <v>2</v>
      </c>
      <c r="L114" s="52">
        <f>IF(Tabell2[[#This Row],[ReisetidOslo]]&lt;=C$434,C$434,IF(Tabell2[[#This Row],[ReisetidOslo]]&gt;=C$435,C$435,Tabell2[[#This Row],[ReisetidOslo]]))</f>
        <v>65.074581249700003</v>
      </c>
      <c r="M114" s="51">
        <f>IF(Tabell2[[#This Row],[Beftettotal]]&lt;=D$434,D$434,IF(Tabell2[[#This Row],[Beftettotal]]&gt;=D$435,D$435,Tabell2[[#This Row],[Beftettotal]]))</f>
        <v>128.29773514779066</v>
      </c>
      <c r="N114" s="51">
        <f>IF(Tabell2[[#This Row],[Befvekst10]]&lt;=E$434,E$434,IF(Tabell2[[#This Row],[Befvekst10]]&gt;=E$435,E$435,Tabell2[[#This Row],[Befvekst10]]))</f>
        <v>8.4309513193628227E-2</v>
      </c>
      <c r="O114" s="51">
        <f>IF(Tabell2[[#This Row],[Kvinneandel]]&lt;=F$434,F$434,IF(Tabell2[[#This Row],[Kvinneandel]]&gt;=F$435,F$435,Tabell2[[#This Row],[Kvinneandel]]))</f>
        <v>0.11364061156592277</v>
      </c>
      <c r="P114" s="51">
        <f>IF(Tabell2[[#This Row],[Eldreandel]]&lt;=G$434,G$434,IF(Tabell2[[#This Row],[Eldreandel]]&gt;=G$435,G$435,Tabell2[[#This Row],[Eldreandel]]))</f>
        <v>0.15550820530073642</v>
      </c>
      <c r="Q114" s="51">
        <f>IF(Tabell2[[#This Row],[Sysselsettingsvekst10]]&lt;=H$434,H$434,IF(Tabell2[[#This Row],[Sysselsettingsvekst10]]&gt;=H$435,H$435,Tabell2[[#This Row],[Sysselsettingsvekst10]]))</f>
        <v>0.12650169421911905</v>
      </c>
      <c r="R114" s="51">
        <f>IF(Tabell2[[#This Row],[Yrkesaktivandel]]&lt;=I$434,I$434,IF(Tabell2[[#This Row],[Yrkesaktivandel]]&gt;=I$435,I$435,Tabell2[[#This Row],[Yrkesaktivandel]]))</f>
        <v>0.82803562853509294</v>
      </c>
      <c r="S114" s="52">
        <f>IF(Tabell2[[#This Row],[Inntekt]]&lt;=J$434,J$434,IF(Tabell2[[#This Row],[Inntekt]]&gt;=J$435,J$435,Tabell2[[#This Row],[Inntekt]]))</f>
        <v>363900</v>
      </c>
      <c r="T114" s="9">
        <f>IF(Tabell2[[#This Row],[NIBR11-T]]&lt;=K$437,100,IF(Tabell2[[#This Row],[NIBR11-T]]&gt;=K$436,0,100*(K$436-Tabell2[[#This Row],[NIBR11-T]])/K$439))</f>
        <v>90</v>
      </c>
      <c r="U114" s="9">
        <f>(L$436-Tabell2[[#This Row],[ReisetidOslo-T]])*100/L$439</f>
        <v>94.996989055768069</v>
      </c>
      <c r="V114" s="9">
        <f>100-(M$436-Tabell2[[#This Row],[Beftettotal-T]])*100/M$439</f>
        <v>100</v>
      </c>
      <c r="W114" s="9">
        <f>100-(N$436-Tabell2[[#This Row],[Befvekst10-T]])*100/N$439</f>
        <v>66.806789513231763</v>
      </c>
      <c r="X114" s="9">
        <f>100-(O$436-Tabell2[[#This Row],[Kvinneandel-T]])*100/O$439</f>
        <v>61.920447656421246</v>
      </c>
      <c r="Y114" s="9">
        <f>(P$436-Tabell2[[#This Row],[Eldreandel-T]])*100/P$439</f>
        <v>59.850060828229665</v>
      </c>
      <c r="Z114" s="9">
        <f>100-(Q$436-Tabell2[[#This Row],[Sysselsettingsvekst10-T]])*100/Q$439</f>
        <v>62.651707952964728</v>
      </c>
      <c r="AA114" s="9">
        <f>100-(R$436-Tabell2[[#This Row],[Yrkesaktivandel-T]])*100/R$439</f>
        <v>0</v>
      </c>
      <c r="AB114" s="9">
        <f>100-(S$436-Tabell2[[#This Row],[Inntekt-T]])*100/S$439</f>
        <v>54.608323902929712</v>
      </c>
      <c r="AC114" s="48">
        <f>Tabell2[[#This Row],[NIBR11-I]]*Vekter!$B$3</f>
        <v>18</v>
      </c>
      <c r="AD114" s="48">
        <f>Tabell2[[#This Row],[ReisetidOslo-I]]*Vekter!$C$3</f>
        <v>9.4996989055768069</v>
      </c>
      <c r="AE114" s="48">
        <f>Tabell2[[#This Row],[Beftettotal-I]]*Vekter!$D$3</f>
        <v>10</v>
      </c>
      <c r="AF114" s="48">
        <f>Tabell2[[#This Row],[Befvekst10-I]]*Vekter!$E$3</f>
        <v>13.361357902646354</v>
      </c>
      <c r="AG114" s="48">
        <f>Tabell2[[#This Row],[Kvinneandel-I]]*Vekter!$F$3</f>
        <v>3.0960223828210625</v>
      </c>
      <c r="AH114" s="48">
        <f>Tabell2[[#This Row],[Eldreandel-I]]*Vekter!$G$3</f>
        <v>2.9925030414114833</v>
      </c>
      <c r="AI114" s="48">
        <f>Tabell2[[#This Row],[Sysselsettingsvekst10-I]]*Vekter!$H$3</f>
        <v>6.2651707952964735</v>
      </c>
      <c r="AJ114" s="48">
        <f>Tabell2[[#This Row],[Yrkesaktivandel-I]]*Vekter!$J$3</f>
        <v>0</v>
      </c>
      <c r="AK114" s="48">
        <f>Tabell2[[#This Row],[Inntekt-I]]*Vekter!$L$3</f>
        <v>5.4608323902929712</v>
      </c>
      <c r="AL114" s="37">
        <f>SUM(Tabell2[[#This Row],[NIBR11-v]:[Inntekt-v]])</f>
        <v>68.675585418045159</v>
      </c>
    </row>
    <row r="115" spans="1:38">
      <c r="A115" s="2" t="s">
        <v>112</v>
      </c>
      <c r="B115">
        <f>'Rådata-K'!M114</f>
        <v>2</v>
      </c>
      <c r="C115" s="9">
        <f>'Rådata-K'!L114</f>
        <v>54.470584995199999</v>
      </c>
      <c r="D115" s="51">
        <f>'Rådata-K'!N114</f>
        <v>121.49663025795957</v>
      </c>
      <c r="E115" s="51">
        <f>'Rådata-K'!O114</f>
        <v>9.8896479243300028E-2</v>
      </c>
      <c r="F115" s="51">
        <f>'Rådata-K'!P114</f>
        <v>0.11409716908951797</v>
      </c>
      <c r="G115" s="51">
        <f>'Rådata-K'!Q114</f>
        <v>0.15723029839326702</v>
      </c>
      <c r="H115" s="51">
        <f>'Rådata-K'!R114</f>
        <v>-2.8683181225554133E-2</v>
      </c>
      <c r="I115" s="51">
        <f>'Rådata-K'!S114</f>
        <v>0.82839849501063312</v>
      </c>
      <c r="J115" s="52">
        <f>'Rådata-K'!K114</f>
        <v>369000</v>
      </c>
      <c r="K115" s="26">
        <f>Tabell2[[#This Row],[NIBR11]]</f>
        <v>2</v>
      </c>
      <c r="L115" s="52">
        <f>IF(Tabell2[[#This Row],[ReisetidOslo]]&lt;=C$434,C$434,IF(Tabell2[[#This Row],[ReisetidOslo]]&gt;=C$435,C$435,Tabell2[[#This Row],[ReisetidOslo]]))</f>
        <v>54.470584995199999</v>
      </c>
      <c r="M115" s="51">
        <f>IF(Tabell2[[#This Row],[Beftettotal]]&lt;=D$434,D$434,IF(Tabell2[[#This Row],[Beftettotal]]&gt;=D$435,D$435,Tabell2[[#This Row],[Beftettotal]]))</f>
        <v>121.49663025795957</v>
      </c>
      <c r="N115" s="51">
        <f>IF(Tabell2[[#This Row],[Befvekst10]]&lt;=E$434,E$434,IF(Tabell2[[#This Row],[Befvekst10]]&gt;=E$435,E$435,Tabell2[[#This Row],[Befvekst10]]))</f>
        <v>9.8896479243300028E-2</v>
      </c>
      <c r="O115" s="51">
        <f>IF(Tabell2[[#This Row],[Kvinneandel]]&lt;=F$434,F$434,IF(Tabell2[[#This Row],[Kvinneandel]]&gt;=F$435,F$435,Tabell2[[#This Row],[Kvinneandel]]))</f>
        <v>0.11409716908951797</v>
      </c>
      <c r="P115" s="51">
        <f>IF(Tabell2[[#This Row],[Eldreandel]]&lt;=G$434,G$434,IF(Tabell2[[#This Row],[Eldreandel]]&gt;=G$435,G$435,Tabell2[[#This Row],[Eldreandel]]))</f>
        <v>0.15723029839326702</v>
      </c>
      <c r="Q115" s="51">
        <f>IF(Tabell2[[#This Row],[Sysselsettingsvekst10]]&lt;=H$434,H$434,IF(Tabell2[[#This Row],[Sysselsettingsvekst10]]&gt;=H$435,H$435,Tabell2[[#This Row],[Sysselsettingsvekst10]]))</f>
        <v>-2.8683181225554133E-2</v>
      </c>
      <c r="R115" s="51">
        <f>IF(Tabell2[[#This Row],[Yrkesaktivandel]]&lt;=I$434,I$434,IF(Tabell2[[#This Row],[Yrkesaktivandel]]&gt;=I$435,I$435,Tabell2[[#This Row],[Yrkesaktivandel]]))</f>
        <v>0.82839849501063312</v>
      </c>
      <c r="S115" s="52">
        <f>IF(Tabell2[[#This Row],[Inntekt]]&lt;=J$434,J$434,IF(Tabell2[[#This Row],[Inntekt]]&gt;=J$435,J$435,Tabell2[[#This Row],[Inntekt]]))</f>
        <v>369000</v>
      </c>
      <c r="T115" s="9">
        <f>IF(Tabell2[[#This Row],[NIBR11-T]]&lt;=K$437,100,IF(Tabell2[[#This Row],[NIBR11-T]]&gt;=K$436,0,100*(K$436-Tabell2[[#This Row],[NIBR11-T]])/K$439))</f>
        <v>90</v>
      </c>
      <c r="U115" s="9">
        <f>(L$436-Tabell2[[#This Row],[ReisetidOslo-T]])*100/L$439</f>
        <v>99.704639468937785</v>
      </c>
      <c r="V115" s="9">
        <f>100-(M$436-Tabell2[[#This Row],[Beftettotal-T]])*100/M$439</f>
        <v>94.643027979620229</v>
      </c>
      <c r="W115" s="9">
        <f>100-(N$436-Tabell2[[#This Row],[Befvekst10-T]])*100/N$439</f>
        <v>72.709488875557582</v>
      </c>
      <c r="X115" s="9">
        <f>100-(O$436-Tabell2[[#This Row],[Kvinneandel-T]])*100/O$439</f>
        <v>63.129730558491367</v>
      </c>
      <c r="Y115" s="9">
        <f>(P$436-Tabell2[[#This Row],[Eldreandel-T]])*100/P$439</f>
        <v>57.897747206461119</v>
      </c>
      <c r="Z115" s="9">
        <f>100-(Q$436-Tabell2[[#This Row],[Sysselsettingsvekst10-T]])*100/Q$439</f>
        <v>12.841837250292372</v>
      </c>
      <c r="AA115" s="9">
        <f>100-(R$436-Tabell2[[#This Row],[Yrkesaktivandel-T]])*100/R$439</f>
        <v>0.27050815407372397</v>
      </c>
      <c r="AB115" s="9">
        <f>100-(S$436-Tabell2[[#This Row],[Inntekt-T]])*100/S$439</f>
        <v>61.020998365396707</v>
      </c>
      <c r="AC115" s="48">
        <f>Tabell2[[#This Row],[NIBR11-I]]*Vekter!$B$3</f>
        <v>18</v>
      </c>
      <c r="AD115" s="48">
        <f>Tabell2[[#This Row],[ReisetidOslo-I]]*Vekter!$C$3</f>
        <v>9.9704639468937799</v>
      </c>
      <c r="AE115" s="48">
        <f>Tabell2[[#This Row],[Beftettotal-I]]*Vekter!$D$3</f>
        <v>9.4643027979620236</v>
      </c>
      <c r="AF115" s="48">
        <f>Tabell2[[#This Row],[Befvekst10-I]]*Vekter!$E$3</f>
        <v>14.541897775111517</v>
      </c>
      <c r="AG115" s="48">
        <f>Tabell2[[#This Row],[Kvinneandel-I]]*Vekter!$F$3</f>
        <v>3.1564865279245686</v>
      </c>
      <c r="AH115" s="48">
        <f>Tabell2[[#This Row],[Eldreandel-I]]*Vekter!$G$3</f>
        <v>2.894887360323056</v>
      </c>
      <c r="AI115" s="48">
        <f>Tabell2[[#This Row],[Sysselsettingsvekst10-I]]*Vekter!$H$3</f>
        <v>1.2841837250292372</v>
      </c>
      <c r="AJ115" s="48">
        <f>Tabell2[[#This Row],[Yrkesaktivandel-I]]*Vekter!$J$3</f>
        <v>2.7050815407372399E-2</v>
      </c>
      <c r="AK115" s="48">
        <f>Tabell2[[#This Row],[Inntekt-I]]*Vekter!$L$3</f>
        <v>6.1020998365396713</v>
      </c>
      <c r="AL115" s="37">
        <f>SUM(Tabell2[[#This Row],[NIBR11-v]:[Inntekt-v]])</f>
        <v>65.44137278519122</v>
      </c>
    </row>
    <row r="116" spans="1:38">
      <c r="A116" s="2" t="s">
        <v>113</v>
      </c>
      <c r="B116">
        <f>'Rådata-K'!M115</f>
        <v>2</v>
      </c>
      <c r="C116" s="9">
        <f>'Rådata-K'!L115</f>
        <v>68.814787187099995</v>
      </c>
      <c r="D116" s="51">
        <f>'Rådata-K'!N115</f>
        <v>389.48256467941502</v>
      </c>
      <c r="E116" s="51">
        <f>'Rådata-K'!O115</f>
        <v>0.15269378016978297</v>
      </c>
      <c r="F116" s="51">
        <f>'Rådata-K'!P115</f>
        <v>0.13102286401925392</v>
      </c>
      <c r="G116" s="51">
        <f>'Rådata-K'!Q115</f>
        <v>0.14832731648616126</v>
      </c>
      <c r="H116" s="51">
        <f>'Rådata-K'!R115</f>
        <v>9.0065031732351253E-2</v>
      </c>
      <c r="I116" s="51">
        <f>'Rådata-K'!S115</f>
        <v>0.84709121088215056</v>
      </c>
      <c r="J116" s="52">
        <f>'Rådata-K'!K115</f>
        <v>385000</v>
      </c>
      <c r="K116" s="26">
        <f>Tabell2[[#This Row],[NIBR11]]</f>
        <v>2</v>
      </c>
      <c r="L116" s="52">
        <f>IF(Tabell2[[#This Row],[ReisetidOslo]]&lt;=C$434,C$434,IF(Tabell2[[#This Row],[ReisetidOslo]]&gt;=C$435,C$435,Tabell2[[#This Row],[ReisetidOslo]]))</f>
        <v>68.814787187099995</v>
      </c>
      <c r="M116" s="51">
        <f>IF(Tabell2[[#This Row],[Beftettotal]]&lt;=D$434,D$434,IF(Tabell2[[#This Row],[Beftettotal]]&gt;=D$435,D$435,Tabell2[[#This Row],[Beftettotal]]))</f>
        <v>128.29773514779066</v>
      </c>
      <c r="N116" s="51">
        <f>IF(Tabell2[[#This Row],[Befvekst10]]&lt;=E$434,E$434,IF(Tabell2[[#This Row],[Befvekst10]]&gt;=E$435,E$435,Tabell2[[#This Row],[Befvekst10]]))</f>
        <v>0.15269378016978297</v>
      </c>
      <c r="O116" s="51">
        <f>IF(Tabell2[[#This Row],[Kvinneandel]]&lt;=F$434,F$434,IF(Tabell2[[#This Row],[Kvinneandel]]&gt;=F$435,F$435,Tabell2[[#This Row],[Kvinneandel]]))</f>
        <v>0.12801731869362362</v>
      </c>
      <c r="P116" s="51">
        <f>IF(Tabell2[[#This Row],[Eldreandel]]&lt;=G$434,G$434,IF(Tabell2[[#This Row],[Eldreandel]]&gt;=G$435,G$435,Tabell2[[#This Row],[Eldreandel]]))</f>
        <v>0.14832731648616126</v>
      </c>
      <c r="Q116" s="51">
        <f>IF(Tabell2[[#This Row],[Sysselsettingsvekst10]]&lt;=H$434,H$434,IF(Tabell2[[#This Row],[Sysselsettingsvekst10]]&gt;=H$435,H$435,Tabell2[[#This Row],[Sysselsettingsvekst10]]))</f>
        <v>9.0065031732351253E-2</v>
      </c>
      <c r="R116" s="51">
        <f>IF(Tabell2[[#This Row],[Yrkesaktivandel]]&lt;=I$434,I$434,IF(Tabell2[[#This Row],[Yrkesaktivandel]]&gt;=I$435,I$435,Tabell2[[#This Row],[Yrkesaktivandel]]))</f>
        <v>0.84709121088215056</v>
      </c>
      <c r="S116" s="52">
        <f>IF(Tabell2[[#This Row],[Inntekt]]&lt;=J$434,J$434,IF(Tabell2[[#This Row],[Inntekt]]&gt;=J$435,J$435,Tabell2[[#This Row],[Inntekt]]))</f>
        <v>385000</v>
      </c>
      <c r="T116" s="9">
        <f>IF(Tabell2[[#This Row],[NIBR11-T]]&lt;=K$437,100,IF(Tabell2[[#This Row],[NIBR11-T]]&gt;=K$436,0,100*(K$436-Tabell2[[#This Row],[NIBR11-T]])/K$439))</f>
        <v>90</v>
      </c>
      <c r="U116" s="9">
        <f>(L$436-Tabell2[[#This Row],[ReisetidOslo-T]])*100/L$439</f>
        <v>93.336522416215203</v>
      </c>
      <c r="V116" s="9">
        <f>100-(M$436-Tabell2[[#This Row],[Beftettotal-T]])*100/M$439</f>
        <v>100</v>
      </c>
      <c r="W116" s="9">
        <f>100-(N$436-Tabell2[[#This Row],[Befvekst10-T]])*100/N$439</f>
        <v>94.478874832327207</v>
      </c>
      <c r="X116" s="9">
        <f>100-(O$436-Tabell2[[#This Row],[Kvinneandel-T]])*100/O$439</f>
        <v>100</v>
      </c>
      <c r="Y116" s="9">
        <f>(P$436-Tabell2[[#This Row],[Eldreandel-T]])*100/P$439</f>
        <v>67.990937247691519</v>
      </c>
      <c r="Z116" s="9">
        <f>100-(Q$436-Tabell2[[#This Row],[Sysselsettingsvekst10-T]])*100/Q$439</f>
        <v>50.95658984237366</v>
      </c>
      <c r="AA116" s="9">
        <f>100-(R$436-Tabell2[[#This Row],[Yrkesaktivandel-T]])*100/R$439</f>
        <v>14.205474335508185</v>
      </c>
      <c r="AB116" s="9">
        <f>100-(S$436-Tabell2[[#This Row],[Inntekt-T]])*100/S$439</f>
        <v>81.139192757450019</v>
      </c>
      <c r="AC116" s="48">
        <f>Tabell2[[#This Row],[NIBR11-I]]*Vekter!$B$3</f>
        <v>18</v>
      </c>
      <c r="AD116" s="48">
        <f>Tabell2[[#This Row],[ReisetidOslo-I]]*Vekter!$C$3</f>
        <v>9.33365224162152</v>
      </c>
      <c r="AE116" s="48">
        <f>Tabell2[[#This Row],[Beftettotal-I]]*Vekter!$D$3</f>
        <v>10</v>
      </c>
      <c r="AF116" s="48">
        <f>Tabell2[[#This Row],[Befvekst10-I]]*Vekter!$E$3</f>
        <v>18.895774966465442</v>
      </c>
      <c r="AG116" s="48">
        <f>Tabell2[[#This Row],[Kvinneandel-I]]*Vekter!$F$3</f>
        <v>5</v>
      </c>
      <c r="AH116" s="48">
        <f>Tabell2[[#This Row],[Eldreandel-I]]*Vekter!$G$3</f>
        <v>3.3995468623845762</v>
      </c>
      <c r="AI116" s="48">
        <f>Tabell2[[#This Row],[Sysselsettingsvekst10-I]]*Vekter!$H$3</f>
        <v>5.0956589842373665</v>
      </c>
      <c r="AJ116" s="48">
        <f>Tabell2[[#This Row],[Yrkesaktivandel-I]]*Vekter!$J$3</f>
        <v>1.4205474335508186</v>
      </c>
      <c r="AK116" s="48">
        <f>Tabell2[[#This Row],[Inntekt-I]]*Vekter!$L$3</f>
        <v>8.1139192757450029</v>
      </c>
      <c r="AL116" s="37">
        <f>SUM(Tabell2[[#This Row],[NIBR11-v]:[Inntekt-v]])</f>
        <v>79.259099764004731</v>
      </c>
    </row>
    <row r="117" spans="1:38">
      <c r="A117" s="2" t="s">
        <v>114</v>
      </c>
      <c r="B117">
        <f>'Rådata-K'!M116</f>
        <v>4</v>
      </c>
      <c r="C117" s="9">
        <f>'Rådata-K'!L116</f>
        <v>81.163567901600004</v>
      </c>
      <c r="D117" s="51">
        <f>'Rådata-K'!N116</f>
        <v>371.05849352363668</v>
      </c>
      <c r="E117" s="51">
        <f>'Rådata-K'!O116</f>
        <v>9.7189695550351285E-2</v>
      </c>
      <c r="F117" s="51">
        <f>'Rådata-K'!P116</f>
        <v>0.11510583422269655</v>
      </c>
      <c r="G117" s="51">
        <f>'Rådata-K'!Q116</f>
        <v>0.15439345428673071</v>
      </c>
      <c r="H117" s="51">
        <f>'Rådata-K'!R116</f>
        <v>0.14684279763209829</v>
      </c>
      <c r="I117" s="51">
        <f>'Rådata-K'!S116</f>
        <v>0.81933586190881647</v>
      </c>
      <c r="J117" s="52">
        <f>'Rådata-K'!K116</f>
        <v>372300</v>
      </c>
      <c r="K117" s="26">
        <f>Tabell2[[#This Row],[NIBR11]]</f>
        <v>4</v>
      </c>
      <c r="L117" s="52">
        <f>IF(Tabell2[[#This Row],[ReisetidOslo]]&lt;=C$434,C$434,IF(Tabell2[[#This Row],[ReisetidOslo]]&gt;=C$435,C$435,Tabell2[[#This Row],[ReisetidOslo]]))</f>
        <v>81.163567901600004</v>
      </c>
      <c r="M117" s="51">
        <f>IF(Tabell2[[#This Row],[Beftettotal]]&lt;=D$434,D$434,IF(Tabell2[[#This Row],[Beftettotal]]&gt;=D$435,D$435,Tabell2[[#This Row],[Beftettotal]]))</f>
        <v>128.29773514779066</v>
      </c>
      <c r="N117" s="51">
        <f>IF(Tabell2[[#This Row],[Befvekst10]]&lt;=E$434,E$434,IF(Tabell2[[#This Row],[Befvekst10]]&gt;=E$435,E$435,Tabell2[[#This Row],[Befvekst10]]))</f>
        <v>9.7189695550351285E-2</v>
      </c>
      <c r="O117" s="51">
        <f>IF(Tabell2[[#This Row],[Kvinneandel]]&lt;=F$434,F$434,IF(Tabell2[[#This Row],[Kvinneandel]]&gt;=F$435,F$435,Tabell2[[#This Row],[Kvinneandel]]))</f>
        <v>0.11510583422269655</v>
      </c>
      <c r="P117" s="51">
        <f>IF(Tabell2[[#This Row],[Eldreandel]]&lt;=G$434,G$434,IF(Tabell2[[#This Row],[Eldreandel]]&gt;=G$435,G$435,Tabell2[[#This Row],[Eldreandel]]))</f>
        <v>0.15439345428673071</v>
      </c>
      <c r="Q117" s="51">
        <f>IF(Tabell2[[#This Row],[Sysselsettingsvekst10]]&lt;=H$434,H$434,IF(Tabell2[[#This Row],[Sysselsettingsvekst10]]&gt;=H$435,H$435,Tabell2[[#This Row],[Sysselsettingsvekst10]]))</f>
        <v>0.14684279763209829</v>
      </c>
      <c r="R117" s="51">
        <f>IF(Tabell2[[#This Row],[Yrkesaktivandel]]&lt;=I$434,I$434,IF(Tabell2[[#This Row],[Yrkesaktivandel]]&gt;=I$435,I$435,Tabell2[[#This Row],[Yrkesaktivandel]]))</f>
        <v>0.82803562853509294</v>
      </c>
      <c r="S117" s="52">
        <f>IF(Tabell2[[#This Row],[Inntekt]]&lt;=J$434,J$434,IF(Tabell2[[#This Row],[Inntekt]]&gt;=J$435,J$435,Tabell2[[#This Row],[Inntekt]]))</f>
        <v>372300</v>
      </c>
      <c r="T117" s="9">
        <f>IF(Tabell2[[#This Row],[NIBR11-T]]&lt;=K$437,100,IF(Tabell2[[#This Row],[NIBR11-T]]&gt;=K$436,0,100*(K$436-Tabell2[[#This Row],[NIBR11-T]])/K$439))</f>
        <v>70</v>
      </c>
      <c r="U117" s="9">
        <f>(L$436-Tabell2[[#This Row],[ReisetidOslo-T]])*100/L$439</f>
        <v>87.854273909376303</v>
      </c>
      <c r="V117" s="9">
        <f>100-(M$436-Tabell2[[#This Row],[Beftettotal-T]])*100/M$439</f>
        <v>100</v>
      </c>
      <c r="W117" s="9">
        <f>100-(N$436-Tabell2[[#This Row],[Befvekst10-T]])*100/N$439</f>
        <v>72.01882907819531</v>
      </c>
      <c r="X117" s="9">
        <f>100-(O$436-Tabell2[[#This Row],[Kvinneandel-T]])*100/O$439</f>
        <v>65.80137966387025</v>
      </c>
      <c r="Y117" s="9">
        <f>(P$436-Tabell2[[#This Row],[Eldreandel-T]])*100/P$439</f>
        <v>61.113838959019063</v>
      </c>
      <c r="Z117" s="9">
        <f>100-(Q$436-Tabell2[[#This Row],[Sysselsettingsvekst10-T]])*100/Q$439</f>
        <v>69.180615670594761</v>
      </c>
      <c r="AA117" s="9">
        <f>100-(R$436-Tabell2[[#This Row],[Yrkesaktivandel-T]])*100/R$439</f>
        <v>0</v>
      </c>
      <c r="AB117" s="9">
        <f>100-(S$436-Tabell2[[#This Row],[Inntekt-T]])*100/S$439</f>
        <v>65.170375958757703</v>
      </c>
      <c r="AC117" s="48">
        <f>Tabell2[[#This Row],[NIBR11-I]]*Vekter!$B$3</f>
        <v>14</v>
      </c>
      <c r="AD117" s="48">
        <f>Tabell2[[#This Row],[ReisetidOslo-I]]*Vekter!$C$3</f>
        <v>8.785427390937631</v>
      </c>
      <c r="AE117" s="48">
        <f>Tabell2[[#This Row],[Beftettotal-I]]*Vekter!$D$3</f>
        <v>10</v>
      </c>
      <c r="AF117" s="48">
        <f>Tabell2[[#This Row],[Befvekst10-I]]*Vekter!$E$3</f>
        <v>14.403765815639062</v>
      </c>
      <c r="AG117" s="48">
        <f>Tabell2[[#This Row],[Kvinneandel-I]]*Vekter!$F$3</f>
        <v>3.2900689831935126</v>
      </c>
      <c r="AH117" s="48">
        <f>Tabell2[[#This Row],[Eldreandel-I]]*Vekter!$G$3</f>
        <v>3.0556919479509532</v>
      </c>
      <c r="AI117" s="48">
        <f>Tabell2[[#This Row],[Sysselsettingsvekst10-I]]*Vekter!$H$3</f>
        <v>6.9180615670594765</v>
      </c>
      <c r="AJ117" s="48">
        <f>Tabell2[[#This Row],[Yrkesaktivandel-I]]*Vekter!$J$3</f>
        <v>0</v>
      </c>
      <c r="AK117" s="48">
        <f>Tabell2[[#This Row],[Inntekt-I]]*Vekter!$L$3</f>
        <v>6.5170375958757703</v>
      </c>
      <c r="AL117" s="37">
        <f>SUM(Tabell2[[#This Row],[NIBR11-v]:[Inntekt-v]])</f>
        <v>66.970053300656403</v>
      </c>
    </row>
    <row r="118" spans="1:38">
      <c r="A118" s="2" t="s">
        <v>115</v>
      </c>
      <c r="B118">
        <f>'Rådata-K'!M117</f>
        <v>4</v>
      </c>
      <c r="C118" s="9">
        <f>'Rådata-K'!L117</f>
        <v>89.673542207500006</v>
      </c>
      <c r="D118" s="51">
        <f>'Rådata-K'!N117</f>
        <v>80.859097536356501</v>
      </c>
      <c r="E118" s="51">
        <f>'Rådata-K'!O117</f>
        <v>5.5330568431324778E-2</v>
      </c>
      <c r="F118" s="51">
        <f>'Rådata-K'!P117</f>
        <v>0.11355125063572057</v>
      </c>
      <c r="G118" s="51">
        <f>'Rådata-K'!Q117</f>
        <v>0.16022469832169772</v>
      </c>
      <c r="H118" s="51">
        <f>'Rådata-K'!R117</f>
        <v>4.760225669957685E-2</v>
      </c>
      <c r="I118" s="51">
        <f>'Rådata-K'!S117</f>
        <v>0.8328667413213886</v>
      </c>
      <c r="J118" s="52">
        <f>'Rådata-K'!K117</f>
        <v>357800</v>
      </c>
      <c r="K118" s="26">
        <f>Tabell2[[#This Row],[NIBR11]]</f>
        <v>4</v>
      </c>
      <c r="L118" s="52">
        <f>IF(Tabell2[[#This Row],[ReisetidOslo]]&lt;=C$434,C$434,IF(Tabell2[[#This Row],[ReisetidOslo]]&gt;=C$435,C$435,Tabell2[[#This Row],[ReisetidOslo]]))</f>
        <v>89.673542207500006</v>
      </c>
      <c r="M118" s="51">
        <f>IF(Tabell2[[#This Row],[Beftettotal]]&lt;=D$434,D$434,IF(Tabell2[[#This Row],[Beftettotal]]&gt;=D$435,D$435,Tabell2[[#This Row],[Beftettotal]]))</f>
        <v>80.859097536356501</v>
      </c>
      <c r="N118" s="51">
        <f>IF(Tabell2[[#This Row],[Befvekst10]]&lt;=E$434,E$434,IF(Tabell2[[#This Row],[Befvekst10]]&gt;=E$435,E$435,Tabell2[[#This Row],[Befvekst10]]))</f>
        <v>5.5330568431324778E-2</v>
      </c>
      <c r="O118" s="51">
        <f>IF(Tabell2[[#This Row],[Kvinneandel]]&lt;=F$434,F$434,IF(Tabell2[[#This Row],[Kvinneandel]]&gt;=F$435,F$435,Tabell2[[#This Row],[Kvinneandel]]))</f>
        <v>0.11355125063572057</v>
      </c>
      <c r="P118" s="51">
        <f>IF(Tabell2[[#This Row],[Eldreandel]]&lt;=G$434,G$434,IF(Tabell2[[#This Row],[Eldreandel]]&gt;=G$435,G$435,Tabell2[[#This Row],[Eldreandel]]))</f>
        <v>0.16022469832169772</v>
      </c>
      <c r="Q118" s="51">
        <f>IF(Tabell2[[#This Row],[Sysselsettingsvekst10]]&lt;=H$434,H$434,IF(Tabell2[[#This Row],[Sysselsettingsvekst10]]&gt;=H$435,H$435,Tabell2[[#This Row],[Sysselsettingsvekst10]]))</f>
        <v>4.760225669957685E-2</v>
      </c>
      <c r="R118" s="51">
        <f>IF(Tabell2[[#This Row],[Yrkesaktivandel]]&lt;=I$434,I$434,IF(Tabell2[[#This Row],[Yrkesaktivandel]]&gt;=I$435,I$435,Tabell2[[#This Row],[Yrkesaktivandel]]))</f>
        <v>0.8328667413213886</v>
      </c>
      <c r="S118" s="52">
        <f>IF(Tabell2[[#This Row],[Inntekt]]&lt;=J$434,J$434,IF(Tabell2[[#This Row],[Inntekt]]&gt;=J$435,J$435,Tabell2[[#This Row],[Inntekt]]))</f>
        <v>357800</v>
      </c>
      <c r="T118" s="9">
        <f>IF(Tabell2[[#This Row],[NIBR11-T]]&lt;=K$437,100,IF(Tabell2[[#This Row],[NIBR11-T]]&gt;=K$436,0,100*(K$436-Tabell2[[#This Row],[NIBR11-T]])/K$439))</f>
        <v>70</v>
      </c>
      <c r="U118" s="9">
        <f>(L$436-Tabell2[[#This Row],[ReisetidOslo-T]])*100/L$439</f>
        <v>84.076265779636273</v>
      </c>
      <c r="V118" s="9">
        <f>100-(M$436-Tabell2[[#This Row],[Beftettotal-T]])*100/M$439</f>
        <v>62.634386840680001</v>
      </c>
      <c r="W118" s="9">
        <f>100-(N$436-Tabell2[[#This Row],[Befvekst10-T]])*100/N$439</f>
        <v>55.080293531349902</v>
      </c>
      <c r="X118" s="9">
        <f>100-(O$436-Tabell2[[#This Row],[Kvinneandel-T]])*100/O$439</f>
        <v>61.683757558411997</v>
      </c>
      <c r="Y118" s="9">
        <f>(P$436-Tabell2[[#This Row],[Eldreandel-T]])*100/P$439</f>
        <v>54.503036551935828</v>
      </c>
      <c r="Z118" s="9">
        <f>100-(Q$436-Tabell2[[#This Row],[Sysselsettingsvekst10-T]])*100/Q$439</f>
        <v>37.327263350352062</v>
      </c>
      <c r="AA118" s="9">
        <f>100-(R$436-Tabell2[[#This Row],[Yrkesaktivandel-T]])*100/R$439</f>
        <v>3.6014773753826148</v>
      </c>
      <c r="AB118" s="9">
        <f>100-(S$436-Tabell2[[#This Row],[Inntekt-T]])*100/S$439</f>
        <v>46.938262290959386</v>
      </c>
      <c r="AC118" s="48">
        <f>Tabell2[[#This Row],[NIBR11-I]]*Vekter!$B$3</f>
        <v>14</v>
      </c>
      <c r="AD118" s="48">
        <f>Tabell2[[#This Row],[ReisetidOslo-I]]*Vekter!$C$3</f>
        <v>8.4076265779636277</v>
      </c>
      <c r="AE118" s="48">
        <f>Tabell2[[#This Row],[Beftettotal-I]]*Vekter!$D$3</f>
        <v>6.2634386840680003</v>
      </c>
      <c r="AF118" s="48">
        <f>Tabell2[[#This Row],[Befvekst10-I]]*Vekter!$E$3</f>
        <v>11.01605870626998</v>
      </c>
      <c r="AG118" s="48">
        <f>Tabell2[[#This Row],[Kvinneandel-I]]*Vekter!$F$3</f>
        <v>3.0841878779206002</v>
      </c>
      <c r="AH118" s="48">
        <f>Tabell2[[#This Row],[Eldreandel-I]]*Vekter!$G$3</f>
        <v>2.7251518275967914</v>
      </c>
      <c r="AI118" s="48">
        <f>Tabell2[[#This Row],[Sysselsettingsvekst10-I]]*Vekter!$H$3</f>
        <v>3.7327263350352062</v>
      </c>
      <c r="AJ118" s="48">
        <f>Tabell2[[#This Row],[Yrkesaktivandel-I]]*Vekter!$J$3</f>
        <v>0.36014773753826151</v>
      </c>
      <c r="AK118" s="48">
        <f>Tabell2[[#This Row],[Inntekt-I]]*Vekter!$L$3</f>
        <v>4.6938262290959392</v>
      </c>
      <c r="AL118" s="37">
        <f>SUM(Tabell2[[#This Row],[NIBR11-v]:[Inntekt-v]])</f>
        <v>54.283163975488407</v>
      </c>
    </row>
    <row r="119" spans="1:38">
      <c r="A119" s="2" t="s">
        <v>116</v>
      </c>
      <c r="B119">
        <f>'Rådata-K'!M118</f>
        <v>2</v>
      </c>
      <c r="C119" s="9">
        <f>'Rådata-K'!L118</f>
        <v>50.530302670799998</v>
      </c>
      <c r="D119" s="51">
        <f>'Rådata-K'!N118</f>
        <v>113.97886714013512</v>
      </c>
      <c r="E119" s="51">
        <f>'Rådata-K'!O118</f>
        <v>2.0946470131885109E-2</v>
      </c>
      <c r="F119" s="51">
        <f>'Rådata-K'!P118</f>
        <v>0.11185410334346504</v>
      </c>
      <c r="G119" s="51">
        <f>'Rådata-K'!Q118</f>
        <v>0.15288753799392096</v>
      </c>
      <c r="H119" s="51">
        <f>'Rådata-K'!R118</f>
        <v>6.8666666666666654E-2</v>
      </c>
      <c r="I119" s="51">
        <f>'Rådata-K'!S118</f>
        <v>0.84548254620123209</v>
      </c>
      <c r="J119" s="52">
        <f>'Rådata-K'!K118</f>
        <v>368600</v>
      </c>
      <c r="K119" s="26">
        <f>Tabell2[[#This Row],[NIBR11]]</f>
        <v>2</v>
      </c>
      <c r="L119" s="52">
        <f>IF(Tabell2[[#This Row],[ReisetidOslo]]&lt;=C$434,C$434,IF(Tabell2[[#This Row],[ReisetidOslo]]&gt;=C$435,C$435,Tabell2[[#This Row],[ReisetidOslo]]))</f>
        <v>53.805284539509998</v>
      </c>
      <c r="M119" s="51">
        <f>IF(Tabell2[[#This Row],[Beftettotal]]&lt;=D$434,D$434,IF(Tabell2[[#This Row],[Beftettotal]]&gt;=D$435,D$435,Tabell2[[#This Row],[Beftettotal]]))</f>
        <v>113.97886714013512</v>
      </c>
      <c r="N119" s="51">
        <f>IF(Tabell2[[#This Row],[Befvekst10]]&lt;=E$434,E$434,IF(Tabell2[[#This Row],[Befvekst10]]&gt;=E$435,E$435,Tabell2[[#This Row],[Befvekst10]]))</f>
        <v>2.0946470131885109E-2</v>
      </c>
      <c r="O119" s="51">
        <f>IF(Tabell2[[#This Row],[Kvinneandel]]&lt;=F$434,F$434,IF(Tabell2[[#This Row],[Kvinneandel]]&gt;=F$435,F$435,Tabell2[[#This Row],[Kvinneandel]]))</f>
        <v>0.11185410334346504</v>
      </c>
      <c r="P119" s="51">
        <f>IF(Tabell2[[#This Row],[Eldreandel]]&lt;=G$434,G$434,IF(Tabell2[[#This Row],[Eldreandel]]&gt;=G$435,G$435,Tabell2[[#This Row],[Eldreandel]]))</f>
        <v>0.15288753799392096</v>
      </c>
      <c r="Q119" s="51">
        <f>IF(Tabell2[[#This Row],[Sysselsettingsvekst10]]&lt;=H$434,H$434,IF(Tabell2[[#This Row],[Sysselsettingsvekst10]]&gt;=H$435,H$435,Tabell2[[#This Row],[Sysselsettingsvekst10]]))</f>
        <v>6.8666666666666654E-2</v>
      </c>
      <c r="R119" s="51">
        <f>IF(Tabell2[[#This Row],[Yrkesaktivandel]]&lt;=I$434,I$434,IF(Tabell2[[#This Row],[Yrkesaktivandel]]&gt;=I$435,I$435,Tabell2[[#This Row],[Yrkesaktivandel]]))</f>
        <v>0.84548254620123209</v>
      </c>
      <c r="S119" s="52">
        <f>IF(Tabell2[[#This Row],[Inntekt]]&lt;=J$434,J$434,IF(Tabell2[[#This Row],[Inntekt]]&gt;=J$435,J$435,Tabell2[[#This Row],[Inntekt]]))</f>
        <v>368600</v>
      </c>
      <c r="T119" s="9">
        <f>IF(Tabell2[[#This Row],[NIBR11-T]]&lt;=K$437,100,IF(Tabell2[[#This Row],[NIBR11-T]]&gt;=K$436,0,100*(K$436-Tabell2[[#This Row],[NIBR11-T]])/K$439))</f>
        <v>90</v>
      </c>
      <c r="U119" s="9">
        <f>(L$436-Tabell2[[#This Row],[ReisetidOslo-T]])*100/L$439</f>
        <v>100</v>
      </c>
      <c r="V119" s="9">
        <f>100-(M$436-Tabell2[[#This Row],[Beftettotal-T]])*100/M$439</f>
        <v>88.7215714912424</v>
      </c>
      <c r="W119" s="9">
        <f>100-(N$436-Tabell2[[#This Row],[Befvekst10-T]])*100/N$439</f>
        <v>41.166571211360193</v>
      </c>
      <c r="X119" s="9">
        <f>100-(O$436-Tabell2[[#This Row],[Kvinneandel-T]])*100/O$439</f>
        <v>57.188527282371574</v>
      </c>
      <c r="Y119" s="9">
        <f>(P$436-Tabell2[[#This Row],[Eldreandel-T]])*100/P$439</f>
        <v>62.821075869989613</v>
      </c>
      <c r="Z119" s="9">
        <f>100-(Q$436-Tabell2[[#This Row],[Sysselsettingsvekst10-T]])*100/Q$439</f>
        <v>44.08833161736171</v>
      </c>
      <c r="AA119" s="9">
        <f>100-(R$436-Tabell2[[#This Row],[Yrkesaktivandel-T]])*100/R$439</f>
        <v>13.006253843422073</v>
      </c>
      <c r="AB119" s="9">
        <f>100-(S$436-Tabell2[[#This Row],[Inntekt-T]])*100/S$439</f>
        <v>60.518043505595372</v>
      </c>
      <c r="AC119" s="48">
        <f>Tabell2[[#This Row],[NIBR11-I]]*Vekter!$B$3</f>
        <v>18</v>
      </c>
      <c r="AD119" s="48">
        <f>Tabell2[[#This Row],[ReisetidOslo-I]]*Vekter!$C$3</f>
        <v>10</v>
      </c>
      <c r="AE119" s="48">
        <f>Tabell2[[#This Row],[Beftettotal-I]]*Vekter!$D$3</f>
        <v>8.8721571491242397</v>
      </c>
      <c r="AF119" s="48">
        <f>Tabell2[[#This Row],[Befvekst10-I]]*Vekter!$E$3</f>
        <v>8.2333142422720389</v>
      </c>
      <c r="AG119" s="48">
        <f>Tabell2[[#This Row],[Kvinneandel-I]]*Vekter!$F$3</f>
        <v>2.8594263641185789</v>
      </c>
      <c r="AH119" s="48">
        <f>Tabell2[[#This Row],[Eldreandel-I]]*Vekter!$G$3</f>
        <v>3.1410537934994807</v>
      </c>
      <c r="AI119" s="48">
        <f>Tabell2[[#This Row],[Sysselsettingsvekst10-I]]*Vekter!$H$3</f>
        <v>4.4088331617361716</v>
      </c>
      <c r="AJ119" s="48">
        <f>Tabell2[[#This Row],[Yrkesaktivandel-I]]*Vekter!$J$3</f>
        <v>1.3006253843422073</v>
      </c>
      <c r="AK119" s="48">
        <f>Tabell2[[#This Row],[Inntekt-I]]*Vekter!$L$3</f>
        <v>6.0518043505595376</v>
      </c>
      <c r="AL119" s="37">
        <f>SUM(Tabell2[[#This Row],[NIBR11-v]:[Inntekt-v]])</f>
        <v>62.867214445652245</v>
      </c>
    </row>
    <row r="120" spans="1:38">
      <c r="A120" s="2" t="s">
        <v>117</v>
      </c>
      <c r="B120">
        <f>'Rådata-K'!M119</f>
        <v>2</v>
      </c>
      <c r="C120" s="9">
        <f>'Rådata-K'!L119</f>
        <v>43.396921828799996</v>
      </c>
      <c r="D120" s="51">
        <f>'Rådata-K'!N119</f>
        <v>50.670105983289403</v>
      </c>
      <c r="E120" s="51">
        <f>'Rådata-K'!O119</f>
        <v>0.19035700171255443</v>
      </c>
      <c r="F120" s="51">
        <f>'Rådata-K'!P119</f>
        <v>0.11819389110225764</v>
      </c>
      <c r="G120" s="51">
        <f>'Rådata-K'!Q119</f>
        <v>0.13556883576803896</v>
      </c>
      <c r="H120" s="51">
        <f>'Rådata-K'!R119</f>
        <v>0.24538258575197891</v>
      </c>
      <c r="I120" s="51">
        <f>'Rådata-K'!S119</f>
        <v>0.87454510630147486</v>
      </c>
      <c r="J120" s="52">
        <f>'Rådata-K'!K119</f>
        <v>379800</v>
      </c>
      <c r="K120" s="26">
        <f>Tabell2[[#This Row],[NIBR11]]</f>
        <v>2</v>
      </c>
      <c r="L120" s="52">
        <f>IF(Tabell2[[#This Row],[ReisetidOslo]]&lt;=C$434,C$434,IF(Tabell2[[#This Row],[ReisetidOslo]]&gt;=C$435,C$435,Tabell2[[#This Row],[ReisetidOslo]]))</f>
        <v>53.805284539509998</v>
      </c>
      <c r="M120" s="51">
        <f>IF(Tabell2[[#This Row],[Beftettotal]]&lt;=D$434,D$434,IF(Tabell2[[#This Row],[Beftettotal]]&gt;=D$435,D$435,Tabell2[[#This Row],[Beftettotal]]))</f>
        <v>50.670105983289403</v>
      </c>
      <c r="N120" s="51">
        <f>IF(Tabell2[[#This Row],[Befvekst10]]&lt;=E$434,E$434,IF(Tabell2[[#This Row],[Befvekst10]]&gt;=E$435,E$435,Tabell2[[#This Row],[Befvekst10]]))</f>
        <v>0.16633778614624492</v>
      </c>
      <c r="O120" s="51">
        <f>IF(Tabell2[[#This Row],[Kvinneandel]]&lt;=F$434,F$434,IF(Tabell2[[#This Row],[Kvinneandel]]&gt;=F$435,F$435,Tabell2[[#This Row],[Kvinneandel]]))</f>
        <v>0.11819389110225764</v>
      </c>
      <c r="P120" s="51">
        <f>IF(Tabell2[[#This Row],[Eldreandel]]&lt;=G$434,G$434,IF(Tabell2[[#This Row],[Eldreandel]]&gt;=G$435,G$435,Tabell2[[#This Row],[Eldreandel]]))</f>
        <v>0.13556883576803896</v>
      </c>
      <c r="Q120" s="51">
        <f>IF(Tabell2[[#This Row],[Sysselsettingsvekst10]]&lt;=H$434,H$434,IF(Tabell2[[#This Row],[Sysselsettingsvekst10]]&gt;=H$435,H$435,Tabell2[[#This Row],[Sysselsettingsvekst10]]))</f>
        <v>0.24286196513786068</v>
      </c>
      <c r="R120" s="51">
        <f>IF(Tabell2[[#This Row],[Yrkesaktivandel]]&lt;=I$434,I$434,IF(Tabell2[[#This Row],[Yrkesaktivandel]]&gt;=I$435,I$435,Tabell2[[#This Row],[Yrkesaktivandel]]))</f>
        <v>0.87454510630147486</v>
      </c>
      <c r="S120" s="52">
        <f>IF(Tabell2[[#This Row],[Inntekt]]&lt;=J$434,J$434,IF(Tabell2[[#This Row],[Inntekt]]&gt;=J$435,J$435,Tabell2[[#This Row],[Inntekt]]))</f>
        <v>379800</v>
      </c>
      <c r="T120" s="9">
        <f>IF(Tabell2[[#This Row],[NIBR11-T]]&lt;=K$437,100,IF(Tabell2[[#This Row],[NIBR11-T]]&gt;=K$436,0,100*(K$436-Tabell2[[#This Row],[NIBR11-T]])/K$439))</f>
        <v>90</v>
      </c>
      <c r="U120" s="9">
        <f>(L$436-Tabell2[[#This Row],[ReisetidOslo-T]])*100/L$439</f>
        <v>100</v>
      </c>
      <c r="V120" s="9">
        <f>100-(M$436-Tabell2[[#This Row],[Beftettotal-T]])*100/M$439</f>
        <v>38.855664751705113</v>
      </c>
      <c r="W120" s="9">
        <f>100-(N$436-Tabell2[[#This Row],[Befvekst10-T]])*100/N$439</f>
        <v>100</v>
      </c>
      <c r="X120" s="9">
        <f>100-(O$436-Tabell2[[#This Row],[Kvinneandel-T]])*100/O$439</f>
        <v>73.980709084765309</v>
      </c>
      <c r="Y120" s="9">
        <f>(P$436-Tabell2[[#This Row],[Eldreandel-T]])*100/P$439</f>
        <v>82.455054087309435</v>
      </c>
      <c r="Z120" s="9">
        <f>100-(Q$436-Tabell2[[#This Row],[Sysselsettingsvekst10-T]])*100/Q$439</f>
        <v>100</v>
      </c>
      <c r="AA120" s="9">
        <f>100-(R$436-Tabell2[[#This Row],[Yrkesaktivandel-T]])*100/R$439</f>
        <v>34.671687316354522</v>
      </c>
      <c r="AB120" s="9">
        <f>100-(S$436-Tabell2[[#This Row],[Inntekt-T]])*100/S$439</f>
        <v>74.600779580032693</v>
      </c>
      <c r="AC120" s="48">
        <f>Tabell2[[#This Row],[NIBR11-I]]*Vekter!$B$3</f>
        <v>18</v>
      </c>
      <c r="AD120" s="48">
        <f>Tabell2[[#This Row],[ReisetidOslo-I]]*Vekter!$C$3</f>
        <v>10</v>
      </c>
      <c r="AE120" s="48">
        <f>Tabell2[[#This Row],[Beftettotal-I]]*Vekter!$D$3</f>
        <v>3.8855664751705117</v>
      </c>
      <c r="AF120" s="48">
        <f>Tabell2[[#This Row],[Befvekst10-I]]*Vekter!$E$3</f>
        <v>20</v>
      </c>
      <c r="AG120" s="48">
        <f>Tabell2[[#This Row],[Kvinneandel-I]]*Vekter!$F$3</f>
        <v>3.6990354542382655</v>
      </c>
      <c r="AH120" s="48">
        <f>Tabell2[[#This Row],[Eldreandel-I]]*Vekter!$G$3</f>
        <v>4.1227527043654719</v>
      </c>
      <c r="AI120" s="48">
        <f>Tabell2[[#This Row],[Sysselsettingsvekst10-I]]*Vekter!$H$3</f>
        <v>10</v>
      </c>
      <c r="AJ120" s="48">
        <f>Tabell2[[#This Row],[Yrkesaktivandel-I]]*Vekter!$J$3</f>
        <v>3.4671687316354523</v>
      </c>
      <c r="AK120" s="48">
        <f>Tabell2[[#This Row],[Inntekt-I]]*Vekter!$L$3</f>
        <v>7.4600779580032697</v>
      </c>
      <c r="AL120" s="37">
        <f>SUM(Tabell2[[#This Row],[NIBR11-v]:[Inntekt-v]])</f>
        <v>80.63460132341298</v>
      </c>
    </row>
    <row r="121" spans="1:38">
      <c r="A121" s="2" t="s">
        <v>118</v>
      </c>
      <c r="B121">
        <f>'Rådata-K'!M120</f>
        <v>2</v>
      </c>
      <c r="C121" s="9">
        <f>'Rådata-K'!L120</f>
        <v>53.292219040399999</v>
      </c>
      <c r="D121" s="51">
        <f>'Rådata-K'!N120</f>
        <v>18.949239823442863</v>
      </c>
      <c r="E121" s="51">
        <f>'Rådata-K'!O120</f>
        <v>1.979544704717906E-2</v>
      </c>
      <c r="F121" s="51">
        <f>'Rådata-K'!P120</f>
        <v>0.11064380459398253</v>
      </c>
      <c r="G121" s="51">
        <f>'Rådata-K'!Q120</f>
        <v>0.14170171465545131</v>
      </c>
      <c r="H121" s="51">
        <f>'Rådata-K'!R120</f>
        <v>7.4492099322799099E-2</v>
      </c>
      <c r="I121" s="51">
        <f>'Rådata-K'!S120</f>
        <v>0.88888888888888884</v>
      </c>
      <c r="J121" s="52">
        <f>'Rådata-K'!K120</f>
        <v>394000</v>
      </c>
      <c r="K121" s="26">
        <f>Tabell2[[#This Row],[NIBR11]]</f>
        <v>2</v>
      </c>
      <c r="L121" s="52">
        <f>IF(Tabell2[[#This Row],[ReisetidOslo]]&lt;=C$434,C$434,IF(Tabell2[[#This Row],[ReisetidOslo]]&gt;=C$435,C$435,Tabell2[[#This Row],[ReisetidOslo]]))</f>
        <v>53.805284539509998</v>
      </c>
      <c r="M121" s="51">
        <f>IF(Tabell2[[#This Row],[Beftettotal]]&lt;=D$434,D$434,IF(Tabell2[[#This Row],[Beftettotal]]&gt;=D$435,D$435,Tabell2[[#This Row],[Beftettotal]]))</f>
        <v>18.949239823442863</v>
      </c>
      <c r="N121" s="51">
        <f>IF(Tabell2[[#This Row],[Befvekst10]]&lt;=E$434,E$434,IF(Tabell2[[#This Row],[Befvekst10]]&gt;=E$435,E$435,Tabell2[[#This Row],[Befvekst10]]))</f>
        <v>1.979544704717906E-2</v>
      </c>
      <c r="O121" s="51">
        <f>IF(Tabell2[[#This Row],[Kvinneandel]]&lt;=F$434,F$434,IF(Tabell2[[#This Row],[Kvinneandel]]&gt;=F$435,F$435,Tabell2[[#This Row],[Kvinneandel]]))</f>
        <v>0.11064380459398253</v>
      </c>
      <c r="P121" s="51">
        <f>IF(Tabell2[[#This Row],[Eldreandel]]&lt;=G$434,G$434,IF(Tabell2[[#This Row],[Eldreandel]]&gt;=G$435,G$435,Tabell2[[#This Row],[Eldreandel]]))</f>
        <v>0.14170171465545131</v>
      </c>
      <c r="Q121" s="51">
        <f>IF(Tabell2[[#This Row],[Sysselsettingsvekst10]]&lt;=H$434,H$434,IF(Tabell2[[#This Row],[Sysselsettingsvekst10]]&gt;=H$435,H$435,Tabell2[[#This Row],[Sysselsettingsvekst10]]))</f>
        <v>7.4492099322799099E-2</v>
      </c>
      <c r="R121" s="51">
        <f>IF(Tabell2[[#This Row],[Yrkesaktivandel]]&lt;=I$434,I$434,IF(Tabell2[[#This Row],[Yrkesaktivandel]]&gt;=I$435,I$435,Tabell2[[#This Row],[Yrkesaktivandel]]))</f>
        <v>0.88888888888888884</v>
      </c>
      <c r="S121" s="52">
        <f>IF(Tabell2[[#This Row],[Inntekt]]&lt;=J$434,J$434,IF(Tabell2[[#This Row],[Inntekt]]&gt;=J$435,J$435,Tabell2[[#This Row],[Inntekt]]))</f>
        <v>394000</v>
      </c>
      <c r="T121" s="9">
        <f>IF(Tabell2[[#This Row],[NIBR11-T]]&lt;=K$437,100,IF(Tabell2[[#This Row],[NIBR11-T]]&gt;=K$436,0,100*(K$436-Tabell2[[#This Row],[NIBR11-T]])/K$439))</f>
        <v>90</v>
      </c>
      <c r="U121" s="9">
        <f>(L$436-Tabell2[[#This Row],[ReisetidOslo-T]])*100/L$439</f>
        <v>100</v>
      </c>
      <c r="V121" s="9">
        <f>100-(M$436-Tabell2[[#This Row],[Beftettotal-T]])*100/M$439</f>
        <v>13.87034321452623</v>
      </c>
      <c r="W121" s="9">
        <f>100-(N$436-Tabell2[[#This Row],[Befvekst10-T]])*100/N$439</f>
        <v>40.700803127374733</v>
      </c>
      <c r="X121" s="9">
        <f>100-(O$436-Tabell2[[#This Row],[Kvinneandel-T]])*100/O$439</f>
        <v>53.982811663842597</v>
      </c>
      <c r="Y121" s="9">
        <f>(P$436-Tabell2[[#This Row],[Eldreandel-T]])*100/P$439</f>
        <v>75.502292332161105</v>
      </c>
      <c r="Z121" s="9">
        <f>100-(Q$436-Tabell2[[#This Row],[Sysselsettingsvekst10-T]])*100/Q$439</f>
        <v>45.958127540177223</v>
      </c>
      <c r="AA121" s="9">
        <f>100-(R$436-Tabell2[[#This Row],[Yrkesaktivandel-T]])*100/R$439</f>
        <v>45.364629243216235</v>
      </c>
      <c r="AB121" s="9">
        <f>100-(S$436-Tabell2[[#This Row],[Inntekt-T]])*100/S$439</f>
        <v>92.455677102980005</v>
      </c>
      <c r="AC121" s="48">
        <f>Tabell2[[#This Row],[NIBR11-I]]*Vekter!$B$3</f>
        <v>18</v>
      </c>
      <c r="AD121" s="48">
        <f>Tabell2[[#This Row],[ReisetidOslo-I]]*Vekter!$C$3</f>
        <v>10</v>
      </c>
      <c r="AE121" s="48">
        <f>Tabell2[[#This Row],[Beftettotal-I]]*Vekter!$D$3</f>
        <v>1.3870343214526231</v>
      </c>
      <c r="AF121" s="48">
        <f>Tabell2[[#This Row],[Befvekst10-I]]*Vekter!$E$3</f>
        <v>8.1401606254749463</v>
      </c>
      <c r="AG121" s="48">
        <f>Tabell2[[#This Row],[Kvinneandel-I]]*Vekter!$F$3</f>
        <v>2.69914058319213</v>
      </c>
      <c r="AH121" s="48">
        <f>Tabell2[[#This Row],[Eldreandel-I]]*Vekter!$G$3</f>
        <v>3.7751146166080556</v>
      </c>
      <c r="AI121" s="48">
        <f>Tabell2[[#This Row],[Sysselsettingsvekst10-I]]*Vekter!$H$3</f>
        <v>4.5958127540177225</v>
      </c>
      <c r="AJ121" s="48">
        <f>Tabell2[[#This Row],[Yrkesaktivandel-I]]*Vekter!$J$3</f>
        <v>4.5364629243216239</v>
      </c>
      <c r="AK121" s="48">
        <f>Tabell2[[#This Row],[Inntekt-I]]*Vekter!$L$3</f>
        <v>9.2455677102980012</v>
      </c>
      <c r="AL121" s="37">
        <f>SUM(Tabell2[[#This Row],[NIBR11-v]:[Inntekt-v]])</f>
        <v>62.379293535365107</v>
      </c>
    </row>
    <row r="122" spans="1:38">
      <c r="A122" s="2" t="s">
        <v>119</v>
      </c>
      <c r="B122">
        <f>'Rådata-K'!M121</f>
        <v>2</v>
      </c>
      <c r="C122" s="9">
        <f>'Rådata-K'!L121</f>
        <v>61.991895230799997</v>
      </c>
      <c r="D122" s="51">
        <f>'Rådata-K'!N121</f>
        <v>40.701504495682364</v>
      </c>
      <c r="E122" s="51">
        <f>'Rådata-K'!O121</f>
        <v>0.11593849157920433</v>
      </c>
      <c r="F122" s="51">
        <f>'Rådata-K'!P121</f>
        <v>0.12182852143482065</v>
      </c>
      <c r="G122" s="51">
        <f>'Rådata-K'!Q121</f>
        <v>0.12390638670166229</v>
      </c>
      <c r="H122" s="51">
        <f>'Rådata-K'!R121</f>
        <v>0.25905511811023629</v>
      </c>
      <c r="I122" s="51">
        <f>'Rådata-K'!S121</f>
        <v>0.88738152759710087</v>
      </c>
      <c r="J122" s="52">
        <f>'Rådata-K'!K121</f>
        <v>368000</v>
      </c>
      <c r="K122" s="26">
        <f>Tabell2[[#This Row],[NIBR11]]</f>
        <v>2</v>
      </c>
      <c r="L122" s="52">
        <f>IF(Tabell2[[#This Row],[ReisetidOslo]]&lt;=C$434,C$434,IF(Tabell2[[#This Row],[ReisetidOslo]]&gt;=C$435,C$435,Tabell2[[#This Row],[ReisetidOslo]]))</f>
        <v>61.991895230799997</v>
      </c>
      <c r="M122" s="51">
        <f>IF(Tabell2[[#This Row],[Beftettotal]]&lt;=D$434,D$434,IF(Tabell2[[#This Row],[Beftettotal]]&gt;=D$435,D$435,Tabell2[[#This Row],[Beftettotal]]))</f>
        <v>40.701504495682364</v>
      </c>
      <c r="N122" s="51">
        <f>IF(Tabell2[[#This Row],[Befvekst10]]&lt;=E$434,E$434,IF(Tabell2[[#This Row],[Befvekst10]]&gt;=E$435,E$435,Tabell2[[#This Row],[Befvekst10]]))</f>
        <v>0.11593849157920433</v>
      </c>
      <c r="O122" s="51">
        <f>IF(Tabell2[[#This Row],[Kvinneandel]]&lt;=F$434,F$434,IF(Tabell2[[#This Row],[Kvinneandel]]&gt;=F$435,F$435,Tabell2[[#This Row],[Kvinneandel]]))</f>
        <v>0.12182852143482065</v>
      </c>
      <c r="P122" s="51">
        <f>IF(Tabell2[[#This Row],[Eldreandel]]&lt;=G$434,G$434,IF(Tabell2[[#This Row],[Eldreandel]]&gt;=G$435,G$435,Tabell2[[#This Row],[Eldreandel]]))</f>
        <v>0.12390638670166229</v>
      </c>
      <c r="Q122" s="51">
        <f>IF(Tabell2[[#This Row],[Sysselsettingsvekst10]]&lt;=H$434,H$434,IF(Tabell2[[#This Row],[Sysselsettingsvekst10]]&gt;=H$435,H$435,Tabell2[[#This Row],[Sysselsettingsvekst10]]))</f>
        <v>0.24286196513786068</v>
      </c>
      <c r="R122" s="51">
        <f>IF(Tabell2[[#This Row],[Yrkesaktivandel]]&lt;=I$434,I$434,IF(Tabell2[[#This Row],[Yrkesaktivandel]]&gt;=I$435,I$435,Tabell2[[#This Row],[Yrkesaktivandel]]))</f>
        <v>0.88738152759710087</v>
      </c>
      <c r="S122" s="52">
        <f>IF(Tabell2[[#This Row],[Inntekt]]&lt;=J$434,J$434,IF(Tabell2[[#This Row],[Inntekt]]&gt;=J$435,J$435,Tabell2[[#This Row],[Inntekt]]))</f>
        <v>368000</v>
      </c>
      <c r="T122" s="9">
        <f>IF(Tabell2[[#This Row],[NIBR11-T]]&lt;=K$437,100,IF(Tabell2[[#This Row],[NIBR11-T]]&gt;=K$436,0,100*(K$436-Tabell2[[#This Row],[NIBR11-T]])/K$439))</f>
        <v>90</v>
      </c>
      <c r="U122" s="9">
        <f>(L$436-Tabell2[[#This Row],[ReisetidOslo-T]])*100/L$439</f>
        <v>96.36554933834914</v>
      </c>
      <c r="V122" s="9">
        <f>100-(M$436-Tabell2[[#This Row],[Beftettotal-T]])*100/M$439</f>
        <v>31.003775960624679</v>
      </c>
      <c r="W122" s="9">
        <f>100-(N$436-Tabell2[[#This Row],[Befvekst10-T]])*100/N$439</f>
        <v>79.605636779470345</v>
      </c>
      <c r="X122" s="9">
        <f>100-(O$436-Tabell2[[#This Row],[Kvinneandel-T]])*100/O$439</f>
        <v>83.607746400682728</v>
      </c>
      <c r="Y122" s="9">
        <f>(P$436-Tabell2[[#This Row],[Eldreandel-T]])*100/P$439</f>
        <v>95.676614683671048</v>
      </c>
      <c r="Z122" s="9">
        <f>100-(Q$436-Tabell2[[#This Row],[Sysselsettingsvekst10-T]])*100/Q$439</f>
        <v>100</v>
      </c>
      <c r="AA122" s="9">
        <f>100-(R$436-Tabell2[[#This Row],[Yrkesaktivandel-T]])*100/R$439</f>
        <v>44.240927970022717</v>
      </c>
      <c r="AB122" s="9">
        <f>100-(S$436-Tabell2[[#This Row],[Inntekt-T]])*100/S$439</f>
        <v>59.763611215893377</v>
      </c>
      <c r="AC122" s="48">
        <f>Tabell2[[#This Row],[NIBR11-I]]*Vekter!$B$3</f>
        <v>18</v>
      </c>
      <c r="AD122" s="48">
        <f>Tabell2[[#This Row],[ReisetidOslo-I]]*Vekter!$C$3</f>
        <v>9.6365549338349155</v>
      </c>
      <c r="AE122" s="48">
        <f>Tabell2[[#This Row],[Beftettotal-I]]*Vekter!$D$3</f>
        <v>3.1003775960624682</v>
      </c>
      <c r="AF122" s="48">
        <f>Tabell2[[#This Row],[Befvekst10-I]]*Vekter!$E$3</f>
        <v>15.92112735589407</v>
      </c>
      <c r="AG122" s="48">
        <f>Tabell2[[#This Row],[Kvinneandel-I]]*Vekter!$F$3</f>
        <v>4.1803873200341366</v>
      </c>
      <c r="AH122" s="48">
        <f>Tabell2[[#This Row],[Eldreandel-I]]*Vekter!$G$3</f>
        <v>4.7838307341835522</v>
      </c>
      <c r="AI122" s="48">
        <f>Tabell2[[#This Row],[Sysselsettingsvekst10-I]]*Vekter!$H$3</f>
        <v>10</v>
      </c>
      <c r="AJ122" s="48">
        <f>Tabell2[[#This Row],[Yrkesaktivandel-I]]*Vekter!$J$3</f>
        <v>4.4240927970022721</v>
      </c>
      <c r="AK122" s="48">
        <f>Tabell2[[#This Row],[Inntekt-I]]*Vekter!$L$3</f>
        <v>5.9763611215893384</v>
      </c>
      <c r="AL122" s="37">
        <f>SUM(Tabell2[[#This Row],[NIBR11-v]:[Inntekt-v]])</f>
        <v>76.02273185860075</v>
      </c>
    </row>
    <row r="123" spans="1:38">
      <c r="A123" s="2" t="s">
        <v>120</v>
      </c>
      <c r="B123">
        <f>'Rådata-K'!M122</f>
        <v>2</v>
      </c>
      <c r="C123" s="9">
        <f>'Rådata-K'!L122</f>
        <v>74.591474800100002</v>
      </c>
      <c r="D123" s="51">
        <f>'Rådata-K'!N122</f>
        <v>30.763851533082303</v>
      </c>
      <c r="E123" s="51">
        <f>'Rådata-K'!O122</f>
        <v>0.13675213675213671</v>
      </c>
      <c r="F123" s="51">
        <f>'Rådata-K'!P122</f>
        <v>0.12991781780031475</v>
      </c>
      <c r="G123" s="51">
        <f>'Rådata-K'!Q122</f>
        <v>0.12467214547997901</v>
      </c>
      <c r="H123" s="51">
        <f>'Rådata-K'!R122</f>
        <v>0.21500295333727104</v>
      </c>
      <c r="I123" s="51">
        <f>'Rådata-K'!S122</f>
        <v>0.86783114992721977</v>
      </c>
      <c r="J123" s="52">
        <f>'Rådata-K'!K122</f>
        <v>353600</v>
      </c>
      <c r="K123" s="26">
        <f>Tabell2[[#This Row],[NIBR11]]</f>
        <v>2</v>
      </c>
      <c r="L123" s="52">
        <f>IF(Tabell2[[#This Row],[ReisetidOslo]]&lt;=C$434,C$434,IF(Tabell2[[#This Row],[ReisetidOslo]]&gt;=C$435,C$435,Tabell2[[#This Row],[ReisetidOslo]]))</f>
        <v>74.591474800100002</v>
      </c>
      <c r="M123" s="51">
        <f>IF(Tabell2[[#This Row],[Beftettotal]]&lt;=D$434,D$434,IF(Tabell2[[#This Row],[Beftettotal]]&gt;=D$435,D$435,Tabell2[[#This Row],[Beftettotal]]))</f>
        <v>30.763851533082303</v>
      </c>
      <c r="N123" s="51">
        <f>IF(Tabell2[[#This Row],[Befvekst10]]&lt;=E$434,E$434,IF(Tabell2[[#This Row],[Befvekst10]]&gt;=E$435,E$435,Tabell2[[#This Row],[Befvekst10]]))</f>
        <v>0.13675213675213671</v>
      </c>
      <c r="O123" s="51">
        <f>IF(Tabell2[[#This Row],[Kvinneandel]]&lt;=F$434,F$434,IF(Tabell2[[#This Row],[Kvinneandel]]&gt;=F$435,F$435,Tabell2[[#This Row],[Kvinneandel]]))</f>
        <v>0.12801731869362362</v>
      </c>
      <c r="P123" s="51">
        <f>IF(Tabell2[[#This Row],[Eldreandel]]&lt;=G$434,G$434,IF(Tabell2[[#This Row],[Eldreandel]]&gt;=G$435,G$435,Tabell2[[#This Row],[Eldreandel]]))</f>
        <v>0.12467214547997901</v>
      </c>
      <c r="Q123" s="51">
        <f>IF(Tabell2[[#This Row],[Sysselsettingsvekst10]]&lt;=H$434,H$434,IF(Tabell2[[#This Row],[Sysselsettingsvekst10]]&gt;=H$435,H$435,Tabell2[[#This Row],[Sysselsettingsvekst10]]))</f>
        <v>0.21500295333727104</v>
      </c>
      <c r="R123" s="51">
        <f>IF(Tabell2[[#This Row],[Yrkesaktivandel]]&lt;=I$434,I$434,IF(Tabell2[[#This Row],[Yrkesaktivandel]]&gt;=I$435,I$435,Tabell2[[#This Row],[Yrkesaktivandel]]))</f>
        <v>0.86783114992721977</v>
      </c>
      <c r="S123" s="52">
        <f>IF(Tabell2[[#This Row],[Inntekt]]&lt;=J$434,J$434,IF(Tabell2[[#This Row],[Inntekt]]&gt;=J$435,J$435,Tabell2[[#This Row],[Inntekt]]))</f>
        <v>353600</v>
      </c>
      <c r="T123" s="9">
        <f>IF(Tabell2[[#This Row],[NIBR11-T]]&lt;=K$437,100,IF(Tabell2[[#This Row],[NIBR11-T]]&gt;=K$436,0,100*(K$436-Tabell2[[#This Row],[NIBR11-T]])/K$439))</f>
        <v>90</v>
      </c>
      <c r="U123" s="9">
        <f>(L$436-Tabell2[[#This Row],[ReisetidOslo-T]])*100/L$439</f>
        <v>90.771958531486248</v>
      </c>
      <c r="V123" s="9">
        <f>100-(M$436-Tabell2[[#This Row],[Beftettotal-T]])*100/M$439</f>
        <v>23.176264147288308</v>
      </c>
      <c r="W123" s="9">
        <f>100-(N$436-Tabell2[[#This Row],[Befvekst10-T]])*100/N$439</f>
        <v>88.027997513812906</v>
      </c>
      <c r="X123" s="9">
        <f>100-(O$436-Tabell2[[#This Row],[Kvinneandel-T]])*100/O$439</f>
        <v>100</v>
      </c>
      <c r="Y123" s="9">
        <f>(P$436-Tabell2[[#This Row],[Eldreandel-T]])*100/P$439</f>
        <v>94.808484325108552</v>
      </c>
      <c r="Z123" s="9">
        <f>100-(Q$436-Tabell2[[#This Row],[Sysselsettingsvekst10-T]])*100/Q$439</f>
        <v>91.058060447480131</v>
      </c>
      <c r="AA123" s="9">
        <f>100-(R$436-Tabell2[[#This Row],[Yrkesaktivandel-T]])*100/R$439</f>
        <v>29.666595725494318</v>
      </c>
      <c r="AB123" s="9">
        <f>100-(S$436-Tabell2[[#This Row],[Inntekt-T]])*100/S$439</f>
        <v>41.657236263045391</v>
      </c>
      <c r="AC123" s="48">
        <f>Tabell2[[#This Row],[NIBR11-I]]*Vekter!$B$3</f>
        <v>18</v>
      </c>
      <c r="AD123" s="48">
        <f>Tabell2[[#This Row],[ReisetidOslo-I]]*Vekter!$C$3</f>
        <v>9.0771958531486252</v>
      </c>
      <c r="AE123" s="48">
        <f>Tabell2[[#This Row],[Beftettotal-I]]*Vekter!$D$3</f>
        <v>2.317626414728831</v>
      </c>
      <c r="AF123" s="48">
        <f>Tabell2[[#This Row],[Befvekst10-I]]*Vekter!$E$3</f>
        <v>17.605599502762583</v>
      </c>
      <c r="AG123" s="48">
        <f>Tabell2[[#This Row],[Kvinneandel-I]]*Vekter!$F$3</f>
        <v>5</v>
      </c>
      <c r="AH123" s="48">
        <f>Tabell2[[#This Row],[Eldreandel-I]]*Vekter!$G$3</f>
        <v>4.7404242162554278</v>
      </c>
      <c r="AI123" s="48">
        <f>Tabell2[[#This Row],[Sysselsettingsvekst10-I]]*Vekter!$H$3</f>
        <v>9.1058060447480127</v>
      </c>
      <c r="AJ123" s="48">
        <f>Tabell2[[#This Row],[Yrkesaktivandel-I]]*Vekter!$J$3</f>
        <v>2.9666595725494318</v>
      </c>
      <c r="AK123" s="48">
        <f>Tabell2[[#This Row],[Inntekt-I]]*Vekter!$L$3</f>
        <v>4.1657236263045396</v>
      </c>
      <c r="AL123" s="37">
        <f>SUM(Tabell2[[#This Row],[NIBR11-v]:[Inntekt-v]])</f>
        <v>72.979035230497445</v>
      </c>
    </row>
    <row r="124" spans="1:38">
      <c r="A124" s="2" t="s">
        <v>121</v>
      </c>
      <c r="B124">
        <f>'Rådata-K'!M123</f>
        <v>2</v>
      </c>
      <c r="C124" s="9">
        <f>'Rådata-K'!L123</f>
        <v>72.6145221986</v>
      </c>
      <c r="D124" s="51">
        <f>'Rådata-K'!N123</f>
        <v>97.237242311591757</v>
      </c>
      <c r="E124" s="51">
        <f>'Rådata-K'!O123</f>
        <v>0.15262894341512268</v>
      </c>
      <c r="F124" s="51">
        <f>'Rådata-K'!P123</f>
        <v>0.1264227995481797</v>
      </c>
      <c r="G124" s="51">
        <f>'Rådata-K'!Q123</f>
        <v>0.11981927187418542</v>
      </c>
      <c r="H124" s="51">
        <f>'Rådata-K'!R123</f>
        <v>0.40519801980198022</v>
      </c>
      <c r="I124" s="51">
        <f>'Rådata-K'!S123</f>
        <v>0.86392405063291144</v>
      </c>
      <c r="J124" s="52">
        <f>'Rådata-K'!K123</f>
        <v>353800</v>
      </c>
      <c r="K124" s="26">
        <f>Tabell2[[#This Row],[NIBR11]]</f>
        <v>2</v>
      </c>
      <c r="L124" s="52">
        <f>IF(Tabell2[[#This Row],[ReisetidOslo]]&lt;=C$434,C$434,IF(Tabell2[[#This Row],[ReisetidOslo]]&gt;=C$435,C$435,Tabell2[[#This Row],[ReisetidOslo]]))</f>
        <v>72.6145221986</v>
      </c>
      <c r="M124" s="51">
        <f>IF(Tabell2[[#This Row],[Beftettotal]]&lt;=D$434,D$434,IF(Tabell2[[#This Row],[Beftettotal]]&gt;=D$435,D$435,Tabell2[[#This Row],[Beftettotal]]))</f>
        <v>97.237242311591757</v>
      </c>
      <c r="N124" s="51">
        <f>IF(Tabell2[[#This Row],[Befvekst10]]&lt;=E$434,E$434,IF(Tabell2[[#This Row],[Befvekst10]]&gt;=E$435,E$435,Tabell2[[#This Row],[Befvekst10]]))</f>
        <v>0.15262894341512268</v>
      </c>
      <c r="O124" s="51">
        <f>IF(Tabell2[[#This Row],[Kvinneandel]]&lt;=F$434,F$434,IF(Tabell2[[#This Row],[Kvinneandel]]&gt;=F$435,F$435,Tabell2[[#This Row],[Kvinneandel]]))</f>
        <v>0.1264227995481797</v>
      </c>
      <c r="P124" s="51">
        <f>IF(Tabell2[[#This Row],[Eldreandel]]&lt;=G$434,G$434,IF(Tabell2[[#This Row],[Eldreandel]]&gt;=G$435,G$435,Tabell2[[#This Row],[Eldreandel]]))</f>
        <v>0.1200928231908705</v>
      </c>
      <c r="Q124" s="51">
        <f>IF(Tabell2[[#This Row],[Sysselsettingsvekst10]]&lt;=H$434,H$434,IF(Tabell2[[#This Row],[Sysselsettingsvekst10]]&gt;=H$435,H$435,Tabell2[[#This Row],[Sysselsettingsvekst10]]))</f>
        <v>0.24286196513786068</v>
      </c>
      <c r="R124" s="51">
        <f>IF(Tabell2[[#This Row],[Yrkesaktivandel]]&lt;=I$434,I$434,IF(Tabell2[[#This Row],[Yrkesaktivandel]]&gt;=I$435,I$435,Tabell2[[#This Row],[Yrkesaktivandel]]))</f>
        <v>0.86392405063291144</v>
      </c>
      <c r="S124" s="52">
        <f>IF(Tabell2[[#This Row],[Inntekt]]&lt;=J$434,J$434,IF(Tabell2[[#This Row],[Inntekt]]&gt;=J$435,J$435,Tabell2[[#This Row],[Inntekt]]))</f>
        <v>353800</v>
      </c>
      <c r="T124" s="9">
        <f>IF(Tabell2[[#This Row],[NIBR11-T]]&lt;=K$437,100,IF(Tabell2[[#This Row],[NIBR11-T]]&gt;=K$436,0,100*(K$436-Tabell2[[#This Row],[NIBR11-T]])/K$439))</f>
        <v>90</v>
      </c>
      <c r="U124" s="9">
        <f>(L$436-Tabell2[[#This Row],[ReisetidOslo-T]])*100/L$439</f>
        <v>91.649627808983297</v>
      </c>
      <c r="V124" s="9">
        <f>100-(M$436-Tabell2[[#This Row],[Beftettotal-T]])*100/M$439</f>
        <v>75.534829449328456</v>
      </c>
      <c r="W124" s="9">
        <f>100-(N$436-Tabell2[[#This Row],[Befvekst10-T]])*100/N$439</f>
        <v>94.45263826818595</v>
      </c>
      <c r="X124" s="9">
        <f>100-(O$436-Tabell2[[#This Row],[Kvinneandel-T]])*100/O$439</f>
        <v>95.776600669232621</v>
      </c>
      <c r="Y124" s="9">
        <f>(P$436-Tabell2[[#This Row],[Eldreandel-T]])*100/P$439</f>
        <v>100.00000000000001</v>
      </c>
      <c r="Z124" s="9">
        <f>100-(Q$436-Tabell2[[#This Row],[Sysselsettingsvekst10-T]])*100/Q$439</f>
        <v>100</v>
      </c>
      <c r="AA124" s="9">
        <f>100-(R$436-Tabell2[[#This Row],[Yrkesaktivandel-T]])*100/R$439</f>
        <v>26.753947991055</v>
      </c>
      <c r="AB124" s="9">
        <f>100-(S$436-Tabell2[[#This Row],[Inntekt-T]])*100/S$439</f>
        <v>41.908713692946058</v>
      </c>
      <c r="AC124" s="48">
        <f>Tabell2[[#This Row],[NIBR11-I]]*Vekter!$B$3</f>
        <v>18</v>
      </c>
      <c r="AD124" s="48">
        <f>Tabell2[[#This Row],[ReisetidOslo-I]]*Vekter!$C$3</f>
        <v>9.1649627808983301</v>
      </c>
      <c r="AE124" s="48">
        <f>Tabell2[[#This Row],[Beftettotal-I]]*Vekter!$D$3</f>
        <v>7.5534829449328456</v>
      </c>
      <c r="AF124" s="48">
        <f>Tabell2[[#This Row],[Befvekst10-I]]*Vekter!$E$3</f>
        <v>18.890527653637189</v>
      </c>
      <c r="AG124" s="48">
        <f>Tabell2[[#This Row],[Kvinneandel-I]]*Vekter!$F$3</f>
        <v>4.7888300334616316</v>
      </c>
      <c r="AH124" s="48">
        <f>Tabell2[[#This Row],[Eldreandel-I]]*Vekter!$G$3</f>
        <v>5.0000000000000009</v>
      </c>
      <c r="AI124" s="48">
        <f>Tabell2[[#This Row],[Sysselsettingsvekst10-I]]*Vekter!$H$3</f>
        <v>10</v>
      </c>
      <c r="AJ124" s="48">
        <f>Tabell2[[#This Row],[Yrkesaktivandel-I]]*Vekter!$J$3</f>
        <v>2.6753947991055003</v>
      </c>
      <c r="AK124" s="48">
        <f>Tabell2[[#This Row],[Inntekt-I]]*Vekter!$L$3</f>
        <v>4.190871369294606</v>
      </c>
      <c r="AL124" s="37">
        <f>SUM(Tabell2[[#This Row],[NIBR11-v]:[Inntekt-v]])</f>
        <v>80.264069581330105</v>
      </c>
    </row>
    <row r="125" spans="1:38">
      <c r="A125" s="2" t="s">
        <v>122</v>
      </c>
      <c r="B125">
        <f>'Rådata-K'!M124</f>
        <v>2</v>
      </c>
      <c r="C125" s="9">
        <f>'Rådata-K'!L124</f>
        <v>74.659812079899993</v>
      </c>
      <c r="D125" s="51">
        <f>'Rådata-K'!N124</f>
        <v>353.41809775429323</v>
      </c>
      <c r="E125" s="51">
        <f>'Rådata-K'!O124</f>
        <v>6.7481296758104659E-2</v>
      </c>
      <c r="F125" s="51">
        <f>'Rådata-K'!P124</f>
        <v>0.10905013315890295</v>
      </c>
      <c r="G125" s="51">
        <f>'Rådata-K'!Q124</f>
        <v>0.15955707143858339</v>
      </c>
      <c r="H125" s="51">
        <f>'Rådata-K'!R124</f>
        <v>0.15665116279069768</v>
      </c>
      <c r="I125" s="51">
        <f>'Rådata-K'!S124</f>
        <v>0.86117997025285076</v>
      </c>
      <c r="J125" s="52">
        <f>'Rådata-K'!K124</f>
        <v>403800</v>
      </c>
      <c r="K125" s="26">
        <f>Tabell2[[#This Row],[NIBR11]]</f>
        <v>2</v>
      </c>
      <c r="L125" s="52">
        <f>IF(Tabell2[[#This Row],[ReisetidOslo]]&lt;=C$434,C$434,IF(Tabell2[[#This Row],[ReisetidOslo]]&gt;=C$435,C$435,Tabell2[[#This Row],[ReisetidOslo]]))</f>
        <v>74.659812079899993</v>
      </c>
      <c r="M125" s="51">
        <f>IF(Tabell2[[#This Row],[Beftettotal]]&lt;=D$434,D$434,IF(Tabell2[[#This Row],[Beftettotal]]&gt;=D$435,D$435,Tabell2[[#This Row],[Beftettotal]]))</f>
        <v>128.29773514779066</v>
      </c>
      <c r="N125" s="51">
        <f>IF(Tabell2[[#This Row],[Befvekst10]]&lt;=E$434,E$434,IF(Tabell2[[#This Row],[Befvekst10]]&gt;=E$435,E$435,Tabell2[[#This Row],[Befvekst10]]))</f>
        <v>6.7481296758104659E-2</v>
      </c>
      <c r="O125" s="51">
        <f>IF(Tabell2[[#This Row],[Kvinneandel]]&lt;=F$434,F$434,IF(Tabell2[[#This Row],[Kvinneandel]]&gt;=F$435,F$435,Tabell2[[#This Row],[Kvinneandel]]))</f>
        <v>0.10905013315890295</v>
      </c>
      <c r="P125" s="51">
        <f>IF(Tabell2[[#This Row],[Eldreandel]]&lt;=G$434,G$434,IF(Tabell2[[#This Row],[Eldreandel]]&gt;=G$435,G$435,Tabell2[[#This Row],[Eldreandel]]))</f>
        <v>0.15955707143858339</v>
      </c>
      <c r="Q125" s="51">
        <f>IF(Tabell2[[#This Row],[Sysselsettingsvekst10]]&lt;=H$434,H$434,IF(Tabell2[[#This Row],[Sysselsettingsvekst10]]&gt;=H$435,H$435,Tabell2[[#This Row],[Sysselsettingsvekst10]]))</f>
        <v>0.15665116279069768</v>
      </c>
      <c r="R125" s="51">
        <f>IF(Tabell2[[#This Row],[Yrkesaktivandel]]&lt;=I$434,I$434,IF(Tabell2[[#This Row],[Yrkesaktivandel]]&gt;=I$435,I$435,Tabell2[[#This Row],[Yrkesaktivandel]]))</f>
        <v>0.86117997025285076</v>
      </c>
      <c r="S125" s="52">
        <f>IF(Tabell2[[#This Row],[Inntekt]]&lt;=J$434,J$434,IF(Tabell2[[#This Row],[Inntekt]]&gt;=J$435,J$435,Tabell2[[#This Row],[Inntekt]]))</f>
        <v>400000</v>
      </c>
      <c r="T125" s="9">
        <f>IF(Tabell2[[#This Row],[NIBR11-T]]&lt;=K$437,100,IF(Tabell2[[#This Row],[NIBR11-T]]&gt;=K$436,0,100*(K$436-Tabell2[[#This Row],[NIBR11-T]])/K$439))</f>
        <v>90</v>
      </c>
      <c r="U125" s="9">
        <f>(L$436-Tabell2[[#This Row],[ReisetidOslo-T]])*100/L$439</f>
        <v>90.741620155673544</v>
      </c>
      <c r="V125" s="9">
        <f>100-(M$436-Tabell2[[#This Row],[Beftettotal-T]])*100/M$439</f>
        <v>100</v>
      </c>
      <c r="W125" s="9">
        <f>100-(N$436-Tabell2[[#This Row],[Befvekst10-T]])*100/N$439</f>
        <v>59.997155344975056</v>
      </c>
      <c r="X125" s="9">
        <f>100-(O$436-Tabell2[[#This Row],[Kvinneandel-T]])*100/O$439</f>
        <v>49.761657661640712</v>
      </c>
      <c r="Y125" s="9">
        <f>(P$436-Tabell2[[#This Row],[Eldreandel-T]])*100/P$439</f>
        <v>55.259916109618523</v>
      </c>
      <c r="Z125" s="9">
        <f>100-(Q$436-Tabell2[[#This Row],[Sysselsettingsvekst10-T]])*100/Q$439</f>
        <v>72.328818090157313</v>
      </c>
      <c r="AA125" s="9">
        <f>100-(R$436-Tabell2[[#This Row],[Yrkesaktivandel-T]])*100/R$439</f>
        <v>24.708302641384392</v>
      </c>
      <c r="AB125" s="9">
        <f>100-(S$436-Tabell2[[#This Row],[Inntekt-T]])*100/S$439</f>
        <v>100</v>
      </c>
      <c r="AC125" s="48">
        <f>Tabell2[[#This Row],[NIBR11-I]]*Vekter!$B$3</f>
        <v>18</v>
      </c>
      <c r="AD125" s="48">
        <f>Tabell2[[#This Row],[ReisetidOslo-I]]*Vekter!$C$3</f>
        <v>9.0741620155673548</v>
      </c>
      <c r="AE125" s="48">
        <f>Tabell2[[#This Row],[Beftettotal-I]]*Vekter!$D$3</f>
        <v>10</v>
      </c>
      <c r="AF125" s="48">
        <f>Tabell2[[#This Row],[Befvekst10-I]]*Vekter!$E$3</f>
        <v>11.999431068995012</v>
      </c>
      <c r="AG125" s="48">
        <f>Tabell2[[#This Row],[Kvinneandel-I]]*Vekter!$F$3</f>
        <v>2.4880828830820358</v>
      </c>
      <c r="AH125" s="48">
        <f>Tabell2[[#This Row],[Eldreandel-I]]*Vekter!$G$3</f>
        <v>2.7629958054809265</v>
      </c>
      <c r="AI125" s="48">
        <f>Tabell2[[#This Row],[Sysselsettingsvekst10-I]]*Vekter!$H$3</f>
        <v>7.2328818090157316</v>
      </c>
      <c r="AJ125" s="48">
        <f>Tabell2[[#This Row],[Yrkesaktivandel-I]]*Vekter!$J$3</f>
        <v>2.4708302641384394</v>
      </c>
      <c r="AK125" s="48">
        <f>Tabell2[[#This Row],[Inntekt-I]]*Vekter!$L$3</f>
        <v>10</v>
      </c>
      <c r="AL125" s="37">
        <f>SUM(Tabell2[[#This Row],[NIBR11-v]:[Inntekt-v]])</f>
        <v>74.028383846279496</v>
      </c>
    </row>
    <row r="126" spans="1:38">
      <c r="A126" s="2" t="s">
        <v>123</v>
      </c>
      <c r="B126">
        <f>'Rådata-K'!M125</f>
        <v>3</v>
      </c>
      <c r="C126" s="9">
        <f>'Rådata-K'!L125</f>
        <v>89.516054563099999</v>
      </c>
      <c r="D126" s="51">
        <f>'Rådata-K'!N125</f>
        <v>125.05076142131981</v>
      </c>
      <c r="E126" s="51">
        <f>'Rådata-K'!O125</f>
        <v>8.2143641555018743E-2</v>
      </c>
      <c r="F126" s="51">
        <f>'Rådata-K'!P125</f>
        <v>9.9451999188146942E-2</v>
      </c>
      <c r="G126" s="51">
        <f>'Rådata-K'!Q125</f>
        <v>0.16663283945605845</v>
      </c>
      <c r="H126" s="51">
        <f>'Rådata-K'!R125</f>
        <v>7.0189925681255261E-2</v>
      </c>
      <c r="I126" s="51">
        <f>'Rådata-K'!S125</f>
        <v>0.815105946684894</v>
      </c>
      <c r="J126" s="52">
        <f>'Rådata-K'!K125</f>
        <v>378600</v>
      </c>
      <c r="K126" s="26">
        <f>Tabell2[[#This Row],[NIBR11]]</f>
        <v>3</v>
      </c>
      <c r="L126" s="52">
        <f>IF(Tabell2[[#This Row],[ReisetidOslo]]&lt;=C$434,C$434,IF(Tabell2[[#This Row],[ReisetidOslo]]&gt;=C$435,C$435,Tabell2[[#This Row],[ReisetidOslo]]))</f>
        <v>89.516054563099999</v>
      </c>
      <c r="M126" s="51">
        <f>IF(Tabell2[[#This Row],[Beftettotal]]&lt;=D$434,D$434,IF(Tabell2[[#This Row],[Beftettotal]]&gt;=D$435,D$435,Tabell2[[#This Row],[Beftettotal]]))</f>
        <v>125.05076142131981</v>
      </c>
      <c r="N126" s="51">
        <f>IF(Tabell2[[#This Row],[Befvekst10]]&lt;=E$434,E$434,IF(Tabell2[[#This Row],[Befvekst10]]&gt;=E$435,E$435,Tabell2[[#This Row],[Befvekst10]]))</f>
        <v>8.2143641555018743E-2</v>
      </c>
      <c r="O126" s="51">
        <f>IF(Tabell2[[#This Row],[Kvinneandel]]&lt;=F$434,F$434,IF(Tabell2[[#This Row],[Kvinneandel]]&gt;=F$435,F$435,Tabell2[[#This Row],[Kvinneandel]]))</f>
        <v>9.9451999188146942E-2</v>
      </c>
      <c r="P126" s="51">
        <f>IF(Tabell2[[#This Row],[Eldreandel]]&lt;=G$434,G$434,IF(Tabell2[[#This Row],[Eldreandel]]&gt;=G$435,G$435,Tabell2[[#This Row],[Eldreandel]]))</f>
        <v>0.16663283945605845</v>
      </c>
      <c r="Q126" s="51">
        <f>IF(Tabell2[[#This Row],[Sysselsettingsvekst10]]&lt;=H$434,H$434,IF(Tabell2[[#This Row],[Sysselsettingsvekst10]]&gt;=H$435,H$435,Tabell2[[#This Row],[Sysselsettingsvekst10]]))</f>
        <v>7.0189925681255261E-2</v>
      </c>
      <c r="R126" s="51">
        <f>IF(Tabell2[[#This Row],[Yrkesaktivandel]]&lt;=I$434,I$434,IF(Tabell2[[#This Row],[Yrkesaktivandel]]&gt;=I$435,I$435,Tabell2[[#This Row],[Yrkesaktivandel]]))</f>
        <v>0.82803562853509294</v>
      </c>
      <c r="S126" s="52">
        <f>IF(Tabell2[[#This Row],[Inntekt]]&lt;=J$434,J$434,IF(Tabell2[[#This Row],[Inntekt]]&gt;=J$435,J$435,Tabell2[[#This Row],[Inntekt]]))</f>
        <v>378600</v>
      </c>
      <c r="T126" s="9">
        <f>IF(Tabell2[[#This Row],[NIBR11-T]]&lt;=K$437,100,IF(Tabell2[[#This Row],[NIBR11-T]]&gt;=K$436,0,100*(K$436-Tabell2[[#This Row],[NIBR11-T]])/K$439))</f>
        <v>80</v>
      </c>
      <c r="U126" s="9">
        <f>(L$436-Tabell2[[#This Row],[ReisetidOslo-T]])*100/L$439</f>
        <v>84.146182512576857</v>
      </c>
      <c r="V126" s="9">
        <f>100-(M$436-Tabell2[[#This Row],[Beftettotal-T]])*100/M$439</f>
        <v>97.442482113513677</v>
      </c>
      <c r="W126" s="9">
        <f>100-(N$436-Tabell2[[#This Row],[Befvekst10-T]])*100/N$439</f>
        <v>65.930357149122216</v>
      </c>
      <c r="X126" s="9">
        <f>100-(O$436-Tabell2[[#This Row],[Kvinneandel-T]])*100/O$439</f>
        <v>24.339101460585567</v>
      </c>
      <c r="Y126" s="9">
        <f>(P$436-Tabell2[[#This Row],[Eldreandel-T]])*100/P$439</f>
        <v>47.238213714487799</v>
      </c>
      <c r="Z126" s="9">
        <f>100-(Q$436-Tabell2[[#This Row],[Sysselsettingsvekst10-T]])*100/Q$439</f>
        <v>44.577253842197919</v>
      </c>
      <c r="AA126" s="9">
        <f>100-(R$436-Tabell2[[#This Row],[Yrkesaktivandel-T]])*100/R$439</f>
        <v>0</v>
      </c>
      <c r="AB126" s="9">
        <f>100-(S$436-Tabell2[[#This Row],[Inntekt-T]])*100/S$439</f>
        <v>73.091915000628688</v>
      </c>
      <c r="AC126" s="48">
        <f>Tabell2[[#This Row],[NIBR11-I]]*Vekter!$B$3</f>
        <v>16</v>
      </c>
      <c r="AD126" s="48">
        <f>Tabell2[[#This Row],[ReisetidOslo-I]]*Vekter!$C$3</f>
        <v>8.4146182512576857</v>
      </c>
      <c r="AE126" s="48">
        <f>Tabell2[[#This Row],[Beftettotal-I]]*Vekter!$D$3</f>
        <v>9.7442482113513691</v>
      </c>
      <c r="AF126" s="48">
        <f>Tabell2[[#This Row],[Befvekst10-I]]*Vekter!$E$3</f>
        <v>13.186071429824445</v>
      </c>
      <c r="AG126" s="48">
        <f>Tabell2[[#This Row],[Kvinneandel-I]]*Vekter!$F$3</f>
        <v>1.2169550730292784</v>
      </c>
      <c r="AH126" s="48">
        <f>Tabell2[[#This Row],[Eldreandel-I]]*Vekter!$G$3</f>
        <v>2.3619106857243901</v>
      </c>
      <c r="AI126" s="48">
        <f>Tabell2[[#This Row],[Sysselsettingsvekst10-I]]*Vekter!$H$3</f>
        <v>4.4577253842197919</v>
      </c>
      <c r="AJ126" s="48">
        <f>Tabell2[[#This Row],[Yrkesaktivandel-I]]*Vekter!$J$3</f>
        <v>0</v>
      </c>
      <c r="AK126" s="48">
        <f>Tabell2[[#This Row],[Inntekt-I]]*Vekter!$L$3</f>
        <v>7.3091915000628696</v>
      </c>
      <c r="AL126" s="37">
        <f>SUM(Tabell2[[#This Row],[NIBR11-v]:[Inntekt-v]])</f>
        <v>62.690720535469822</v>
      </c>
    </row>
    <row r="127" spans="1:38">
      <c r="A127" s="2" t="s">
        <v>124</v>
      </c>
      <c r="B127">
        <f>'Rådata-K'!M126</f>
        <v>4</v>
      </c>
      <c r="C127" s="9">
        <f>'Rådata-K'!L126</f>
        <v>68.605911896600006</v>
      </c>
      <c r="D127" s="51">
        <f>'Rådata-K'!N126</f>
        <v>8.8587993806042711</v>
      </c>
      <c r="E127" s="51">
        <f>'Rådata-K'!O126</f>
        <v>3.1014249790444204E-2</v>
      </c>
      <c r="F127" s="51">
        <f>'Rådata-K'!P126</f>
        <v>0.10609756097560975</v>
      </c>
      <c r="G127" s="51">
        <f>'Rådata-K'!Q126</f>
        <v>0.15569105691056911</v>
      </c>
      <c r="H127" s="51">
        <f>'Rådata-K'!R126</f>
        <v>0.19339045287637702</v>
      </c>
      <c r="I127" s="51">
        <f>'Rådata-K'!S126</f>
        <v>0.87838776928422513</v>
      </c>
      <c r="J127" s="52">
        <f>'Rådata-K'!K126</f>
        <v>360500</v>
      </c>
      <c r="K127" s="26">
        <f>Tabell2[[#This Row],[NIBR11]]</f>
        <v>4</v>
      </c>
      <c r="L127" s="52">
        <f>IF(Tabell2[[#This Row],[ReisetidOslo]]&lt;=C$434,C$434,IF(Tabell2[[#This Row],[ReisetidOslo]]&gt;=C$435,C$435,Tabell2[[#This Row],[ReisetidOslo]]))</f>
        <v>68.605911896600006</v>
      </c>
      <c r="M127" s="51">
        <f>IF(Tabell2[[#This Row],[Beftettotal]]&lt;=D$434,D$434,IF(Tabell2[[#This Row],[Beftettotal]]&gt;=D$435,D$435,Tabell2[[#This Row],[Beftettotal]]))</f>
        <v>8.8587993806042711</v>
      </c>
      <c r="N127" s="51">
        <f>IF(Tabell2[[#This Row],[Befvekst10]]&lt;=E$434,E$434,IF(Tabell2[[#This Row],[Befvekst10]]&gt;=E$435,E$435,Tabell2[[#This Row],[Befvekst10]]))</f>
        <v>3.1014249790444204E-2</v>
      </c>
      <c r="O127" s="51">
        <f>IF(Tabell2[[#This Row],[Kvinneandel]]&lt;=F$434,F$434,IF(Tabell2[[#This Row],[Kvinneandel]]&gt;=F$435,F$435,Tabell2[[#This Row],[Kvinneandel]]))</f>
        <v>0.10609756097560975</v>
      </c>
      <c r="P127" s="51">
        <f>IF(Tabell2[[#This Row],[Eldreandel]]&lt;=G$434,G$434,IF(Tabell2[[#This Row],[Eldreandel]]&gt;=G$435,G$435,Tabell2[[#This Row],[Eldreandel]]))</f>
        <v>0.15569105691056911</v>
      </c>
      <c r="Q127" s="51">
        <f>IF(Tabell2[[#This Row],[Sysselsettingsvekst10]]&lt;=H$434,H$434,IF(Tabell2[[#This Row],[Sysselsettingsvekst10]]&gt;=H$435,H$435,Tabell2[[#This Row],[Sysselsettingsvekst10]]))</f>
        <v>0.19339045287637702</v>
      </c>
      <c r="R127" s="51">
        <f>IF(Tabell2[[#This Row],[Yrkesaktivandel]]&lt;=I$434,I$434,IF(Tabell2[[#This Row],[Yrkesaktivandel]]&gt;=I$435,I$435,Tabell2[[#This Row],[Yrkesaktivandel]]))</f>
        <v>0.87838776928422513</v>
      </c>
      <c r="S127" s="52">
        <f>IF(Tabell2[[#This Row],[Inntekt]]&lt;=J$434,J$434,IF(Tabell2[[#This Row],[Inntekt]]&gt;=J$435,J$435,Tabell2[[#This Row],[Inntekt]]))</f>
        <v>360500</v>
      </c>
      <c r="T127" s="9">
        <f>IF(Tabell2[[#This Row],[NIBR11-T]]&lt;=K$437,100,IF(Tabell2[[#This Row],[NIBR11-T]]&gt;=K$436,0,100*(K$436-Tabell2[[#This Row],[NIBR11-T]])/K$439))</f>
        <v>70</v>
      </c>
      <c r="U127" s="9">
        <f>(L$436-Tabell2[[#This Row],[ReisetidOslo-T]])*100/L$439</f>
        <v>93.429252725055704</v>
      </c>
      <c r="V127" s="9">
        <f>100-(M$436-Tabell2[[#This Row],[Beftettotal-T]])*100/M$439</f>
        <v>5.9224865057705784</v>
      </c>
      <c r="W127" s="9">
        <f>100-(N$436-Tabell2[[#This Row],[Befvekst10-T]])*100/N$439</f>
        <v>45.240555915804663</v>
      </c>
      <c r="X127" s="9">
        <f>100-(O$436-Tabell2[[#This Row],[Kvinneandel-T]])*100/O$439</f>
        <v>41.9411862558294</v>
      </c>
      <c r="Y127" s="9">
        <f>(P$436-Tabell2[[#This Row],[Eldreandel-T]])*100/P$439</f>
        <v>59.642764433982997</v>
      </c>
      <c r="Z127" s="9">
        <f>100-(Q$436-Tabell2[[#This Row],[Sysselsettingsvekst10-T]])*100/Q$439</f>
        <v>84.121070934591799</v>
      </c>
      <c r="AA127" s="9">
        <f>100-(R$436-Tabell2[[#This Row],[Yrkesaktivandel-T]])*100/R$439</f>
        <v>37.536299343805617</v>
      </c>
      <c r="AB127" s="9">
        <f>100-(S$436-Tabell2[[#This Row],[Inntekt-T]])*100/S$439</f>
        <v>50.333207594618386</v>
      </c>
      <c r="AC127" s="48">
        <f>Tabell2[[#This Row],[NIBR11-I]]*Vekter!$B$3</f>
        <v>14</v>
      </c>
      <c r="AD127" s="48">
        <f>Tabell2[[#This Row],[ReisetidOslo-I]]*Vekter!$C$3</f>
        <v>9.3429252725055711</v>
      </c>
      <c r="AE127" s="48">
        <f>Tabell2[[#This Row],[Beftettotal-I]]*Vekter!$D$3</f>
        <v>0.59224865057705789</v>
      </c>
      <c r="AF127" s="48">
        <f>Tabell2[[#This Row],[Befvekst10-I]]*Vekter!$E$3</f>
        <v>9.0481111831609322</v>
      </c>
      <c r="AG127" s="48">
        <f>Tabell2[[#This Row],[Kvinneandel-I]]*Vekter!$F$3</f>
        <v>2.0970593127914703</v>
      </c>
      <c r="AH127" s="48">
        <f>Tabell2[[#This Row],[Eldreandel-I]]*Vekter!$G$3</f>
        <v>2.9821382216991501</v>
      </c>
      <c r="AI127" s="48">
        <f>Tabell2[[#This Row],[Sysselsettingsvekst10-I]]*Vekter!$H$3</f>
        <v>8.4121070934591806</v>
      </c>
      <c r="AJ127" s="48">
        <f>Tabell2[[#This Row],[Yrkesaktivandel-I]]*Vekter!$J$3</f>
        <v>3.7536299343805619</v>
      </c>
      <c r="AK127" s="48">
        <f>Tabell2[[#This Row],[Inntekt-I]]*Vekter!$L$3</f>
        <v>5.033320759461839</v>
      </c>
      <c r="AL127" s="37">
        <f>SUM(Tabell2[[#This Row],[NIBR11-v]:[Inntekt-v]])</f>
        <v>55.261540428035772</v>
      </c>
    </row>
    <row r="128" spans="1:38">
      <c r="A128" s="2" t="s">
        <v>125</v>
      </c>
      <c r="B128">
        <f>'Rådata-K'!M127</f>
        <v>4</v>
      </c>
      <c r="C128" s="9">
        <f>'Rådata-K'!L127</f>
        <v>109.211510248</v>
      </c>
      <c r="D128" s="51">
        <f>'Rådata-K'!N127</f>
        <v>216.75923100396705</v>
      </c>
      <c r="E128" s="51">
        <f>'Rådata-K'!O127</f>
        <v>6.5810401224379644E-2</v>
      </c>
      <c r="F128" s="51">
        <f>'Rådata-K'!P127</f>
        <v>0.11831287307129182</v>
      </c>
      <c r="G128" s="51">
        <f>'Rådata-K'!Q127</f>
        <v>0.15364905957878139</v>
      </c>
      <c r="H128" s="51">
        <f>'Rådata-K'!R127</f>
        <v>8.785295362476564E-2</v>
      </c>
      <c r="I128" s="51">
        <f>'Rådata-K'!S127</f>
        <v>0.81678041330597051</v>
      </c>
      <c r="J128" s="52">
        <f>'Rådata-K'!K127</f>
        <v>373300</v>
      </c>
      <c r="K128" s="26">
        <f>Tabell2[[#This Row],[NIBR11]]</f>
        <v>4</v>
      </c>
      <c r="L128" s="52">
        <f>IF(Tabell2[[#This Row],[ReisetidOslo]]&lt;=C$434,C$434,IF(Tabell2[[#This Row],[ReisetidOslo]]&gt;=C$435,C$435,Tabell2[[#This Row],[ReisetidOslo]]))</f>
        <v>109.211510248</v>
      </c>
      <c r="M128" s="51">
        <f>IF(Tabell2[[#This Row],[Beftettotal]]&lt;=D$434,D$434,IF(Tabell2[[#This Row],[Beftettotal]]&gt;=D$435,D$435,Tabell2[[#This Row],[Beftettotal]]))</f>
        <v>128.29773514779066</v>
      </c>
      <c r="N128" s="51">
        <f>IF(Tabell2[[#This Row],[Befvekst10]]&lt;=E$434,E$434,IF(Tabell2[[#This Row],[Befvekst10]]&gt;=E$435,E$435,Tabell2[[#This Row],[Befvekst10]]))</f>
        <v>6.5810401224379644E-2</v>
      </c>
      <c r="O128" s="51">
        <f>IF(Tabell2[[#This Row],[Kvinneandel]]&lt;=F$434,F$434,IF(Tabell2[[#This Row],[Kvinneandel]]&gt;=F$435,F$435,Tabell2[[#This Row],[Kvinneandel]]))</f>
        <v>0.11831287307129182</v>
      </c>
      <c r="P128" s="51">
        <f>IF(Tabell2[[#This Row],[Eldreandel]]&lt;=G$434,G$434,IF(Tabell2[[#This Row],[Eldreandel]]&gt;=G$435,G$435,Tabell2[[#This Row],[Eldreandel]]))</f>
        <v>0.15364905957878139</v>
      </c>
      <c r="Q128" s="51">
        <f>IF(Tabell2[[#This Row],[Sysselsettingsvekst10]]&lt;=H$434,H$434,IF(Tabell2[[#This Row],[Sysselsettingsvekst10]]&gt;=H$435,H$435,Tabell2[[#This Row],[Sysselsettingsvekst10]]))</f>
        <v>8.785295362476564E-2</v>
      </c>
      <c r="R128" s="51">
        <f>IF(Tabell2[[#This Row],[Yrkesaktivandel]]&lt;=I$434,I$434,IF(Tabell2[[#This Row],[Yrkesaktivandel]]&gt;=I$435,I$435,Tabell2[[#This Row],[Yrkesaktivandel]]))</f>
        <v>0.82803562853509294</v>
      </c>
      <c r="S128" s="52">
        <f>IF(Tabell2[[#This Row],[Inntekt]]&lt;=J$434,J$434,IF(Tabell2[[#This Row],[Inntekt]]&gt;=J$435,J$435,Tabell2[[#This Row],[Inntekt]]))</f>
        <v>373300</v>
      </c>
      <c r="T128" s="9">
        <f>IF(Tabell2[[#This Row],[NIBR11-T]]&lt;=K$437,100,IF(Tabell2[[#This Row],[NIBR11-T]]&gt;=K$436,0,100*(K$436-Tabell2[[#This Row],[NIBR11-T]])/K$439))</f>
        <v>70</v>
      </c>
      <c r="U128" s="9">
        <f>(L$436-Tabell2[[#This Row],[ReisetidOslo-T]])*100/L$439</f>
        <v>75.402373304492883</v>
      </c>
      <c r="V128" s="9">
        <f>100-(M$436-Tabell2[[#This Row],[Beftettotal-T]])*100/M$439</f>
        <v>100</v>
      </c>
      <c r="W128" s="9">
        <f>100-(N$436-Tabell2[[#This Row],[Befvekst10-T]])*100/N$439</f>
        <v>59.321017896800655</v>
      </c>
      <c r="X128" s="9">
        <f>100-(O$436-Tabell2[[#This Row],[Kvinneandel-T]])*100/O$439</f>
        <v>74.295856362757021</v>
      </c>
      <c r="Y128" s="9">
        <f>(P$436-Tabell2[[#This Row],[Eldreandel-T]])*100/P$439</f>
        <v>61.957749160276698</v>
      </c>
      <c r="Z128" s="9">
        <f>100-(Q$436-Tabell2[[#This Row],[Sysselsettingsvekst10-T]])*100/Q$439</f>
        <v>50.246576548827314</v>
      </c>
      <c r="AA128" s="9">
        <f>100-(R$436-Tabell2[[#This Row],[Yrkesaktivandel-T]])*100/R$439</f>
        <v>0</v>
      </c>
      <c r="AB128" s="9">
        <f>100-(S$436-Tabell2[[#This Row],[Inntekt-T]])*100/S$439</f>
        <v>66.427763108261033</v>
      </c>
      <c r="AC128" s="48">
        <f>Tabell2[[#This Row],[NIBR11-I]]*Vekter!$B$3</f>
        <v>14</v>
      </c>
      <c r="AD128" s="48">
        <f>Tabell2[[#This Row],[ReisetidOslo-I]]*Vekter!$C$3</f>
        <v>7.5402373304492887</v>
      </c>
      <c r="AE128" s="48">
        <f>Tabell2[[#This Row],[Beftettotal-I]]*Vekter!$D$3</f>
        <v>10</v>
      </c>
      <c r="AF128" s="48">
        <f>Tabell2[[#This Row],[Befvekst10-I]]*Vekter!$E$3</f>
        <v>11.864203579360131</v>
      </c>
      <c r="AG128" s="48">
        <f>Tabell2[[#This Row],[Kvinneandel-I]]*Vekter!$F$3</f>
        <v>3.7147928181378513</v>
      </c>
      <c r="AH128" s="48">
        <f>Tabell2[[#This Row],[Eldreandel-I]]*Vekter!$G$3</f>
        <v>3.0978874580138349</v>
      </c>
      <c r="AI128" s="48">
        <f>Tabell2[[#This Row],[Sysselsettingsvekst10-I]]*Vekter!$H$3</f>
        <v>5.0246576548827315</v>
      </c>
      <c r="AJ128" s="48">
        <f>Tabell2[[#This Row],[Yrkesaktivandel-I]]*Vekter!$J$3</f>
        <v>0</v>
      </c>
      <c r="AK128" s="48">
        <f>Tabell2[[#This Row],[Inntekt-I]]*Vekter!$L$3</f>
        <v>6.642776310826104</v>
      </c>
      <c r="AL128" s="37">
        <f>SUM(Tabell2[[#This Row],[NIBR11-v]:[Inntekt-v]])</f>
        <v>61.884555151669943</v>
      </c>
    </row>
    <row r="129" spans="1:38">
      <c r="A129" s="2" t="s">
        <v>126</v>
      </c>
      <c r="B129">
        <f>'Rådata-K'!M128</f>
        <v>4</v>
      </c>
      <c r="C129" s="9">
        <f>'Rådata-K'!L128</f>
        <v>101.642603294</v>
      </c>
      <c r="D129" s="51">
        <f>'Rådata-K'!N128</f>
        <v>68.683246577983411</v>
      </c>
      <c r="E129" s="51">
        <f>'Rådata-K'!O128</f>
        <v>5.8051359217534237E-2</v>
      </c>
      <c r="F129" s="51">
        <f>'Rådata-K'!P128</f>
        <v>0.12161529968749415</v>
      </c>
      <c r="G129" s="51">
        <f>'Rådata-K'!Q128</f>
        <v>0.1501899361889257</v>
      </c>
      <c r="H129" s="51">
        <f>'Rådata-K'!R128</f>
        <v>7.7068395517581934E-2</v>
      </c>
      <c r="I129" s="51">
        <f>'Rådata-K'!S128</f>
        <v>0.82132693844924065</v>
      </c>
      <c r="J129" s="52">
        <f>'Rådata-K'!K128</f>
        <v>359400</v>
      </c>
      <c r="K129" s="26">
        <f>Tabell2[[#This Row],[NIBR11]]</f>
        <v>4</v>
      </c>
      <c r="L129" s="52">
        <f>IF(Tabell2[[#This Row],[ReisetidOslo]]&lt;=C$434,C$434,IF(Tabell2[[#This Row],[ReisetidOslo]]&gt;=C$435,C$435,Tabell2[[#This Row],[ReisetidOslo]]))</f>
        <v>101.642603294</v>
      </c>
      <c r="M129" s="51">
        <f>IF(Tabell2[[#This Row],[Beftettotal]]&lt;=D$434,D$434,IF(Tabell2[[#This Row],[Beftettotal]]&gt;=D$435,D$435,Tabell2[[#This Row],[Beftettotal]]))</f>
        <v>68.683246577983411</v>
      </c>
      <c r="N129" s="51">
        <f>IF(Tabell2[[#This Row],[Befvekst10]]&lt;=E$434,E$434,IF(Tabell2[[#This Row],[Befvekst10]]&gt;=E$435,E$435,Tabell2[[#This Row],[Befvekst10]]))</f>
        <v>5.8051359217534237E-2</v>
      </c>
      <c r="O129" s="51">
        <f>IF(Tabell2[[#This Row],[Kvinneandel]]&lt;=F$434,F$434,IF(Tabell2[[#This Row],[Kvinneandel]]&gt;=F$435,F$435,Tabell2[[#This Row],[Kvinneandel]]))</f>
        <v>0.12161529968749415</v>
      </c>
      <c r="P129" s="51">
        <f>IF(Tabell2[[#This Row],[Eldreandel]]&lt;=G$434,G$434,IF(Tabell2[[#This Row],[Eldreandel]]&gt;=G$435,G$435,Tabell2[[#This Row],[Eldreandel]]))</f>
        <v>0.1501899361889257</v>
      </c>
      <c r="Q129" s="51">
        <f>IF(Tabell2[[#This Row],[Sysselsettingsvekst10]]&lt;=H$434,H$434,IF(Tabell2[[#This Row],[Sysselsettingsvekst10]]&gt;=H$435,H$435,Tabell2[[#This Row],[Sysselsettingsvekst10]]))</f>
        <v>7.7068395517581934E-2</v>
      </c>
      <c r="R129" s="51">
        <f>IF(Tabell2[[#This Row],[Yrkesaktivandel]]&lt;=I$434,I$434,IF(Tabell2[[#This Row],[Yrkesaktivandel]]&gt;=I$435,I$435,Tabell2[[#This Row],[Yrkesaktivandel]]))</f>
        <v>0.82803562853509294</v>
      </c>
      <c r="S129" s="52">
        <f>IF(Tabell2[[#This Row],[Inntekt]]&lt;=J$434,J$434,IF(Tabell2[[#This Row],[Inntekt]]&gt;=J$435,J$435,Tabell2[[#This Row],[Inntekt]]))</f>
        <v>359400</v>
      </c>
      <c r="T129" s="9">
        <f>IF(Tabell2[[#This Row],[NIBR11-T]]&lt;=K$437,100,IF(Tabell2[[#This Row],[NIBR11-T]]&gt;=K$436,0,100*(K$436-Tabell2[[#This Row],[NIBR11-T]])/K$439))</f>
        <v>70</v>
      </c>
      <c r="U129" s="9">
        <f>(L$436-Tabell2[[#This Row],[ReisetidOslo-T]])*100/L$439</f>
        <v>78.762594026385372</v>
      </c>
      <c r="V129" s="9">
        <f>100-(M$436-Tabell2[[#This Row],[Beftettotal-T]])*100/M$439</f>
        <v>53.04393147131151</v>
      </c>
      <c r="W129" s="9">
        <f>100-(N$436-Tabell2[[#This Row],[Befvekst10-T]])*100/N$439</f>
        <v>56.181277106967528</v>
      </c>
      <c r="X129" s="9">
        <f>100-(O$436-Tabell2[[#This Row],[Kvinneandel-T]])*100/O$439</f>
        <v>83.042986430545739</v>
      </c>
      <c r="Y129" s="9">
        <f>(P$436-Tabell2[[#This Row],[Eldreandel-T]])*100/P$439</f>
        <v>65.879310510638746</v>
      </c>
      <c r="Z129" s="9">
        <f>100-(Q$436-Tabell2[[#This Row],[Sysselsettingsvekst10-T]])*100/Q$439</f>
        <v>46.785044338519924</v>
      </c>
      <c r="AA129" s="9">
        <f>100-(R$436-Tabell2[[#This Row],[Yrkesaktivandel-T]])*100/R$439</f>
        <v>0</v>
      </c>
      <c r="AB129" s="9">
        <f>100-(S$436-Tabell2[[#This Row],[Inntekt-T]])*100/S$439</f>
        <v>48.950081730164719</v>
      </c>
      <c r="AC129" s="48">
        <f>Tabell2[[#This Row],[NIBR11-I]]*Vekter!$B$3</f>
        <v>14</v>
      </c>
      <c r="AD129" s="48">
        <f>Tabell2[[#This Row],[ReisetidOslo-I]]*Vekter!$C$3</f>
        <v>7.8762594026385377</v>
      </c>
      <c r="AE129" s="48">
        <f>Tabell2[[#This Row],[Beftettotal-I]]*Vekter!$D$3</f>
        <v>5.304393147131151</v>
      </c>
      <c r="AF129" s="48">
        <f>Tabell2[[#This Row],[Befvekst10-I]]*Vekter!$E$3</f>
        <v>11.236255421393507</v>
      </c>
      <c r="AG129" s="48">
        <f>Tabell2[[#This Row],[Kvinneandel-I]]*Vekter!$F$3</f>
        <v>4.1521493215272871</v>
      </c>
      <c r="AH129" s="48">
        <f>Tabell2[[#This Row],[Eldreandel-I]]*Vekter!$G$3</f>
        <v>3.2939655255319376</v>
      </c>
      <c r="AI129" s="48">
        <f>Tabell2[[#This Row],[Sysselsettingsvekst10-I]]*Vekter!$H$3</f>
        <v>4.6785044338519928</v>
      </c>
      <c r="AJ129" s="48">
        <f>Tabell2[[#This Row],[Yrkesaktivandel-I]]*Vekter!$J$3</f>
        <v>0</v>
      </c>
      <c r="AK129" s="48">
        <f>Tabell2[[#This Row],[Inntekt-I]]*Vekter!$L$3</f>
        <v>4.8950081730164721</v>
      </c>
      <c r="AL129" s="37">
        <f>SUM(Tabell2[[#This Row],[NIBR11-v]:[Inntekt-v]])</f>
        <v>55.436535425090888</v>
      </c>
    </row>
    <row r="130" spans="1:38">
      <c r="A130" s="2" t="s">
        <v>127</v>
      </c>
      <c r="B130">
        <f>'Rådata-K'!M129</f>
        <v>5</v>
      </c>
      <c r="C130" s="9">
        <f>'Rådata-K'!L129</f>
        <v>92.155298289399994</v>
      </c>
      <c r="D130" s="51">
        <f>'Rådata-K'!N129</f>
        <v>13.716915244280539</v>
      </c>
      <c r="E130" s="51">
        <f>'Rådata-K'!O129</f>
        <v>2.3291673429638005E-2</v>
      </c>
      <c r="F130" s="51">
        <f>'Rådata-K'!P129</f>
        <v>0.11634546752319772</v>
      </c>
      <c r="G130" s="51">
        <f>'Rådata-K'!Q129</f>
        <v>0.17717503370608295</v>
      </c>
      <c r="H130" s="51">
        <f>'Rådata-K'!R129</f>
        <v>-3.7222619899785259E-2</v>
      </c>
      <c r="I130" s="51">
        <f>'Rådata-K'!S129</f>
        <v>0.81410523393030687</v>
      </c>
      <c r="J130" s="52">
        <f>'Rådata-K'!K129</f>
        <v>350000</v>
      </c>
      <c r="K130" s="26">
        <f>Tabell2[[#This Row],[NIBR11]]</f>
        <v>5</v>
      </c>
      <c r="L130" s="52">
        <f>IF(Tabell2[[#This Row],[ReisetidOslo]]&lt;=C$434,C$434,IF(Tabell2[[#This Row],[ReisetidOslo]]&gt;=C$435,C$435,Tabell2[[#This Row],[ReisetidOslo]]))</f>
        <v>92.155298289399994</v>
      </c>
      <c r="M130" s="51">
        <f>IF(Tabell2[[#This Row],[Beftettotal]]&lt;=D$434,D$434,IF(Tabell2[[#This Row],[Beftettotal]]&gt;=D$435,D$435,Tabell2[[#This Row],[Beftettotal]]))</f>
        <v>13.716915244280539</v>
      </c>
      <c r="N130" s="51">
        <f>IF(Tabell2[[#This Row],[Befvekst10]]&lt;=E$434,E$434,IF(Tabell2[[#This Row],[Befvekst10]]&gt;=E$435,E$435,Tabell2[[#This Row],[Befvekst10]]))</f>
        <v>2.3291673429638005E-2</v>
      </c>
      <c r="O130" s="51">
        <f>IF(Tabell2[[#This Row],[Kvinneandel]]&lt;=F$434,F$434,IF(Tabell2[[#This Row],[Kvinneandel]]&gt;=F$435,F$435,Tabell2[[#This Row],[Kvinneandel]]))</f>
        <v>0.11634546752319772</v>
      </c>
      <c r="P130" s="51">
        <f>IF(Tabell2[[#This Row],[Eldreandel]]&lt;=G$434,G$434,IF(Tabell2[[#This Row],[Eldreandel]]&gt;=G$435,G$435,Tabell2[[#This Row],[Eldreandel]]))</f>
        <v>0.17717503370608295</v>
      </c>
      <c r="Q130" s="51">
        <f>IF(Tabell2[[#This Row],[Sysselsettingsvekst10]]&lt;=H$434,H$434,IF(Tabell2[[#This Row],[Sysselsettingsvekst10]]&gt;=H$435,H$435,Tabell2[[#This Row],[Sysselsettingsvekst10]]))</f>
        <v>-3.7222619899785259E-2</v>
      </c>
      <c r="R130" s="51">
        <f>IF(Tabell2[[#This Row],[Yrkesaktivandel]]&lt;=I$434,I$434,IF(Tabell2[[#This Row],[Yrkesaktivandel]]&gt;=I$435,I$435,Tabell2[[#This Row],[Yrkesaktivandel]]))</f>
        <v>0.82803562853509294</v>
      </c>
      <c r="S130" s="52">
        <f>IF(Tabell2[[#This Row],[Inntekt]]&lt;=J$434,J$434,IF(Tabell2[[#This Row],[Inntekt]]&gt;=J$435,J$435,Tabell2[[#This Row],[Inntekt]]))</f>
        <v>350000</v>
      </c>
      <c r="T130" s="9">
        <f>IF(Tabell2[[#This Row],[NIBR11-T]]&lt;=K$437,100,IF(Tabell2[[#This Row],[NIBR11-T]]&gt;=K$436,0,100*(K$436-Tabell2[[#This Row],[NIBR11-T]])/K$439))</f>
        <v>60</v>
      </c>
      <c r="U130" s="9">
        <f>(L$436-Tabell2[[#This Row],[ReisetidOslo-T]])*100/L$439</f>
        <v>82.974488698247285</v>
      </c>
      <c r="V130" s="9">
        <f>100-(M$436-Tabell2[[#This Row],[Beftettotal-T]])*100/M$439</f>
        <v>9.7490398636505375</v>
      </c>
      <c r="W130" s="9">
        <f>100-(N$436-Tabell2[[#This Row],[Befvekst10-T]])*100/N$439</f>
        <v>42.115571158506974</v>
      </c>
      <c r="X130" s="9">
        <f>100-(O$436-Tabell2[[#This Row],[Kvinneandel-T]])*100/O$439</f>
        <v>69.084793642744742</v>
      </c>
      <c r="Y130" s="9">
        <f>(P$436-Tabell2[[#This Row],[Eldreandel-T]])*100/P$439</f>
        <v>35.286670835113981</v>
      </c>
      <c r="Z130" s="9">
        <f>100-(Q$436-Tabell2[[#This Row],[Sysselsettingsvekst10-T]])*100/Q$439</f>
        <v>10.100923646321348</v>
      </c>
      <c r="AA130" s="9">
        <f>100-(R$436-Tabell2[[#This Row],[Yrkesaktivandel-T]])*100/R$439</f>
        <v>0</v>
      </c>
      <c r="AB130" s="9">
        <f>100-(S$436-Tabell2[[#This Row],[Inntekt-T]])*100/S$439</f>
        <v>37.130642524833398</v>
      </c>
      <c r="AC130" s="48">
        <f>Tabell2[[#This Row],[NIBR11-I]]*Vekter!$B$3</f>
        <v>12</v>
      </c>
      <c r="AD130" s="48">
        <f>Tabell2[[#This Row],[ReisetidOslo-I]]*Vekter!$C$3</f>
        <v>8.2974488698247288</v>
      </c>
      <c r="AE130" s="48">
        <f>Tabell2[[#This Row],[Beftettotal-I]]*Vekter!$D$3</f>
        <v>0.97490398636505382</v>
      </c>
      <c r="AF130" s="48">
        <f>Tabell2[[#This Row],[Befvekst10-I]]*Vekter!$E$3</f>
        <v>8.4231142317013958</v>
      </c>
      <c r="AG130" s="48">
        <f>Tabell2[[#This Row],[Kvinneandel-I]]*Vekter!$F$3</f>
        <v>3.4542396821372372</v>
      </c>
      <c r="AH130" s="48">
        <f>Tabell2[[#This Row],[Eldreandel-I]]*Vekter!$G$3</f>
        <v>1.7643335417556991</v>
      </c>
      <c r="AI130" s="48">
        <f>Tabell2[[#This Row],[Sysselsettingsvekst10-I]]*Vekter!$H$3</f>
        <v>1.0100923646321349</v>
      </c>
      <c r="AJ130" s="48">
        <f>Tabell2[[#This Row],[Yrkesaktivandel-I]]*Vekter!$J$3</f>
        <v>0</v>
      </c>
      <c r="AK130" s="48">
        <f>Tabell2[[#This Row],[Inntekt-I]]*Vekter!$L$3</f>
        <v>3.7130642524833402</v>
      </c>
      <c r="AL130" s="37">
        <f>SUM(Tabell2[[#This Row],[NIBR11-v]:[Inntekt-v]])</f>
        <v>39.637196928899584</v>
      </c>
    </row>
    <row r="131" spans="1:38">
      <c r="A131" s="2" t="s">
        <v>128</v>
      </c>
      <c r="B131">
        <f>'Rådata-K'!M130</f>
        <v>4</v>
      </c>
      <c r="C131" s="9">
        <f>'Rådata-K'!L130</f>
        <v>88.736666064900007</v>
      </c>
      <c r="D131" s="51">
        <f>'Rådata-K'!N130</f>
        <v>11.235219890638875</v>
      </c>
      <c r="E131" s="51">
        <f>'Rådata-K'!O130</f>
        <v>2.3414218816517618E-2</v>
      </c>
      <c r="F131" s="51">
        <f>'Rådata-K'!P130</f>
        <v>0.12312811980033278</v>
      </c>
      <c r="G131" s="51">
        <f>'Rådata-K'!Q130</f>
        <v>0.15599001663893511</v>
      </c>
      <c r="H131" s="51">
        <f>'Rådata-K'!R130</f>
        <v>4.31034482758621E-2</v>
      </c>
      <c r="I131" s="51">
        <f>'Rådata-K'!S130</f>
        <v>0.88872512896094324</v>
      </c>
      <c r="J131" s="52">
        <f>'Rådata-K'!K130</f>
        <v>353400</v>
      </c>
      <c r="K131" s="26">
        <f>Tabell2[[#This Row],[NIBR11]]</f>
        <v>4</v>
      </c>
      <c r="L131" s="52">
        <f>IF(Tabell2[[#This Row],[ReisetidOslo]]&lt;=C$434,C$434,IF(Tabell2[[#This Row],[ReisetidOslo]]&gt;=C$435,C$435,Tabell2[[#This Row],[ReisetidOslo]]))</f>
        <v>88.736666064900007</v>
      </c>
      <c r="M131" s="51">
        <f>IF(Tabell2[[#This Row],[Beftettotal]]&lt;=D$434,D$434,IF(Tabell2[[#This Row],[Beftettotal]]&gt;=D$435,D$435,Tabell2[[#This Row],[Beftettotal]]))</f>
        <v>11.235219890638875</v>
      </c>
      <c r="N131" s="51">
        <f>IF(Tabell2[[#This Row],[Befvekst10]]&lt;=E$434,E$434,IF(Tabell2[[#This Row],[Befvekst10]]&gt;=E$435,E$435,Tabell2[[#This Row],[Befvekst10]]))</f>
        <v>2.3414218816517618E-2</v>
      </c>
      <c r="O131" s="51">
        <f>IF(Tabell2[[#This Row],[Kvinneandel]]&lt;=F$434,F$434,IF(Tabell2[[#This Row],[Kvinneandel]]&gt;=F$435,F$435,Tabell2[[#This Row],[Kvinneandel]]))</f>
        <v>0.12312811980033278</v>
      </c>
      <c r="P131" s="51">
        <f>IF(Tabell2[[#This Row],[Eldreandel]]&lt;=G$434,G$434,IF(Tabell2[[#This Row],[Eldreandel]]&gt;=G$435,G$435,Tabell2[[#This Row],[Eldreandel]]))</f>
        <v>0.15599001663893511</v>
      </c>
      <c r="Q131" s="51">
        <f>IF(Tabell2[[#This Row],[Sysselsettingsvekst10]]&lt;=H$434,H$434,IF(Tabell2[[#This Row],[Sysselsettingsvekst10]]&gt;=H$435,H$435,Tabell2[[#This Row],[Sysselsettingsvekst10]]))</f>
        <v>4.31034482758621E-2</v>
      </c>
      <c r="R131" s="51">
        <f>IF(Tabell2[[#This Row],[Yrkesaktivandel]]&lt;=I$434,I$434,IF(Tabell2[[#This Row],[Yrkesaktivandel]]&gt;=I$435,I$435,Tabell2[[#This Row],[Yrkesaktivandel]]))</f>
        <v>0.88872512896094324</v>
      </c>
      <c r="S131" s="52">
        <f>IF(Tabell2[[#This Row],[Inntekt]]&lt;=J$434,J$434,IF(Tabell2[[#This Row],[Inntekt]]&gt;=J$435,J$435,Tabell2[[#This Row],[Inntekt]]))</f>
        <v>353400</v>
      </c>
      <c r="T131" s="9">
        <f>IF(Tabell2[[#This Row],[NIBR11-T]]&lt;=K$437,100,IF(Tabell2[[#This Row],[NIBR11-T]]&gt;=K$436,0,100*(K$436-Tabell2[[#This Row],[NIBR11-T]])/K$439))</f>
        <v>70</v>
      </c>
      <c r="U131" s="9">
        <f>(L$436-Tabell2[[#This Row],[ReisetidOslo-T]])*100/L$439</f>
        <v>84.492192497634505</v>
      </c>
      <c r="V131" s="9">
        <f>100-(M$436-Tabell2[[#This Row],[Beftettotal-T]])*100/M$439</f>
        <v>7.7943026866894058</v>
      </c>
      <c r="W131" s="9">
        <f>100-(N$436-Tabell2[[#This Row],[Befvekst10-T]])*100/N$439</f>
        <v>42.165159851215741</v>
      </c>
      <c r="X131" s="9">
        <f>100-(O$436-Tabell2[[#This Row],[Kvinneandel-T]])*100/O$439</f>
        <v>87.049989714507745</v>
      </c>
      <c r="Y131" s="9">
        <f>(P$436-Tabell2[[#This Row],[Eldreandel-T]])*100/P$439</f>
        <v>59.303837837865338</v>
      </c>
      <c r="Z131" s="9">
        <f>100-(Q$436-Tabell2[[#This Row],[Sysselsettingsvekst10-T]])*100/Q$439</f>
        <v>35.883275556701278</v>
      </c>
      <c r="AA131" s="9">
        <f>100-(R$436-Tabell2[[#This Row],[Yrkesaktivandel-T]])*100/R$439</f>
        <v>45.24255018988439</v>
      </c>
      <c r="AB131" s="9">
        <f>100-(S$436-Tabell2[[#This Row],[Inntekt-T]])*100/S$439</f>
        <v>41.405758833144723</v>
      </c>
      <c r="AC131" s="48">
        <f>Tabell2[[#This Row],[NIBR11-I]]*Vekter!$B$3</f>
        <v>14</v>
      </c>
      <c r="AD131" s="48">
        <f>Tabell2[[#This Row],[ReisetidOslo-I]]*Vekter!$C$3</f>
        <v>8.4492192497634502</v>
      </c>
      <c r="AE131" s="48">
        <f>Tabell2[[#This Row],[Beftettotal-I]]*Vekter!$D$3</f>
        <v>0.77943026866894061</v>
      </c>
      <c r="AF131" s="48">
        <f>Tabell2[[#This Row],[Befvekst10-I]]*Vekter!$E$3</f>
        <v>8.4330319702431478</v>
      </c>
      <c r="AG131" s="48">
        <f>Tabell2[[#This Row],[Kvinneandel-I]]*Vekter!$F$3</f>
        <v>4.3524994857253878</v>
      </c>
      <c r="AH131" s="48">
        <f>Tabell2[[#This Row],[Eldreandel-I]]*Vekter!$G$3</f>
        <v>2.9651918918932672</v>
      </c>
      <c r="AI131" s="48">
        <f>Tabell2[[#This Row],[Sysselsettingsvekst10-I]]*Vekter!$H$3</f>
        <v>3.5883275556701282</v>
      </c>
      <c r="AJ131" s="48">
        <f>Tabell2[[#This Row],[Yrkesaktivandel-I]]*Vekter!$J$3</f>
        <v>4.5242550189884394</v>
      </c>
      <c r="AK131" s="48">
        <f>Tabell2[[#This Row],[Inntekt-I]]*Vekter!$L$3</f>
        <v>4.1405758833144723</v>
      </c>
      <c r="AL131" s="37">
        <f>SUM(Tabell2[[#This Row],[NIBR11-v]:[Inntekt-v]])</f>
        <v>51.232531324267242</v>
      </c>
    </row>
    <row r="132" spans="1:38">
      <c r="A132" s="2" t="s">
        <v>129</v>
      </c>
      <c r="B132">
        <f>'Rådata-K'!M131</f>
        <v>4</v>
      </c>
      <c r="C132" s="9">
        <f>'Rådata-K'!L131</f>
        <v>120.568511485</v>
      </c>
      <c r="D132" s="51">
        <f>'Rådata-K'!N131</f>
        <v>46.632277566040216</v>
      </c>
      <c r="E132" s="51">
        <f>'Rådata-K'!O131</f>
        <v>2.1181952976063734E-3</v>
      </c>
      <c r="F132" s="51">
        <f>'Rådata-K'!P131</f>
        <v>0.10808144860142324</v>
      </c>
      <c r="G132" s="51">
        <f>'Rådata-K'!Q131</f>
        <v>0.14979215106038188</v>
      </c>
      <c r="H132" s="51">
        <f>'Rådata-K'!R131</f>
        <v>-3.2512504809542153E-2</v>
      </c>
      <c r="I132" s="51">
        <f>'Rådata-K'!S131</f>
        <v>0.83397917171227898</v>
      </c>
      <c r="J132" s="52">
        <f>'Rådata-K'!K131</f>
        <v>375000</v>
      </c>
      <c r="K132" s="26">
        <f>Tabell2[[#This Row],[NIBR11]]</f>
        <v>4</v>
      </c>
      <c r="L132" s="52">
        <f>IF(Tabell2[[#This Row],[ReisetidOslo]]&lt;=C$434,C$434,IF(Tabell2[[#This Row],[ReisetidOslo]]&gt;=C$435,C$435,Tabell2[[#This Row],[ReisetidOslo]]))</f>
        <v>120.568511485</v>
      </c>
      <c r="M132" s="51">
        <f>IF(Tabell2[[#This Row],[Beftettotal]]&lt;=D$434,D$434,IF(Tabell2[[#This Row],[Beftettotal]]&gt;=D$435,D$435,Tabell2[[#This Row],[Beftettotal]]))</f>
        <v>46.632277566040216</v>
      </c>
      <c r="N132" s="51">
        <f>IF(Tabell2[[#This Row],[Befvekst10]]&lt;=E$434,E$434,IF(Tabell2[[#This Row],[Befvekst10]]&gt;=E$435,E$435,Tabell2[[#This Row],[Befvekst10]]))</f>
        <v>2.1181952976063734E-3</v>
      </c>
      <c r="O132" s="51">
        <f>IF(Tabell2[[#This Row],[Kvinneandel]]&lt;=F$434,F$434,IF(Tabell2[[#This Row],[Kvinneandel]]&gt;=F$435,F$435,Tabell2[[#This Row],[Kvinneandel]]))</f>
        <v>0.10808144860142324</v>
      </c>
      <c r="P132" s="51">
        <f>IF(Tabell2[[#This Row],[Eldreandel]]&lt;=G$434,G$434,IF(Tabell2[[#This Row],[Eldreandel]]&gt;=G$435,G$435,Tabell2[[#This Row],[Eldreandel]]))</f>
        <v>0.14979215106038188</v>
      </c>
      <c r="Q132" s="51">
        <f>IF(Tabell2[[#This Row],[Sysselsettingsvekst10]]&lt;=H$434,H$434,IF(Tabell2[[#This Row],[Sysselsettingsvekst10]]&gt;=H$435,H$435,Tabell2[[#This Row],[Sysselsettingsvekst10]]))</f>
        <v>-3.2512504809542153E-2</v>
      </c>
      <c r="R132" s="51">
        <f>IF(Tabell2[[#This Row],[Yrkesaktivandel]]&lt;=I$434,I$434,IF(Tabell2[[#This Row],[Yrkesaktivandel]]&gt;=I$435,I$435,Tabell2[[#This Row],[Yrkesaktivandel]]))</f>
        <v>0.83397917171227898</v>
      </c>
      <c r="S132" s="52">
        <f>IF(Tabell2[[#This Row],[Inntekt]]&lt;=J$434,J$434,IF(Tabell2[[#This Row],[Inntekt]]&gt;=J$435,J$435,Tabell2[[#This Row],[Inntekt]]))</f>
        <v>375000</v>
      </c>
      <c r="T132" s="9">
        <f>IF(Tabell2[[#This Row],[NIBR11-T]]&lt;=K$437,100,IF(Tabell2[[#This Row],[NIBR11-T]]&gt;=K$436,0,100*(K$436-Tabell2[[#This Row],[NIBR11-T]])/K$439))</f>
        <v>70</v>
      </c>
      <c r="U132" s="9">
        <f>(L$436-Tabell2[[#This Row],[ReisetidOslo-T]])*100/L$439</f>
        <v>70.36042588367566</v>
      </c>
      <c r="V132" s="9">
        <f>100-(M$436-Tabell2[[#This Row],[Beftettotal-T]])*100/M$439</f>
        <v>35.675220661416219</v>
      </c>
      <c r="W132" s="9">
        <f>100-(N$436-Tabell2[[#This Row],[Befvekst10-T]])*100/N$439</f>
        <v>33.547601956235837</v>
      </c>
      <c r="X132" s="9">
        <f>100-(O$436-Tabell2[[#This Row],[Kvinneandel-T]])*100/O$439</f>
        <v>47.195905018610816</v>
      </c>
      <c r="Y132" s="9">
        <f>(P$436-Tabell2[[#This Row],[Eldreandel-T]])*100/P$439</f>
        <v>66.330274124836777</v>
      </c>
      <c r="Z132" s="9">
        <f>100-(Q$436-Tabell2[[#This Row],[Sysselsettingsvekst10-T]])*100/Q$439</f>
        <v>11.612734787500244</v>
      </c>
      <c r="AA132" s="9">
        <f>100-(R$436-Tabell2[[#This Row],[Yrkesaktivandel-T]])*100/R$439</f>
        <v>4.4307672433079972</v>
      </c>
      <c r="AB132" s="9">
        <f>100-(S$436-Tabell2[[#This Row],[Inntekt-T]])*100/S$439</f>
        <v>68.565321262416703</v>
      </c>
      <c r="AC132" s="48">
        <f>Tabell2[[#This Row],[NIBR11-I]]*Vekter!$B$3</f>
        <v>14</v>
      </c>
      <c r="AD132" s="48">
        <f>Tabell2[[#This Row],[ReisetidOslo-I]]*Vekter!$C$3</f>
        <v>7.0360425883675664</v>
      </c>
      <c r="AE132" s="48">
        <f>Tabell2[[#This Row],[Beftettotal-I]]*Vekter!$D$3</f>
        <v>3.5675220661416223</v>
      </c>
      <c r="AF132" s="48">
        <f>Tabell2[[#This Row],[Befvekst10-I]]*Vekter!$E$3</f>
        <v>6.7095203912471675</v>
      </c>
      <c r="AG132" s="48">
        <f>Tabell2[[#This Row],[Kvinneandel-I]]*Vekter!$F$3</f>
        <v>2.3597952509305409</v>
      </c>
      <c r="AH132" s="48">
        <f>Tabell2[[#This Row],[Eldreandel-I]]*Vekter!$G$3</f>
        <v>3.3165137062418388</v>
      </c>
      <c r="AI132" s="48">
        <f>Tabell2[[#This Row],[Sysselsettingsvekst10-I]]*Vekter!$H$3</f>
        <v>1.1612734787500245</v>
      </c>
      <c r="AJ132" s="48">
        <f>Tabell2[[#This Row],[Yrkesaktivandel-I]]*Vekter!$J$3</f>
        <v>0.44307672433079975</v>
      </c>
      <c r="AK132" s="48">
        <f>Tabell2[[#This Row],[Inntekt-I]]*Vekter!$L$3</f>
        <v>6.856532126241671</v>
      </c>
      <c r="AL132" s="37">
        <f>SUM(Tabell2[[#This Row],[NIBR11-v]:[Inntekt-v]])</f>
        <v>45.450276332251235</v>
      </c>
    </row>
    <row r="133" spans="1:38">
      <c r="A133" s="2" t="s">
        <v>130</v>
      </c>
      <c r="B133">
        <f>'Rådata-K'!M132</f>
        <v>4</v>
      </c>
      <c r="C133" s="9">
        <f>'Rådata-K'!L132</f>
        <v>143.880823464</v>
      </c>
      <c r="D133" s="51">
        <f>'Rådata-K'!N132</f>
        <v>34.788732394366193</v>
      </c>
      <c r="E133" s="51">
        <f>'Rådata-K'!O132</f>
        <v>3.4958427815570126E-3</v>
      </c>
      <c r="F133" s="51">
        <f>'Rådata-K'!P132</f>
        <v>0.1039450145937294</v>
      </c>
      <c r="G133" s="51">
        <f>'Rådata-K'!Q132</f>
        <v>0.1733358440824781</v>
      </c>
      <c r="H133" s="51">
        <f>'Rådata-K'!R132</f>
        <v>5.946717411988578E-2</v>
      </c>
      <c r="I133" s="51">
        <f>'Rådata-K'!S132</f>
        <v>0.82480671163020236</v>
      </c>
      <c r="J133" s="52">
        <f>'Rådata-K'!K132</f>
        <v>339500</v>
      </c>
      <c r="K133" s="26">
        <f>Tabell2[[#This Row],[NIBR11]]</f>
        <v>4</v>
      </c>
      <c r="L133" s="52">
        <f>IF(Tabell2[[#This Row],[ReisetidOslo]]&lt;=C$434,C$434,IF(Tabell2[[#This Row],[ReisetidOslo]]&gt;=C$435,C$435,Tabell2[[#This Row],[ReisetidOslo]]))</f>
        <v>143.880823464</v>
      </c>
      <c r="M133" s="51">
        <f>IF(Tabell2[[#This Row],[Beftettotal]]&lt;=D$434,D$434,IF(Tabell2[[#This Row],[Beftettotal]]&gt;=D$435,D$435,Tabell2[[#This Row],[Beftettotal]]))</f>
        <v>34.788732394366193</v>
      </c>
      <c r="N133" s="51">
        <f>IF(Tabell2[[#This Row],[Befvekst10]]&lt;=E$434,E$434,IF(Tabell2[[#This Row],[Befvekst10]]&gt;=E$435,E$435,Tabell2[[#This Row],[Befvekst10]]))</f>
        <v>3.4958427815570126E-3</v>
      </c>
      <c r="O133" s="51">
        <f>IF(Tabell2[[#This Row],[Kvinneandel]]&lt;=F$434,F$434,IF(Tabell2[[#This Row],[Kvinneandel]]&gt;=F$435,F$435,Tabell2[[#This Row],[Kvinneandel]]))</f>
        <v>0.1039450145937294</v>
      </c>
      <c r="P133" s="51">
        <f>IF(Tabell2[[#This Row],[Eldreandel]]&lt;=G$434,G$434,IF(Tabell2[[#This Row],[Eldreandel]]&gt;=G$435,G$435,Tabell2[[#This Row],[Eldreandel]]))</f>
        <v>0.1733358440824781</v>
      </c>
      <c r="Q133" s="51">
        <f>IF(Tabell2[[#This Row],[Sysselsettingsvekst10]]&lt;=H$434,H$434,IF(Tabell2[[#This Row],[Sysselsettingsvekst10]]&gt;=H$435,H$435,Tabell2[[#This Row],[Sysselsettingsvekst10]]))</f>
        <v>5.946717411988578E-2</v>
      </c>
      <c r="R133" s="51">
        <f>IF(Tabell2[[#This Row],[Yrkesaktivandel]]&lt;=I$434,I$434,IF(Tabell2[[#This Row],[Yrkesaktivandel]]&gt;=I$435,I$435,Tabell2[[#This Row],[Yrkesaktivandel]]))</f>
        <v>0.82803562853509294</v>
      </c>
      <c r="S133" s="52">
        <f>IF(Tabell2[[#This Row],[Inntekt]]&lt;=J$434,J$434,IF(Tabell2[[#This Row],[Inntekt]]&gt;=J$435,J$435,Tabell2[[#This Row],[Inntekt]]))</f>
        <v>339500</v>
      </c>
      <c r="T133" s="9">
        <f>IF(Tabell2[[#This Row],[NIBR11-T]]&lt;=K$437,100,IF(Tabell2[[#This Row],[NIBR11-T]]&gt;=K$436,0,100*(K$436-Tabell2[[#This Row],[NIBR11-T]])/K$439))</f>
        <v>70</v>
      </c>
      <c r="U133" s="9">
        <f>(L$436-Tabell2[[#This Row],[ReisetidOslo-T]])*100/L$439</f>
        <v>60.010911183186437</v>
      </c>
      <c r="V133" s="9">
        <f>100-(M$436-Tabell2[[#This Row],[Beftettotal-T]])*100/M$439</f>
        <v>26.346509939482715</v>
      </c>
      <c r="W133" s="9">
        <f>100-(N$436-Tabell2[[#This Row],[Befvekst10-T]])*100/N$439</f>
        <v>34.10507490142092</v>
      </c>
      <c r="X133" s="9">
        <f>100-(O$436-Tabell2[[#This Row],[Kvinneandel-T]])*100/O$439</f>
        <v>36.239741419211768</v>
      </c>
      <c r="Y133" s="9">
        <f>(P$436-Tabell2[[#This Row],[Eldreandel-T]])*100/P$439</f>
        <v>39.639108128560153</v>
      </c>
      <c r="Z133" s="9">
        <f>100-(Q$436-Tabell2[[#This Row],[Sysselsettingsvekst10-T]])*100/Q$439</f>
        <v>41.135559751080706</v>
      </c>
      <c r="AA133" s="9">
        <f>100-(R$436-Tabell2[[#This Row],[Yrkesaktivandel-T]])*100/R$439</f>
        <v>0</v>
      </c>
      <c r="AB133" s="9">
        <f>100-(S$436-Tabell2[[#This Row],[Inntekt-T]])*100/S$439</f>
        <v>23.92807745504841</v>
      </c>
      <c r="AC133" s="48">
        <f>Tabell2[[#This Row],[NIBR11-I]]*Vekter!$B$3</f>
        <v>14</v>
      </c>
      <c r="AD133" s="48">
        <f>Tabell2[[#This Row],[ReisetidOslo-I]]*Vekter!$C$3</f>
        <v>6.0010911183186444</v>
      </c>
      <c r="AE133" s="48">
        <f>Tabell2[[#This Row],[Beftettotal-I]]*Vekter!$D$3</f>
        <v>2.6346509939482718</v>
      </c>
      <c r="AF133" s="48">
        <f>Tabell2[[#This Row],[Befvekst10-I]]*Vekter!$E$3</f>
        <v>6.8210149802841844</v>
      </c>
      <c r="AG133" s="48">
        <f>Tabell2[[#This Row],[Kvinneandel-I]]*Vekter!$F$3</f>
        <v>1.8119870709605885</v>
      </c>
      <c r="AH133" s="48">
        <f>Tabell2[[#This Row],[Eldreandel-I]]*Vekter!$G$3</f>
        <v>1.9819554064280078</v>
      </c>
      <c r="AI133" s="48">
        <f>Tabell2[[#This Row],[Sysselsettingsvekst10-I]]*Vekter!$H$3</f>
        <v>4.1135559751080706</v>
      </c>
      <c r="AJ133" s="48">
        <f>Tabell2[[#This Row],[Yrkesaktivandel-I]]*Vekter!$J$3</f>
        <v>0</v>
      </c>
      <c r="AK133" s="48">
        <f>Tabell2[[#This Row],[Inntekt-I]]*Vekter!$L$3</f>
        <v>2.3928077455048409</v>
      </c>
      <c r="AL133" s="37">
        <f>SUM(Tabell2[[#This Row],[NIBR11-v]:[Inntekt-v]])</f>
        <v>39.757063290552608</v>
      </c>
    </row>
    <row r="134" spans="1:38">
      <c r="A134" s="2" t="s">
        <v>131</v>
      </c>
      <c r="B134">
        <f>'Rådata-K'!M133</f>
        <v>4</v>
      </c>
      <c r="C134" s="9">
        <f>'Rådata-K'!L133</f>
        <v>146.92048534400001</v>
      </c>
      <c r="D134" s="51">
        <f>'Rådata-K'!N133</f>
        <v>3.8907393816217843</v>
      </c>
      <c r="E134" s="51">
        <f>'Rådata-K'!O133</f>
        <v>-9.5808383233533245E-3</v>
      </c>
      <c r="F134" s="51">
        <f>'Rådata-K'!P133</f>
        <v>0.10012091898428054</v>
      </c>
      <c r="G134" s="51">
        <f>'Rådata-K'!Q133</f>
        <v>0.17944377267230954</v>
      </c>
      <c r="H134" s="51">
        <f>'Rådata-K'!R133</f>
        <v>5.1150895140664954E-2</v>
      </c>
      <c r="I134" s="51">
        <f>'Rådata-K'!S133</f>
        <v>0.86056644880174293</v>
      </c>
      <c r="J134" s="52">
        <f>'Rådata-K'!K133</f>
        <v>328300</v>
      </c>
      <c r="K134" s="26">
        <f>Tabell2[[#This Row],[NIBR11]]</f>
        <v>4</v>
      </c>
      <c r="L134" s="52">
        <f>IF(Tabell2[[#This Row],[ReisetidOslo]]&lt;=C$434,C$434,IF(Tabell2[[#This Row],[ReisetidOslo]]&gt;=C$435,C$435,Tabell2[[#This Row],[ReisetidOslo]]))</f>
        <v>146.92048534400001</v>
      </c>
      <c r="M134" s="51">
        <f>IF(Tabell2[[#This Row],[Beftettotal]]&lt;=D$434,D$434,IF(Tabell2[[#This Row],[Beftettotal]]&gt;=D$435,D$435,Tabell2[[#This Row],[Beftettotal]]))</f>
        <v>3.8907393816217843</v>
      </c>
      <c r="N134" s="51">
        <f>IF(Tabell2[[#This Row],[Befvekst10]]&lt;=E$434,E$434,IF(Tabell2[[#This Row],[Befvekst10]]&gt;=E$435,E$435,Tabell2[[#This Row],[Befvekst10]]))</f>
        <v>-9.5808383233533245E-3</v>
      </c>
      <c r="O134" s="51">
        <f>IF(Tabell2[[#This Row],[Kvinneandel]]&lt;=F$434,F$434,IF(Tabell2[[#This Row],[Kvinneandel]]&gt;=F$435,F$435,Tabell2[[#This Row],[Kvinneandel]]))</f>
        <v>0.10012091898428054</v>
      </c>
      <c r="P134" s="51">
        <f>IF(Tabell2[[#This Row],[Eldreandel]]&lt;=G$434,G$434,IF(Tabell2[[#This Row],[Eldreandel]]&gt;=G$435,G$435,Tabell2[[#This Row],[Eldreandel]]))</f>
        <v>0.17944377267230954</v>
      </c>
      <c r="Q134" s="51">
        <f>IF(Tabell2[[#This Row],[Sysselsettingsvekst10]]&lt;=H$434,H$434,IF(Tabell2[[#This Row],[Sysselsettingsvekst10]]&gt;=H$435,H$435,Tabell2[[#This Row],[Sysselsettingsvekst10]]))</f>
        <v>5.1150895140664954E-2</v>
      </c>
      <c r="R134" s="51">
        <f>IF(Tabell2[[#This Row],[Yrkesaktivandel]]&lt;=I$434,I$434,IF(Tabell2[[#This Row],[Yrkesaktivandel]]&gt;=I$435,I$435,Tabell2[[#This Row],[Yrkesaktivandel]]))</f>
        <v>0.86056644880174293</v>
      </c>
      <c r="S134" s="52">
        <f>IF(Tabell2[[#This Row],[Inntekt]]&lt;=J$434,J$434,IF(Tabell2[[#This Row],[Inntekt]]&gt;=J$435,J$435,Tabell2[[#This Row],[Inntekt]]))</f>
        <v>328300</v>
      </c>
      <c r="T134" s="9">
        <f>IF(Tabell2[[#This Row],[NIBR11-T]]&lt;=K$437,100,IF(Tabell2[[#This Row],[NIBR11-T]]&gt;=K$436,0,100*(K$436-Tabell2[[#This Row],[NIBR11-T]])/K$439))</f>
        <v>70</v>
      </c>
      <c r="U134" s="9">
        <f>(L$436-Tabell2[[#This Row],[ReisetidOslo-T]])*100/L$439</f>
        <v>58.661451492533907</v>
      </c>
      <c r="V134" s="9">
        <f>100-(M$436-Tabell2[[#This Row],[Beftettotal-T]])*100/M$439</f>
        <v>2.0093343281134537</v>
      </c>
      <c r="W134" s="9">
        <f>100-(N$436-Tabell2[[#This Row],[Befvekst10-T]])*100/N$439</f>
        <v>28.813520992509964</v>
      </c>
      <c r="X134" s="9">
        <f>100-(O$436-Tabell2[[#This Row],[Kvinneandel-T]])*100/O$439</f>
        <v>26.110867843824025</v>
      </c>
      <c r="Y134" s="9">
        <f>(P$436-Tabell2[[#This Row],[Eldreandel-T]])*100/P$439</f>
        <v>32.714632187950912</v>
      </c>
      <c r="Z134" s="9">
        <f>100-(Q$436-Tabell2[[#This Row],[Sysselsettingsvekst10-T]])*100/Q$439</f>
        <v>38.466273975032095</v>
      </c>
      <c r="AA134" s="9">
        <f>100-(R$436-Tabell2[[#This Row],[Yrkesaktivandel-T]])*100/R$439</f>
        <v>24.250937284122486</v>
      </c>
      <c r="AB134" s="9">
        <f>100-(S$436-Tabell2[[#This Row],[Inntekt-T]])*100/S$439</f>
        <v>9.8453413806110888</v>
      </c>
      <c r="AC134" s="48">
        <f>Tabell2[[#This Row],[NIBR11-I]]*Vekter!$B$3</f>
        <v>14</v>
      </c>
      <c r="AD134" s="48">
        <f>Tabell2[[#This Row],[ReisetidOslo-I]]*Vekter!$C$3</f>
        <v>5.8661451492533914</v>
      </c>
      <c r="AE134" s="48">
        <f>Tabell2[[#This Row],[Beftettotal-I]]*Vekter!$D$3</f>
        <v>0.20093343281134537</v>
      </c>
      <c r="AF134" s="48">
        <f>Tabell2[[#This Row],[Befvekst10-I]]*Vekter!$E$3</f>
        <v>5.7627041985019929</v>
      </c>
      <c r="AG134" s="48">
        <f>Tabell2[[#This Row],[Kvinneandel-I]]*Vekter!$F$3</f>
        <v>1.3055433921912014</v>
      </c>
      <c r="AH134" s="48">
        <f>Tabell2[[#This Row],[Eldreandel-I]]*Vekter!$G$3</f>
        <v>1.6357316093975456</v>
      </c>
      <c r="AI134" s="48">
        <f>Tabell2[[#This Row],[Sysselsettingsvekst10-I]]*Vekter!$H$3</f>
        <v>3.8466273975032097</v>
      </c>
      <c r="AJ134" s="48">
        <f>Tabell2[[#This Row],[Yrkesaktivandel-I]]*Vekter!$J$3</f>
        <v>2.4250937284122487</v>
      </c>
      <c r="AK134" s="48">
        <f>Tabell2[[#This Row],[Inntekt-I]]*Vekter!$L$3</f>
        <v>0.9845341380611089</v>
      </c>
      <c r="AL134" s="37">
        <f>SUM(Tabell2[[#This Row],[NIBR11-v]:[Inntekt-v]])</f>
        <v>36.027313046132043</v>
      </c>
    </row>
    <row r="135" spans="1:38">
      <c r="A135" s="2" t="s">
        <v>132</v>
      </c>
      <c r="B135">
        <f>'Rådata-K'!M134</f>
        <v>4</v>
      </c>
      <c r="C135" s="9">
        <f>'Rådata-K'!L134</f>
        <v>128.651639327</v>
      </c>
      <c r="D135" s="51">
        <f>'Rådata-K'!N134</f>
        <v>15.459982778282017</v>
      </c>
      <c r="E135" s="51">
        <f>'Rådata-K'!O134</f>
        <v>5.600968816227736E-3</v>
      </c>
      <c r="F135" s="51">
        <f>'Rådata-K'!P134</f>
        <v>0.10356766521150083</v>
      </c>
      <c r="G135" s="51">
        <f>'Rådata-K'!Q134</f>
        <v>0.17778112298660245</v>
      </c>
      <c r="H135" s="51">
        <f>'Rådata-K'!R134</f>
        <v>2.452667814113596E-2</v>
      </c>
      <c r="I135" s="51">
        <f>'Rådata-K'!S134</f>
        <v>0.83164083377872799</v>
      </c>
      <c r="J135" s="52">
        <f>'Rådata-K'!K134</f>
        <v>335300</v>
      </c>
      <c r="K135" s="26">
        <f>Tabell2[[#This Row],[NIBR11]]</f>
        <v>4</v>
      </c>
      <c r="L135" s="52">
        <f>IF(Tabell2[[#This Row],[ReisetidOslo]]&lt;=C$434,C$434,IF(Tabell2[[#This Row],[ReisetidOslo]]&gt;=C$435,C$435,Tabell2[[#This Row],[ReisetidOslo]]))</f>
        <v>128.651639327</v>
      </c>
      <c r="M135" s="51">
        <f>IF(Tabell2[[#This Row],[Beftettotal]]&lt;=D$434,D$434,IF(Tabell2[[#This Row],[Beftettotal]]&gt;=D$435,D$435,Tabell2[[#This Row],[Beftettotal]]))</f>
        <v>15.459982778282017</v>
      </c>
      <c r="N135" s="51">
        <f>IF(Tabell2[[#This Row],[Befvekst10]]&lt;=E$434,E$434,IF(Tabell2[[#This Row],[Befvekst10]]&gt;=E$435,E$435,Tabell2[[#This Row],[Befvekst10]]))</f>
        <v>5.600968816227736E-3</v>
      </c>
      <c r="O135" s="51">
        <f>IF(Tabell2[[#This Row],[Kvinneandel]]&lt;=F$434,F$434,IF(Tabell2[[#This Row],[Kvinneandel]]&gt;=F$435,F$435,Tabell2[[#This Row],[Kvinneandel]]))</f>
        <v>0.10356766521150083</v>
      </c>
      <c r="P135" s="51">
        <f>IF(Tabell2[[#This Row],[Eldreandel]]&lt;=G$434,G$434,IF(Tabell2[[#This Row],[Eldreandel]]&gt;=G$435,G$435,Tabell2[[#This Row],[Eldreandel]]))</f>
        <v>0.17778112298660245</v>
      </c>
      <c r="Q135" s="51">
        <f>IF(Tabell2[[#This Row],[Sysselsettingsvekst10]]&lt;=H$434,H$434,IF(Tabell2[[#This Row],[Sysselsettingsvekst10]]&gt;=H$435,H$435,Tabell2[[#This Row],[Sysselsettingsvekst10]]))</f>
        <v>2.452667814113596E-2</v>
      </c>
      <c r="R135" s="51">
        <f>IF(Tabell2[[#This Row],[Yrkesaktivandel]]&lt;=I$434,I$434,IF(Tabell2[[#This Row],[Yrkesaktivandel]]&gt;=I$435,I$435,Tabell2[[#This Row],[Yrkesaktivandel]]))</f>
        <v>0.83164083377872799</v>
      </c>
      <c r="S135" s="52">
        <f>IF(Tabell2[[#This Row],[Inntekt]]&lt;=J$434,J$434,IF(Tabell2[[#This Row],[Inntekt]]&gt;=J$435,J$435,Tabell2[[#This Row],[Inntekt]]))</f>
        <v>335300</v>
      </c>
      <c r="T135" s="9">
        <f>IF(Tabell2[[#This Row],[NIBR11-T]]&lt;=K$437,100,IF(Tabell2[[#This Row],[NIBR11-T]]&gt;=K$436,0,100*(K$436-Tabell2[[#This Row],[NIBR11-T]])/K$439))</f>
        <v>70</v>
      </c>
      <c r="U135" s="9">
        <f>(L$436-Tabell2[[#This Row],[ReisetidOslo-T]])*100/L$439</f>
        <v>66.7719164942135</v>
      </c>
      <c r="V135" s="9">
        <f>100-(M$436-Tabell2[[#This Row],[Beftettotal-T]])*100/M$439</f>
        <v>11.121987959663528</v>
      </c>
      <c r="W135" s="9">
        <f>100-(N$436-Tabell2[[#This Row],[Befvekst10-T]])*100/N$439</f>
        <v>34.956926208961733</v>
      </c>
      <c r="X135" s="9">
        <f>100-(O$436-Tabell2[[#This Row],[Kvinneandel-T]])*100/O$439</f>
        <v>35.240256945837245</v>
      </c>
      <c r="Y135" s="9">
        <f>(P$436-Tabell2[[#This Row],[Eldreandel-T]])*100/P$439</f>
        <v>34.599555624270586</v>
      </c>
      <c r="Z135" s="9">
        <f>100-(Q$436-Tabell2[[#This Row],[Sysselsettingsvekst10-T]])*100/Q$439</f>
        <v>29.920667951852138</v>
      </c>
      <c r="AA135" s="9">
        <f>100-(R$436-Tabell2[[#This Row],[Yrkesaktivandel-T]])*100/R$439</f>
        <v>2.6875930438623072</v>
      </c>
      <c r="AB135" s="9">
        <f>100-(S$436-Tabell2[[#This Row],[Inntekt-T]])*100/S$439</f>
        <v>18.647051427134414</v>
      </c>
      <c r="AC135" s="48">
        <f>Tabell2[[#This Row],[NIBR11-I]]*Vekter!$B$3</f>
        <v>14</v>
      </c>
      <c r="AD135" s="48">
        <f>Tabell2[[#This Row],[ReisetidOslo-I]]*Vekter!$C$3</f>
        <v>6.6771916494213501</v>
      </c>
      <c r="AE135" s="48">
        <f>Tabell2[[#This Row],[Beftettotal-I]]*Vekter!$D$3</f>
        <v>1.1121987959663528</v>
      </c>
      <c r="AF135" s="48">
        <f>Tabell2[[#This Row],[Befvekst10-I]]*Vekter!$E$3</f>
        <v>6.9913852417923472</v>
      </c>
      <c r="AG135" s="48">
        <f>Tabell2[[#This Row],[Kvinneandel-I]]*Vekter!$F$3</f>
        <v>1.7620128472918624</v>
      </c>
      <c r="AH135" s="48">
        <f>Tabell2[[#This Row],[Eldreandel-I]]*Vekter!$G$3</f>
        <v>1.7299777812135293</v>
      </c>
      <c r="AI135" s="48">
        <f>Tabell2[[#This Row],[Sysselsettingsvekst10-I]]*Vekter!$H$3</f>
        <v>2.992066795185214</v>
      </c>
      <c r="AJ135" s="48">
        <f>Tabell2[[#This Row],[Yrkesaktivandel-I]]*Vekter!$J$3</f>
        <v>0.26875930438623075</v>
      </c>
      <c r="AK135" s="48">
        <f>Tabell2[[#This Row],[Inntekt-I]]*Vekter!$L$3</f>
        <v>1.8647051427134416</v>
      </c>
      <c r="AL135" s="37">
        <f>SUM(Tabell2[[#This Row],[NIBR11-v]:[Inntekt-v]])</f>
        <v>37.398297557970331</v>
      </c>
    </row>
    <row r="136" spans="1:38">
      <c r="A136" s="2" t="s">
        <v>133</v>
      </c>
      <c r="B136">
        <f>'Rådata-K'!M135</f>
        <v>5</v>
      </c>
      <c r="C136" s="9">
        <f>'Rådata-K'!L135</f>
        <v>117.88972927</v>
      </c>
      <c r="D136" s="51">
        <f>'Rådata-K'!N135</f>
        <v>22.164811367349266</v>
      </c>
      <c r="E136" s="51">
        <f>'Rådata-K'!O135</f>
        <v>0.12777885173013726</v>
      </c>
      <c r="F136" s="51">
        <f>'Rådata-K'!P135</f>
        <v>0.13918409324648612</v>
      </c>
      <c r="G136" s="51">
        <f>'Rådata-K'!Q135</f>
        <v>0.15238258484744602</v>
      </c>
      <c r="H136" s="51">
        <f>'Rådata-K'!R135</f>
        <v>0.11811972679791083</v>
      </c>
      <c r="I136" s="51">
        <f>'Rådata-K'!S135</f>
        <v>0.81164483260553133</v>
      </c>
      <c r="J136" s="52">
        <f>'Rådata-K'!K135</f>
        <v>334300</v>
      </c>
      <c r="K136" s="26">
        <f>Tabell2[[#This Row],[NIBR11]]</f>
        <v>5</v>
      </c>
      <c r="L136" s="52">
        <f>IF(Tabell2[[#This Row],[ReisetidOslo]]&lt;=C$434,C$434,IF(Tabell2[[#This Row],[ReisetidOslo]]&gt;=C$435,C$435,Tabell2[[#This Row],[ReisetidOslo]]))</f>
        <v>117.88972927</v>
      </c>
      <c r="M136" s="51">
        <f>IF(Tabell2[[#This Row],[Beftettotal]]&lt;=D$434,D$434,IF(Tabell2[[#This Row],[Beftettotal]]&gt;=D$435,D$435,Tabell2[[#This Row],[Beftettotal]]))</f>
        <v>22.164811367349266</v>
      </c>
      <c r="N136" s="51">
        <f>IF(Tabell2[[#This Row],[Befvekst10]]&lt;=E$434,E$434,IF(Tabell2[[#This Row],[Befvekst10]]&gt;=E$435,E$435,Tabell2[[#This Row],[Befvekst10]]))</f>
        <v>0.12777885173013726</v>
      </c>
      <c r="O136" s="51">
        <f>IF(Tabell2[[#This Row],[Kvinneandel]]&lt;=F$434,F$434,IF(Tabell2[[#This Row],[Kvinneandel]]&gt;=F$435,F$435,Tabell2[[#This Row],[Kvinneandel]]))</f>
        <v>0.12801731869362362</v>
      </c>
      <c r="P136" s="51">
        <f>IF(Tabell2[[#This Row],[Eldreandel]]&lt;=G$434,G$434,IF(Tabell2[[#This Row],[Eldreandel]]&gt;=G$435,G$435,Tabell2[[#This Row],[Eldreandel]]))</f>
        <v>0.15238258484744602</v>
      </c>
      <c r="Q136" s="51">
        <f>IF(Tabell2[[#This Row],[Sysselsettingsvekst10]]&lt;=H$434,H$434,IF(Tabell2[[#This Row],[Sysselsettingsvekst10]]&gt;=H$435,H$435,Tabell2[[#This Row],[Sysselsettingsvekst10]]))</f>
        <v>0.11811972679791083</v>
      </c>
      <c r="R136" s="51">
        <f>IF(Tabell2[[#This Row],[Yrkesaktivandel]]&lt;=I$434,I$434,IF(Tabell2[[#This Row],[Yrkesaktivandel]]&gt;=I$435,I$435,Tabell2[[#This Row],[Yrkesaktivandel]]))</f>
        <v>0.82803562853509294</v>
      </c>
      <c r="S136" s="52">
        <f>IF(Tabell2[[#This Row],[Inntekt]]&lt;=J$434,J$434,IF(Tabell2[[#This Row],[Inntekt]]&gt;=J$435,J$435,Tabell2[[#This Row],[Inntekt]]))</f>
        <v>334300</v>
      </c>
      <c r="T136" s="9">
        <f>IF(Tabell2[[#This Row],[NIBR11-T]]&lt;=K$437,100,IF(Tabell2[[#This Row],[NIBR11-T]]&gt;=K$436,0,100*(K$436-Tabell2[[#This Row],[NIBR11-T]])/K$439))</f>
        <v>60</v>
      </c>
      <c r="U136" s="9">
        <f>(L$436-Tabell2[[#This Row],[ReisetidOslo-T]])*100/L$439</f>
        <v>71.549672833464498</v>
      </c>
      <c r="V136" s="9">
        <f>100-(M$436-Tabell2[[#This Row],[Beftettotal-T]])*100/M$439</f>
        <v>16.403126794440084</v>
      </c>
      <c r="W136" s="9">
        <f>100-(N$436-Tabell2[[#This Row],[Befvekst10-T]])*100/N$439</f>
        <v>84.396906333031296</v>
      </c>
      <c r="X136" s="9">
        <f>100-(O$436-Tabell2[[#This Row],[Kvinneandel-T]])*100/O$439</f>
        <v>100</v>
      </c>
      <c r="Y136" s="9">
        <f>(P$436-Tabell2[[#This Row],[Eldreandel-T]])*100/P$439</f>
        <v>63.393534415055406</v>
      </c>
      <c r="Z136" s="9">
        <f>100-(Q$436-Tabell2[[#This Row],[Sysselsettingsvekst10-T]])*100/Q$439</f>
        <v>59.961338080977789</v>
      </c>
      <c r="AA136" s="9">
        <f>100-(R$436-Tabell2[[#This Row],[Yrkesaktivandel-T]])*100/R$439</f>
        <v>0</v>
      </c>
      <c r="AB136" s="9">
        <f>100-(S$436-Tabell2[[#This Row],[Inntekt-T]])*100/S$439</f>
        <v>17.389664277631084</v>
      </c>
      <c r="AC136" s="48">
        <f>Tabell2[[#This Row],[NIBR11-I]]*Vekter!$B$3</f>
        <v>12</v>
      </c>
      <c r="AD136" s="48">
        <f>Tabell2[[#This Row],[ReisetidOslo-I]]*Vekter!$C$3</f>
        <v>7.1549672833464504</v>
      </c>
      <c r="AE136" s="48">
        <f>Tabell2[[#This Row],[Beftettotal-I]]*Vekter!$D$3</f>
        <v>1.6403126794440084</v>
      </c>
      <c r="AF136" s="48">
        <f>Tabell2[[#This Row],[Befvekst10-I]]*Vekter!$E$3</f>
        <v>16.879381266606259</v>
      </c>
      <c r="AG136" s="48">
        <f>Tabell2[[#This Row],[Kvinneandel-I]]*Vekter!$F$3</f>
        <v>5</v>
      </c>
      <c r="AH136" s="48">
        <f>Tabell2[[#This Row],[Eldreandel-I]]*Vekter!$G$3</f>
        <v>3.1696767207527703</v>
      </c>
      <c r="AI136" s="48">
        <f>Tabell2[[#This Row],[Sysselsettingsvekst10-I]]*Vekter!$H$3</f>
        <v>5.9961338080977793</v>
      </c>
      <c r="AJ136" s="48">
        <f>Tabell2[[#This Row],[Yrkesaktivandel-I]]*Vekter!$J$3</f>
        <v>0</v>
      </c>
      <c r="AK136" s="48">
        <f>Tabell2[[#This Row],[Inntekt-I]]*Vekter!$L$3</f>
        <v>1.7389664277631085</v>
      </c>
      <c r="AL136" s="37">
        <f>SUM(Tabell2[[#This Row],[NIBR11-v]:[Inntekt-v]])</f>
        <v>53.579438186010378</v>
      </c>
    </row>
    <row r="137" spans="1:38">
      <c r="A137" s="2" t="s">
        <v>134</v>
      </c>
      <c r="B137">
        <f>'Rådata-K'!M136</f>
        <v>5</v>
      </c>
      <c r="C137" s="9">
        <f>'Rådata-K'!L136</f>
        <v>114.656533375</v>
      </c>
      <c r="D137" s="51">
        <f>'Rådata-K'!N136</f>
        <v>13.492855805827665</v>
      </c>
      <c r="E137" s="51">
        <f>'Rådata-K'!O136</f>
        <v>-5.9756377844173425E-3</v>
      </c>
      <c r="F137" s="51">
        <f>'Rådata-K'!P136</f>
        <v>0.10820809248554913</v>
      </c>
      <c r="G137" s="51">
        <f>'Rådata-K'!Q136</f>
        <v>0.17040462427745665</v>
      </c>
      <c r="H137" s="51">
        <f>'Rådata-K'!R136</f>
        <v>5.9405940594059459E-2</v>
      </c>
      <c r="I137" s="51">
        <f>'Rådata-K'!S136</f>
        <v>0.8577186618299073</v>
      </c>
      <c r="J137" s="52">
        <f>'Rådata-K'!K136</f>
        <v>343500</v>
      </c>
      <c r="K137" s="26">
        <f>Tabell2[[#This Row],[NIBR11]]</f>
        <v>5</v>
      </c>
      <c r="L137" s="52">
        <f>IF(Tabell2[[#This Row],[ReisetidOslo]]&lt;=C$434,C$434,IF(Tabell2[[#This Row],[ReisetidOslo]]&gt;=C$435,C$435,Tabell2[[#This Row],[ReisetidOslo]]))</f>
        <v>114.656533375</v>
      </c>
      <c r="M137" s="51">
        <f>IF(Tabell2[[#This Row],[Beftettotal]]&lt;=D$434,D$434,IF(Tabell2[[#This Row],[Beftettotal]]&gt;=D$435,D$435,Tabell2[[#This Row],[Beftettotal]]))</f>
        <v>13.492855805827665</v>
      </c>
      <c r="N137" s="51">
        <f>IF(Tabell2[[#This Row],[Befvekst10]]&lt;=E$434,E$434,IF(Tabell2[[#This Row],[Befvekst10]]&gt;=E$435,E$435,Tabell2[[#This Row],[Befvekst10]]))</f>
        <v>-5.9756377844173425E-3</v>
      </c>
      <c r="O137" s="51">
        <f>IF(Tabell2[[#This Row],[Kvinneandel]]&lt;=F$434,F$434,IF(Tabell2[[#This Row],[Kvinneandel]]&gt;=F$435,F$435,Tabell2[[#This Row],[Kvinneandel]]))</f>
        <v>0.10820809248554913</v>
      </c>
      <c r="P137" s="51">
        <f>IF(Tabell2[[#This Row],[Eldreandel]]&lt;=G$434,G$434,IF(Tabell2[[#This Row],[Eldreandel]]&gt;=G$435,G$435,Tabell2[[#This Row],[Eldreandel]]))</f>
        <v>0.17040462427745665</v>
      </c>
      <c r="Q137" s="51">
        <f>IF(Tabell2[[#This Row],[Sysselsettingsvekst10]]&lt;=H$434,H$434,IF(Tabell2[[#This Row],[Sysselsettingsvekst10]]&gt;=H$435,H$435,Tabell2[[#This Row],[Sysselsettingsvekst10]]))</f>
        <v>5.9405940594059459E-2</v>
      </c>
      <c r="R137" s="51">
        <f>IF(Tabell2[[#This Row],[Yrkesaktivandel]]&lt;=I$434,I$434,IF(Tabell2[[#This Row],[Yrkesaktivandel]]&gt;=I$435,I$435,Tabell2[[#This Row],[Yrkesaktivandel]]))</f>
        <v>0.8577186618299073</v>
      </c>
      <c r="S137" s="52">
        <f>IF(Tabell2[[#This Row],[Inntekt]]&lt;=J$434,J$434,IF(Tabell2[[#This Row],[Inntekt]]&gt;=J$435,J$435,Tabell2[[#This Row],[Inntekt]]))</f>
        <v>343500</v>
      </c>
      <c r="T137" s="9">
        <f>IF(Tabell2[[#This Row],[NIBR11-T]]&lt;=K$437,100,IF(Tabell2[[#This Row],[NIBR11-T]]&gt;=K$436,0,100*(K$436-Tabell2[[#This Row],[NIBR11-T]])/K$439))</f>
        <v>60</v>
      </c>
      <c r="U137" s="9">
        <f>(L$436-Tabell2[[#This Row],[ReisetidOslo-T]])*100/L$439</f>
        <v>72.985052064619566</v>
      </c>
      <c r="V137" s="9">
        <f>100-(M$436-Tabell2[[#This Row],[Beftettotal-T]])*100/M$439</f>
        <v>9.5725567536063494</v>
      </c>
      <c r="W137" s="9">
        <f>100-(N$436-Tabell2[[#This Row],[Befvekst10-T]])*100/N$439</f>
        <v>30.2723860402361</v>
      </c>
      <c r="X137" s="9">
        <f>100-(O$436-Tabell2[[#This Row],[Kvinneandel-T]])*100/O$439</f>
        <v>47.531346394144862</v>
      </c>
      <c r="Y137" s="9">
        <f>(P$436-Tabell2[[#This Row],[Eldreandel-T]])*100/P$439</f>
        <v>42.962192332638651</v>
      </c>
      <c r="Z137" s="9">
        <f>100-(Q$436-Tabell2[[#This Row],[Sysselsettingsvekst10-T]])*100/Q$439</f>
        <v>41.115905554785243</v>
      </c>
      <c r="AA137" s="9">
        <f>100-(R$436-Tabell2[[#This Row],[Yrkesaktivandel-T]])*100/R$439</f>
        <v>22.127981186291535</v>
      </c>
      <c r="AB137" s="9">
        <f>100-(S$436-Tabell2[[#This Row],[Inntekt-T]])*100/S$439</f>
        <v>28.957626053061745</v>
      </c>
      <c r="AC137" s="48">
        <f>Tabell2[[#This Row],[NIBR11-I]]*Vekter!$B$3</f>
        <v>12</v>
      </c>
      <c r="AD137" s="48">
        <f>Tabell2[[#This Row],[ReisetidOslo-I]]*Vekter!$C$3</f>
        <v>7.2985052064619573</v>
      </c>
      <c r="AE137" s="48">
        <f>Tabell2[[#This Row],[Beftettotal-I]]*Vekter!$D$3</f>
        <v>0.95725567536063494</v>
      </c>
      <c r="AF137" s="48">
        <f>Tabell2[[#This Row],[Befvekst10-I]]*Vekter!$E$3</f>
        <v>6.0544772080472207</v>
      </c>
      <c r="AG137" s="48">
        <f>Tabell2[[#This Row],[Kvinneandel-I]]*Vekter!$F$3</f>
        <v>2.376567319707243</v>
      </c>
      <c r="AH137" s="48">
        <f>Tabell2[[#This Row],[Eldreandel-I]]*Vekter!$G$3</f>
        <v>2.1481096166319325</v>
      </c>
      <c r="AI137" s="48">
        <f>Tabell2[[#This Row],[Sysselsettingsvekst10-I]]*Vekter!$H$3</f>
        <v>4.1115905554785241</v>
      </c>
      <c r="AJ137" s="48">
        <f>Tabell2[[#This Row],[Yrkesaktivandel-I]]*Vekter!$J$3</f>
        <v>2.2127981186291534</v>
      </c>
      <c r="AK137" s="48">
        <f>Tabell2[[#This Row],[Inntekt-I]]*Vekter!$L$3</f>
        <v>2.8957626053061745</v>
      </c>
      <c r="AL137" s="37">
        <f>SUM(Tabell2[[#This Row],[NIBR11-v]:[Inntekt-v]])</f>
        <v>40.055066305622837</v>
      </c>
    </row>
    <row r="138" spans="1:38">
      <c r="A138" s="2" t="s">
        <v>135</v>
      </c>
      <c r="B138">
        <f>'Rådata-K'!M137</f>
        <v>9</v>
      </c>
      <c r="C138" s="9">
        <f>'Rådata-K'!L137</f>
        <v>140.31703096999999</v>
      </c>
      <c r="D138" s="51">
        <f>'Rådata-K'!N137</f>
        <v>2.9130439034886106</v>
      </c>
      <c r="E138" s="51">
        <f>'Rådata-K'!O137</f>
        <v>-7.211838006230531E-2</v>
      </c>
      <c r="F138" s="51">
        <f>'Rådata-K'!P137</f>
        <v>9.2664092664092659E-2</v>
      </c>
      <c r="G138" s="51">
        <f>'Rådata-K'!Q137</f>
        <v>0.18096357226792009</v>
      </c>
      <c r="H138" s="51">
        <f>'Rådata-K'!R137</f>
        <v>-3.1175059952038398E-2</v>
      </c>
      <c r="I138" s="51">
        <f>'Rådata-K'!S137</f>
        <v>0.87485101311084623</v>
      </c>
      <c r="J138" s="52">
        <f>'Rådata-K'!K137</f>
        <v>348000</v>
      </c>
      <c r="K138" s="26">
        <f>Tabell2[[#This Row],[NIBR11]]</f>
        <v>9</v>
      </c>
      <c r="L138" s="52">
        <f>IF(Tabell2[[#This Row],[ReisetidOslo]]&lt;=C$434,C$434,IF(Tabell2[[#This Row],[ReisetidOslo]]&gt;=C$435,C$435,Tabell2[[#This Row],[ReisetidOslo]]))</f>
        <v>140.31703096999999</v>
      </c>
      <c r="M138" s="51">
        <f>IF(Tabell2[[#This Row],[Beftettotal]]&lt;=D$434,D$434,IF(Tabell2[[#This Row],[Beftettotal]]&gt;=D$435,D$435,Tabell2[[#This Row],[Beftettotal]]))</f>
        <v>2.9130439034886106</v>
      </c>
      <c r="N138" s="51">
        <f>IF(Tabell2[[#This Row],[Befvekst10]]&lt;=E$434,E$434,IF(Tabell2[[#This Row],[Befvekst10]]&gt;=E$435,E$435,Tabell2[[#This Row],[Befvekst10]]))</f>
        <v>-7.211838006230531E-2</v>
      </c>
      <c r="O138" s="51">
        <f>IF(Tabell2[[#This Row],[Kvinneandel]]&lt;=F$434,F$434,IF(Tabell2[[#This Row],[Kvinneandel]]&gt;=F$435,F$435,Tabell2[[#This Row],[Kvinneandel]]))</f>
        <v>9.2664092664092659E-2</v>
      </c>
      <c r="P138" s="51">
        <f>IF(Tabell2[[#This Row],[Eldreandel]]&lt;=G$434,G$434,IF(Tabell2[[#This Row],[Eldreandel]]&gt;=G$435,G$435,Tabell2[[#This Row],[Eldreandel]]))</f>
        <v>0.18096357226792009</v>
      </c>
      <c r="Q138" s="51">
        <f>IF(Tabell2[[#This Row],[Sysselsettingsvekst10]]&lt;=H$434,H$434,IF(Tabell2[[#This Row],[Sysselsettingsvekst10]]&gt;=H$435,H$435,Tabell2[[#This Row],[Sysselsettingsvekst10]]))</f>
        <v>-3.1175059952038398E-2</v>
      </c>
      <c r="R138" s="51">
        <f>IF(Tabell2[[#This Row],[Yrkesaktivandel]]&lt;=I$434,I$434,IF(Tabell2[[#This Row],[Yrkesaktivandel]]&gt;=I$435,I$435,Tabell2[[#This Row],[Yrkesaktivandel]]))</f>
        <v>0.87485101311084623</v>
      </c>
      <c r="S138" s="52">
        <f>IF(Tabell2[[#This Row],[Inntekt]]&lt;=J$434,J$434,IF(Tabell2[[#This Row],[Inntekt]]&gt;=J$435,J$435,Tabell2[[#This Row],[Inntekt]]))</f>
        <v>348000</v>
      </c>
      <c r="T138" s="9">
        <f>IF(Tabell2[[#This Row],[NIBR11-T]]&lt;=K$437,100,IF(Tabell2[[#This Row],[NIBR11-T]]&gt;=K$436,0,100*(K$436-Tabell2[[#This Row],[NIBR11-T]])/K$439))</f>
        <v>20</v>
      </c>
      <c r="U138" s="9">
        <f>(L$436-Tabell2[[#This Row],[ReisetidOslo-T]])*100/L$439</f>
        <v>61.593058970131445</v>
      </c>
      <c r="V138" s="9">
        <f>100-(M$436-Tabell2[[#This Row],[Beftettotal-T]])*100/M$439</f>
        <v>1.2392407321975583</v>
      </c>
      <c r="W138" s="9">
        <f>100-(N$436-Tabell2[[#This Row],[Befvekst10-T]])*100/N$439</f>
        <v>3.5073465291614809</v>
      </c>
      <c r="X138" s="9">
        <f>100-(O$436-Tabell2[[#This Row],[Kvinneandel-T]])*100/O$439</f>
        <v>6.3599884766389181</v>
      </c>
      <c r="Y138" s="9">
        <f>(P$436-Tabell2[[#This Row],[Eldreandel-T]])*100/P$439</f>
        <v>30.991655964575759</v>
      </c>
      <c r="Z138" s="9">
        <f>100-(Q$436-Tabell2[[#This Row],[Sysselsettingsvekst10-T]])*100/Q$439</f>
        <v>12.042016025335599</v>
      </c>
      <c r="AA138" s="9">
        <f>100-(R$436-Tabell2[[#This Row],[Yrkesaktivandel-T]])*100/R$439</f>
        <v>34.899733421188117</v>
      </c>
      <c r="AB138" s="9">
        <f>100-(S$436-Tabell2[[#This Row],[Inntekt-T]])*100/S$439</f>
        <v>34.615868225826731</v>
      </c>
      <c r="AC138" s="48">
        <f>Tabell2[[#This Row],[NIBR11-I]]*Vekter!$B$3</f>
        <v>4</v>
      </c>
      <c r="AD138" s="48">
        <f>Tabell2[[#This Row],[ReisetidOslo-I]]*Vekter!$C$3</f>
        <v>6.1593058970131445</v>
      </c>
      <c r="AE138" s="48">
        <f>Tabell2[[#This Row],[Beftettotal-I]]*Vekter!$D$3</f>
        <v>0.12392407321975583</v>
      </c>
      <c r="AF138" s="48">
        <f>Tabell2[[#This Row],[Befvekst10-I]]*Vekter!$E$3</f>
        <v>0.70146930583229627</v>
      </c>
      <c r="AG138" s="48">
        <f>Tabell2[[#This Row],[Kvinneandel-I]]*Vekter!$F$3</f>
        <v>0.3179994238319459</v>
      </c>
      <c r="AH138" s="48">
        <f>Tabell2[[#This Row],[Eldreandel-I]]*Vekter!$G$3</f>
        <v>1.549582798228788</v>
      </c>
      <c r="AI138" s="48">
        <f>Tabell2[[#This Row],[Sysselsettingsvekst10-I]]*Vekter!$H$3</f>
        <v>1.20420160253356</v>
      </c>
      <c r="AJ138" s="48">
        <f>Tabell2[[#This Row],[Yrkesaktivandel-I]]*Vekter!$J$3</f>
        <v>3.4899733421188119</v>
      </c>
      <c r="AK138" s="48">
        <f>Tabell2[[#This Row],[Inntekt-I]]*Vekter!$L$3</f>
        <v>3.4615868225826731</v>
      </c>
      <c r="AL138" s="37">
        <f>SUM(Tabell2[[#This Row],[NIBR11-v]:[Inntekt-v]])</f>
        <v>21.008043265360975</v>
      </c>
    </row>
    <row r="139" spans="1:38">
      <c r="A139" s="2" t="s">
        <v>136</v>
      </c>
      <c r="B139">
        <f>'Rådata-K'!M138</f>
        <v>5</v>
      </c>
      <c r="C139" s="9">
        <f>'Rådata-K'!L138</f>
        <v>111.31559514</v>
      </c>
      <c r="D139" s="51">
        <f>'Rådata-K'!N138</f>
        <v>2.0246701380112229</v>
      </c>
      <c r="E139" s="51">
        <f>'Rådata-K'!O138</f>
        <v>-1.8983466013472117E-2</v>
      </c>
      <c r="F139" s="51">
        <f>'Rådata-K'!P138</f>
        <v>9.612983770287141E-2</v>
      </c>
      <c r="G139" s="51">
        <f>'Rådata-K'!Q138</f>
        <v>0.1972534332084894</v>
      </c>
      <c r="H139" s="51">
        <f>'Rådata-K'!R138</f>
        <v>5.4249547920433905E-2</v>
      </c>
      <c r="I139" s="51">
        <f>'Rådata-K'!S138</f>
        <v>0.94392523364485981</v>
      </c>
      <c r="J139" s="52">
        <f>'Rådata-K'!K138</f>
        <v>339100</v>
      </c>
      <c r="K139" s="26">
        <f>Tabell2[[#This Row],[NIBR11]]</f>
        <v>5</v>
      </c>
      <c r="L139" s="52">
        <f>IF(Tabell2[[#This Row],[ReisetidOslo]]&lt;=C$434,C$434,IF(Tabell2[[#This Row],[ReisetidOslo]]&gt;=C$435,C$435,Tabell2[[#This Row],[ReisetidOslo]]))</f>
        <v>111.31559514</v>
      </c>
      <c r="M139" s="51">
        <f>IF(Tabell2[[#This Row],[Beftettotal]]&lt;=D$434,D$434,IF(Tabell2[[#This Row],[Beftettotal]]&gt;=D$435,D$435,Tabell2[[#This Row],[Beftettotal]]))</f>
        <v>2.0246701380112229</v>
      </c>
      <c r="N139" s="51">
        <f>IF(Tabell2[[#This Row],[Befvekst10]]&lt;=E$434,E$434,IF(Tabell2[[#This Row],[Befvekst10]]&gt;=E$435,E$435,Tabell2[[#This Row],[Befvekst10]]))</f>
        <v>-1.8983466013472117E-2</v>
      </c>
      <c r="O139" s="51">
        <f>IF(Tabell2[[#This Row],[Kvinneandel]]&lt;=F$434,F$434,IF(Tabell2[[#This Row],[Kvinneandel]]&gt;=F$435,F$435,Tabell2[[#This Row],[Kvinneandel]]))</f>
        <v>9.612983770287141E-2</v>
      </c>
      <c r="P139" s="51">
        <f>IF(Tabell2[[#This Row],[Eldreandel]]&lt;=G$434,G$434,IF(Tabell2[[#This Row],[Eldreandel]]&gt;=G$435,G$435,Tabell2[[#This Row],[Eldreandel]]))</f>
        <v>0.1972534332084894</v>
      </c>
      <c r="Q139" s="51">
        <f>IF(Tabell2[[#This Row],[Sysselsettingsvekst10]]&lt;=H$434,H$434,IF(Tabell2[[#This Row],[Sysselsettingsvekst10]]&gt;=H$435,H$435,Tabell2[[#This Row],[Sysselsettingsvekst10]]))</f>
        <v>5.4249547920433905E-2</v>
      </c>
      <c r="R139" s="51">
        <f>IF(Tabell2[[#This Row],[Yrkesaktivandel]]&lt;=I$434,I$434,IF(Tabell2[[#This Row],[Yrkesaktivandel]]&gt;=I$435,I$435,Tabell2[[#This Row],[Yrkesaktivandel]]))</f>
        <v>0.94392523364485981</v>
      </c>
      <c r="S139" s="52">
        <f>IF(Tabell2[[#This Row],[Inntekt]]&lt;=J$434,J$434,IF(Tabell2[[#This Row],[Inntekt]]&gt;=J$435,J$435,Tabell2[[#This Row],[Inntekt]]))</f>
        <v>339100</v>
      </c>
      <c r="T139" s="9">
        <f>IF(Tabell2[[#This Row],[NIBR11-T]]&lt;=K$437,100,IF(Tabell2[[#This Row],[NIBR11-T]]&gt;=K$436,0,100*(K$436-Tabell2[[#This Row],[NIBR11-T]])/K$439))</f>
        <v>60</v>
      </c>
      <c r="U139" s="9">
        <f>(L$436-Tabell2[[#This Row],[ReisetidOslo-T]])*100/L$439</f>
        <v>74.468263571385009</v>
      </c>
      <c r="V139" s="9">
        <f>100-(M$436-Tabell2[[#This Row],[Beftettotal-T]])*100/M$439</f>
        <v>0.53950245696269405</v>
      </c>
      <c r="W139" s="9">
        <f>100-(N$436-Tabell2[[#This Row],[Befvekst10-T]])*100/N$439</f>
        <v>25.008693841911352</v>
      </c>
      <c r="X139" s="9">
        <f>100-(O$436-Tabell2[[#This Row],[Kvinneandel-T]])*100/O$439</f>
        <v>15.539699688769531</v>
      </c>
      <c r="Y139" s="9">
        <f>(P$436-Tabell2[[#This Row],[Eldreandel-T]])*100/P$439</f>
        <v>12.524061181848417</v>
      </c>
      <c r="Z139" s="9">
        <f>100-(Q$436-Tabell2[[#This Row],[Sysselsettingsvekst10-T]])*100/Q$439</f>
        <v>39.460852176487016</v>
      </c>
      <c r="AA139" s="9">
        <f>100-(R$436-Tabell2[[#This Row],[Yrkesaktivandel-T]])*100/R$439</f>
        <v>86.392889031448135</v>
      </c>
      <c r="AB139" s="9">
        <f>100-(S$436-Tabell2[[#This Row],[Inntekt-T]])*100/S$439</f>
        <v>23.425122595247075</v>
      </c>
      <c r="AC139" s="48">
        <f>Tabell2[[#This Row],[NIBR11-I]]*Vekter!$B$3</f>
        <v>12</v>
      </c>
      <c r="AD139" s="48">
        <f>Tabell2[[#This Row],[ReisetidOslo-I]]*Vekter!$C$3</f>
        <v>7.4468263571385016</v>
      </c>
      <c r="AE139" s="48">
        <f>Tabell2[[#This Row],[Beftettotal-I]]*Vekter!$D$3</f>
        <v>5.3950245696269411E-2</v>
      </c>
      <c r="AF139" s="48">
        <f>Tabell2[[#This Row],[Befvekst10-I]]*Vekter!$E$3</f>
        <v>5.0017387683822712</v>
      </c>
      <c r="AG139" s="48">
        <f>Tabell2[[#This Row],[Kvinneandel-I]]*Vekter!$F$3</f>
        <v>0.77698498443847663</v>
      </c>
      <c r="AH139" s="48">
        <f>Tabell2[[#This Row],[Eldreandel-I]]*Vekter!$G$3</f>
        <v>0.62620305909242091</v>
      </c>
      <c r="AI139" s="48">
        <f>Tabell2[[#This Row],[Sysselsettingsvekst10-I]]*Vekter!$H$3</f>
        <v>3.9460852176487018</v>
      </c>
      <c r="AJ139" s="48">
        <f>Tabell2[[#This Row],[Yrkesaktivandel-I]]*Vekter!$J$3</f>
        <v>8.6392889031448146</v>
      </c>
      <c r="AK139" s="48">
        <f>Tabell2[[#This Row],[Inntekt-I]]*Vekter!$L$3</f>
        <v>2.3425122595247077</v>
      </c>
      <c r="AL139" s="37">
        <f>SUM(Tabell2[[#This Row],[NIBR11-v]:[Inntekt-v]])</f>
        <v>40.833589795066167</v>
      </c>
    </row>
    <row r="140" spans="1:38">
      <c r="A140" s="2" t="s">
        <v>137</v>
      </c>
      <c r="B140">
        <f>'Rådata-K'!M139</f>
        <v>10</v>
      </c>
      <c r="C140" s="9">
        <f>'Rådata-K'!L139</f>
        <v>138.636077443</v>
      </c>
      <c r="D140" s="51">
        <f>'Rådata-K'!N139</f>
        <v>4.179893439986575</v>
      </c>
      <c r="E140" s="51">
        <f>'Rådata-K'!O139</f>
        <v>3.1045187995860646E-2</v>
      </c>
      <c r="F140" s="51">
        <f>'Rådata-K'!P139</f>
        <v>0.10471729675476749</v>
      </c>
      <c r="G140" s="51">
        <f>'Rådata-K'!Q139</f>
        <v>0.18367346938775511</v>
      </c>
      <c r="H140" s="51">
        <f>'Rådata-K'!R139</f>
        <v>0.19675755342667656</v>
      </c>
      <c r="I140" s="51">
        <f>'Rådata-K'!S139</f>
        <v>0.88123515439429934</v>
      </c>
      <c r="J140" s="52">
        <f>'Rådata-K'!K139</f>
        <v>348600</v>
      </c>
      <c r="K140" s="26">
        <f>Tabell2[[#This Row],[NIBR11]]</f>
        <v>10</v>
      </c>
      <c r="L140" s="52">
        <f>IF(Tabell2[[#This Row],[ReisetidOslo]]&lt;=C$434,C$434,IF(Tabell2[[#This Row],[ReisetidOslo]]&gt;=C$435,C$435,Tabell2[[#This Row],[ReisetidOslo]]))</f>
        <v>138.636077443</v>
      </c>
      <c r="M140" s="51">
        <f>IF(Tabell2[[#This Row],[Beftettotal]]&lt;=D$434,D$434,IF(Tabell2[[#This Row],[Beftettotal]]&gt;=D$435,D$435,Tabell2[[#This Row],[Beftettotal]]))</f>
        <v>4.179893439986575</v>
      </c>
      <c r="N140" s="51">
        <f>IF(Tabell2[[#This Row],[Befvekst10]]&lt;=E$434,E$434,IF(Tabell2[[#This Row],[Befvekst10]]&gt;=E$435,E$435,Tabell2[[#This Row],[Befvekst10]]))</f>
        <v>3.1045187995860646E-2</v>
      </c>
      <c r="O140" s="51">
        <f>IF(Tabell2[[#This Row],[Kvinneandel]]&lt;=F$434,F$434,IF(Tabell2[[#This Row],[Kvinneandel]]&gt;=F$435,F$435,Tabell2[[#This Row],[Kvinneandel]]))</f>
        <v>0.10471729675476749</v>
      </c>
      <c r="P140" s="51">
        <f>IF(Tabell2[[#This Row],[Eldreandel]]&lt;=G$434,G$434,IF(Tabell2[[#This Row],[Eldreandel]]&gt;=G$435,G$435,Tabell2[[#This Row],[Eldreandel]]))</f>
        <v>0.18367346938775511</v>
      </c>
      <c r="Q140" s="51">
        <f>IF(Tabell2[[#This Row],[Sysselsettingsvekst10]]&lt;=H$434,H$434,IF(Tabell2[[#This Row],[Sysselsettingsvekst10]]&gt;=H$435,H$435,Tabell2[[#This Row],[Sysselsettingsvekst10]]))</f>
        <v>0.19675755342667656</v>
      </c>
      <c r="R140" s="51">
        <f>IF(Tabell2[[#This Row],[Yrkesaktivandel]]&lt;=I$434,I$434,IF(Tabell2[[#This Row],[Yrkesaktivandel]]&gt;=I$435,I$435,Tabell2[[#This Row],[Yrkesaktivandel]]))</f>
        <v>0.88123515439429934</v>
      </c>
      <c r="S140" s="52">
        <f>IF(Tabell2[[#This Row],[Inntekt]]&lt;=J$434,J$434,IF(Tabell2[[#This Row],[Inntekt]]&gt;=J$435,J$435,Tabell2[[#This Row],[Inntekt]]))</f>
        <v>348600</v>
      </c>
      <c r="T140" s="9">
        <f>IF(Tabell2[[#This Row],[NIBR11-T]]&lt;=K$437,100,IF(Tabell2[[#This Row],[NIBR11-T]]&gt;=K$436,0,100*(K$436-Tabell2[[#This Row],[NIBR11-T]])/K$439))</f>
        <v>10</v>
      </c>
      <c r="U140" s="9">
        <f>(L$436-Tabell2[[#This Row],[ReisetidOslo-T]])*100/L$439</f>
        <v>62.339319283316897</v>
      </c>
      <c r="V140" s="9">
        <f>100-(M$436-Tabell2[[#This Row],[Beftettotal-T]])*100/M$439</f>
        <v>2.2370899980128343</v>
      </c>
      <c r="W140" s="9">
        <f>100-(N$436-Tabell2[[#This Row],[Befvekst10-T]])*100/N$439</f>
        <v>45.25307523783237</v>
      </c>
      <c r="X140" s="9">
        <f>100-(O$436-Tabell2[[#This Row],[Kvinneandel-T]])*100/O$439</f>
        <v>38.285283469560603</v>
      </c>
      <c r="Y140" s="9">
        <f>(P$436-Tabell2[[#This Row],[Eldreandel-T]])*100/P$439</f>
        <v>27.919482291972013</v>
      </c>
      <c r="Z140" s="9">
        <f>100-(Q$436-Tabell2[[#This Row],[Sysselsettingsvekst10-T]])*100/Q$439</f>
        <v>85.20181313045812</v>
      </c>
      <c r="AA140" s="9">
        <f>100-(R$436-Tabell2[[#This Row],[Yrkesaktivandel-T]])*100/R$439</f>
        <v>39.658955863442927</v>
      </c>
      <c r="AB140" s="9">
        <f>100-(S$436-Tabell2[[#This Row],[Inntekt-T]])*100/S$439</f>
        <v>35.370300515528726</v>
      </c>
      <c r="AC140" s="48">
        <f>Tabell2[[#This Row],[NIBR11-I]]*Vekter!$B$3</f>
        <v>2</v>
      </c>
      <c r="AD140" s="48">
        <f>Tabell2[[#This Row],[ReisetidOslo-I]]*Vekter!$C$3</f>
        <v>6.2339319283316899</v>
      </c>
      <c r="AE140" s="48">
        <f>Tabell2[[#This Row],[Beftettotal-I]]*Vekter!$D$3</f>
        <v>0.22370899980128345</v>
      </c>
      <c r="AF140" s="48">
        <f>Tabell2[[#This Row],[Befvekst10-I]]*Vekter!$E$3</f>
        <v>9.0506150475664739</v>
      </c>
      <c r="AG140" s="48">
        <f>Tabell2[[#This Row],[Kvinneandel-I]]*Vekter!$F$3</f>
        <v>1.9142641734780304</v>
      </c>
      <c r="AH140" s="48">
        <f>Tabell2[[#This Row],[Eldreandel-I]]*Vekter!$G$3</f>
        <v>1.3959741145986007</v>
      </c>
      <c r="AI140" s="48">
        <f>Tabell2[[#This Row],[Sysselsettingsvekst10-I]]*Vekter!$H$3</f>
        <v>8.5201813130458124</v>
      </c>
      <c r="AJ140" s="48">
        <f>Tabell2[[#This Row],[Yrkesaktivandel-I]]*Vekter!$J$3</f>
        <v>3.9658955863442928</v>
      </c>
      <c r="AK140" s="48">
        <f>Tabell2[[#This Row],[Inntekt-I]]*Vekter!$L$3</f>
        <v>3.5370300515528728</v>
      </c>
      <c r="AL140" s="37">
        <f>SUM(Tabell2[[#This Row],[NIBR11-v]:[Inntekt-v]])</f>
        <v>36.841601214719063</v>
      </c>
    </row>
    <row r="141" spans="1:38">
      <c r="A141" s="2" t="s">
        <v>138</v>
      </c>
      <c r="B141">
        <f>'Rådata-K'!M140</f>
        <v>10</v>
      </c>
      <c r="C141" s="9">
        <f>'Rådata-K'!L140</f>
        <v>151.859265537</v>
      </c>
      <c r="D141" s="51">
        <f>'Rådata-K'!N140</f>
        <v>3.483612342263501</v>
      </c>
      <c r="E141" s="51">
        <f>'Rådata-K'!O140</f>
        <v>-5.8733790999237256E-2</v>
      </c>
      <c r="F141" s="51">
        <f>'Rådata-K'!P140</f>
        <v>9.3598055105348466E-2</v>
      </c>
      <c r="G141" s="51">
        <f>'Rådata-K'!Q140</f>
        <v>0.18719611021069693</v>
      </c>
      <c r="H141" s="51">
        <f>'Rådata-K'!R140</f>
        <v>0.11460258780036958</v>
      </c>
      <c r="I141" s="51">
        <f>'Rådata-K'!S140</f>
        <v>0.9332865168539326</v>
      </c>
      <c r="J141" s="52">
        <f>'Rådata-K'!K140</f>
        <v>338100</v>
      </c>
      <c r="K141" s="26">
        <f>Tabell2[[#This Row],[NIBR11]]</f>
        <v>10</v>
      </c>
      <c r="L141" s="52">
        <f>IF(Tabell2[[#This Row],[ReisetidOslo]]&lt;=C$434,C$434,IF(Tabell2[[#This Row],[ReisetidOslo]]&gt;=C$435,C$435,Tabell2[[#This Row],[ReisetidOslo]]))</f>
        <v>151.859265537</v>
      </c>
      <c r="M141" s="51">
        <f>IF(Tabell2[[#This Row],[Beftettotal]]&lt;=D$434,D$434,IF(Tabell2[[#This Row],[Beftettotal]]&gt;=D$435,D$435,Tabell2[[#This Row],[Beftettotal]]))</f>
        <v>3.483612342263501</v>
      </c>
      <c r="N141" s="51">
        <f>IF(Tabell2[[#This Row],[Befvekst10]]&lt;=E$434,E$434,IF(Tabell2[[#This Row],[Befvekst10]]&gt;=E$435,E$435,Tabell2[[#This Row],[Befvekst10]]))</f>
        <v>-5.8733790999237256E-2</v>
      </c>
      <c r="O141" s="51">
        <f>IF(Tabell2[[#This Row],[Kvinneandel]]&lt;=F$434,F$434,IF(Tabell2[[#This Row],[Kvinneandel]]&gt;=F$435,F$435,Tabell2[[#This Row],[Kvinneandel]]))</f>
        <v>9.3598055105348466E-2</v>
      </c>
      <c r="P141" s="51">
        <f>IF(Tabell2[[#This Row],[Eldreandel]]&lt;=G$434,G$434,IF(Tabell2[[#This Row],[Eldreandel]]&gt;=G$435,G$435,Tabell2[[#This Row],[Eldreandel]]))</f>
        <v>0.18719611021069693</v>
      </c>
      <c r="Q141" s="51">
        <f>IF(Tabell2[[#This Row],[Sysselsettingsvekst10]]&lt;=H$434,H$434,IF(Tabell2[[#This Row],[Sysselsettingsvekst10]]&gt;=H$435,H$435,Tabell2[[#This Row],[Sysselsettingsvekst10]]))</f>
        <v>0.11460258780036958</v>
      </c>
      <c r="R141" s="51">
        <f>IF(Tabell2[[#This Row],[Yrkesaktivandel]]&lt;=I$434,I$434,IF(Tabell2[[#This Row],[Yrkesaktivandel]]&gt;=I$435,I$435,Tabell2[[#This Row],[Yrkesaktivandel]]))</f>
        <v>0.9332865168539326</v>
      </c>
      <c r="S141" s="52">
        <f>IF(Tabell2[[#This Row],[Inntekt]]&lt;=J$434,J$434,IF(Tabell2[[#This Row],[Inntekt]]&gt;=J$435,J$435,Tabell2[[#This Row],[Inntekt]]))</f>
        <v>338100</v>
      </c>
      <c r="T141" s="9">
        <f>IF(Tabell2[[#This Row],[NIBR11-T]]&lt;=K$437,100,IF(Tabell2[[#This Row],[NIBR11-T]]&gt;=K$436,0,100*(K$436-Tabell2[[#This Row],[NIBR11-T]])/K$439))</f>
        <v>10</v>
      </c>
      <c r="U141" s="9">
        <f>(L$436-Tabell2[[#This Row],[ReisetidOslo-T]])*100/L$439</f>
        <v>56.468877102830199</v>
      </c>
      <c r="V141" s="9">
        <f>100-(M$436-Tabell2[[#This Row],[Beftettotal-T]])*100/M$439</f>
        <v>1.6886558216191077</v>
      </c>
      <c r="W141" s="9">
        <f>100-(N$436-Tabell2[[#This Row],[Befvekst10-T]])*100/N$439</f>
        <v>8.9234971569571968</v>
      </c>
      <c r="X141" s="9">
        <f>100-(O$436-Tabell2[[#This Row],[Kvinneandel-T]])*100/O$439</f>
        <v>8.8337727272905084</v>
      </c>
      <c r="Y141" s="9">
        <f>(P$436-Tabell2[[#This Row],[Eldreandel-T]])*100/P$439</f>
        <v>23.925912087749687</v>
      </c>
      <c r="Z141" s="9">
        <f>100-(Q$436-Tabell2[[#This Row],[Sysselsettingsvekst10-T]])*100/Q$439</f>
        <v>58.832437869479321</v>
      </c>
      <c r="AA141" s="9">
        <f>100-(R$436-Tabell2[[#This Row],[Yrkesaktivandel-T]])*100/R$439</f>
        <v>78.461983767899881</v>
      </c>
      <c r="AB141" s="9">
        <f>100-(S$436-Tabell2[[#This Row],[Inntekt-T]])*100/S$439</f>
        <v>22.167735445743745</v>
      </c>
      <c r="AC141" s="48">
        <f>Tabell2[[#This Row],[NIBR11-I]]*Vekter!$B$3</f>
        <v>2</v>
      </c>
      <c r="AD141" s="48">
        <f>Tabell2[[#This Row],[ReisetidOslo-I]]*Vekter!$C$3</f>
        <v>5.6468877102830204</v>
      </c>
      <c r="AE141" s="48">
        <f>Tabell2[[#This Row],[Beftettotal-I]]*Vekter!$D$3</f>
        <v>0.16886558216191078</v>
      </c>
      <c r="AF141" s="48">
        <f>Tabell2[[#This Row],[Befvekst10-I]]*Vekter!$E$3</f>
        <v>1.7846994313914395</v>
      </c>
      <c r="AG141" s="48">
        <f>Tabell2[[#This Row],[Kvinneandel-I]]*Vekter!$F$3</f>
        <v>0.44168863636452543</v>
      </c>
      <c r="AH141" s="48">
        <f>Tabell2[[#This Row],[Eldreandel-I]]*Vekter!$G$3</f>
        <v>1.1962956043874844</v>
      </c>
      <c r="AI141" s="48">
        <f>Tabell2[[#This Row],[Sysselsettingsvekst10-I]]*Vekter!$H$3</f>
        <v>5.8832437869479328</v>
      </c>
      <c r="AJ141" s="48">
        <f>Tabell2[[#This Row],[Yrkesaktivandel-I]]*Vekter!$J$3</f>
        <v>7.8461983767899888</v>
      </c>
      <c r="AK141" s="48">
        <f>Tabell2[[#This Row],[Inntekt-I]]*Vekter!$L$3</f>
        <v>2.2167735445743744</v>
      </c>
      <c r="AL141" s="37">
        <f>SUM(Tabell2[[#This Row],[NIBR11-v]:[Inntekt-v]])</f>
        <v>27.184652672900675</v>
      </c>
    </row>
    <row r="142" spans="1:38">
      <c r="A142" s="2" t="s">
        <v>139</v>
      </c>
      <c r="B142">
        <f>'Rådata-K'!M141</f>
        <v>11</v>
      </c>
      <c r="C142" s="9">
        <f>'Rådata-K'!L141</f>
        <v>178.67316270800001</v>
      </c>
      <c r="D142" s="51">
        <f>'Rådata-K'!N141</f>
        <v>1.6029960891756336</v>
      </c>
      <c r="E142" s="51">
        <f>'Rådata-K'!O141</f>
        <v>1.5395381385584272E-2</v>
      </c>
      <c r="F142" s="51">
        <f>'Rådata-K'!P141</f>
        <v>0.10957960027567196</v>
      </c>
      <c r="G142" s="51">
        <f>'Rådata-K'!Q141</f>
        <v>0.15644383184011026</v>
      </c>
      <c r="H142" s="51">
        <f>'Rådata-K'!R141</f>
        <v>0.23076923076923084</v>
      </c>
      <c r="I142" s="51">
        <f>'Rådata-K'!S141</f>
        <v>0.92882562277580072</v>
      </c>
      <c r="J142" s="52">
        <f>'Rådata-K'!K141</f>
        <v>343100</v>
      </c>
      <c r="K142" s="26">
        <f>Tabell2[[#This Row],[NIBR11]]</f>
        <v>11</v>
      </c>
      <c r="L142" s="52">
        <f>IF(Tabell2[[#This Row],[ReisetidOslo]]&lt;=C$434,C$434,IF(Tabell2[[#This Row],[ReisetidOslo]]&gt;=C$435,C$435,Tabell2[[#This Row],[ReisetidOslo]]))</f>
        <v>178.67316270800001</v>
      </c>
      <c r="M142" s="51">
        <f>IF(Tabell2[[#This Row],[Beftettotal]]&lt;=D$434,D$434,IF(Tabell2[[#This Row],[Beftettotal]]&gt;=D$435,D$435,Tabell2[[#This Row],[Beftettotal]]))</f>
        <v>1.6029960891756336</v>
      </c>
      <c r="N142" s="51">
        <f>IF(Tabell2[[#This Row],[Befvekst10]]&lt;=E$434,E$434,IF(Tabell2[[#This Row],[Befvekst10]]&gt;=E$435,E$435,Tabell2[[#This Row],[Befvekst10]]))</f>
        <v>1.5395381385584272E-2</v>
      </c>
      <c r="O142" s="51">
        <f>IF(Tabell2[[#This Row],[Kvinneandel]]&lt;=F$434,F$434,IF(Tabell2[[#This Row],[Kvinneandel]]&gt;=F$435,F$435,Tabell2[[#This Row],[Kvinneandel]]))</f>
        <v>0.10957960027567196</v>
      </c>
      <c r="P142" s="51">
        <f>IF(Tabell2[[#This Row],[Eldreandel]]&lt;=G$434,G$434,IF(Tabell2[[#This Row],[Eldreandel]]&gt;=G$435,G$435,Tabell2[[#This Row],[Eldreandel]]))</f>
        <v>0.15644383184011026</v>
      </c>
      <c r="Q142" s="51">
        <f>IF(Tabell2[[#This Row],[Sysselsettingsvekst10]]&lt;=H$434,H$434,IF(Tabell2[[#This Row],[Sysselsettingsvekst10]]&gt;=H$435,H$435,Tabell2[[#This Row],[Sysselsettingsvekst10]]))</f>
        <v>0.23076923076923084</v>
      </c>
      <c r="R142" s="51">
        <f>IF(Tabell2[[#This Row],[Yrkesaktivandel]]&lt;=I$434,I$434,IF(Tabell2[[#This Row],[Yrkesaktivandel]]&gt;=I$435,I$435,Tabell2[[#This Row],[Yrkesaktivandel]]))</f>
        <v>0.92882562277580072</v>
      </c>
      <c r="S142" s="52">
        <f>IF(Tabell2[[#This Row],[Inntekt]]&lt;=J$434,J$434,IF(Tabell2[[#This Row],[Inntekt]]&gt;=J$435,J$435,Tabell2[[#This Row],[Inntekt]]))</f>
        <v>343100</v>
      </c>
      <c r="T142" s="9">
        <f>IF(Tabell2[[#This Row],[NIBR11-T]]&lt;=K$437,100,IF(Tabell2[[#This Row],[NIBR11-T]]&gt;=K$436,0,100*(K$436-Tabell2[[#This Row],[NIBR11-T]])/K$439))</f>
        <v>0</v>
      </c>
      <c r="U142" s="9">
        <f>(L$436-Tabell2[[#This Row],[ReisetidOslo-T]])*100/L$439</f>
        <v>44.564831583936332</v>
      </c>
      <c r="V142" s="9">
        <f>100-(M$436-Tabell2[[#This Row],[Beftettotal-T]])*100/M$439</f>
        <v>0.20736582358860289</v>
      </c>
      <c r="W142" s="9">
        <f>100-(N$436-Tabell2[[#This Row],[Befvekst10-T]])*100/N$439</f>
        <v>38.920291354985189</v>
      </c>
      <c r="X142" s="9">
        <f>100-(O$436-Tabell2[[#This Row],[Kvinneandel-T]])*100/O$439</f>
        <v>51.164056041751081</v>
      </c>
      <c r="Y142" s="9">
        <f>(P$436-Tabell2[[#This Row],[Eldreandel-T]])*100/P$439</f>
        <v>58.789353688975368</v>
      </c>
      <c r="Z142" s="9">
        <f>100-(Q$436-Tabell2[[#This Row],[Sysselsettingsvekst10-T]])*100/Q$439</f>
        <v>96.118580927314909</v>
      </c>
      <c r="AA142" s="9">
        <f>100-(R$436-Tabell2[[#This Row],[Yrkesaktivandel-T]])*100/R$439</f>
        <v>75.136495457640621</v>
      </c>
      <c r="AB142" s="9">
        <f>100-(S$436-Tabell2[[#This Row],[Inntekt-T]])*100/S$439</f>
        <v>28.45467119326041</v>
      </c>
      <c r="AC142" s="48">
        <f>Tabell2[[#This Row],[NIBR11-I]]*Vekter!$B$3</f>
        <v>0</v>
      </c>
      <c r="AD142" s="48">
        <f>Tabell2[[#This Row],[ReisetidOslo-I]]*Vekter!$C$3</f>
        <v>4.4564831583936337</v>
      </c>
      <c r="AE142" s="48">
        <f>Tabell2[[#This Row],[Beftettotal-I]]*Vekter!$D$3</f>
        <v>2.0736582358860292E-2</v>
      </c>
      <c r="AF142" s="48">
        <f>Tabell2[[#This Row],[Befvekst10-I]]*Vekter!$E$3</f>
        <v>7.7840582709970381</v>
      </c>
      <c r="AG142" s="48">
        <f>Tabell2[[#This Row],[Kvinneandel-I]]*Vekter!$F$3</f>
        <v>2.5582028020875542</v>
      </c>
      <c r="AH142" s="48">
        <f>Tabell2[[#This Row],[Eldreandel-I]]*Vekter!$G$3</f>
        <v>2.9394676844487684</v>
      </c>
      <c r="AI142" s="48">
        <f>Tabell2[[#This Row],[Sysselsettingsvekst10-I]]*Vekter!$H$3</f>
        <v>9.6118580927314916</v>
      </c>
      <c r="AJ142" s="48">
        <f>Tabell2[[#This Row],[Yrkesaktivandel-I]]*Vekter!$J$3</f>
        <v>7.5136495457640624</v>
      </c>
      <c r="AK142" s="48">
        <f>Tabell2[[#This Row],[Inntekt-I]]*Vekter!$L$3</f>
        <v>2.8454671193260412</v>
      </c>
      <c r="AL142" s="37">
        <f>SUM(Tabell2[[#This Row],[NIBR11-v]:[Inntekt-v]])</f>
        <v>37.729923256107448</v>
      </c>
    </row>
    <row r="143" spans="1:38">
      <c r="A143" s="2" t="s">
        <v>140</v>
      </c>
      <c r="B143">
        <f>'Rådata-K'!M142</f>
        <v>11</v>
      </c>
      <c r="C143" s="9">
        <f>'Rådata-K'!L142</f>
        <v>198.182136974</v>
      </c>
      <c r="D143" s="51">
        <f>'Rådata-K'!N142</f>
        <v>1.0178574218444858</v>
      </c>
      <c r="E143" s="51">
        <f>'Rådata-K'!O142</f>
        <v>-3.2665181885671912E-2</v>
      </c>
      <c r="F143" s="51">
        <f>'Rådata-K'!P142</f>
        <v>0.10130468150422103</v>
      </c>
      <c r="G143" s="51">
        <f>'Rådata-K'!Q142</f>
        <v>0.17344589409056024</v>
      </c>
      <c r="H143" s="51">
        <f>'Rådata-K'!R142</f>
        <v>-3.7593984962406291E-3</v>
      </c>
      <c r="I143" s="51">
        <f>'Rådata-K'!S142</f>
        <v>0.91083676268861458</v>
      </c>
      <c r="J143" s="52">
        <f>'Rådata-K'!K142</f>
        <v>330100</v>
      </c>
      <c r="K143" s="26">
        <f>Tabell2[[#This Row],[NIBR11]]</f>
        <v>11</v>
      </c>
      <c r="L143" s="52">
        <f>IF(Tabell2[[#This Row],[ReisetidOslo]]&lt;=C$434,C$434,IF(Tabell2[[#This Row],[ReisetidOslo]]&gt;=C$435,C$435,Tabell2[[#This Row],[ReisetidOslo]]))</f>
        <v>198.182136974</v>
      </c>
      <c r="M143" s="51">
        <f>IF(Tabell2[[#This Row],[Beftettotal]]&lt;=D$434,D$434,IF(Tabell2[[#This Row],[Beftettotal]]&gt;=D$435,D$435,Tabell2[[#This Row],[Beftettotal]]))</f>
        <v>1.3397285732306117</v>
      </c>
      <c r="N143" s="51">
        <f>IF(Tabell2[[#This Row],[Befvekst10]]&lt;=E$434,E$434,IF(Tabell2[[#This Row],[Befvekst10]]&gt;=E$435,E$435,Tabell2[[#This Row],[Befvekst10]]))</f>
        <v>-3.2665181885671912E-2</v>
      </c>
      <c r="O143" s="51">
        <f>IF(Tabell2[[#This Row],[Kvinneandel]]&lt;=F$434,F$434,IF(Tabell2[[#This Row],[Kvinneandel]]&gt;=F$435,F$435,Tabell2[[#This Row],[Kvinneandel]]))</f>
        <v>0.10130468150422103</v>
      </c>
      <c r="P143" s="51">
        <f>IF(Tabell2[[#This Row],[Eldreandel]]&lt;=G$434,G$434,IF(Tabell2[[#This Row],[Eldreandel]]&gt;=G$435,G$435,Tabell2[[#This Row],[Eldreandel]]))</f>
        <v>0.17344589409056024</v>
      </c>
      <c r="Q143" s="51">
        <f>IF(Tabell2[[#This Row],[Sysselsettingsvekst10]]&lt;=H$434,H$434,IF(Tabell2[[#This Row],[Sysselsettingsvekst10]]&gt;=H$435,H$435,Tabell2[[#This Row],[Sysselsettingsvekst10]]))</f>
        <v>-3.7593984962406291E-3</v>
      </c>
      <c r="R143" s="51">
        <f>IF(Tabell2[[#This Row],[Yrkesaktivandel]]&lt;=I$434,I$434,IF(Tabell2[[#This Row],[Yrkesaktivandel]]&gt;=I$435,I$435,Tabell2[[#This Row],[Yrkesaktivandel]]))</f>
        <v>0.91083676268861458</v>
      </c>
      <c r="S143" s="52">
        <f>IF(Tabell2[[#This Row],[Inntekt]]&lt;=J$434,J$434,IF(Tabell2[[#This Row],[Inntekt]]&gt;=J$435,J$435,Tabell2[[#This Row],[Inntekt]]))</f>
        <v>330100</v>
      </c>
      <c r="T143" s="9">
        <f>IF(Tabell2[[#This Row],[NIBR11-T]]&lt;=K$437,100,IF(Tabell2[[#This Row],[NIBR11-T]]&gt;=K$436,0,100*(K$436-Tabell2[[#This Row],[NIBR11-T]])/K$439))</f>
        <v>0</v>
      </c>
      <c r="U143" s="9">
        <f>(L$436-Tabell2[[#This Row],[ReisetidOslo-T]])*100/L$439</f>
        <v>35.903810912142212</v>
      </c>
      <c r="V143" s="9">
        <f>100-(M$436-Tabell2[[#This Row],[Beftettotal-T]])*100/M$439</f>
        <v>0</v>
      </c>
      <c r="W143" s="9">
        <f>100-(N$436-Tabell2[[#This Row],[Befvekst10-T]])*100/N$439</f>
        <v>19.472309148935835</v>
      </c>
      <c r="X143" s="9">
        <f>100-(O$436-Tabell2[[#This Row],[Kvinneandel-T]])*100/O$439</f>
        <v>29.24629700990802</v>
      </c>
      <c r="Y143" s="9">
        <f>(P$436-Tabell2[[#This Row],[Eldreandel-T]])*100/P$439</f>
        <v>39.514345924480466</v>
      </c>
      <c r="Z143" s="9">
        <f>100-(Q$436-Tabell2[[#This Row],[Sysselsettingsvekst10-T]])*100/Q$439</f>
        <v>20.841652899925108</v>
      </c>
      <c r="AA143" s="9">
        <f>100-(R$436-Tabell2[[#This Row],[Yrkesaktivandel-T]])*100/R$439</f>
        <v>61.726236687300378</v>
      </c>
      <c r="AB143" s="9">
        <f>100-(S$436-Tabell2[[#This Row],[Inntekt-T]])*100/S$439</f>
        <v>12.108638249717089</v>
      </c>
      <c r="AC143" s="48">
        <f>Tabell2[[#This Row],[NIBR11-I]]*Vekter!$B$3</f>
        <v>0</v>
      </c>
      <c r="AD143" s="48">
        <f>Tabell2[[#This Row],[ReisetidOslo-I]]*Vekter!$C$3</f>
        <v>3.5903810912142213</v>
      </c>
      <c r="AE143" s="48">
        <f>Tabell2[[#This Row],[Beftettotal-I]]*Vekter!$D$3</f>
        <v>0</v>
      </c>
      <c r="AF143" s="48">
        <f>Tabell2[[#This Row],[Befvekst10-I]]*Vekter!$E$3</f>
        <v>3.8944618297871672</v>
      </c>
      <c r="AG143" s="48">
        <f>Tabell2[[#This Row],[Kvinneandel-I]]*Vekter!$F$3</f>
        <v>1.4623148504954011</v>
      </c>
      <c r="AH143" s="48">
        <f>Tabell2[[#This Row],[Eldreandel-I]]*Vekter!$G$3</f>
        <v>1.9757172962240235</v>
      </c>
      <c r="AI143" s="48">
        <f>Tabell2[[#This Row],[Sysselsettingsvekst10-I]]*Vekter!$H$3</f>
        <v>2.0841652899925109</v>
      </c>
      <c r="AJ143" s="48">
        <f>Tabell2[[#This Row],[Yrkesaktivandel-I]]*Vekter!$J$3</f>
        <v>6.1726236687300382</v>
      </c>
      <c r="AK143" s="48">
        <f>Tabell2[[#This Row],[Inntekt-I]]*Vekter!$L$3</f>
        <v>1.210863824971709</v>
      </c>
      <c r="AL143" s="37">
        <f>SUM(Tabell2[[#This Row],[NIBR11-v]:[Inntekt-v]])</f>
        <v>20.390527851415072</v>
      </c>
    </row>
    <row r="144" spans="1:38">
      <c r="A144" s="2" t="s">
        <v>141</v>
      </c>
      <c r="B144">
        <f>'Rådata-K'!M143</f>
        <v>10</v>
      </c>
      <c r="C144" s="9">
        <f>'Rådata-K'!L143</f>
        <v>179.84152778500001</v>
      </c>
      <c r="D144" s="51">
        <f>'Rådata-K'!N143</f>
        <v>2.2925808548675444</v>
      </c>
      <c r="E144" s="51">
        <f>'Rådata-K'!O143</f>
        <v>-8.4381338742393508E-2</v>
      </c>
      <c r="F144" s="51">
        <f>'Rådata-K'!P143</f>
        <v>8.5511741249446174E-2</v>
      </c>
      <c r="G144" s="51">
        <f>'Rådata-K'!Q143</f>
        <v>0.18254319893664156</v>
      </c>
      <c r="H144" s="51">
        <f>'Rådata-K'!R143</f>
        <v>4.2471042471042386E-2</v>
      </c>
      <c r="I144" s="51">
        <f>'Rådata-K'!S143</f>
        <v>0.95690343176376691</v>
      </c>
      <c r="J144" s="52">
        <f>'Rådata-K'!K143</f>
        <v>366000</v>
      </c>
      <c r="K144" s="26">
        <f>Tabell2[[#This Row],[NIBR11]]</f>
        <v>10</v>
      </c>
      <c r="L144" s="52">
        <f>IF(Tabell2[[#This Row],[ReisetidOslo]]&lt;=C$434,C$434,IF(Tabell2[[#This Row],[ReisetidOslo]]&gt;=C$435,C$435,Tabell2[[#This Row],[ReisetidOslo]]))</f>
        <v>179.84152778500001</v>
      </c>
      <c r="M144" s="51">
        <f>IF(Tabell2[[#This Row],[Beftettotal]]&lt;=D$434,D$434,IF(Tabell2[[#This Row],[Beftettotal]]&gt;=D$435,D$435,Tabell2[[#This Row],[Beftettotal]]))</f>
        <v>2.2925808548675444</v>
      </c>
      <c r="N144" s="51">
        <f>IF(Tabell2[[#This Row],[Befvekst10]]&lt;=E$434,E$434,IF(Tabell2[[#This Row],[Befvekst10]]&gt;=E$435,E$435,Tabell2[[#This Row],[Befvekst10]]))</f>
        <v>-8.0785862785862778E-2</v>
      </c>
      <c r="O144" s="51">
        <f>IF(Tabell2[[#This Row],[Kvinneandel]]&lt;=F$434,F$434,IF(Tabell2[[#This Row],[Kvinneandel]]&gt;=F$435,F$435,Tabell2[[#This Row],[Kvinneandel]]))</f>
        <v>9.0262917071501733E-2</v>
      </c>
      <c r="P144" s="51">
        <f>IF(Tabell2[[#This Row],[Eldreandel]]&lt;=G$434,G$434,IF(Tabell2[[#This Row],[Eldreandel]]&gt;=G$435,G$435,Tabell2[[#This Row],[Eldreandel]]))</f>
        <v>0.18254319893664156</v>
      </c>
      <c r="Q144" s="51">
        <f>IF(Tabell2[[#This Row],[Sysselsettingsvekst10]]&lt;=H$434,H$434,IF(Tabell2[[#This Row],[Sysselsettingsvekst10]]&gt;=H$435,H$435,Tabell2[[#This Row],[Sysselsettingsvekst10]]))</f>
        <v>4.2471042471042386E-2</v>
      </c>
      <c r="R144" s="51">
        <f>IF(Tabell2[[#This Row],[Yrkesaktivandel]]&lt;=I$434,I$434,IF(Tabell2[[#This Row],[Yrkesaktivandel]]&gt;=I$435,I$435,Tabell2[[#This Row],[Yrkesaktivandel]]))</f>
        <v>0.95690343176376691</v>
      </c>
      <c r="S144" s="52">
        <f>IF(Tabell2[[#This Row],[Inntekt]]&lt;=J$434,J$434,IF(Tabell2[[#This Row],[Inntekt]]&gt;=J$435,J$435,Tabell2[[#This Row],[Inntekt]]))</f>
        <v>366000</v>
      </c>
      <c r="T144" s="9">
        <f>IF(Tabell2[[#This Row],[NIBR11-T]]&lt;=K$437,100,IF(Tabell2[[#This Row],[NIBR11-T]]&gt;=K$436,0,100*(K$436-Tabell2[[#This Row],[NIBR11-T]])/K$439))</f>
        <v>10</v>
      </c>
      <c r="U144" s="9">
        <f>(L$436-Tabell2[[#This Row],[ReisetidOslo-T]])*100/L$439</f>
        <v>44.046135216504297</v>
      </c>
      <c r="V144" s="9">
        <f>100-(M$436-Tabell2[[#This Row],[Beftettotal-T]])*100/M$439</f>
        <v>0.75052555356352002</v>
      </c>
      <c r="W144" s="9">
        <f>100-(N$436-Tabell2[[#This Row],[Befvekst10-T]])*100/N$439</f>
        <v>0</v>
      </c>
      <c r="X144" s="9">
        <f>100-(O$436-Tabell2[[#This Row],[Kvinneandel-T]])*100/O$439</f>
        <v>0</v>
      </c>
      <c r="Y144" s="9">
        <f>(P$436-Tabell2[[#This Row],[Eldreandel-T]])*100/P$439</f>
        <v>29.200854598476557</v>
      </c>
      <c r="Z144" s="9">
        <f>100-(Q$436-Tabell2[[#This Row],[Sysselsettingsvekst10-T]])*100/Q$439</f>
        <v>35.680291526979119</v>
      </c>
      <c r="AA144" s="9">
        <f>100-(R$436-Tabell2[[#This Row],[Yrkesaktivandel-T]])*100/R$439</f>
        <v>96.067820867249139</v>
      </c>
      <c r="AB144" s="9">
        <f>100-(S$436-Tabell2[[#This Row],[Inntekt-T]])*100/S$439</f>
        <v>57.24883691688671</v>
      </c>
      <c r="AC144" s="48">
        <f>Tabell2[[#This Row],[NIBR11-I]]*Vekter!$B$3</f>
        <v>2</v>
      </c>
      <c r="AD144" s="48">
        <f>Tabell2[[#This Row],[ReisetidOslo-I]]*Vekter!$C$3</f>
        <v>4.4046135216504299</v>
      </c>
      <c r="AE144" s="48">
        <f>Tabell2[[#This Row],[Beftettotal-I]]*Vekter!$D$3</f>
        <v>7.505255535635201E-2</v>
      </c>
      <c r="AF144" s="48">
        <f>Tabell2[[#This Row],[Befvekst10-I]]*Vekter!$E$3</f>
        <v>0</v>
      </c>
      <c r="AG144" s="48">
        <f>Tabell2[[#This Row],[Kvinneandel-I]]*Vekter!$F$3</f>
        <v>0</v>
      </c>
      <c r="AH144" s="48">
        <f>Tabell2[[#This Row],[Eldreandel-I]]*Vekter!$G$3</f>
        <v>1.4600427299238279</v>
      </c>
      <c r="AI144" s="48">
        <f>Tabell2[[#This Row],[Sysselsettingsvekst10-I]]*Vekter!$H$3</f>
        <v>3.5680291526979122</v>
      </c>
      <c r="AJ144" s="48">
        <f>Tabell2[[#This Row],[Yrkesaktivandel-I]]*Vekter!$J$3</f>
        <v>9.6067820867249143</v>
      </c>
      <c r="AK144" s="48">
        <f>Tabell2[[#This Row],[Inntekt-I]]*Vekter!$L$3</f>
        <v>5.724883691688671</v>
      </c>
      <c r="AL144" s="37">
        <f>SUM(Tabell2[[#This Row],[NIBR11-v]:[Inntekt-v]])</f>
        <v>26.839403738042105</v>
      </c>
    </row>
    <row r="145" spans="1:38">
      <c r="A145" s="2" t="s">
        <v>142</v>
      </c>
      <c r="B145">
        <f>'Rådata-K'!M144</f>
        <v>10</v>
      </c>
      <c r="C145" s="9">
        <f>'Rådata-K'!L144</f>
        <v>172.00671521300001</v>
      </c>
      <c r="D145" s="51">
        <f>'Rådata-K'!N144</f>
        <v>1.198709527857198</v>
      </c>
      <c r="E145" s="51">
        <f>'Rådata-K'!O144</f>
        <v>-8.7859424920128104E-3</v>
      </c>
      <c r="F145" s="51">
        <f>'Rådata-K'!P144</f>
        <v>0.11281224818694602</v>
      </c>
      <c r="G145" s="51">
        <f>'Rådata-K'!Q144</f>
        <v>0.17217297878055332</v>
      </c>
      <c r="H145" s="51">
        <f>'Rådata-K'!R144</f>
        <v>2.1764705882352908E-2</v>
      </c>
      <c r="I145" s="51">
        <f>'Rådata-K'!S144</f>
        <v>0.99673507462686572</v>
      </c>
      <c r="J145" s="52">
        <f>'Rådata-K'!K144</f>
        <v>359900</v>
      </c>
      <c r="K145" s="26">
        <f>Tabell2[[#This Row],[NIBR11]]</f>
        <v>10</v>
      </c>
      <c r="L145" s="52">
        <f>IF(Tabell2[[#This Row],[ReisetidOslo]]&lt;=C$434,C$434,IF(Tabell2[[#This Row],[ReisetidOslo]]&gt;=C$435,C$435,Tabell2[[#This Row],[ReisetidOslo]]))</f>
        <v>172.00671521300001</v>
      </c>
      <c r="M145" s="51">
        <f>IF(Tabell2[[#This Row],[Beftettotal]]&lt;=D$434,D$434,IF(Tabell2[[#This Row],[Beftettotal]]&gt;=D$435,D$435,Tabell2[[#This Row],[Beftettotal]]))</f>
        <v>1.3397285732306117</v>
      </c>
      <c r="N145" s="51">
        <f>IF(Tabell2[[#This Row],[Befvekst10]]&lt;=E$434,E$434,IF(Tabell2[[#This Row],[Befvekst10]]&gt;=E$435,E$435,Tabell2[[#This Row],[Befvekst10]]))</f>
        <v>-8.7859424920128104E-3</v>
      </c>
      <c r="O145" s="51">
        <f>IF(Tabell2[[#This Row],[Kvinneandel]]&lt;=F$434,F$434,IF(Tabell2[[#This Row],[Kvinneandel]]&gt;=F$435,F$435,Tabell2[[#This Row],[Kvinneandel]]))</f>
        <v>0.11281224818694602</v>
      </c>
      <c r="P145" s="51">
        <f>IF(Tabell2[[#This Row],[Eldreandel]]&lt;=G$434,G$434,IF(Tabell2[[#This Row],[Eldreandel]]&gt;=G$435,G$435,Tabell2[[#This Row],[Eldreandel]]))</f>
        <v>0.17217297878055332</v>
      </c>
      <c r="Q145" s="51">
        <f>IF(Tabell2[[#This Row],[Sysselsettingsvekst10]]&lt;=H$434,H$434,IF(Tabell2[[#This Row],[Sysselsettingsvekst10]]&gt;=H$435,H$435,Tabell2[[#This Row],[Sysselsettingsvekst10]]))</f>
        <v>2.1764705882352908E-2</v>
      </c>
      <c r="R145" s="51">
        <f>IF(Tabell2[[#This Row],[Yrkesaktivandel]]&lt;=I$434,I$434,IF(Tabell2[[#This Row],[Yrkesaktivandel]]&gt;=I$435,I$435,Tabell2[[#This Row],[Yrkesaktivandel]]))</f>
        <v>0.96217815624658265</v>
      </c>
      <c r="S145" s="52">
        <f>IF(Tabell2[[#This Row],[Inntekt]]&lt;=J$434,J$434,IF(Tabell2[[#This Row],[Inntekt]]&gt;=J$435,J$435,Tabell2[[#This Row],[Inntekt]]))</f>
        <v>359900</v>
      </c>
      <c r="T145" s="9">
        <f>IF(Tabell2[[#This Row],[NIBR11-T]]&lt;=K$437,100,IF(Tabell2[[#This Row],[NIBR11-T]]&gt;=K$436,0,100*(K$436-Tabell2[[#This Row],[NIBR11-T]])/K$439))</f>
        <v>10</v>
      </c>
      <c r="U145" s="9">
        <f>(L$436-Tabell2[[#This Row],[ReisetidOslo-T]])*100/L$439</f>
        <v>47.524404894884341</v>
      </c>
      <c r="V145" s="9">
        <f>100-(M$436-Tabell2[[#This Row],[Beftettotal-T]])*100/M$439</f>
        <v>0</v>
      </c>
      <c r="W145" s="9">
        <f>100-(N$436-Tabell2[[#This Row],[Befvekst10-T]])*100/N$439</f>
        <v>29.135180143617291</v>
      </c>
      <c r="X145" s="9">
        <f>100-(O$436-Tabell2[[#This Row],[Kvinneandel-T]])*100/O$439</f>
        <v>59.726363408264653</v>
      </c>
      <c r="Y145" s="9">
        <f>(P$436-Tabell2[[#This Row],[Eldreandel-T]])*100/P$439</f>
        <v>40.957432776093341</v>
      </c>
      <c r="Z145" s="9">
        <f>100-(Q$436-Tabell2[[#This Row],[Sysselsettingsvekst10-T]])*100/Q$439</f>
        <v>29.034154490407246</v>
      </c>
      <c r="AA145" s="9">
        <f>100-(R$436-Tabell2[[#This Row],[Yrkesaktivandel-T]])*100/R$439</f>
        <v>100</v>
      </c>
      <c r="AB145" s="9">
        <f>100-(S$436-Tabell2[[#This Row],[Inntekt-T]])*100/S$439</f>
        <v>49.578775304916384</v>
      </c>
      <c r="AC145" s="48">
        <f>Tabell2[[#This Row],[NIBR11-I]]*Vekter!$B$3</f>
        <v>2</v>
      </c>
      <c r="AD145" s="48">
        <f>Tabell2[[#This Row],[ReisetidOslo-I]]*Vekter!$C$3</f>
        <v>4.7524404894884347</v>
      </c>
      <c r="AE145" s="48">
        <f>Tabell2[[#This Row],[Beftettotal-I]]*Vekter!$D$3</f>
        <v>0</v>
      </c>
      <c r="AF145" s="48">
        <f>Tabell2[[#This Row],[Befvekst10-I]]*Vekter!$E$3</f>
        <v>5.8270360287234588</v>
      </c>
      <c r="AG145" s="48">
        <f>Tabell2[[#This Row],[Kvinneandel-I]]*Vekter!$F$3</f>
        <v>2.9863181704132327</v>
      </c>
      <c r="AH145" s="48">
        <f>Tabell2[[#This Row],[Eldreandel-I]]*Vekter!$G$3</f>
        <v>2.0478716388046672</v>
      </c>
      <c r="AI145" s="48">
        <f>Tabell2[[#This Row],[Sysselsettingsvekst10-I]]*Vekter!$H$3</f>
        <v>2.9034154490407249</v>
      </c>
      <c r="AJ145" s="48">
        <f>Tabell2[[#This Row],[Yrkesaktivandel-I]]*Vekter!$J$3</f>
        <v>10</v>
      </c>
      <c r="AK145" s="48">
        <f>Tabell2[[#This Row],[Inntekt-I]]*Vekter!$L$3</f>
        <v>4.9578775304916389</v>
      </c>
      <c r="AL145" s="37">
        <f>SUM(Tabell2[[#This Row],[NIBR11-v]:[Inntekt-v]])</f>
        <v>35.474959306962155</v>
      </c>
    </row>
    <row r="146" spans="1:38">
      <c r="A146" s="2" t="s">
        <v>143</v>
      </c>
      <c r="B146">
        <f>'Rådata-K'!M145</f>
        <v>5</v>
      </c>
      <c r="C146" s="9">
        <f>'Rådata-K'!L145</f>
        <v>170.76195718899999</v>
      </c>
      <c r="D146" s="51">
        <f>'Rådata-K'!N145</f>
        <v>35.749818634055345</v>
      </c>
      <c r="E146" s="51">
        <f>'Rådata-K'!O145</f>
        <v>-5.6212164889016814E-3</v>
      </c>
      <c r="F146" s="51">
        <f>'Rådata-K'!P145</f>
        <v>0.1039281055225395</v>
      </c>
      <c r="G146" s="51">
        <f>'Rådata-K'!Q145</f>
        <v>0.17147412668502682</v>
      </c>
      <c r="H146" s="51">
        <f>'Rådata-K'!R145</f>
        <v>4.1241162608012472E-2</v>
      </c>
      <c r="I146" s="51">
        <f>'Rådata-K'!S145</f>
        <v>0.81170483460559795</v>
      </c>
      <c r="J146" s="52">
        <f>'Rådata-K'!K145</f>
        <v>339400</v>
      </c>
      <c r="K146" s="26">
        <f>Tabell2[[#This Row],[NIBR11]]</f>
        <v>5</v>
      </c>
      <c r="L146" s="52">
        <f>IF(Tabell2[[#This Row],[ReisetidOslo]]&lt;=C$434,C$434,IF(Tabell2[[#This Row],[ReisetidOslo]]&gt;=C$435,C$435,Tabell2[[#This Row],[ReisetidOslo]]))</f>
        <v>170.76195718899999</v>
      </c>
      <c r="M146" s="51">
        <f>IF(Tabell2[[#This Row],[Beftettotal]]&lt;=D$434,D$434,IF(Tabell2[[#This Row],[Beftettotal]]&gt;=D$435,D$435,Tabell2[[#This Row],[Beftettotal]]))</f>
        <v>35.749818634055345</v>
      </c>
      <c r="N146" s="51">
        <f>IF(Tabell2[[#This Row],[Befvekst10]]&lt;=E$434,E$434,IF(Tabell2[[#This Row],[Befvekst10]]&gt;=E$435,E$435,Tabell2[[#This Row],[Befvekst10]]))</f>
        <v>-5.6212164889016814E-3</v>
      </c>
      <c r="O146" s="51">
        <f>IF(Tabell2[[#This Row],[Kvinneandel]]&lt;=F$434,F$434,IF(Tabell2[[#This Row],[Kvinneandel]]&gt;=F$435,F$435,Tabell2[[#This Row],[Kvinneandel]]))</f>
        <v>0.1039281055225395</v>
      </c>
      <c r="P146" s="51">
        <f>IF(Tabell2[[#This Row],[Eldreandel]]&lt;=G$434,G$434,IF(Tabell2[[#This Row],[Eldreandel]]&gt;=G$435,G$435,Tabell2[[#This Row],[Eldreandel]]))</f>
        <v>0.17147412668502682</v>
      </c>
      <c r="Q146" s="51">
        <f>IF(Tabell2[[#This Row],[Sysselsettingsvekst10]]&lt;=H$434,H$434,IF(Tabell2[[#This Row],[Sysselsettingsvekst10]]&gt;=H$435,H$435,Tabell2[[#This Row],[Sysselsettingsvekst10]]))</f>
        <v>4.1241162608012472E-2</v>
      </c>
      <c r="R146" s="51">
        <f>IF(Tabell2[[#This Row],[Yrkesaktivandel]]&lt;=I$434,I$434,IF(Tabell2[[#This Row],[Yrkesaktivandel]]&gt;=I$435,I$435,Tabell2[[#This Row],[Yrkesaktivandel]]))</f>
        <v>0.82803562853509294</v>
      </c>
      <c r="S146" s="52">
        <f>IF(Tabell2[[#This Row],[Inntekt]]&lt;=J$434,J$434,IF(Tabell2[[#This Row],[Inntekt]]&gt;=J$435,J$435,Tabell2[[#This Row],[Inntekt]]))</f>
        <v>339400</v>
      </c>
      <c r="T146" s="9">
        <f>IF(Tabell2[[#This Row],[NIBR11-T]]&lt;=K$437,100,IF(Tabell2[[#This Row],[NIBR11-T]]&gt;=K$436,0,100*(K$436-Tabell2[[#This Row],[NIBR11-T]])/K$439))</f>
        <v>60</v>
      </c>
      <c r="U146" s="9">
        <f>(L$436-Tabell2[[#This Row],[ReisetidOslo-T]])*100/L$439</f>
        <v>48.077015956350273</v>
      </c>
      <c r="V146" s="9">
        <f>100-(M$436-Tabell2[[#This Row],[Beftettotal-T]])*100/M$439</f>
        <v>27.10352106908384</v>
      </c>
      <c r="W146" s="9">
        <f>100-(N$436-Tabell2[[#This Row],[Befvekst10-T]])*100/N$439</f>
        <v>30.415804647498987</v>
      </c>
      <c r="X146" s="9">
        <f>100-(O$436-Tabell2[[#This Row],[Kvinneandel-T]])*100/O$439</f>
        <v>36.194954399782524</v>
      </c>
      <c r="Y146" s="9">
        <f>(P$436-Tabell2[[#This Row],[Eldreandel-T]])*100/P$439</f>
        <v>41.749711934296649</v>
      </c>
      <c r="Z146" s="9">
        <f>100-(Q$436-Tabell2[[#This Row],[Sysselsettingsvekst10-T]])*100/Q$439</f>
        <v>35.285535551038791</v>
      </c>
      <c r="AA146" s="9">
        <f>100-(R$436-Tabell2[[#This Row],[Yrkesaktivandel-T]])*100/R$439</f>
        <v>0</v>
      </c>
      <c r="AB146" s="9">
        <f>100-(S$436-Tabell2[[#This Row],[Inntekt-T]])*100/S$439</f>
        <v>23.802338740098079</v>
      </c>
      <c r="AC146" s="48">
        <f>Tabell2[[#This Row],[NIBR11-I]]*Vekter!$B$3</f>
        <v>12</v>
      </c>
      <c r="AD146" s="48">
        <f>Tabell2[[#This Row],[ReisetidOslo-I]]*Vekter!$C$3</f>
        <v>4.8077015956350273</v>
      </c>
      <c r="AE146" s="48">
        <f>Tabell2[[#This Row],[Beftettotal-I]]*Vekter!$D$3</f>
        <v>2.7103521069083842</v>
      </c>
      <c r="AF146" s="48">
        <f>Tabell2[[#This Row],[Befvekst10-I]]*Vekter!$E$3</f>
        <v>6.0831609294997975</v>
      </c>
      <c r="AG146" s="48">
        <f>Tabell2[[#This Row],[Kvinneandel-I]]*Vekter!$F$3</f>
        <v>1.8097477199891263</v>
      </c>
      <c r="AH146" s="48">
        <f>Tabell2[[#This Row],[Eldreandel-I]]*Vekter!$G$3</f>
        <v>2.0874855967148327</v>
      </c>
      <c r="AI146" s="48">
        <f>Tabell2[[#This Row],[Sysselsettingsvekst10-I]]*Vekter!$H$3</f>
        <v>3.5285535551038794</v>
      </c>
      <c r="AJ146" s="48">
        <f>Tabell2[[#This Row],[Yrkesaktivandel-I]]*Vekter!$J$3</f>
        <v>0</v>
      </c>
      <c r="AK146" s="48">
        <f>Tabell2[[#This Row],[Inntekt-I]]*Vekter!$L$3</f>
        <v>2.3802338740098081</v>
      </c>
      <c r="AL146" s="37">
        <f>SUM(Tabell2[[#This Row],[NIBR11-v]:[Inntekt-v]])</f>
        <v>35.407235377860857</v>
      </c>
    </row>
    <row r="147" spans="1:38">
      <c r="A147" s="2" t="s">
        <v>144</v>
      </c>
      <c r="B147">
        <f>'Rådata-K'!M146</f>
        <v>4</v>
      </c>
      <c r="C147" s="9">
        <f>'Rådata-K'!L146</f>
        <v>176.65751568659999</v>
      </c>
      <c r="D147" s="51">
        <f>'Rådata-K'!N146</f>
        <v>71.751375209987145</v>
      </c>
      <c r="E147" s="51">
        <f>'Rådata-K'!O146</f>
        <v>0.16237993596584843</v>
      </c>
      <c r="F147" s="51">
        <f>'Rådata-K'!P146</f>
        <v>0.12826516090529311</v>
      </c>
      <c r="G147" s="51">
        <f>'Rådata-K'!Q146</f>
        <v>0.1274388284441996</v>
      </c>
      <c r="H147" s="51">
        <f>'Rådata-K'!R146</f>
        <v>0.10536805740100985</v>
      </c>
      <c r="I147" s="51">
        <f>'Rådata-K'!S146</f>
        <v>0.83399240746599179</v>
      </c>
      <c r="J147" s="52">
        <f>'Rådata-K'!K146</f>
        <v>364000</v>
      </c>
      <c r="K147" s="26">
        <f>Tabell2[[#This Row],[NIBR11]]</f>
        <v>4</v>
      </c>
      <c r="L147" s="52">
        <f>IF(Tabell2[[#This Row],[ReisetidOslo]]&lt;=C$434,C$434,IF(Tabell2[[#This Row],[ReisetidOslo]]&gt;=C$435,C$435,Tabell2[[#This Row],[ReisetidOslo]]))</f>
        <v>176.65751568659999</v>
      </c>
      <c r="M147" s="51">
        <f>IF(Tabell2[[#This Row],[Beftettotal]]&lt;=D$434,D$434,IF(Tabell2[[#This Row],[Beftettotal]]&gt;=D$435,D$435,Tabell2[[#This Row],[Beftettotal]]))</f>
        <v>71.751375209987145</v>
      </c>
      <c r="N147" s="51">
        <f>IF(Tabell2[[#This Row],[Befvekst10]]&lt;=E$434,E$434,IF(Tabell2[[#This Row],[Befvekst10]]&gt;=E$435,E$435,Tabell2[[#This Row],[Befvekst10]]))</f>
        <v>0.16237993596584843</v>
      </c>
      <c r="O147" s="51">
        <f>IF(Tabell2[[#This Row],[Kvinneandel]]&lt;=F$434,F$434,IF(Tabell2[[#This Row],[Kvinneandel]]&gt;=F$435,F$435,Tabell2[[#This Row],[Kvinneandel]]))</f>
        <v>0.12801731869362362</v>
      </c>
      <c r="P147" s="51">
        <f>IF(Tabell2[[#This Row],[Eldreandel]]&lt;=G$434,G$434,IF(Tabell2[[#This Row],[Eldreandel]]&gt;=G$435,G$435,Tabell2[[#This Row],[Eldreandel]]))</f>
        <v>0.1274388284441996</v>
      </c>
      <c r="Q147" s="51">
        <f>IF(Tabell2[[#This Row],[Sysselsettingsvekst10]]&lt;=H$434,H$434,IF(Tabell2[[#This Row],[Sysselsettingsvekst10]]&gt;=H$435,H$435,Tabell2[[#This Row],[Sysselsettingsvekst10]]))</f>
        <v>0.10536805740100985</v>
      </c>
      <c r="R147" s="51">
        <f>IF(Tabell2[[#This Row],[Yrkesaktivandel]]&lt;=I$434,I$434,IF(Tabell2[[#This Row],[Yrkesaktivandel]]&gt;=I$435,I$435,Tabell2[[#This Row],[Yrkesaktivandel]]))</f>
        <v>0.83399240746599179</v>
      </c>
      <c r="S147" s="52">
        <f>IF(Tabell2[[#This Row],[Inntekt]]&lt;=J$434,J$434,IF(Tabell2[[#This Row],[Inntekt]]&gt;=J$435,J$435,Tabell2[[#This Row],[Inntekt]]))</f>
        <v>364000</v>
      </c>
      <c r="T147" s="9">
        <f>IF(Tabell2[[#This Row],[NIBR11-T]]&lt;=K$437,100,IF(Tabell2[[#This Row],[NIBR11-T]]&gt;=K$436,0,100*(K$436-Tabell2[[#This Row],[NIBR11-T]])/K$439))</f>
        <v>70</v>
      </c>
      <c r="U147" s="9">
        <f>(L$436-Tabell2[[#This Row],[ReisetidOslo-T]])*100/L$439</f>
        <v>45.459679272049314</v>
      </c>
      <c r="V147" s="9">
        <f>100-(M$436-Tabell2[[#This Row],[Beftettotal-T]])*100/M$439</f>
        <v>55.460579869301185</v>
      </c>
      <c r="W147" s="9">
        <f>100-(N$436-Tabell2[[#This Row],[Befvekst10-T]])*100/N$439</f>
        <v>98.398433254971962</v>
      </c>
      <c r="X147" s="9">
        <f>100-(O$436-Tabell2[[#This Row],[Kvinneandel-T]])*100/O$439</f>
        <v>100</v>
      </c>
      <c r="Y147" s="9">
        <f>(P$436-Tabell2[[#This Row],[Eldreandel-T]])*100/P$439</f>
        <v>91.671933309608306</v>
      </c>
      <c r="Z147" s="9">
        <f>100-(Q$436-Tabell2[[#This Row],[Sysselsettingsvekst10-T]])*100/Q$439</f>
        <v>55.868419862737447</v>
      </c>
      <c r="AA147" s="9">
        <f>100-(R$436-Tabell2[[#This Row],[Yrkesaktivandel-T]])*100/R$439</f>
        <v>4.4406341765905495</v>
      </c>
      <c r="AB147" s="9">
        <f>100-(S$436-Tabell2[[#This Row],[Inntekt-T]])*100/S$439</f>
        <v>54.734062617880042</v>
      </c>
      <c r="AC147" s="48">
        <f>Tabell2[[#This Row],[NIBR11-I]]*Vekter!$B$3</f>
        <v>14</v>
      </c>
      <c r="AD147" s="48">
        <f>Tabell2[[#This Row],[ReisetidOslo-I]]*Vekter!$C$3</f>
        <v>4.5459679272049316</v>
      </c>
      <c r="AE147" s="48">
        <f>Tabell2[[#This Row],[Beftettotal-I]]*Vekter!$D$3</f>
        <v>5.5460579869301192</v>
      </c>
      <c r="AF147" s="48">
        <f>Tabell2[[#This Row],[Befvekst10-I]]*Vekter!$E$3</f>
        <v>19.679686650994395</v>
      </c>
      <c r="AG147" s="48">
        <f>Tabell2[[#This Row],[Kvinneandel-I]]*Vekter!$F$3</f>
        <v>5</v>
      </c>
      <c r="AH147" s="48">
        <f>Tabell2[[#This Row],[Eldreandel-I]]*Vekter!$G$3</f>
        <v>4.5835966654804157</v>
      </c>
      <c r="AI147" s="48">
        <f>Tabell2[[#This Row],[Sysselsettingsvekst10-I]]*Vekter!$H$3</f>
        <v>5.5868419862737451</v>
      </c>
      <c r="AJ147" s="48">
        <f>Tabell2[[#This Row],[Yrkesaktivandel-I]]*Vekter!$J$3</f>
        <v>0.44406341765905499</v>
      </c>
      <c r="AK147" s="48">
        <f>Tabell2[[#This Row],[Inntekt-I]]*Vekter!$L$3</f>
        <v>5.4734062617880044</v>
      </c>
      <c r="AL147" s="37">
        <f>SUM(Tabell2[[#This Row],[NIBR11-v]:[Inntekt-v]])</f>
        <v>64.859620896330668</v>
      </c>
    </row>
    <row r="148" spans="1:38">
      <c r="A148" s="2" t="s">
        <v>145</v>
      </c>
      <c r="B148">
        <f>'Rådata-K'!M147</f>
        <v>4</v>
      </c>
      <c r="C148" s="9">
        <f>'Rådata-K'!L147</f>
        <v>189.936887773</v>
      </c>
      <c r="D148" s="51">
        <f>'Rådata-K'!N147</f>
        <v>162.33799896319337</v>
      </c>
      <c r="E148" s="51">
        <f>'Rådata-K'!O147</f>
        <v>0.11003924547411059</v>
      </c>
      <c r="F148" s="51">
        <f>'Rådata-K'!P147</f>
        <v>0.12223717524691499</v>
      </c>
      <c r="G148" s="51">
        <f>'Rådata-K'!Q147</f>
        <v>0.14053055359138705</v>
      </c>
      <c r="H148" s="51">
        <f>'Rådata-K'!R147</f>
        <v>0.16485820621691039</v>
      </c>
      <c r="I148" s="51">
        <f>'Rådata-K'!S147</f>
        <v>0.80817622236847197</v>
      </c>
      <c r="J148" s="52">
        <f>'Rådata-K'!K147</f>
        <v>369000</v>
      </c>
      <c r="K148" s="26">
        <f>Tabell2[[#This Row],[NIBR11]]</f>
        <v>4</v>
      </c>
      <c r="L148" s="52">
        <f>IF(Tabell2[[#This Row],[ReisetidOslo]]&lt;=C$434,C$434,IF(Tabell2[[#This Row],[ReisetidOslo]]&gt;=C$435,C$435,Tabell2[[#This Row],[ReisetidOslo]]))</f>
        <v>189.936887773</v>
      </c>
      <c r="M148" s="51">
        <f>IF(Tabell2[[#This Row],[Beftettotal]]&lt;=D$434,D$434,IF(Tabell2[[#This Row],[Beftettotal]]&gt;=D$435,D$435,Tabell2[[#This Row],[Beftettotal]]))</f>
        <v>128.29773514779066</v>
      </c>
      <c r="N148" s="51">
        <f>IF(Tabell2[[#This Row],[Befvekst10]]&lt;=E$434,E$434,IF(Tabell2[[#This Row],[Befvekst10]]&gt;=E$435,E$435,Tabell2[[#This Row],[Befvekst10]]))</f>
        <v>0.11003924547411059</v>
      </c>
      <c r="O148" s="51">
        <f>IF(Tabell2[[#This Row],[Kvinneandel]]&lt;=F$434,F$434,IF(Tabell2[[#This Row],[Kvinneandel]]&gt;=F$435,F$435,Tabell2[[#This Row],[Kvinneandel]]))</f>
        <v>0.12223717524691499</v>
      </c>
      <c r="P148" s="51">
        <f>IF(Tabell2[[#This Row],[Eldreandel]]&lt;=G$434,G$434,IF(Tabell2[[#This Row],[Eldreandel]]&gt;=G$435,G$435,Tabell2[[#This Row],[Eldreandel]]))</f>
        <v>0.14053055359138705</v>
      </c>
      <c r="Q148" s="51">
        <f>IF(Tabell2[[#This Row],[Sysselsettingsvekst10]]&lt;=H$434,H$434,IF(Tabell2[[#This Row],[Sysselsettingsvekst10]]&gt;=H$435,H$435,Tabell2[[#This Row],[Sysselsettingsvekst10]]))</f>
        <v>0.16485820621691039</v>
      </c>
      <c r="R148" s="51">
        <f>IF(Tabell2[[#This Row],[Yrkesaktivandel]]&lt;=I$434,I$434,IF(Tabell2[[#This Row],[Yrkesaktivandel]]&gt;=I$435,I$435,Tabell2[[#This Row],[Yrkesaktivandel]]))</f>
        <v>0.82803562853509294</v>
      </c>
      <c r="S148" s="52">
        <f>IF(Tabell2[[#This Row],[Inntekt]]&lt;=J$434,J$434,IF(Tabell2[[#This Row],[Inntekt]]&gt;=J$435,J$435,Tabell2[[#This Row],[Inntekt]]))</f>
        <v>369000</v>
      </c>
      <c r="T148" s="9">
        <f>IF(Tabell2[[#This Row],[NIBR11-T]]&lt;=K$437,100,IF(Tabell2[[#This Row],[NIBR11-T]]&gt;=K$436,0,100*(K$436-Tabell2[[#This Row],[NIBR11-T]])/K$439))</f>
        <v>70</v>
      </c>
      <c r="U148" s="9">
        <f>(L$436-Tabell2[[#This Row],[ReisetidOslo-T]])*100/L$439</f>
        <v>39.564294174884083</v>
      </c>
      <c r="V148" s="9">
        <f>100-(M$436-Tabell2[[#This Row],[Beftettotal-T]])*100/M$439</f>
        <v>100</v>
      </c>
      <c r="W148" s="9">
        <f>100-(N$436-Tabell2[[#This Row],[Befvekst10-T]])*100/N$439</f>
        <v>77.218473053705509</v>
      </c>
      <c r="X148" s="9">
        <f>100-(O$436-Tabell2[[#This Row],[Kvinneandel-T]])*100/O$439</f>
        <v>84.690146848144451</v>
      </c>
      <c r="Y148" s="9">
        <f>(P$436-Tabell2[[#This Row],[Eldreandel-T]])*100/P$439</f>
        <v>76.830021772906761</v>
      </c>
      <c r="Z148" s="9">
        <f>100-(Q$436-Tabell2[[#This Row],[Sysselsettingsvekst10-T]])*100/Q$439</f>
        <v>74.963042403187188</v>
      </c>
      <c r="AA148" s="9">
        <f>100-(R$436-Tabell2[[#This Row],[Yrkesaktivandel-T]])*100/R$439</f>
        <v>0</v>
      </c>
      <c r="AB148" s="9">
        <f>100-(S$436-Tabell2[[#This Row],[Inntekt-T]])*100/S$439</f>
        <v>61.020998365396707</v>
      </c>
      <c r="AC148" s="48">
        <f>Tabell2[[#This Row],[NIBR11-I]]*Vekter!$B$3</f>
        <v>14</v>
      </c>
      <c r="AD148" s="48">
        <f>Tabell2[[#This Row],[ReisetidOslo-I]]*Vekter!$C$3</f>
        <v>3.9564294174884083</v>
      </c>
      <c r="AE148" s="48">
        <f>Tabell2[[#This Row],[Beftettotal-I]]*Vekter!$D$3</f>
        <v>10</v>
      </c>
      <c r="AF148" s="48">
        <f>Tabell2[[#This Row],[Befvekst10-I]]*Vekter!$E$3</f>
        <v>15.443694610741103</v>
      </c>
      <c r="AG148" s="48">
        <f>Tabell2[[#This Row],[Kvinneandel-I]]*Vekter!$F$3</f>
        <v>4.2345073424072224</v>
      </c>
      <c r="AH148" s="48">
        <f>Tabell2[[#This Row],[Eldreandel-I]]*Vekter!$G$3</f>
        <v>3.8415010886453382</v>
      </c>
      <c r="AI148" s="48">
        <f>Tabell2[[#This Row],[Sysselsettingsvekst10-I]]*Vekter!$H$3</f>
        <v>7.496304240318719</v>
      </c>
      <c r="AJ148" s="48">
        <f>Tabell2[[#This Row],[Yrkesaktivandel-I]]*Vekter!$J$3</f>
        <v>0</v>
      </c>
      <c r="AK148" s="48">
        <f>Tabell2[[#This Row],[Inntekt-I]]*Vekter!$L$3</f>
        <v>6.1020998365396713</v>
      </c>
      <c r="AL148" s="37">
        <f>SUM(Tabell2[[#This Row],[NIBR11-v]:[Inntekt-v]])</f>
        <v>65.074536536140457</v>
      </c>
    </row>
    <row r="149" spans="1:38">
      <c r="A149" s="2" t="s">
        <v>146</v>
      </c>
      <c r="B149">
        <f>'Rådata-K'!M148</f>
        <v>5</v>
      </c>
      <c r="C149" s="9">
        <f>'Rådata-K'!L148</f>
        <v>157.53217205000001</v>
      </c>
      <c r="D149" s="51">
        <f>'Rådata-K'!N148</f>
        <v>7.7264543366238287</v>
      </c>
      <c r="E149" s="51">
        <f>'Rådata-K'!O148</f>
        <v>-2.046438410074769E-2</v>
      </c>
      <c r="F149" s="51">
        <f>'Rådata-K'!P148</f>
        <v>0.10807553234230614</v>
      </c>
      <c r="G149" s="51">
        <f>'Rådata-K'!Q148</f>
        <v>0.1570912012856569</v>
      </c>
      <c r="H149" s="51">
        <f>'Rådata-K'!R148</f>
        <v>2.0954598370197974E-2</v>
      </c>
      <c r="I149" s="51">
        <f>'Rådata-K'!S148</f>
        <v>0.81288981288981288</v>
      </c>
      <c r="J149" s="52">
        <f>'Rådata-K'!K148</f>
        <v>321900</v>
      </c>
      <c r="K149" s="26">
        <f>Tabell2[[#This Row],[NIBR11]]</f>
        <v>5</v>
      </c>
      <c r="L149" s="52">
        <f>IF(Tabell2[[#This Row],[ReisetidOslo]]&lt;=C$434,C$434,IF(Tabell2[[#This Row],[ReisetidOslo]]&gt;=C$435,C$435,Tabell2[[#This Row],[ReisetidOslo]]))</f>
        <v>157.53217205000001</v>
      </c>
      <c r="M149" s="51">
        <f>IF(Tabell2[[#This Row],[Beftettotal]]&lt;=D$434,D$434,IF(Tabell2[[#This Row],[Beftettotal]]&gt;=D$435,D$435,Tabell2[[#This Row],[Beftettotal]]))</f>
        <v>7.7264543366238287</v>
      </c>
      <c r="N149" s="51">
        <f>IF(Tabell2[[#This Row],[Befvekst10]]&lt;=E$434,E$434,IF(Tabell2[[#This Row],[Befvekst10]]&gt;=E$435,E$435,Tabell2[[#This Row],[Befvekst10]]))</f>
        <v>-2.046438410074769E-2</v>
      </c>
      <c r="O149" s="51">
        <f>IF(Tabell2[[#This Row],[Kvinneandel]]&lt;=F$434,F$434,IF(Tabell2[[#This Row],[Kvinneandel]]&gt;=F$435,F$435,Tabell2[[#This Row],[Kvinneandel]]))</f>
        <v>0.10807553234230614</v>
      </c>
      <c r="P149" s="51">
        <f>IF(Tabell2[[#This Row],[Eldreandel]]&lt;=G$434,G$434,IF(Tabell2[[#This Row],[Eldreandel]]&gt;=G$435,G$435,Tabell2[[#This Row],[Eldreandel]]))</f>
        <v>0.1570912012856569</v>
      </c>
      <c r="Q149" s="51">
        <f>IF(Tabell2[[#This Row],[Sysselsettingsvekst10]]&lt;=H$434,H$434,IF(Tabell2[[#This Row],[Sysselsettingsvekst10]]&gt;=H$435,H$435,Tabell2[[#This Row],[Sysselsettingsvekst10]]))</f>
        <v>2.0954598370197974E-2</v>
      </c>
      <c r="R149" s="51">
        <f>IF(Tabell2[[#This Row],[Yrkesaktivandel]]&lt;=I$434,I$434,IF(Tabell2[[#This Row],[Yrkesaktivandel]]&gt;=I$435,I$435,Tabell2[[#This Row],[Yrkesaktivandel]]))</f>
        <v>0.82803562853509294</v>
      </c>
      <c r="S149" s="52">
        <f>IF(Tabell2[[#This Row],[Inntekt]]&lt;=J$434,J$434,IF(Tabell2[[#This Row],[Inntekt]]&gt;=J$435,J$435,Tabell2[[#This Row],[Inntekt]]))</f>
        <v>321900</v>
      </c>
      <c r="T149" s="9">
        <f>IF(Tabell2[[#This Row],[NIBR11-T]]&lt;=K$437,100,IF(Tabell2[[#This Row],[NIBR11-T]]&gt;=K$436,0,100*(K$436-Tabell2[[#This Row],[NIBR11-T]])/K$439))</f>
        <v>60</v>
      </c>
      <c r="U149" s="9">
        <f>(L$436-Tabell2[[#This Row],[ReisetidOslo-T]])*100/L$439</f>
        <v>53.950386898869176</v>
      </c>
      <c r="V149" s="9">
        <f>100-(M$436-Tabell2[[#This Row],[Beftettotal-T]])*100/M$439</f>
        <v>5.0305813203221703</v>
      </c>
      <c r="W149" s="9">
        <f>100-(N$436-Tabell2[[#This Row],[Befvekst10-T]])*100/N$439</f>
        <v>24.409431855583847</v>
      </c>
      <c r="X149" s="9">
        <f>100-(O$436-Tabell2[[#This Row],[Kvinneandel-T]])*100/O$439</f>
        <v>47.180234636184117</v>
      </c>
      <c r="Y149" s="9">
        <f>(P$436-Tabell2[[#This Row],[Eldreandel-T]])*100/P$439</f>
        <v>58.055439713976362</v>
      </c>
      <c r="Z149" s="9">
        <f>100-(Q$436-Tabell2[[#This Row],[Sysselsettingsvekst10-T]])*100/Q$439</f>
        <v>28.774133336154449</v>
      </c>
      <c r="AA149" s="9">
        <f>100-(R$436-Tabell2[[#This Row],[Yrkesaktivandel-T]])*100/R$439</f>
        <v>0</v>
      </c>
      <c r="AB149" s="9">
        <f>100-(S$436-Tabell2[[#This Row],[Inntekt-T]])*100/S$439</f>
        <v>1.7980636237897585</v>
      </c>
      <c r="AC149" s="48">
        <f>Tabell2[[#This Row],[NIBR11-I]]*Vekter!$B$3</f>
        <v>12</v>
      </c>
      <c r="AD149" s="48">
        <f>Tabell2[[#This Row],[ReisetidOslo-I]]*Vekter!$C$3</f>
        <v>5.3950386898869178</v>
      </c>
      <c r="AE149" s="48">
        <f>Tabell2[[#This Row],[Beftettotal-I]]*Vekter!$D$3</f>
        <v>0.50305813203221705</v>
      </c>
      <c r="AF149" s="48">
        <f>Tabell2[[#This Row],[Befvekst10-I]]*Vekter!$E$3</f>
        <v>4.8818863711167699</v>
      </c>
      <c r="AG149" s="48">
        <f>Tabell2[[#This Row],[Kvinneandel-I]]*Vekter!$F$3</f>
        <v>2.3590117318092059</v>
      </c>
      <c r="AH149" s="48">
        <f>Tabell2[[#This Row],[Eldreandel-I]]*Vekter!$G$3</f>
        <v>2.9027719856988181</v>
      </c>
      <c r="AI149" s="48">
        <f>Tabell2[[#This Row],[Sysselsettingsvekst10-I]]*Vekter!$H$3</f>
        <v>2.8774133336154453</v>
      </c>
      <c r="AJ149" s="48">
        <f>Tabell2[[#This Row],[Yrkesaktivandel-I]]*Vekter!$J$3</f>
        <v>0</v>
      </c>
      <c r="AK149" s="48">
        <f>Tabell2[[#This Row],[Inntekt-I]]*Vekter!$L$3</f>
        <v>0.17980636237897585</v>
      </c>
      <c r="AL149" s="37">
        <f>SUM(Tabell2[[#This Row],[NIBR11-v]:[Inntekt-v]])</f>
        <v>31.098986606538347</v>
      </c>
    </row>
    <row r="150" spans="1:38">
      <c r="A150" s="2" t="s">
        <v>147</v>
      </c>
      <c r="B150">
        <f>'Rådata-K'!M149</f>
        <v>4</v>
      </c>
      <c r="C150" s="9">
        <f>'Rådata-K'!L149</f>
        <v>165.528904119</v>
      </c>
      <c r="D150" s="51">
        <f>'Rådata-K'!N149</f>
        <v>5.6235062561507103</v>
      </c>
      <c r="E150" s="51">
        <f>'Rådata-K'!O149</f>
        <v>7.7586206896551824E-2</v>
      </c>
      <c r="F150" s="51">
        <f>'Rådata-K'!P149</f>
        <v>0.1145</v>
      </c>
      <c r="G150" s="51">
        <f>'Rådata-K'!Q149</f>
        <v>0.14599999999999999</v>
      </c>
      <c r="H150" s="51">
        <f>'Rådata-K'!R149</f>
        <v>5.8922558922558821E-2</v>
      </c>
      <c r="I150" s="51">
        <f>'Rådata-K'!S149</f>
        <v>0.84622302158273377</v>
      </c>
      <c r="J150" s="52">
        <f>'Rådata-K'!K149</f>
        <v>333800</v>
      </c>
      <c r="K150" s="26">
        <f>Tabell2[[#This Row],[NIBR11]]</f>
        <v>4</v>
      </c>
      <c r="L150" s="52">
        <f>IF(Tabell2[[#This Row],[ReisetidOslo]]&lt;=C$434,C$434,IF(Tabell2[[#This Row],[ReisetidOslo]]&gt;=C$435,C$435,Tabell2[[#This Row],[ReisetidOslo]]))</f>
        <v>165.528904119</v>
      </c>
      <c r="M150" s="51">
        <f>IF(Tabell2[[#This Row],[Beftettotal]]&lt;=D$434,D$434,IF(Tabell2[[#This Row],[Beftettotal]]&gt;=D$435,D$435,Tabell2[[#This Row],[Beftettotal]]))</f>
        <v>5.6235062561507103</v>
      </c>
      <c r="N150" s="51">
        <f>IF(Tabell2[[#This Row],[Befvekst10]]&lt;=E$434,E$434,IF(Tabell2[[#This Row],[Befvekst10]]&gt;=E$435,E$435,Tabell2[[#This Row],[Befvekst10]]))</f>
        <v>7.7586206896551824E-2</v>
      </c>
      <c r="O150" s="51">
        <f>IF(Tabell2[[#This Row],[Kvinneandel]]&lt;=F$434,F$434,IF(Tabell2[[#This Row],[Kvinneandel]]&gt;=F$435,F$435,Tabell2[[#This Row],[Kvinneandel]]))</f>
        <v>0.1145</v>
      </c>
      <c r="P150" s="51">
        <f>IF(Tabell2[[#This Row],[Eldreandel]]&lt;=G$434,G$434,IF(Tabell2[[#This Row],[Eldreandel]]&gt;=G$435,G$435,Tabell2[[#This Row],[Eldreandel]]))</f>
        <v>0.14599999999999999</v>
      </c>
      <c r="Q150" s="51">
        <f>IF(Tabell2[[#This Row],[Sysselsettingsvekst10]]&lt;=H$434,H$434,IF(Tabell2[[#This Row],[Sysselsettingsvekst10]]&gt;=H$435,H$435,Tabell2[[#This Row],[Sysselsettingsvekst10]]))</f>
        <v>5.8922558922558821E-2</v>
      </c>
      <c r="R150" s="51">
        <f>IF(Tabell2[[#This Row],[Yrkesaktivandel]]&lt;=I$434,I$434,IF(Tabell2[[#This Row],[Yrkesaktivandel]]&gt;=I$435,I$435,Tabell2[[#This Row],[Yrkesaktivandel]]))</f>
        <v>0.84622302158273377</v>
      </c>
      <c r="S150" s="52">
        <f>IF(Tabell2[[#This Row],[Inntekt]]&lt;=J$434,J$434,IF(Tabell2[[#This Row],[Inntekt]]&gt;=J$435,J$435,Tabell2[[#This Row],[Inntekt]]))</f>
        <v>333800</v>
      </c>
      <c r="T150" s="9">
        <f>IF(Tabell2[[#This Row],[NIBR11-T]]&lt;=K$437,100,IF(Tabell2[[#This Row],[NIBR11-T]]&gt;=K$436,0,100*(K$436-Tabell2[[#This Row],[NIBR11-T]])/K$439))</f>
        <v>70</v>
      </c>
      <c r="U150" s="9">
        <f>(L$436-Tabell2[[#This Row],[ReisetidOslo-T]])*100/L$439</f>
        <v>50.400232963963788</v>
      </c>
      <c r="V150" s="9">
        <f>100-(M$436-Tabell2[[#This Row],[Beftettotal-T]])*100/M$439</f>
        <v>3.374168985871961</v>
      </c>
      <c r="W150" s="9">
        <f>100-(N$436-Tabell2[[#This Row],[Befvekst10-T]])*100/N$439</f>
        <v>64.086165110779888</v>
      </c>
      <c r="X150" s="9">
        <f>100-(O$436-Tabell2[[#This Row],[Kvinneandel-T]])*100/O$439</f>
        <v>64.196707899342641</v>
      </c>
      <c r="Y150" s="9">
        <f>(P$436-Tabell2[[#This Row],[Eldreandel-T]])*100/P$439</f>
        <v>70.629384436061756</v>
      </c>
      <c r="Z150" s="9">
        <f>100-(Q$436-Tabell2[[#This Row],[Sysselsettingsvekst10-T]])*100/Q$439</f>
        <v>40.960753975170945</v>
      </c>
      <c r="AA150" s="9">
        <f>100-(R$436-Tabell2[[#This Row],[Yrkesaktivandel-T]])*100/R$439</f>
        <v>13.558260275785031</v>
      </c>
      <c r="AB150" s="9">
        <f>100-(S$436-Tabell2[[#This Row],[Inntekt-T]])*100/S$439</f>
        <v>16.760970702879419</v>
      </c>
      <c r="AC150" s="48">
        <f>Tabell2[[#This Row],[NIBR11-I]]*Vekter!$B$3</f>
        <v>14</v>
      </c>
      <c r="AD150" s="48">
        <f>Tabell2[[#This Row],[ReisetidOslo-I]]*Vekter!$C$3</f>
        <v>5.0400232963963791</v>
      </c>
      <c r="AE150" s="48">
        <f>Tabell2[[#This Row],[Beftettotal-I]]*Vekter!$D$3</f>
        <v>0.33741689858719615</v>
      </c>
      <c r="AF150" s="48">
        <f>Tabell2[[#This Row],[Befvekst10-I]]*Vekter!$E$3</f>
        <v>12.817233022155978</v>
      </c>
      <c r="AG150" s="48">
        <f>Tabell2[[#This Row],[Kvinneandel-I]]*Vekter!$F$3</f>
        <v>3.2098353949671323</v>
      </c>
      <c r="AH150" s="48">
        <f>Tabell2[[#This Row],[Eldreandel-I]]*Vekter!$G$3</f>
        <v>3.5314692218030879</v>
      </c>
      <c r="AI150" s="48">
        <f>Tabell2[[#This Row],[Sysselsettingsvekst10-I]]*Vekter!$H$3</f>
        <v>4.0960753975170947</v>
      </c>
      <c r="AJ150" s="48">
        <f>Tabell2[[#This Row],[Yrkesaktivandel-I]]*Vekter!$J$3</f>
        <v>1.3558260275785032</v>
      </c>
      <c r="AK150" s="48">
        <f>Tabell2[[#This Row],[Inntekt-I]]*Vekter!$L$3</f>
        <v>1.6760970702879421</v>
      </c>
      <c r="AL150" s="37">
        <f>SUM(Tabell2[[#This Row],[NIBR11-v]:[Inntekt-v]])</f>
        <v>46.063976329293311</v>
      </c>
    </row>
    <row r="151" spans="1:38">
      <c r="A151" s="2" t="s">
        <v>148</v>
      </c>
      <c r="B151">
        <f>'Rådata-K'!M150</f>
        <v>4</v>
      </c>
      <c r="C151" s="9">
        <f>'Rådata-K'!L150</f>
        <v>172.09824199299999</v>
      </c>
      <c r="D151" s="51">
        <f>'Rådata-K'!N150</f>
        <v>27.84338955011259</v>
      </c>
      <c r="E151" s="51">
        <f>'Rådata-K'!O150</f>
        <v>2.9216918634278999E-2</v>
      </c>
      <c r="F151" s="51">
        <f>'Rådata-K'!P150</f>
        <v>0.11668592176926885</v>
      </c>
      <c r="G151" s="51">
        <f>'Rådata-K'!Q150</f>
        <v>0.16537382406337681</v>
      </c>
      <c r="H151" s="51">
        <f>'Rådata-K'!R150</f>
        <v>0.12337349397590369</v>
      </c>
      <c r="I151" s="51">
        <f>'Rådata-K'!S150</f>
        <v>0.7989586346543246</v>
      </c>
      <c r="J151" s="52">
        <f>'Rådata-K'!K150</f>
        <v>347000</v>
      </c>
      <c r="K151" s="26">
        <f>Tabell2[[#This Row],[NIBR11]]</f>
        <v>4</v>
      </c>
      <c r="L151" s="52">
        <f>IF(Tabell2[[#This Row],[ReisetidOslo]]&lt;=C$434,C$434,IF(Tabell2[[#This Row],[ReisetidOslo]]&gt;=C$435,C$435,Tabell2[[#This Row],[ReisetidOslo]]))</f>
        <v>172.09824199299999</v>
      </c>
      <c r="M151" s="51">
        <f>IF(Tabell2[[#This Row],[Beftettotal]]&lt;=D$434,D$434,IF(Tabell2[[#This Row],[Beftettotal]]&gt;=D$435,D$435,Tabell2[[#This Row],[Beftettotal]]))</f>
        <v>27.84338955011259</v>
      </c>
      <c r="N151" s="51">
        <f>IF(Tabell2[[#This Row],[Befvekst10]]&lt;=E$434,E$434,IF(Tabell2[[#This Row],[Befvekst10]]&gt;=E$435,E$435,Tabell2[[#This Row],[Befvekst10]]))</f>
        <v>2.9216918634278999E-2</v>
      </c>
      <c r="O151" s="51">
        <f>IF(Tabell2[[#This Row],[Kvinneandel]]&lt;=F$434,F$434,IF(Tabell2[[#This Row],[Kvinneandel]]&gt;=F$435,F$435,Tabell2[[#This Row],[Kvinneandel]]))</f>
        <v>0.11668592176926885</v>
      </c>
      <c r="P151" s="51">
        <f>IF(Tabell2[[#This Row],[Eldreandel]]&lt;=G$434,G$434,IF(Tabell2[[#This Row],[Eldreandel]]&gt;=G$435,G$435,Tabell2[[#This Row],[Eldreandel]]))</f>
        <v>0.16537382406337681</v>
      </c>
      <c r="Q151" s="51">
        <f>IF(Tabell2[[#This Row],[Sysselsettingsvekst10]]&lt;=H$434,H$434,IF(Tabell2[[#This Row],[Sysselsettingsvekst10]]&gt;=H$435,H$435,Tabell2[[#This Row],[Sysselsettingsvekst10]]))</f>
        <v>0.12337349397590369</v>
      </c>
      <c r="R151" s="51">
        <f>IF(Tabell2[[#This Row],[Yrkesaktivandel]]&lt;=I$434,I$434,IF(Tabell2[[#This Row],[Yrkesaktivandel]]&gt;=I$435,I$435,Tabell2[[#This Row],[Yrkesaktivandel]]))</f>
        <v>0.82803562853509294</v>
      </c>
      <c r="S151" s="52">
        <f>IF(Tabell2[[#This Row],[Inntekt]]&lt;=J$434,J$434,IF(Tabell2[[#This Row],[Inntekt]]&gt;=J$435,J$435,Tabell2[[#This Row],[Inntekt]]))</f>
        <v>347000</v>
      </c>
      <c r="T151" s="9">
        <f>IF(Tabell2[[#This Row],[NIBR11-T]]&lt;=K$437,100,IF(Tabell2[[#This Row],[NIBR11-T]]&gt;=K$436,0,100*(K$436-Tabell2[[#This Row],[NIBR11-T]])/K$439))</f>
        <v>70</v>
      </c>
      <c r="U151" s="9">
        <f>(L$436-Tabell2[[#This Row],[ReisetidOslo-T]])*100/L$439</f>
        <v>47.483771526733143</v>
      </c>
      <c r="V151" s="9">
        <f>100-(M$436-Tabell2[[#This Row],[Beftettotal-T]])*100/M$439</f>
        <v>20.875927160463775</v>
      </c>
      <c r="W151" s="9">
        <f>100-(N$436-Tabell2[[#This Row],[Befvekst10-T]])*100/N$439</f>
        <v>44.513255568819659</v>
      </c>
      <c r="X151" s="9">
        <f>100-(O$436-Tabell2[[#This Row],[Kvinneandel-T]])*100/O$439</f>
        <v>69.986554050653467</v>
      </c>
      <c r="Y151" s="9">
        <f>(P$436-Tabell2[[#This Row],[Eldreandel-T]])*100/P$439</f>
        <v>48.665542418034619</v>
      </c>
      <c r="Z151" s="9">
        <f>100-(Q$436-Tabell2[[#This Row],[Sysselsettingsvekst10-T]])*100/Q$439</f>
        <v>61.647645867660692</v>
      </c>
      <c r="AA151" s="9">
        <f>100-(R$436-Tabell2[[#This Row],[Yrkesaktivandel-T]])*100/R$439</f>
        <v>0</v>
      </c>
      <c r="AB151" s="9">
        <f>100-(S$436-Tabell2[[#This Row],[Inntekt-T]])*100/S$439</f>
        <v>33.3584810763234</v>
      </c>
      <c r="AC151" s="48">
        <f>Tabell2[[#This Row],[NIBR11-I]]*Vekter!$B$3</f>
        <v>14</v>
      </c>
      <c r="AD151" s="48">
        <f>Tabell2[[#This Row],[ReisetidOslo-I]]*Vekter!$C$3</f>
        <v>4.7483771526733145</v>
      </c>
      <c r="AE151" s="48">
        <f>Tabell2[[#This Row],[Beftettotal-I]]*Vekter!$D$3</f>
        <v>2.0875927160463776</v>
      </c>
      <c r="AF151" s="48">
        <f>Tabell2[[#This Row],[Befvekst10-I]]*Vekter!$E$3</f>
        <v>8.9026511137639321</v>
      </c>
      <c r="AG151" s="48">
        <f>Tabell2[[#This Row],[Kvinneandel-I]]*Vekter!$F$3</f>
        <v>3.4993277025326734</v>
      </c>
      <c r="AH151" s="48">
        <f>Tabell2[[#This Row],[Eldreandel-I]]*Vekter!$G$3</f>
        <v>2.4332771209017312</v>
      </c>
      <c r="AI151" s="48">
        <f>Tabell2[[#This Row],[Sysselsettingsvekst10-I]]*Vekter!$H$3</f>
        <v>6.1647645867660694</v>
      </c>
      <c r="AJ151" s="48">
        <f>Tabell2[[#This Row],[Yrkesaktivandel-I]]*Vekter!$J$3</f>
        <v>0</v>
      </c>
      <c r="AK151" s="48">
        <f>Tabell2[[#This Row],[Inntekt-I]]*Vekter!$L$3</f>
        <v>3.3358481076323403</v>
      </c>
      <c r="AL151" s="37">
        <f>SUM(Tabell2[[#This Row],[NIBR11-v]:[Inntekt-v]])</f>
        <v>45.171838500316433</v>
      </c>
    </row>
    <row r="152" spans="1:38">
      <c r="A152" s="2" t="s">
        <v>149</v>
      </c>
      <c r="B152">
        <f>'Rådata-K'!M151</f>
        <v>4</v>
      </c>
      <c r="C152" s="9">
        <f>'Rådata-K'!L151</f>
        <v>192.36414494499999</v>
      </c>
      <c r="D152" s="51">
        <f>'Rådata-K'!N151</f>
        <v>8.5113645178806934</v>
      </c>
      <c r="E152" s="51">
        <f>'Rådata-K'!O151</f>
        <v>0.16773094934014465</v>
      </c>
      <c r="F152" s="51">
        <f>'Rådata-K'!P151</f>
        <v>0.13069631790010938</v>
      </c>
      <c r="G152" s="51">
        <f>'Rådata-K'!Q151</f>
        <v>0.11429092234779438</v>
      </c>
      <c r="H152" s="51">
        <f>'Rådata-K'!R151</f>
        <v>0.12274678111587978</v>
      </c>
      <c r="I152" s="51">
        <f>'Rådata-K'!S151</f>
        <v>0.84444444444444444</v>
      </c>
      <c r="J152" s="52">
        <f>'Rådata-K'!K151</f>
        <v>348600</v>
      </c>
      <c r="K152" s="26">
        <f>Tabell2[[#This Row],[NIBR11]]</f>
        <v>4</v>
      </c>
      <c r="L152" s="52">
        <f>IF(Tabell2[[#This Row],[ReisetidOslo]]&lt;=C$434,C$434,IF(Tabell2[[#This Row],[ReisetidOslo]]&gt;=C$435,C$435,Tabell2[[#This Row],[ReisetidOslo]]))</f>
        <v>192.36414494499999</v>
      </c>
      <c r="M152" s="51">
        <f>IF(Tabell2[[#This Row],[Beftettotal]]&lt;=D$434,D$434,IF(Tabell2[[#This Row],[Beftettotal]]&gt;=D$435,D$435,Tabell2[[#This Row],[Beftettotal]]))</f>
        <v>8.5113645178806934</v>
      </c>
      <c r="N152" s="51">
        <f>IF(Tabell2[[#This Row],[Befvekst10]]&lt;=E$434,E$434,IF(Tabell2[[#This Row],[Befvekst10]]&gt;=E$435,E$435,Tabell2[[#This Row],[Befvekst10]]))</f>
        <v>0.16633778614624492</v>
      </c>
      <c r="O152" s="51">
        <f>IF(Tabell2[[#This Row],[Kvinneandel]]&lt;=F$434,F$434,IF(Tabell2[[#This Row],[Kvinneandel]]&gt;=F$435,F$435,Tabell2[[#This Row],[Kvinneandel]]))</f>
        <v>0.12801731869362362</v>
      </c>
      <c r="P152" s="51">
        <f>IF(Tabell2[[#This Row],[Eldreandel]]&lt;=G$434,G$434,IF(Tabell2[[#This Row],[Eldreandel]]&gt;=G$435,G$435,Tabell2[[#This Row],[Eldreandel]]))</f>
        <v>0.1200928231908705</v>
      </c>
      <c r="Q152" s="51">
        <f>IF(Tabell2[[#This Row],[Sysselsettingsvekst10]]&lt;=H$434,H$434,IF(Tabell2[[#This Row],[Sysselsettingsvekst10]]&gt;=H$435,H$435,Tabell2[[#This Row],[Sysselsettingsvekst10]]))</f>
        <v>0.12274678111587978</v>
      </c>
      <c r="R152" s="51">
        <f>IF(Tabell2[[#This Row],[Yrkesaktivandel]]&lt;=I$434,I$434,IF(Tabell2[[#This Row],[Yrkesaktivandel]]&gt;=I$435,I$435,Tabell2[[#This Row],[Yrkesaktivandel]]))</f>
        <v>0.84444444444444444</v>
      </c>
      <c r="S152" s="52">
        <f>IF(Tabell2[[#This Row],[Inntekt]]&lt;=J$434,J$434,IF(Tabell2[[#This Row],[Inntekt]]&gt;=J$435,J$435,Tabell2[[#This Row],[Inntekt]]))</f>
        <v>348600</v>
      </c>
      <c r="T152" s="9">
        <f>IF(Tabell2[[#This Row],[NIBR11-T]]&lt;=K$437,100,IF(Tabell2[[#This Row],[NIBR11-T]]&gt;=K$436,0,100*(K$436-Tabell2[[#This Row],[NIBR11-T]])/K$439))</f>
        <v>70</v>
      </c>
      <c r="U152" s="9">
        <f>(L$436-Tabell2[[#This Row],[ReisetidOslo-T]])*100/L$439</f>
        <v>38.486711916800417</v>
      </c>
      <c r="V152" s="9">
        <f>100-(M$436-Tabell2[[#This Row],[Beftettotal-T]])*100/M$439</f>
        <v>5.6488252597431199</v>
      </c>
      <c r="W152" s="9">
        <f>100-(N$436-Tabell2[[#This Row],[Befvekst10-T]])*100/N$439</f>
        <v>100</v>
      </c>
      <c r="X152" s="9">
        <f>100-(O$436-Tabell2[[#This Row],[Kvinneandel-T]])*100/O$439</f>
        <v>100</v>
      </c>
      <c r="Y152" s="9">
        <f>(P$436-Tabell2[[#This Row],[Eldreandel-T]])*100/P$439</f>
        <v>100.00000000000001</v>
      </c>
      <c r="Z152" s="9">
        <f>100-(Q$436-Tabell2[[#This Row],[Sysselsettingsvekst10-T]])*100/Q$439</f>
        <v>61.446489109078101</v>
      </c>
      <c r="AA152" s="9">
        <f>100-(R$436-Tabell2[[#This Row],[Yrkesaktivandel-T]])*100/R$439</f>
        <v>12.232374168945995</v>
      </c>
      <c r="AB152" s="9">
        <f>100-(S$436-Tabell2[[#This Row],[Inntekt-T]])*100/S$439</f>
        <v>35.370300515528726</v>
      </c>
      <c r="AC152" s="48">
        <f>Tabell2[[#This Row],[NIBR11-I]]*Vekter!$B$3</f>
        <v>14</v>
      </c>
      <c r="AD152" s="48">
        <f>Tabell2[[#This Row],[ReisetidOslo-I]]*Vekter!$C$3</f>
        <v>3.848671191680042</v>
      </c>
      <c r="AE152" s="48">
        <f>Tabell2[[#This Row],[Beftettotal-I]]*Vekter!$D$3</f>
        <v>0.56488252597431199</v>
      </c>
      <c r="AF152" s="48">
        <f>Tabell2[[#This Row],[Befvekst10-I]]*Vekter!$E$3</f>
        <v>20</v>
      </c>
      <c r="AG152" s="48">
        <f>Tabell2[[#This Row],[Kvinneandel-I]]*Vekter!$F$3</f>
        <v>5</v>
      </c>
      <c r="AH152" s="48">
        <f>Tabell2[[#This Row],[Eldreandel-I]]*Vekter!$G$3</f>
        <v>5.0000000000000009</v>
      </c>
      <c r="AI152" s="48">
        <f>Tabell2[[#This Row],[Sysselsettingsvekst10-I]]*Vekter!$H$3</f>
        <v>6.1446489109078106</v>
      </c>
      <c r="AJ152" s="48">
        <f>Tabell2[[#This Row],[Yrkesaktivandel-I]]*Vekter!$J$3</f>
        <v>1.2232374168945996</v>
      </c>
      <c r="AK152" s="48">
        <f>Tabell2[[#This Row],[Inntekt-I]]*Vekter!$L$3</f>
        <v>3.5370300515528728</v>
      </c>
      <c r="AL152" s="37">
        <f>SUM(Tabell2[[#This Row],[NIBR11-v]:[Inntekt-v]])</f>
        <v>59.318470097009637</v>
      </c>
    </row>
    <row r="153" spans="1:38">
      <c r="A153" s="2" t="s">
        <v>150</v>
      </c>
      <c r="B153">
        <f>'Rådata-K'!M152</f>
        <v>2</v>
      </c>
      <c r="C153" s="9">
        <f>'Rådata-K'!L152</f>
        <v>167.557695524</v>
      </c>
      <c r="D153" s="51">
        <f>'Rådata-K'!N152</f>
        <v>53.074943542881151</v>
      </c>
      <c r="E153" s="51">
        <f>'Rådata-K'!O152</f>
        <v>0.1289097408400357</v>
      </c>
      <c r="F153" s="51">
        <f>'Rådata-K'!P152</f>
        <v>0.1156738571145854</v>
      </c>
      <c r="G153" s="51">
        <f>'Rådata-K'!Q152</f>
        <v>0.13952107658816545</v>
      </c>
      <c r="H153" s="51">
        <f>'Rådata-K'!R152</f>
        <v>0.38677419354838705</v>
      </c>
      <c r="I153" s="51">
        <f>'Rådata-K'!S152</f>
        <v>0.87608771319178558</v>
      </c>
      <c r="J153" s="52">
        <f>'Rådata-K'!K152</f>
        <v>394300</v>
      </c>
      <c r="K153" s="26">
        <f>Tabell2[[#This Row],[NIBR11]]</f>
        <v>2</v>
      </c>
      <c r="L153" s="52">
        <f>IF(Tabell2[[#This Row],[ReisetidOslo]]&lt;=C$434,C$434,IF(Tabell2[[#This Row],[ReisetidOslo]]&gt;=C$435,C$435,Tabell2[[#This Row],[ReisetidOslo]]))</f>
        <v>167.557695524</v>
      </c>
      <c r="M153" s="51">
        <f>IF(Tabell2[[#This Row],[Beftettotal]]&lt;=D$434,D$434,IF(Tabell2[[#This Row],[Beftettotal]]&gt;=D$435,D$435,Tabell2[[#This Row],[Beftettotal]]))</f>
        <v>53.074943542881151</v>
      </c>
      <c r="N153" s="51">
        <f>IF(Tabell2[[#This Row],[Befvekst10]]&lt;=E$434,E$434,IF(Tabell2[[#This Row],[Befvekst10]]&gt;=E$435,E$435,Tabell2[[#This Row],[Befvekst10]]))</f>
        <v>0.1289097408400357</v>
      </c>
      <c r="O153" s="51">
        <f>IF(Tabell2[[#This Row],[Kvinneandel]]&lt;=F$434,F$434,IF(Tabell2[[#This Row],[Kvinneandel]]&gt;=F$435,F$435,Tabell2[[#This Row],[Kvinneandel]]))</f>
        <v>0.1156738571145854</v>
      </c>
      <c r="P153" s="51">
        <f>IF(Tabell2[[#This Row],[Eldreandel]]&lt;=G$434,G$434,IF(Tabell2[[#This Row],[Eldreandel]]&gt;=G$435,G$435,Tabell2[[#This Row],[Eldreandel]]))</f>
        <v>0.13952107658816545</v>
      </c>
      <c r="Q153" s="51">
        <f>IF(Tabell2[[#This Row],[Sysselsettingsvekst10]]&lt;=H$434,H$434,IF(Tabell2[[#This Row],[Sysselsettingsvekst10]]&gt;=H$435,H$435,Tabell2[[#This Row],[Sysselsettingsvekst10]]))</f>
        <v>0.24286196513786068</v>
      </c>
      <c r="R153" s="51">
        <f>IF(Tabell2[[#This Row],[Yrkesaktivandel]]&lt;=I$434,I$434,IF(Tabell2[[#This Row],[Yrkesaktivandel]]&gt;=I$435,I$435,Tabell2[[#This Row],[Yrkesaktivandel]]))</f>
        <v>0.87608771319178558</v>
      </c>
      <c r="S153" s="52">
        <f>IF(Tabell2[[#This Row],[Inntekt]]&lt;=J$434,J$434,IF(Tabell2[[#This Row],[Inntekt]]&gt;=J$435,J$435,Tabell2[[#This Row],[Inntekt]]))</f>
        <v>394300</v>
      </c>
      <c r="T153" s="9">
        <f>IF(Tabell2[[#This Row],[NIBR11-T]]&lt;=K$437,100,IF(Tabell2[[#This Row],[NIBR11-T]]&gt;=K$436,0,100*(K$436-Tabell2[[#This Row],[NIBR11-T]])/K$439))</f>
        <v>90</v>
      </c>
      <c r="U153" s="9">
        <f>(L$436-Tabell2[[#This Row],[ReisetidOslo-T]])*100/L$439</f>
        <v>49.499549818972078</v>
      </c>
      <c r="V153" s="9">
        <f>100-(M$436-Tabell2[[#This Row],[Beftettotal-T]])*100/M$439</f>
        <v>40.74986396329988</v>
      </c>
      <c r="W153" s="9">
        <f>100-(N$436-Tabell2[[#This Row],[Befvekst10-T]])*100/N$439</f>
        <v>84.854527088788728</v>
      </c>
      <c r="X153" s="9">
        <f>100-(O$436-Tabell2[[#This Row],[Kvinneandel-T]])*100/O$439</f>
        <v>67.305900640190075</v>
      </c>
      <c r="Y153" s="9">
        <f>(P$436-Tabell2[[#This Row],[Eldreandel-T]])*100/P$439</f>
        <v>77.974452183085987</v>
      </c>
      <c r="Z153" s="9">
        <f>100-(Q$436-Tabell2[[#This Row],[Sysselsettingsvekst10-T]])*100/Q$439</f>
        <v>100</v>
      </c>
      <c r="AA153" s="9">
        <f>100-(R$436-Tabell2[[#This Row],[Yrkesaktivandel-T]])*100/R$439</f>
        <v>35.821663328159303</v>
      </c>
      <c r="AB153" s="9">
        <f>100-(S$436-Tabell2[[#This Row],[Inntekt-T]])*100/S$439</f>
        <v>92.832893247831009</v>
      </c>
      <c r="AC153" s="48">
        <f>Tabell2[[#This Row],[NIBR11-I]]*Vekter!$B$3</f>
        <v>18</v>
      </c>
      <c r="AD153" s="48">
        <f>Tabell2[[#This Row],[ReisetidOslo-I]]*Vekter!$C$3</f>
        <v>4.949954981897208</v>
      </c>
      <c r="AE153" s="48">
        <f>Tabell2[[#This Row],[Beftettotal-I]]*Vekter!$D$3</f>
        <v>4.0749863963299884</v>
      </c>
      <c r="AF153" s="48">
        <f>Tabell2[[#This Row],[Befvekst10-I]]*Vekter!$E$3</f>
        <v>16.970905417757745</v>
      </c>
      <c r="AG153" s="48">
        <f>Tabell2[[#This Row],[Kvinneandel-I]]*Vekter!$F$3</f>
        <v>3.3652950320095041</v>
      </c>
      <c r="AH153" s="48">
        <f>Tabell2[[#This Row],[Eldreandel-I]]*Vekter!$G$3</f>
        <v>3.8987226091542997</v>
      </c>
      <c r="AI153" s="48">
        <f>Tabell2[[#This Row],[Sysselsettingsvekst10-I]]*Vekter!$H$3</f>
        <v>10</v>
      </c>
      <c r="AJ153" s="48">
        <f>Tabell2[[#This Row],[Yrkesaktivandel-I]]*Vekter!$J$3</f>
        <v>3.5821663328159303</v>
      </c>
      <c r="AK153" s="48">
        <f>Tabell2[[#This Row],[Inntekt-I]]*Vekter!$L$3</f>
        <v>9.2832893247831016</v>
      </c>
      <c r="AL153" s="37">
        <f>SUM(Tabell2[[#This Row],[NIBR11-v]:[Inntekt-v]])</f>
        <v>74.125320094747778</v>
      </c>
    </row>
    <row r="154" spans="1:38">
      <c r="A154" s="2" t="s">
        <v>151</v>
      </c>
      <c r="B154">
        <f>'Rådata-K'!M153</f>
        <v>2</v>
      </c>
      <c r="C154" s="9">
        <f>'Rådata-K'!L153</f>
        <v>165.76153669030001</v>
      </c>
      <c r="D154" s="51">
        <f>'Rådata-K'!N153</f>
        <v>7.4057044541018389</v>
      </c>
      <c r="E154" s="51">
        <f>'Rådata-K'!O153</f>
        <v>0.15072597372666507</v>
      </c>
      <c r="F154" s="51">
        <f>'Rådata-K'!P153</f>
        <v>0.12597636691367914</v>
      </c>
      <c r="G154" s="51">
        <f>'Rådata-K'!Q153</f>
        <v>0.12537552573603045</v>
      </c>
      <c r="H154" s="51">
        <f>'Rådata-K'!R153</f>
        <v>0.12027027027027026</v>
      </c>
      <c r="I154" s="51">
        <f>'Rådata-K'!S153</f>
        <v>0.88494623655913973</v>
      </c>
      <c r="J154" s="52">
        <f>'Rådata-K'!K153</f>
        <v>340600</v>
      </c>
      <c r="K154" s="26">
        <f>Tabell2[[#This Row],[NIBR11]]</f>
        <v>2</v>
      </c>
      <c r="L154" s="52">
        <f>IF(Tabell2[[#This Row],[ReisetidOslo]]&lt;=C$434,C$434,IF(Tabell2[[#This Row],[ReisetidOslo]]&gt;=C$435,C$435,Tabell2[[#This Row],[ReisetidOslo]]))</f>
        <v>165.76153669030001</v>
      </c>
      <c r="M154" s="51">
        <f>IF(Tabell2[[#This Row],[Beftettotal]]&lt;=D$434,D$434,IF(Tabell2[[#This Row],[Beftettotal]]&gt;=D$435,D$435,Tabell2[[#This Row],[Beftettotal]]))</f>
        <v>7.4057044541018389</v>
      </c>
      <c r="N154" s="51">
        <f>IF(Tabell2[[#This Row],[Befvekst10]]&lt;=E$434,E$434,IF(Tabell2[[#This Row],[Befvekst10]]&gt;=E$435,E$435,Tabell2[[#This Row],[Befvekst10]]))</f>
        <v>0.15072597372666507</v>
      </c>
      <c r="O154" s="51">
        <f>IF(Tabell2[[#This Row],[Kvinneandel]]&lt;=F$434,F$434,IF(Tabell2[[#This Row],[Kvinneandel]]&gt;=F$435,F$435,Tabell2[[#This Row],[Kvinneandel]]))</f>
        <v>0.12597636691367914</v>
      </c>
      <c r="P154" s="51">
        <f>IF(Tabell2[[#This Row],[Eldreandel]]&lt;=G$434,G$434,IF(Tabell2[[#This Row],[Eldreandel]]&gt;=G$435,G$435,Tabell2[[#This Row],[Eldreandel]]))</f>
        <v>0.12537552573603045</v>
      </c>
      <c r="Q154" s="51">
        <f>IF(Tabell2[[#This Row],[Sysselsettingsvekst10]]&lt;=H$434,H$434,IF(Tabell2[[#This Row],[Sysselsettingsvekst10]]&gt;=H$435,H$435,Tabell2[[#This Row],[Sysselsettingsvekst10]]))</f>
        <v>0.12027027027027026</v>
      </c>
      <c r="R154" s="51">
        <f>IF(Tabell2[[#This Row],[Yrkesaktivandel]]&lt;=I$434,I$434,IF(Tabell2[[#This Row],[Yrkesaktivandel]]&gt;=I$435,I$435,Tabell2[[#This Row],[Yrkesaktivandel]]))</f>
        <v>0.88494623655913973</v>
      </c>
      <c r="S154" s="52">
        <f>IF(Tabell2[[#This Row],[Inntekt]]&lt;=J$434,J$434,IF(Tabell2[[#This Row],[Inntekt]]&gt;=J$435,J$435,Tabell2[[#This Row],[Inntekt]]))</f>
        <v>340600</v>
      </c>
      <c r="T154" s="9">
        <f>IF(Tabell2[[#This Row],[NIBR11-T]]&lt;=K$437,100,IF(Tabell2[[#This Row],[NIBR11-T]]&gt;=K$436,0,100*(K$436-Tabell2[[#This Row],[NIBR11-T]])/K$439))</f>
        <v>90</v>
      </c>
      <c r="U154" s="9">
        <f>(L$436-Tabell2[[#This Row],[ReisetidOslo-T]])*100/L$439</f>
        <v>50.296955596251358</v>
      </c>
      <c r="V154" s="9">
        <f>100-(M$436-Tabell2[[#This Row],[Beftettotal-T]])*100/M$439</f>
        <v>4.7779388197220811</v>
      </c>
      <c r="W154" s="9">
        <f>100-(N$436-Tabell2[[#This Row],[Befvekst10-T]])*100/N$439</f>
        <v>93.682590684038956</v>
      </c>
      <c r="X154" s="9">
        <f>100-(O$436-Tabell2[[#This Row],[Kvinneandel-T]])*100/O$439</f>
        <v>94.594135538494129</v>
      </c>
      <c r="Y154" s="9">
        <f>(P$436-Tabell2[[#This Row],[Eldreandel-T]])*100/P$439</f>
        <v>94.011071652629667</v>
      </c>
      <c r="Z154" s="9">
        <f>100-(Q$436-Tabell2[[#This Row],[Sysselsettingsvekst10-T]])*100/Q$439</f>
        <v>60.651600530792948</v>
      </c>
      <c r="AA154" s="9">
        <f>100-(R$436-Tabell2[[#This Row],[Yrkesaktivandel-T]])*100/R$439</f>
        <v>42.425477583401936</v>
      </c>
      <c r="AB154" s="9">
        <f>100-(S$436-Tabell2[[#This Row],[Inntekt-T]])*100/S$439</f>
        <v>25.31120331950207</v>
      </c>
      <c r="AC154" s="48">
        <f>Tabell2[[#This Row],[NIBR11-I]]*Vekter!$B$3</f>
        <v>18</v>
      </c>
      <c r="AD154" s="48">
        <f>Tabell2[[#This Row],[ReisetidOslo-I]]*Vekter!$C$3</f>
        <v>5.0296955596251358</v>
      </c>
      <c r="AE154" s="48">
        <f>Tabell2[[#This Row],[Beftettotal-I]]*Vekter!$D$3</f>
        <v>0.47779388197220812</v>
      </c>
      <c r="AF154" s="48">
        <f>Tabell2[[#This Row],[Befvekst10-I]]*Vekter!$E$3</f>
        <v>18.736518136807792</v>
      </c>
      <c r="AG154" s="48">
        <f>Tabell2[[#This Row],[Kvinneandel-I]]*Vekter!$F$3</f>
        <v>4.729706776924707</v>
      </c>
      <c r="AH154" s="48">
        <f>Tabell2[[#This Row],[Eldreandel-I]]*Vekter!$G$3</f>
        <v>4.7005535826314837</v>
      </c>
      <c r="AI154" s="48">
        <f>Tabell2[[#This Row],[Sysselsettingsvekst10-I]]*Vekter!$H$3</f>
        <v>6.0651600530792953</v>
      </c>
      <c r="AJ154" s="48">
        <f>Tabell2[[#This Row],[Yrkesaktivandel-I]]*Vekter!$J$3</f>
        <v>4.2425477583401934</v>
      </c>
      <c r="AK154" s="48">
        <f>Tabell2[[#This Row],[Inntekt-I]]*Vekter!$L$3</f>
        <v>2.5311203319502074</v>
      </c>
      <c r="AL154" s="37">
        <f>SUM(Tabell2[[#This Row],[NIBR11-v]:[Inntekt-v]])</f>
        <v>64.513096081331028</v>
      </c>
    </row>
    <row r="155" spans="1:38">
      <c r="A155" s="2" t="s">
        <v>152</v>
      </c>
      <c r="B155">
        <f>'Rådata-K'!M154</f>
        <v>4</v>
      </c>
      <c r="C155" s="9">
        <f>'Rådata-K'!L154</f>
        <v>195.034897704</v>
      </c>
      <c r="D155" s="51">
        <f>'Rådata-K'!N154</f>
        <v>1.6009057057694518</v>
      </c>
      <c r="E155" s="51">
        <f>'Rådata-K'!O154</f>
        <v>-2.635825712748785E-2</v>
      </c>
      <c r="F155" s="51">
        <f>'Rådata-K'!P154</f>
        <v>9.7790055248618779E-2</v>
      </c>
      <c r="G155" s="51">
        <f>'Rådata-K'!Q154</f>
        <v>0.16906077348066298</v>
      </c>
      <c r="H155" s="51">
        <f>'Rådata-K'!R154</f>
        <v>2.9247910863509752E-2</v>
      </c>
      <c r="I155" s="51">
        <f>'Rådata-K'!S154</f>
        <v>0.83976261127596441</v>
      </c>
      <c r="J155" s="52">
        <f>'Rådata-K'!K154</f>
        <v>324900</v>
      </c>
      <c r="K155" s="26">
        <f>Tabell2[[#This Row],[NIBR11]]</f>
        <v>4</v>
      </c>
      <c r="L155" s="52">
        <f>IF(Tabell2[[#This Row],[ReisetidOslo]]&lt;=C$434,C$434,IF(Tabell2[[#This Row],[ReisetidOslo]]&gt;=C$435,C$435,Tabell2[[#This Row],[ReisetidOslo]]))</f>
        <v>195.034897704</v>
      </c>
      <c r="M155" s="51">
        <f>IF(Tabell2[[#This Row],[Beftettotal]]&lt;=D$434,D$434,IF(Tabell2[[#This Row],[Beftettotal]]&gt;=D$435,D$435,Tabell2[[#This Row],[Beftettotal]]))</f>
        <v>1.6009057057694518</v>
      </c>
      <c r="N155" s="51">
        <f>IF(Tabell2[[#This Row],[Befvekst10]]&lt;=E$434,E$434,IF(Tabell2[[#This Row],[Befvekst10]]&gt;=E$435,E$435,Tabell2[[#This Row],[Befvekst10]]))</f>
        <v>-2.635825712748785E-2</v>
      </c>
      <c r="O155" s="51">
        <f>IF(Tabell2[[#This Row],[Kvinneandel]]&lt;=F$434,F$434,IF(Tabell2[[#This Row],[Kvinneandel]]&gt;=F$435,F$435,Tabell2[[#This Row],[Kvinneandel]]))</f>
        <v>9.7790055248618779E-2</v>
      </c>
      <c r="P155" s="51">
        <f>IF(Tabell2[[#This Row],[Eldreandel]]&lt;=G$434,G$434,IF(Tabell2[[#This Row],[Eldreandel]]&gt;=G$435,G$435,Tabell2[[#This Row],[Eldreandel]]))</f>
        <v>0.16906077348066298</v>
      </c>
      <c r="Q155" s="51">
        <f>IF(Tabell2[[#This Row],[Sysselsettingsvekst10]]&lt;=H$434,H$434,IF(Tabell2[[#This Row],[Sysselsettingsvekst10]]&gt;=H$435,H$435,Tabell2[[#This Row],[Sysselsettingsvekst10]]))</f>
        <v>2.9247910863509752E-2</v>
      </c>
      <c r="R155" s="51">
        <f>IF(Tabell2[[#This Row],[Yrkesaktivandel]]&lt;=I$434,I$434,IF(Tabell2[[#This Row],[Yrkesaktivandel]]&gt;=I$435,I$435,Tabell2[[#This Row],[Yrkesaktivandel]]))</f>
        <v>0.83976261127596441</v>
      </c>
      <c r="S155" s="52">
        <f>IF(Tabell2[[#This Row],[Inntekt]]&lt;=J$434,J$434,IF(Tabell2[[#This Row],[Inntekt]]&gt;=J$435,J$435,Tabell2[[#This Row],[Inntekt]]))</f>
        <v>324900</v>
      </c>
      <c r="T155" s="9">
        <f>IF(Tabell2[[#This Row],[NIBR11-T]]&lt;=K$437,100,IF(Tabell2[[#This Row],[NIBR11-T]]&gt;=K$436,0,100*(K$436-Tabell2[[#This Row],[NIBR11-T]])/K$439))</f>
        <v>70</v>
      </c>
      <c r="U155" s="9">
        <f>(L$436-Tabell2[[#This Row],[ReisetidOslo-T]])*100/L$439</f>
        <v>37.301029648755012</v>
      </c>
      <c r="V155" s="9">
        <f>100-(M$436-Tabell2[[#This Row],[Beftettotal-T]])*100/M$439</f>
        <v>0.20571930797089522</v>
      </c>
      <c r="W155" s="9">
        <f>100-(N$436-Tabell2[[#This Row],[Befvekst10-T]])*100/N$439</f>
        <v>22.024442376750372</v>
      </c>
      <c r="X155" s="9">
        <f>100-(O$436-Tabell2[[#This Row],[Kvinneandel-T]])*100/O$439</f>
        <v>19.937114226984804</v>
      </c>
      <c r="Y155" s="9">
        <f>(P$436-Tabell2[[#This Row],[Eldreandel-T]])*100/P$439</f>
        <v>44.485697785151331</v>
      </c>
      <c r="Z155" s="9">
        <f>100-(Q$436-Tabell2[[#This Row],[Sysselsettingsvekst10-T]])*100/Q$439</f>
        <v>31.436047532399641</v>
      </c>
      <c r="AA155" s="9">
        <f>100-(R$436-Tabell2[[#This Row],[Yrkesaktivandel-T]])*100/R$439</f>
        <v>8.7421811269976786</v>
      </c>
      <c r="AB155" s="9">
        <f>100-(S$436-Tabell2[[#This Row],[Inntekt-T]])*100/S$439</f>
        <v>5.5702250722997633</v>
      </c>
      <c r="AC155" s="48">
        <f>Tabell2[[#This Row],[NIBR11-I]]*Vekter!$B$3</f>
        <v>14</v>
      </c>
      <c r="AD155" s="48">
        <f>Tabell2[[#This Row],[ReisetidOslo-I]]*Vekter!$C$3</f>
        <v>3.7301029648755013</v>
      </c>
      <c r="AE155" s="48">
        <f>Tabell2[[#This Row],[Beftettotal-I]]*Vekter!$D$3</f>
        <v>2.0571930797089522E-2</v>
      </c>
      <c r="AF155" s="48">
        <f>Tabell2[[#This Row],[Befvekst10-I]]*Vekter!$E$3</f>
        <v>4.4048884753500746</v>
      </c>
      <c r="AG155" s="48">
        <f>Tabell2[[#This Row],[Kvinneandel-I]]*Vekter!$F$3</f>
        <v>0.99685571134924023</v>
      </c>
      <c r="AH155" s="48">
        <f>Tabell2[[#This Row],[Eldreandel-I]]*Vekter!$G$3</f>
        <v>2.2242848892575666</v>
      </c>
      <c r="AI155" s="48">
        <f>Tabell2[[#This Row],[Sysselsettingsvekst10-I]]*Vekter!$H$3</f>
        <v>3.1436047532399645</v>
      </c>
      <c r="AJ155" s="48">
        <f>Tabell2[[#This Row],[Yrkesaktivandel-I]]*Vekter!$J$3</f>
        <v>0.8742181126997679</v>
      </c>
      <c r="AK155" s="48">
        <f>Tabell2[[#This Row],[Inntekt-I]]*Vekter!$L$3</f>
        <v>0.55702250722997637</v>
      </c>
      <c r="AL155" s="37">
        <f>SUM(Tabell2[[#This Row],[NIBR11-v]:[Inntekt-v]])</f>
        <v>29.951549344799183</v>
      </c>
    </row>
    <row r="156" spans="1:38">
      <c r="A156" s="2" t="s">
        <v>153</v>
      </c>
      <c r="B156">
        <f>'Rådata-K'!M155</f>
        <v>2</v>
      </c>
      <c r="C156" s="9">
        <f>'Rådata-K'!L155</f>
        <v>182.4194957501</v>
      </c>
      <c r="D156" s="51">
        <f>'Rådata-K'!N155</f>
        <v>5.0223598211214311</v>
      </c>
      <c r="E156" s="51">
        <f>'Rådata-K'!O155</f>
        <v>0.14161598609904424</v>
      </c>
      <c r="F156" s="51">
        <f>'Rådata-K'!P155</f>
        <v>0.13470319634703196</v>
      </c>
      <c r="G156" s="51">
        <f>'Rådata-K'!Q155</f>
        <v>0.11187214611872145</v>
      </c>
      <c r="H156" s="51">
        <f>'Rådata-K'!R155</f>
        <v>0.42307692307692313</v>
      </c>
      <c r="I156" s="51">
        <f>'Rådata-K'!S155</f>
        <v>0.84987277353689572</v>
      </c>
      <c r="J156" s="52">
        <f>'Rådata-K'!K155</f>
        <v>336400</v>
      </c>
      <c r="K156" s="26">
        <f>Tabell2[[#This Row],[NIBR11]]</f>
        <v>2</v>
      </c>
      <c r="L156" s="52">
        <f>IF(Tabell2[[#This Row],[ReisetidOslo]]&lt;=C$434,C$434,IF(Tabell2[[#This Row],[ReisetidOslo]]&gt;=C$435,C$435,Tabell2[[#This Row],[ReisetidOslo]]))</f>
        <v>182.4194957501</v>
      </c>
      <c r="M156" s="51">
        <f>IF(Tabell2[[#This Row],[Beftettotal]]&lt;=D$434,D$434,IF(Tabell2[[#This Row],[Beftettotal]]&gt;=D$435,D$435,Tabell2[[#This Row],[Beftettotal]]))</f>
        <v>5.0223598211214311</v>
      </c>
      <c r="N156" s="51">
        <f>IF(Tabell2[[#This Row],[Befvekst10]]&lt;=E$434,E$434,IF(Tabell2[[#This Row],[Befvekst10]]&gt;=E$435,E$435,Tabell2[[#This Row],[Befvekst10]]))</f>
        <v>0.14161598609904424</v>
      </c>
      <c r="O156" s="51">
        <f>IF(Tabell2[[#This Row],[Kvinneandel]]&lt;=F$434,F$434,IF(Tabell2[[#This Row],[Kvinneandel]]&gt;=F$435,F$435,Tabell2[[#This Row],[Kvinneandel]]))</f>
        <v>0.12801731869362362</v>
      </c>
      <c r="P156" s="51">
        <f>IF(Tabell2[[#This Row],[Eldreandel]]&lt;=G$434,G$434,IF(Tabell2[[#This Row],[Eldreandel]]&gt;=G$435,G$435,Tabell2[[#This Row],[Eldreandel]]))</f>
        <v>0.1200928231908705</v>
      </c>
      <c r="Q156" s="51">
        <f>IF(Tabell2[[#This Row],[Sysselsettingsvekst10]]&lt;=H$434,H$434,IF(Tabell2[[#This Row],[Sysselsettingsvekst10]]&gt;=H$435,H$435,Tabell2[[#This Row],[Sysselsettingsvekst10]]))</f>
        <v>0.24286196513786068</v>
      </c>
      <c r="R156" s="51">
        <f>IF(Tabell2[[#This Row],[Yrkesaktivandel]]&lt;=I$434,I$434,IF(Tabell2[[#This Row],[Yrkesaktivandel]]&gt;=I$435,I$435,Tabell2[[#This Row],[Yrkesaktivandel]]))</f>
        <v>0.84987277353689572</v>
      </c>
      <c r="S156" s="52">
        <f>IF(Tabell2[[#This Row],[Inntekt]]&lt;=J$434,J$434,IF(Tabell2[[#This Row],[Inntekt]]&gt;=J$435,J$435,Tabell2[[#This Row],[Inntekt]]))</f>
        <v>336400</v>
      </c>
      <c r="T156" s="9">
        <f>IF(Tabell2[[#This Row],[NIBR11-T]]&lt;=K$437,100,IF(Tabell2[[#This Row],[NIBR11-T]]&gt;=K$436,0,100*(K$436-Tabell2[[#This Row],[NIBR11-T]])/K$439))</f>
        <v>90</v>
      </c>
      <c r="U156" s="9">
        <f>(L$436-Tabell2[[#This Row],[ReisetidOslo-T]])*100/L$439</f>
        <v>42.901644812625563</v>
      </c>
      <c r="V156" s="9">
        <f>100-(M$436-Tabell2[[#This Row],[Beftettotal-T]])*100/M$439</f>
        <v>2.9006687701323273</v>
      </c>
      <c r="W156" s="9">
        <f>100-(N$436-Tabell2[[#This Row],[Befvekst10-T]])*100/N$439</f>
        <v>89.996182010895893</v>
      </c>
      <c r="X156" s="9">
        <f>100-(O$436-Tabell2[[#This Row],[Kvinneandel-T]])*100/O$439</f>
        <v>100</v>
      </c>
      <c r="Y156" s="9">
        <f>(P$436-Tabell2[[#This Row],[Eldreandel-T]])*100/P$439</f>
        <v>100.00000000000001</v>
      </c>
      <c r="Z156" s="9">
        <f>100-(Q$436-Tabell2[[#This Row],[Sysselsettingsvekst10-T]])*100/Q$439</f>
        <v>100</v>
      </c>
      <c r="AA156" s="9">
        <f>100-(R$436-Tabell2[[#This Row],[Yrkesaktivandel-T]])*100/R$439</f>
        <v>16.279061811605004</v>
      </c>
      <c r="AB156" s="9">
        <f>100-(S$436-Tabell2[[#This Row],[Inntekt-T]])*100/S$439</f>
        <v>20.030177291588075</v>
      </c>
      <c r="AC156" s="48">
        <f>Tabell2[[#This Row],[NIBR11-I]]*Vekter!$B$3</f>
        <v>18</v>
      </c>
      <c r="AD156" s="48">
        <f>Tabell2[[#This Row],[ReisetidOslo-I]]*Vekter!$C$3</f>
        <v>4.2901644812625568</v>
      </c>
      <c r="AE156" s="48">
        <f>Tabell2[[#This Row],[Beftettotal-I]]*Vekter!$D$3</f>
        <v>0.29006687701323275</v>
      </c>
      <c r="AF156" s="48">
        <f>Tabell2[[#This Row],[Befvekst10-I]]*Vekter!$E$3</f>
        <v>17.999236402179179</v>
      </c>
      <c r="AG156" s="48">
        <f>Tabell2[[#This Row],[Kvinneandel-I]]*Vekter!$F$3</f>
        <v>5</v>
      </c>
      <c r="AH156" s="48">
        <f>Tabell2[[#This Row],[Eldreandel-I]]*Vekter!$G$3</f>
        <v>5.0000000000000009</v>
      </c>
      <c r="AI156" s="48">
        <f>Tabell2[[#This Row],[Sysselsettingsvekst10-I]]*Vekter!$H$3</f>
        <v>10</v>
      </c>
      <c r="AJ156" s="48">
        <f>Tabell2[[#This Row],[Yrkesaktivandel-I]]*Vekter!$J$3</f>
        <v>1.6279061811605005</v>
      </c>
      <c r="AK156" s="48">
        <f>Tabell2[[#This Row],[Inntekt-I]]*Vekter!$L$3</f>
        <v>2.0030177291588074</v>
      </c>
      <c r="AL156" s="37">
        <f>SUM(Tabell2[[#This Row],[NIBR11-v]:[Inntekt-v]])</f>
        <v>64.210391670774271</v>
      </c>
    </row>
    <row r="157" spans="1:38">
      <c r="A157" s="2" t="s">
        <v>154</v>
      </c>
      <c r="B157">
        <f>'Rådata-K'!M156</f>
        <v>5</v>
      </c>
      <c r="C157" s="9">
        <f>'Rådata-K'!L156</f>
        <v>200.94224946590001</v>
      </c>
      <c r="D157" s="51">
        <f>'Rådata-K'!N156</f>
        <v>6.4500299874597893</v>
      </c>
      <c r="E157" s="51">
        <f>'Rådata-K'!O156</f>
        <v>6.8332329921733992E-2</v>
      </c>
      <c r="F157" s="51">
        <f>'Rådata-K'!P156</f>
        <v>0.11693434770357847</v>
      </c>
      <c r="G157" s="51">
        <f>'Rådata-K'!Q156</f>
        <v>0.15863623555931247</v>
      </c>
      <c r="H157" s="51">
        <f>'Rådata-K'!R156</f>
        <v>0.24091919940696815</v>
      </c>
      <c r="I157" s="51">
        <f>'Rådata-K'!S156</f>
        <v>0.87953037263910161</v>
      </c>
      <c r="J157" s="52">
        <f>'Rådata-K'!K156</f>
        <v>344200</v>
      </c>
      <c r="K157" s="26">
        <f>Tabell2[[#This Row],[NIBR11]]</f>
        <v>5</v>
      </c>
      <c r="L157" s="52">
        <f>IF(Tabell2[[#This Row],[ReisetidOslo]]&lt;=C$434,C$434,IF(Tabell2[[#This Row],[ReisetidOslo]]&gt;=C$435,C$435,Tabell2[[#This Row],[ReisetidOslo]]))</f>
        <v>200.94224946590001</v>
      </c>
      <c r="M157" s="51">
        <f>IF(Tabell2[[#This Row],[Beftettotal]]&lt;=D$434,D$434,IF(Tabell2[[#This Row],[Beftettotal]]&gt;=D$435,D$435,Tabell2[[#This Row],[Beftettotal]]))</f>
        <v>6.4500299874597893</v>
      </c>
      <c r="N157" s="51">
        <f>IF(Tabell2[[#This Row],[Befvekst10]]&lt;=E$434,E$434,IF(Tabell2[[#This Row],[Befvekst10]]&gt;=E$435,E$435,Tabell2[[#This Row],[Befvekst10]]))</f>
        <v>6.8332329921733992E-2</v>
      </c>
      <c r="O157" s="51">
        <f>IF(Tabell2[[#This Row],[Kvinneandel]]&lt;=F$434,F$434,IF(Tabell2[[#This Row],[Kvinneandel]]&gt;=F$435,F$435,Tabell2[[#This Row],[Kvinneandel]]))</f>
        <v>0.11693434770357847</v>
      </c>
      <c r="P157" s="51">
        <f>IF(Tabell2[[#This Row],[Eldreandel]]&lt;=G$434,G$434,IF(Tabell2[[#This Row],[Eldreandel]]&gt;=G$435,G$435,Tabell2[[#This Row],[Eldreandel]]))</f>
        <v>0.15863623555931247</v>
      </c>
      <c r="Q157" s="51">
        <f>IF(Tabell2[[#This Row],[Sysselsettingsvekst10]]&lt;=H$434,H$434,IF(Tabell2[[#This Row],[Sysselsettingsvekst10]]&gt;=H$435,H$435,Tabell2[[#This Row],[Sysselsettingsvekst10]]))</f>
        <v>0.24091919940696815</v>
      </c>
      <c r="R157" s="51">
        <f>IF(Tabell2[[#This Row],[Yrkesaktivandel]]&lt;=I$434,I$434,IF(Tabell2[[#This Row],[Yrkesaktivandel]]&gt;=I$435,I$435,Tabell2[[#This Row],[Yrkesaktivandel]]))</f>
        <v>0.87953037263910161</v>
      </c>
      <c r="S157" s="52">
        <f>IF(Tabell2[[#This Row],[Inntekt]]&lt;=J$434,J$434,IF(Tabell2[[#This Row],[Inntekt]]&gt;=J$435,J$435,Tabell2[[#This Row],[Inntekt]]))</f>
        <v>344200</v>
      </c>
      <c r="T157" s="9">
        <f>IF(Tabell2[[#This Row],[NIBR11-T]]&lt;=K$437,100,IF(Tabell2[[#This Row],[NIBR11-T]]&gt;=K$436,0,100*(K$436-Tabell2[[#This Row],[NIBR11-T]])/K$439))</f>
        <v>60</v>
      </c>
      <c r="U157" s="9">
        <f>(L$436-Tabell2[[#This Row],[ReisetidOslo-T]])*100/L$439</f>
        <v>34.678457337788217</v>
      </c>
      <c r="V157" s="9">
        <f>100-(M$436-Tabell2[[#This Row],[Beftettotal-T]])*100/M$439</f>
        <v>4.0251903382146992</v>
      </c>
      <c r="W157" s="9">
        <f>100-(N$436-Tabell2[[#This Row],[Befvekst10-T]])*100/N$439</f>
        <v>60.341530789133024</v>
      </c>
      <c r="X157" s="9">
        <f>100-(O$436-Tabell2[[#This Row],[Kvinneandel-T]])*100/O$439</f>
        <v>70.644559272921498</v>
      </c>
      <c r="Y157" s="9">
        <f>(P$436-Tabell2[[#This Row],[Eldreandel-T]])*100/P$439</f>
        <v>56.303855277780471</v>
      </c>
      <c r="Z157" s="9">
        <f>100-(Q$436-Tabell2[[#This Row],[Sysselsettingsvekst10-T]])*100/Q$439</f>
        <v>99.37642821451476</v>
      </c>
      <c r="AA157" s="9">
        <f>100-(R$436-Tabell2[[#This Row],[Yrkesaktivandel-T]])*100/R$439</f>
        <v>38.388082424361535</v>
      </c>
      <c r="AB157" s="9">
        <f>100-(S$436-Tabell2[[#This Row],[Inntekt-T]])*100/S$439</f>
        <v>29.83779705771407</v>
      </c>
      <c r="AC157" s="48">
        <f>Tabell2[[#This Row],[NIBR11-I]]*Vekter!$B$3</f>
        <v>12</v>
      </c>
      <c r="AD157" s="48">
        <f>Tabell2[[#This Row],[ReisetidOslo-I]]*Vekter!$C$3</f>
        <v>3.4678457337788218</v>
      </c>
      <c r="AE157" s="48">
        <f>Tabell2[[#This Row],[Beftettotal-I]]*Vekter!$D$3</f>
        <v>0.40251903382146992</v>
      </c>
      <c r="AF157" s="48">
        <f>Tabell2[[#This Row],[Befvekst10-I]]*Vekter!$E$3</f>
        <v>12.068306157826605</v>
      </c>
      <c r="AG157" s="48">
        <f>Tabell2[[#This Row],[Kvinneandel-I]]*Vekter!$F$3</f>
        <v>3.5322279636460752</v>
      </c>
      <c r="AH157" s="48">
        <f>Tabell2[[#This Row],[Eldreandel-I]]*Vekter!$G$3</f>
        <v>2.8151927638890237</v>
      </c>
      <c r="AI157" s="48">
        <f>Tabell2[[#This Row],[Sysselsettingsvekst10-I]]*Vekter!$H$3</f>
        <v>9.937642821451476</v>
      </c>
      <c r="AJ157" s="48">
        <f>Tabell2[[#This Row],[Yrkesaktivandel-I]]*Vekter!$J$3</f>
        <v>3.8388082424361536</v>
      </c>
      <c r="AK157" s="48">
        <f>Tabell2[[#This Row],[Inntekt-I]]*Vekter!$L$3</f>
        <v>2.9837797057714073</v>
      </c>
      <c r="AL157" s="37">
        <f>SUM(Tabell2[[#This Row],[NIBR11-v]:[Inntekt-v]])</f>
        <v>51.046322422621031</v>
      </c>
    </row>
    <row r="158" spans="1:38">
      <c r="A158" s="2" t="s">
        <v>155</v>
      </c>
      <c r="B158">
        <f>'Rådata-K'!M157</f>
        <v>5</v>
      </c>
      <c r="C158" s="9">
        <f>'Rådata-K'!L157</f>
        <v>226.9347835088</v>
      </c>
      <c r="D158" s="51">
        <f>'Rådata-K'!N157</f>
        <v>0.91487820683871457</v>
      </c>
      <c r="E158" s="51">
        <f>'Rådata-K'!O157</f>
        <v>-8.9529590288315641E-2</v>
      </c>
      <c r="F158" s="51">
        <f>'Rådata-K'!P157</f>
        <v>9.583333333333334E-2</v>
      </c>
      <c r="G158" s="51">
        <f>'Rådata-K'!Q157</f>
        <v>0.16500000000000001</v>
      </c>
      <c r="H158" s="51">
        <f>'Rådata-K'!R157</f>
        <v>-0.2080344332855093</v>
      </c>
      <c r="I158" s="51">
        <f>'Rådata-K'!S157</f>
        <v>0.88937409024745273</v>
      </c>
      <c r="J158" s="52">
        <f>'Rådata-K'!K157</f>
        <v>343900</v>
      </c>
      <c r="K158" s="26">
        <f>Tabell2[[#This Row],[NIBR11]]</f>
        <v>5</v>
      </c>
      <c r="L158" s="52">
        <f>IF(Tabell2[[#This Row],[ReisetidOslo]]&lt;=C$434,C$434,IF(Tabell2[[#This Row],[ReisetidOslo]]&gt;=C$435,C$435,Tabell2[[#This Row],[ReisetidOslo]]))</f>
        <v>226.9347835088</v>
      </c>
      <c r="M158" s="51">
        <f>IF(Tabell2[[#This Row],[Beftettotal]]&lt;=D$434,D$434,IF(Tabell2[[#This Row],[Beftettotal]]&gt;=D$435,D$435,Tabell2[[#This Row],[Beftettotal]]))</f>
        <v>1.3397285732306117</v>
      </c>
      <c r="N158" s="51">
        <f>IF(Tabell2[[#This Row],[Befvekst10]]&lt;=E$434,E$434,IF(Tabell2[[#This Row],[Befvekst10]]&gt;=E$435,E$435,Tabell2[[#This Row],[Befvekst10]]))</f>
        <v>-8.0785862785862778E-2</v>
      </c>
      <c r="O158" s="51">
        <f>IF(Tabell2[[#This Row],[Kvinneandel]]&lt;=F$434,F$434,IF(Tabell2[[#This Row],[Kvinneandel]]&gt;=F$435,F$435,Tabell2[[#This Row],[Kvinneandel]]))</f>
        <v>9.583333333333334E-2</v>
      </c>
      <c r="P158" s="51">
        <f>IF(Tabell2[[#This Row],[Eldreandel]]&lt;=G$434,G$434,IF(Tabell2[[#This Row],[Eldreandel]]&gt;=G$435,G$435,Tabell2[[#This Row],[Eldreandel]]))</f>
        <v>0.16500000000000001</v>
      </c>
      <c r="Q158" s="51">
        <f>IF(Tabell2[[#This Row],[Sysselsettingsvekst10]]&lt;=H$434,H$434,IF(Tabell2[[#This Row],[Sysselsettingsvekst10]]&gt;=H$435,H$435,Tabell2[[#This Row],[Sysselsettingsvekst10]]))</f>
        <v>-6.8692498376029434E-2</v>
      </c>
      <c r="R158" s="51">
        <f>IF(Tabell2[[#This Row],[Yrkesaktivandel]]&lt;=I$434,I$434,IF(Tabell2[[#This Row],[Yrkesaktivandel]]&gt;=I$435,I$435,Tabell2[[#This Row],[Yrkesaktivandel]]))</f>
        <v>0.88937409024745273</v>
      </c>
      <c r="S158" s="52">
        <f>IF(Tabell2[[#This Row],[Inntekt]]&lt;=J$434,J$434,IF(Tabell2[[#This Row],[Inntekt]]&gt;=J$435,J$435,Tabell2[[#This Row],[Inntekt]]))</f>
        <v>343900</v>
      </c>
      <c r="T158" s="9">
        <f>IF(Tabell2[[#This Row],[NIBR11-T]]&lt;=K$437,100,IF(Tabell2[[#This Row],[NIBR11-T]]&gt;=K$436,0,100*(K$436-Tabell2[[#This Row],[NIBR11-T]])/K$439))</f>
        <v>60</v>
      </c>
      <c r="U158" s="9">
        <f>(L$436-Tabell2[[#This Row],[ReisetidOslo-T]])*100/L$439</f>
        <v>23.139056465738836</v>
      </c>
      <c r="V158" s="9">
        <f>100-(M$436-Tabell2[[#This Row],[Beftettotal-T]])*100/M$439</f>
        <v>0</v>
      </c>
      <c r="W158" s="9">
        <f>100-(N$436-Tabell2[[#This Row],[Befvekst10-T]])*100/N$439</f>
        <v>0</v>
      </c>
      <c r="X158" s="9">
        <f>100-(O$436-Tabell2[[#This Row],[Kvinneandel-T]])*100/O$439</f>
        <v>14.754349221542597</v>
      </c>
      <c r="Y158" s="9">
        <f>(P$436-Tabell2[[#This Row],[Eldreandel-T]])*100/P$439</f>
        <v>49.089341697086908</v>
      </c>
      <c r="Z158" s="9">
        <f>100-(Q$436-Tabell2[[#This Row],[Sysselsettingsvekst10-T]])*100/Q$439</f>
        <v>0</v>
      </c>
      <c r="AA158" s="9">
        <f>100-(R$436-Tabell2[[#This Row],[Yrkesaktivandel-T]])*100/R$439</f>
        <v>45.726335084638464</v>
      </c>
      <c r="AB158" s="9">
        <f>100-(S$436-Tabell2[[#This Row],[Inntekt-T]])*100/S$439</f>
        <v>29.460580912863065</v>
      </c>
      <c r="AC158" s="48">
        <f>Tabell2[[#This Row],[NIBR11-I]]*Vekter!$B$3</f>
        <v>12</v>
      </c>
      <c r="AD158" s="48">
        <f>Tabell2[[#This Row],[ReisetidOslo-I]]*Vekter!$C$3</f>
        <v>2.3139056465738839</v>
      </c>
      <c r="AE158" s="48">
        <f>Tabell2[[#This Row],[Beftettotal-I]]*Vekter!$D$3</f>
        <v>0</v>
      </c>
      <c r="AF158" s="48">
        <f>Tabell2[[#This Row],[Befvekst10-I]]*Vekter!$E$3</f>
        <v>0</v>
      </c>
      <c r="AG158" s="48">
        <f>Tabell2[[#This Row],[Kvinneandel-I]]*Vekter!$F$3</f>
        <v>0.73771746107712988</v>
      </c>
      <c r="AH158" s="48">
        <f>Tabell2[[#This Row],[Eldreandel-I]]*Vekter!$G$3</f>
        <v>2.4544670848543455</v>
      </c>
      <c r="AI158" s="48">
        <f>Tabell2[[#This Row],[Sysselsettingsvekst10-I]]*Vekter!$H$3</f>
        <v>0</v>
      </c>
      <c r="AJ158" s="48">
        <f>Tabell2[[#This Row],[Yrkesaktivandel-I]]*Vekter!$J$3</f>
        <v>4.5726335084638468</v>
      </c>
      <c r="AK158" s="48">
        <f>Tabell2[[#This Row],[Inntekt-I]]*Vekter!$L$3</f>
        <v>2.9460580912863068</v>
      </c>
      <c r="AL158" s="37">
        <f>SUM(Tabell2[[#This Row],[NIBR11-v]:[Inntekt-v]])</f>
        <v>25.024781792255514</v>
      </c>
    </row>
    <row r="159" spans="1:38">
      <c r="A159" s="2" t="s">
        <v>156</v>
      </c>
      <c r="B159">
        <f>'Rådata-K'!M158</f>
        <v>11</v>
      </c>
      <c r="C159" s="9">
        <f>'Rådata-K'!L158</f>
        <v>226.27603550000001</v>
      </c>
      <c r="D159" s="51">
        <f>'Rådata-K'!N158</f>
        <v>1.0037066015442857</v>
      </c>
      <c r="E159" s="51">
        <f>'Rådata-K'!O158</f>
        <v>-9.4796863863150338E-2</v>
      </c>
      <c r="F159" s="51">
        <f>'Rådata-K'!P158</f>
        <v>9.6850393700787407E-2</v>
      </c>
      <c r="G159" s="51">
        <f>'Rådata-K'!Q158</f>
        <v>0.16299212598425197</v>
      </c>
      <c r="H159" s="51">
        <f>'Rådata-K'!R158</f>
        <v>4.6434494195688236E-2</v>
      </c>
      <c r="I159" s="51">
        <f>'Rådata-K'!S158</f>
        <v>0.94037940379403795</v>
      </c>
      <c r="J159" s="52">
        <f>'Rådata-K'!K158</f>
        <v>362700</v>
      </c>
      <c r="K159" s="26">
        <f>Tabell2[[#This Row],[NIBR11]]</f>
        <v>11</v>
      </c>
      <c r="L159" s="52">
        <f>IF(Tabell2[[#This Row],[ReisetidOslo]]&lt;=C$434,C$434,IF(Tabell2[[#This Row],[ReisetidOslo]]&gt;=C$435,C$435,Tabell2[[#This Row],[ReisetidOslo]]))</f>
        <v>226.27603550000001</v>
      </c>
      <c r="M159" s="51">
        <f>IF(Tabell2[[#This Row],[Beftettotal]]&lt;=D$434,D$434,IF(Tabell2[[#This Row],[Beftettotal]]&gt;=D$435,D$435,Tabell2[[#This Row],[Beftettotal]]))</f>
        <v>1.3397285732306117</v>
      </c>
      <c r="N159" s="51">
        <f>IF(Tabell2[[#This Row],[Befvekst10]]&lt;=E$434,E$434,IF(Tabell2[[#This Row],[Befvekst10]]&gt;=E$435,E$435,Tabell2[[#This Row],[Befvekst10]]))</f>
        <v>-8.0785862785862778E-2</v>
      </c>
      <c r="O159" s="51">
        <f>IF(Tabell2[[#This Row],[Kvinneandel]]&lt;=F$434,F$434,IF(Tabell2[[#This Row],[Kvinneandel]]&gt;=F$435,F$435,Tabell2[[#This Row],[Kvinneandel]]))</f>
        <v>9.6850393700787407E-2</v>
      </c>
      <c r="P159" s="51">
        <f>IF(Tabell2[[#This Row],[Eldreandel]]&lt;=G$434,G$434,IF(Tabell2[[#This Row],[Eldreandel]]&gt;=G$435,G$435,Tabell2[[#This Row],[Eldreandel]]))</f>
        <v>0.16299212598425197</v>
      </c>
      <c r="Q159" s="51">
        <f>IF(Tabell2[[#This Row],[Sysselsettingsvekst10]]&lt;=H$434,H$434,IF(Tabell2[[#This Row],[Sysselsettingsvekst10]]&gt;=H$435,H$435,Tabell2[[#This Row],[Sysselsettingsvekst10]]))</f>
        <v>4.6434494195688236E-2</v>
      </c>
      <c r="R159" s="51">
        <f>IF(Tabell2[[#This Row],[Yrkesaktivandel]]&lt;=I$434,I$434,IF(Tabell2[[#This Row],[Yrkesaktivandel]]&gt;=I$435,I$435,Tabell2[[#This Row],[Yrkesaktivandel]]))</f>
        <v>0.94037940379403795</v>
      </c>
      <c r="S159" s="52">
        <f>IF(Tabell2[[#This Row],[Inntekt]]&lt;=J$434,J$434,IF(Tabell2[[#This Row],[Inntekt]]&gt;=J$435,J$435,Tabell2[[#This Row],[Inntekt]]))</f>
        <v>362700</v>
      </c>
      <c r="T159" s="9">
        <f>IF(Tabell2[[#This Row],[NIBR11-T]]&lt;=K$437,100,IF(Tabell2[[#This Row],[NIBR11-T]]&gt;=K$436,0,100*(K$436-Tabell2[[#This Row],[NIBR11-T]])/K$439))</f>
        <v>0</v>
      </c>
      <c r="U159" s="9">
        <f>(L$436-Tabell2[[#This Row],[ReisetidOslo-T]])*100/L$439</f>
        <v>23.431508034126178</v>
      </c>
      <c r="V159" s="9">
        <f>100-(M$436-Tabell2[[#This Row],[Beftettotal-T]])*100/M$439</f>
        <v>0</v>
      </c>
      <c r="W159" s="9">
        <f>100-(N$436-Tabell2[[#This Row],[Befvekst10-T]])*100/N$439</f>
        <v>0</v>
      </c>
      <c r="X159" s="9">
        <f>100-(O$436-Tabell2[[#This Row],[Kvinneandel-T]])*100/O$439</f>
        <v>17.448234765362542</v>
      </c>
      <c r="Y159" s="9">
        <f>(P$436-Tabell2[[#This Row],[Eldreandel-T]])*100/P$439</f>
        <v>51.365641282017947</v>
      </c>
      <c r="Z159" s="9">
        <f>100-(Q$436-Tabell2[[#This Row],[Sysselsettingsvekst10-T]])*100/Q$439</f>
        <v>36.95244525571848</v>
      </c>
      <c r="AA159" s="9">
        <f>100-(R$436-Tabell2[[#This Row],[Yrkesaktivandel-T]])*100/R$439</f>
        <v>83.749558902431829</v>
      </c>
      <c r="AB159" s="9">
        <f>100-(S$436-Tabell2[[#This Row],[Inntekt-T]])*100/S$439</f>
        <v>53.099459323525714</v>
      </c>
      <c r="AC159" s="48">
        <f>Tabell2[[#This Row],[NIBR11-I]]*Vekter!$B$3</f>
        <v>0</v>
      </c>
      <c r="AD159" s="48">
        <f>Tabell2[[#This Row],[ReisetidOslo-I]]*Vekter!$C$3</f>
        <v>2.3431508034126178</v>
      </c>
      <c r="AE159" s="48">
        <f>Tabell2[[#This Row],[Beftettotal-I]]*Vekter!$D$3</f>
        <v>0</v>
      </c>
      <c r="AF159" s="48">
        <f>Tabell2[[#This Row],[Befvekst10-I]]*Vekter!$E$3</f>
        <v>0</v>
      </c>
      <c r="AG159" s="48">
        <f>Tabell2[[#This Row],[Kvinneandel-I]]*Vekter!$F$3</f>
        <v>0.87241173826812712</v>
      </c>
      <c r="AH159" s="48">
        <f>Tabell2[[#This Row],[Eldreandel-I]]*Vekter!$G$3</f>
        <v>2.5682820641008974</v>
      </c>
      <c r="AI159" s="48">
        <f>Tabell2[[#This Row],[Sysselsettingsvekst10-I]]*Vekter!$H$3</f>
        <v>3.695244525571848</v>
      </c>
      <c r="AJ159" s="48">
        <f>Tabell2[[#This Row],[Yrkesaktivandel-I]]*Vekter!$J$3</f>
        <v>8.374955890243184</v>
      </c>
      <c r="AK159" s="48">
        <f>Tabell2[[#This Row],[Inntekt-I]]*Vekter!$L$3</f>
        <v>5.309945932352572</v>
      </c>
      <c r="AL159" s="37">
        <f>SUM(Tabell2[[#This Row],[NIBR11-v]:[Inntekt-v]])</f>
        <v>23.163990953949249</v>
      </c>
    </row>
    <row r="160" spans="1:38">
      <c r="A160" s="2" t="s">
        <v>157</v>
      </c>
      <c r="B160">
        <f>'Rådata-K'!M159</f>
        <v>11</v>
      </c>
      <c r="C160" s="9">
        <f>'Rådata-K'!L159</f>
        <v>222.61062649499999</v>
      </c>
      <c r="D160" s="51">
        <f>'Rådata-K'!N159</f>
        <v>0.64615950870066041</v>
      </c>
      <c r="E160" s="51">
        <f>'Rådata-K'!O159</f>
        <v>8.3428571428571408E-2</v>
      </c>
      <c r="F160" s="51">
        <f>'Rådata-K'!P159</f>
        <v>0.1339662447257384</v>
      </c>
      <c r="G160" s="51">
        <f>'Rådata-K'!Q159</f>
        <v>0.10443037974683544</v>
      </c>
      <c r="H160" s="51">
        <f>'Rådata-K'!R159</f>
        <v>0.19712525667351133</v>
      </c>
      <c r="I160" s="51">
        <f>'Rådata-K'!S159</f>
        <v>0.94266441821247893</v>
      </c>
      <c r="J160" s="52">
        <f>'Rådata-K'!K159</f>
        <v>407100</v>
      </c>
      <c r="K160" s="26">
        <f>Tabell2[[#This Row],[NIBR11]]</f>
        <v>11</v>
      </c>
      <c r="L160" s="52">
        <f>IF(Tabell2[[#This Row],[ReisetidOslo]]&lt;=C$434,C$434,IF(Tabell2[[#This Row],[ReisetidOslo]]&gt;=C$435,C$435,Tabell2[[#This Row],[ReisetidOslo]]))</f>
        <v>222.61062649499999</v>
      </c>
      <c r="M160" s="51">
        <f>IF(Tabell2[[#This Row],[Beftettotal]]&lt;=D$434,D$434,IF(Tabell2[[#This Row],[Beftettotal]]&gt;=D$435,D$435,Tabell2[[#This Row],[Beftettotal]]))</f>
        <v>1.3397285732306117</v>
      </c>
      <c r="N160" s="51">
        <f>IF(Tabell2[[#This Row],[Befvekst10]]&lt;=E$434,E$434,IF(Tabell2[[#This Row],[Befvekst10]]&gt;=E$435,E$435,Tabell2[[#This Row],[Befvekst10]]))</f>
        <v>8.3428571428571408E-2</v>
      </c>
      <c r="O160" s="51">
        <f>IF(Tabell2[[#This Row],[Kvinneandel]]&lt;=F$434,F$434,IF(Tabell2[[#This Row],[Kvinneandel]]&gt;=F$435,F$435,Tabell2[[#This Row],[Kvinneandel]]))</f>
        <v>0.12801731869362362</v>
      </c>
      <c r="P160" s="51">
        <f>IF(Tabell2[[#This Row],[Eldreandel]]&lt;=G$434,G$434,IF(Tabell2[[#This Row],[Eldreandel]]&gt;=G$435,G$435,Tabell2[[#This Row],[Eldreandel]]))</f>
        <v>0.1200928231908705</v>
      </c>
      <c r="Q160" s="51">
        <f>IF(Tabell2[[#This Row],[Sysselsettingsvekst10]]&lt;=H$434,H$434,IF(Tabell2[[#This Row],[Sysselsettingsvekst10]]&gt;=H$435,H$435,Tabell2[[#This Row],[Sysselsettingsvekst10]]))</f>
        <v>0.19712525667351133</v>
      </c>
      <c r="R160" s="51">
        <f>IF(Tabell2[[#This Row],[Yrkesaktivandel]]&lt;=I$434,I$434,IF(Tabell2[[#This Row],[Yrkesaktivandel]]&gt;=I$435,I$435,Tabell2[[#This Row],[Yrkesaktivandel]]))</f>
        <v>0.94266441821247893</v>
      </c>
      <c r="S160" s="52">
        <f>IF(Tabell2[[#This Row],[Inntekt]]&lt;=J$434,J$434,IF(Tabell2[[#This Row],[Inntekt]]&gt;=J$435,J$435,Tabell2[[#This Row],[Inntekt]]))</f>
        <v>400000</v>
      </c>
      <c r="T160" s="9">
        <f>IF(Tabell2[[#This Row],[NIBR11-T]]&lt;=K$437,100,IF(Tabell2[[#This Row],[NIBR11-T]]&gt;=K$436,0,100*(K$436-Tabell2[[#This Row],[NIBR11-T]])/K$439))</f>
        <v>0</v>
      </c>
      <c r="U160" s="9">
        <f>(L$436-Tabell2[[#This Row],[ReisetidOslo-T]])*100/L$439</f>
        <v>25.058768531271447</v>
      </c>
      <c r="V160" s="9">
        <f>100-(M$436-Tabell2[[#This Row],[Beftettotal-T]])*100/M$439</f>
        <v>0</v>
      </c>
      <c r="W160" s="9">
        <f>100-(N$436-Tabell2[[#This Row],[Befvekst10-T]])*100/N$439</f>
        <v>66.450311382197512</v>
      </c>
      <c r="X160" s="9">
        <f>100-(O$436-Tabell2[[#This Row],[Kvinneandel-T]])*100/O$439</f>
        <v>100</v>
      </c>
      <c r="Y160" s="9">
        <f>(P$436-Tabell2[[#This Row],[Eldreandel-T]])*100/P$439</f>
        <v>100.00000000000001</v>
      </c>
      <c r="Z160" s="9">
        <f>100-(Q$436-Tabell2[[#This Row],[Sysselsettingsvekst10-T]])*100/Q$439</f>
        <v>85.31983527101346</v>
      </c>
      <c r="AA160" s="9">
        <f>100-(R$436-Tabell2[[#This Row],[Yrkesaktivandel-T]])*100/R$439</f>
        <v>85.452981715035691</v>
      </c>
      <c r="AB160" s="9">
        <f>100-(S$436-Tabell2[[#This Row],[Inntekt-T]])*100/S$439</f>
        <v>100</v>
      </c>
      <c r="AC160" s="48">
        <f>Tabell2[[#This Row],[NIBR11-I]]*Vekter!$B$3</f>
        <v>0</v>
      </c>
      <c r="AD160" s="48">
        <f>Tabell2[[#This Row],[ReisetidOslo-I]]*Vekter!$C$3</f>
        <v>2.5058768531271447</v>
      </c>
      <c r="AE160" s="48">
        <f>Tabell2[[#This Row],[Beftettotal-I]]*Vekter!$D$3</f>
        <v>0</v>
      </c>
      <c r="AF160" s="48">
        <f>Tabell2[[#This Row],[Befvekst10-I]]*Vekter!$E$3</f>
        <v>13.290062276439503</v>
      </c>
      <c r="AG160" s="48">
        <f>Tabell2[[#This Row],[Kvinneandel-I]]*Vekter!$F$3</f>
        <v>5</v>
      </c>
      <c r="AH160" s="48">
        <f>Tabell2[[#This Row],[Eldreandel-I]]*Vekter!$G$3</f>
        <v>5.0000000000000009</v>
      </c>
      <c r="AI160" s="48">
        <f>Tabell2[[#This Row],[Sysselsettingsvekst10-I]]*Vekter!$H$3</f>
        <v>8.531983527101346</v>
      </c>
      <c r="AJ160" s="48">
        <f>Tabell2[[#This Row],[Yrkesaktivandel-I]]*Vekter!$J$3</f>
        <v>8.5452981715035694</v>
      </c>
      <c r="AK160" s="48">
        <f>Tabell2[[#This Row],[Inntekt-I]]*Vekter!$L$3</f>
        <v>10</v>
      </c>
      <c r="AL160" s="37">
        <f>SUM(Tabell2[[#This Row],[NIBR11-v]:[Inntekt-v]])</f>
        <v>52.873220828171561</v>
      </c>
    </row>
    <row r="161" spans="1:38">
      <c r="A161" s="2" t="s">
        <v>158</v>
      </c>
      <c r="B161">
        <f>'Rådata-K'!M160</f>
        <v>2</v>
      </c>
      <c r="C161" s="9">
        <f>'Rådata-K'!L160</f>
        <v>159.89607002190002</v>
      </c>
      <c r="D161" s="51">
        <f>'Rådata-K'!N160</f>
        <v>310.9580123684496</v>
      </c>
      <c r="E161" s="51">
        <f>'Rådata-K'!O160</f>
        <v>0.14217587672688636</v>
      </c>
      <c r="F161" s="51">
        <f>'Rådata-K'!P160</f>
        <v>0.13748066478257329</v>
      </c>
      <c r="G161" s="51">
        <f>'Rådata-K'!Q160</f>
        <v>0.12503634439365921</v>
      </c>
      <c r="H161" s="51">
        <f>'Rådata-K'!R160</f>
        <v>0.23442844067633306</v>
      </c>
      <c r="I161" s="51">
        <f>'Rådata-K'!S160</f>
        <v>0.83666478522353493</v>
      </c>
      <c r="J161" s="52">
        <f>'Rådata-K'!K160</f>
        <v>381100</v>
      </c>
      <c r="K161" s="26">
        <f>Tabell2[[#This Row],[NIBR11]]</f>
        <v>2</v>
      </c>
      <c r="L161" s="52">
        <f>IF(Tabell2[[#This Row],[ReisetidOslo]]&lt;=C$434,C$434,IF(Tabell2[[#This Row],[ReisetidOslo]]&gt;=C$435,C$435,Tabell2[[#This Row],[ReisetidOslo]]))</f>
        <v>159.89607002190002</v>
      </c>
      <c r="M161" s="51">
        <f>IF(Tabell2[[#This Row],[Beftettotal]]&lt;=D$434,D$434,IF(Tabell2[[#This Row],[Beftettotal]]&gt;=D$435,D$435,Tabell2[[#This Row],[Beftettotal]]))</f>
        <v>128.29773514779066</v>
      </c>
      <c r="N161" s="51">
        <f>IF(Tabell2[[#This Row],[Befvekst10]]&lt;=E$434,E$434,IF(Tabell2[[#This Row],[Befvekst10]]&gt;=E$435,E$435,Tabell2[[#This Row],[Befvekst10]]))</f>
        <v>0.14217587672688636</v>
      </c>
      <c r="O161" s="51">
        <f>IF(Tabell2[[#This Row],[Kvinneandel]]&lt;=F$434,F$434,IF(Tabell2[[#This Row],[Kvinneandel]]&gt;=F$435,F$435,Tabell2[[#This Row],[Kvinneandel]]))</f>
        <v>0.12801731869362362</v>
      </c>
      <c r="P161" s="51">
        <f>IF(Tabell2[[#This Row],[Eldreandel]]&lt;=G$434,G$434,IF(Tabell2[[#This Row],[Eldreandel]]&gt;=G$435,G$435,Tabell2[[#This Row],[Eldreandel]]))</f>
        <v>0.12503634439365921</v>
      </c>
      <c r="Q161" s="51">
        <f>IF(Tabell2[[#This Row],[Sysselsettingsvekst10]]&lt;=H$434,H$434,IF(Tabell2[[#This Row],[Sysselsettingsvekst10]]&gt;=H$435,H$435,Tabell2[[#This Row],[Sysselsettingsvekst10]]))</f>
        <v>0.23442844067633306</v>
      </c>
      <c r="R161" s="51">
        <f>IF(Tabell2[[#This Row],[Yrkesaktivandel]]&lt;=I$434,I$434,IF(Tabell2[[#This Row],[Yrkesaktivandel]]&gt;=I$435,I$435,Tabell2[[#This Row],[Yrkesaktivandel]]))</f>
        <v>0.83666478522353493</v>
      </c>
      <c r="S161" s="52">
        <f>IF(Tabell2[[#This Row],[Inntekt]]&lt;=J$434,J$434,IF(Tabell2[[#This Row],[Inntekt]]&gt;=J$435,J$435,Tabell2[[#This Row],[Inntekt]]))</f>
        <v>381100</v>
      </c>
      <c r="T161" s="9">
        <f>IF(Tabell2[[#This Row],[NIBR11-T]]&lt;=K$437,100,IF(Tabell2[[#This Row],[NIBR11-T]]&gt;=K$436,0,100*(K$436-Tabell2[[#This Row],[NIBR11-T]])/K$439))</f>
        <v>90</v>
      </c>
      <c r="U161" s="9">
        <f>(L$436-Tabell2[[#This Row],[ReisetidOslo-T]])*100/L$439</f>
        <v>52.900932995169093</v>
      </c>
      <c r="V161" s="9">
        <f>100-(M$436-Tabell2[[#This Row],[Beftettotal-T]])*100/M$439</f>
        <v>100</v>
      </c>
      <c r="W161" s="9">
        <f>100-(N$436-Tabell2[[#This Row],[Befvekst10-T]])*100/N$439</f>
        <v>90.222744960359279</v>
      </c>
      <c r="X161" s="9">
        <f>100-(O$436-Tabell2[[#This Row],[Kvinneandel-T]])*100/O$439</f>
        <v>100</v>
      </c>
      <c r="Y161" s="9">
        <f>(P$436-Tabell2[[#This Row],[Eldreandel-T]])*100/P$439</f>
        <v>94.395596947942252</v>
      </c>
      <c r="Z161" s="9">
        <f>100-(Q$436-Tabell2[[#This Row],[Sysselsettingsvekst10-T]])*100/Q$439</f>
        <v>97.293081804571344</v>
      </c>
      <c r="AA161" s="9">
        <f>100-(R$436-Tabell2[[#This Row],[Yrkesaktivandel-T]])*100/R$439</f>
        <v>6.4328269607393764</v>
      </c>
      <c r="AB161" s="9">
        <f>100-(S$436-Tabell2[[#This Row],[Inntekt-T]])*100/S$439</f>
        <v>76.235382874387028</v>
      </c>
      <c r="AC161" s="48">
        <f>Tabell2[[#This Row],[NIBR11-I]]*Vekter!$B$3</f>
        <v>18</v>
      </c>
      <c r="AD161" s="48">
        <f>Tabell2[[#This Row],[ReisetidOslo-I]]*Vekter!$C$3</f>
        <v>5.2900932995169097</v>
      </c>
      <c r="AE161" s="48">
        <f>Tabell2[[#This Row],[Beftettotal-I]]*Vekter!$D$3</f>
        <v>10</v>
      </c>
      <c r="AF161" s="48">
        <f>Tabell2[[#This Row],[Befvekst10-I]]*Vekter!$E$3</f>
        <v>18.044548992071856</v>
      </c>
      <c r="AG161" s="48">
        <f>Tabell2[[#This Row],[Kvinneandel-I]]*Vekter!$F$3</f>
        <v>5</v>
      </c>
      <c r="AH161" s="48">
        <f>Tabell2[[#This Row],[Eldreandel-I]]*Vekter!$G$3</f>
        <v>4.7197798473971124</v>
      </c>
      <c r="AI161" s="48">
        <f>Tabell2[[#This Row],[Sysselsettingsvekst10-I]]*Vekter!$H$3</f>
        <v>9.7293081804571351</v>
      </c>
      <c r="AJ161" s="48">
        <f>Tabell2[[#This Row],[Yrkesaktivandel-I]]*Vekter!$J$3</f>
        <v>0.64328269607393773</v>
      </c>
      <c r="AK161" s="48">
        <f>Tabell2[[#This Row],[Inntekt-I]]*Vekter!$L$3</f>
        <v>7.623538287438703</v>
      </c>
      <c r="AL161" s="37">
        <f>SUM(Tabell2[[#This Row],[NIBR11-v]:[Inntekt-v]])</f>
        <v>79.050551302955654</v>
      </c>
    </row>
    <row r="162" spans="1:38">
      <c r="A162" s="2" t="s">
        <v>159</v>
      </c>
      <c r="B162">
        <f>'Rådata-K'!M161</f>
        <v>5</v>
      </c>
      <c r="C162" s="9">
        <f>'Rådata-K'!L161</f>
        <v>196.11172585</v>
      </c>
      <c r="D162" s="51">
        <f>'Rådata-K'!N161</f>
        <v>68.965672178288997</v>
      </c>
      <c r="E162" s="51">
        <f>'Rådata-K'!O161</f>
        <v>0.10903179190751455</v>
      </c>
      <c r="F162" s="51">
        <f>'Rådata-K'!P161</f>
        <v>0.12254870024105805</v>
      </c>
      <c r="G162" s="51">
        <f>'Rådata-K'!Q161</f>
        <v>0.13968336699459249</v>
      </c>
      <c r="H162" s="51">
        <f>'Rådata-K'!R161</f>
        <v>0.15685195376995043</v>
      </c>
      <c r="I162" s="51">
        <f>'Rådata-K'!S161</f>
        <v>0.83462326428408828</v>
      </c>
      <c r="J162" s="52">
        <f>'Rådata-K'!K161</f>
        <v>361100</v>
      </c>
      <c r="K162" s="26">
        <f>Tabell2[[#This Row],[NIBR11]]</f>
        <v>5</v>
      </c>
      <c r="L162" s="52">
        <f>IF(Tabell2[[#This Row],[ReisetidOslo]]&lt;=C$434,C$434,IF(Tabell2[[#This Row],[ReisetidOslo]]&gt;=C$435,C$435,Tabell2[[#This Row],[ReisetidOslo]]))</f>
        <v>196.11172585</v>
      </c>
      <c r="M162" s="51">
        <f>IF(Tabell2[[#This Row],[Beftettotal]]&lt;=D$434,D$434,IF(Tabell2[[#This Row],[Beftettotal]]&gt;=D$435,D$435,Tabell2[[#This Row],[Beftettotal]]))</f>
        <v>68.965672178288997</v>
      </c>
      <c r="N162" s="51">
        <f>IF(Tabell2[[#This Row],[Befvekst10]]&lt;=E$434,E$434,IF(Tabell2[[#This Row],[Befvekst10]]&gt;=E$435,E$435,Tabell2[[#This Row],[Befvekst10]]))</f>
        <v>0.10903179190751455</v>
      </c>
      <c r="O162" s="51">
        <f>IF(Tabell2[[#This Row],[Kvinneandel]]&lt;=F$434,F$434,IF(Tabell2[[#This Row],[Kvinneandel]]&gt;=F$435,F$435,Tabell2[[#This Row],[Kvinneandel]]))</f>
        <v>0.12254870024105805</v>
      </c>
      <c r="P162" s="51">
        <f>IF(Tabell2[[#This Row],[Eldreandel]]&lt;=G$434,G$434,IF(Tabell2[[#This Row],[Eldreandel]]&gt;=G$435,G$435,Tabell2[[#This Row],[Eldreandel]]))</f>
        <v>0.13968336699459249</v>
      </c>
      <c r="Q162" s="51">
        <f>IF(Tabell2[[#This Row],[Sysselsettingsvekst10]]&lt;=H$434,H$434,IF(Tabell2[[#This Row],[Sysselsettingsvekst10]]&gt;=H$435,H$435,Tabell2[[#This Row],[Sysselsettingsvekst10]]))</f>
        <v>0.15685195376995043</v>
      </c>
      <c r="R162" s="51">
        <f>IF(Tabell2[[#This Row],[Yrkesaktivandel]]&lt;=I$434,I$434,IF(Tabell2[[#This Row],[Yrkesaktivandel]]&gt;=I$435,I$435,Tabell2[[#This Row],[Yrkesaktivandel]]))</f>
        <v>0.83462326428408828</v>
      </c>
      <c r="S162" s="52">
        <f>IF(Tabell2[[#This Row],[Inntekt]]&lt;=J$434,J$434,IF(Tabell2[[#This Row],[Inntekt]]&gt;=J$435,J$435,Tabell2[[#This Row],[Inntekt]]))</f>
        <v>361100</v>
      </c>
      <c r="T162" s="9">
        <f>IF(Tabell2[[#This Row],[NIBR11-T]]&lt;=K$437,100,IF(Tabell2[[#This Row],[NIBR11-T]]&gt;=K$436,0,100*(K$436-Tabell2[[#This Row],[NIBR11-T]])/K$439))</f>
        <v>60</v>
      </c>
      <c r="U162" s="9">
        <f>(L$436-Tabell2[[#This Row],[ReisetidOslo-T]])*100/L$439</f>
        <v>36.822971156016635</v>
      </c>
      <c r="V162" s="9">
        <f>100-(M$436-Tabell2[[#This Row],[Beftettotal-T]])*100/M$439</f>
        <v>53.266387390339922</v>
      </c>
      <c r="W162" s="9">
        <f>100-(N$436-Tabell2[[#This Row],[Befvekst10-T]])*100/N$439</f>
        <v>76.810801197551896</v>
      </c>
      <c r="X162" s="9">
        <f>100-(O$436-Tabell2[[#This Row],[Kvinneandel-T]])*100/O$439</f>
        <v>85.515282410511617</v>
      </c>
      <c r="Y162" s="9">
        <f>(P$436-Tabell2[[#This Row],[Eldreandel-T]])*100/P$439</f>
        <v>77.790465746740509</v>
      </c>
      <c r="Z162" s="9">
        <f>100-(Q$436-Tabell2[[#This Row],[Sysselsettingsvekst10-T]])*100/Q$439</f>
        <v>72.39326620525992</v>
      </c>
      <c r="AA162" s="9">
        <f>100-(R$436-Tabell2[[#This Row],[Yrkesaktivandel-T]])*100/R$439</f>
        <v>4.9109226293721377</v>
      </c>
      <c r="AB162" s="9">
        <f>100-(S$436-Tabell2[[#This Row],[Inntekt-T]])*100/S$439</f>
        <v>51.087639884320382</v>
      </c>
      <c r="AC162" s="48">
        <f>Tabell2[[#This Row],[NIBR11-I]]*Vekter!$B$3</f>
        <v>12</v>
      </c>
      <c r="AD162" s="48">
        <f>Tabell2[[#This Row],[ReisetidOslo-I]]*Vekter!$C$3</f>
        <v>3.6822971156016635</v>
      </c>
      <c r="AE162" s="48">
        <f>Tabell2[[#This Row],[Beftettotal-I]]*Vekter!$D$3</f>
        <v>5.3266387390339922</v>
      </c>
      <c r="AF162" s="48">
        <f>Tabell2[[#This Row],[Befvekst10-I]]*Vekter!$E$3</f>
        <v>15.362160239510381</v>
      </c>
      <c r="AG162" s="48">
        <f>Tabell2[[#This Row],[Kvinneandel-I]]*Vekter!$F$3</f>
        <v>4.2757641205255812</v>
      </c>
      <c r="AH162" s="48">
        <f>Tabell2[[#This Row],[Eldreandel-I]]*Vekter!$G$3</f>
        <v>3.8895232873370258</v>
      </c>
      <c r="AI162" s="48">
        <f>Tabell2[[#This Row],[Sysselsettingsvekst10-I]]*Vekter!$H$3</f>
        <v>7.2393266205259925</v>
      </c>
      <c r="AJ162" s="48">
        <f>Tabell2[[#This Row],[Yrkesaktivandel-I]]*Vekter!$J$3</f>
        <v>0.49109226293721381</v>
      </c>
      <c r="AK162" s="48">
        <f>Tabell2[[#This Row],[Inntekt-I]]*Vekter!$L$3</f>
        <v>5.1087639884320382</v>
      </c>
      <c r="AL162" s="37">
        <f>SUM(Tabell2[[#This Row],[NIBR11-v]:[Inntekt-v]])</f>
        <v>57.375566373903894</v>
      </c>
    </row>
    <row r="163" spans="1:38">
      <c r="A163" s="2" t="s">
        <v>160</v>
      </c>
      <c r="B163">
        <f>'Rådata-K'!M162</f>
        <v>6</v>
      </c>
      <c r="C163" s="9">
        <f>'Rådata-K'!L162</f>
        <v>234.81368318579999</v>
      </c>
      <c r="D163" s="51">
        <f>'Rådata-K'!N162</f>
        <v>36.247286024454354</v>
      </c>
      <c r="E163" s="51">
        <f>'Rådata-K'!O162</f>
        <v>2.0006317784564409E-3</v>
      </c>
      <c r="F163" s="51">
        <f>'Rådata-K'!P162</f>
        <v>0.10886927280369903</v>
      </c>
      <c r="G163" s="51">
        <f>'Rådata-K'!Q162</f>
        <v>0.16288356452290878</v>
      </c>
      <c r="H163" s="51">
        <f>'Rådata-K'!R162</f>
        <v>1.9989479221462325E-2</v>
      </c>
      <c r="I163" s="51">
        <f>'Rådata-K'!S162</f>
        <v>0.90135729306060031</v>
      </c>
      <c r="J163" s="52">
        <f>'Rådata-K'!K162</f>
        <v>376000</v>
      </c>
      <c r="K163" s="26">
        <f>Tabell2[[#This Row],[NIBR11]]</f>
        <v>6</v>
      </c>
      <c r="L163" s="52">
        <f>IF(Tabell2[[#This Row],[ReisetidOslo]]&lt;=C$434,C$434,IF(Tabell2[[#This Row],[ReisetidOslo]]&gt;=C$435,C$435,Tabell2[[#This Row],[ReisetidOslo]]))</f>
        <v>234.81368318579999</v>
      </c>
      <c r="M163" s="51">
        <f>IF(Tabell2[[#This Row],[Beftettotal]]&lt;=D$434,D$434,IF(Tabell2[[#This Row],[Beftettotal]]&gt;=D$435,D$435,Tabell2[[#This Row],[Beftettotal]]))</f>
        <v>36.247286024454354</v>
      </c>
      <c r="N163" s="51">
        <f>IF(Tabell2[[#This Row],[Befvekst10]]&lt;=E$434,E$434,IF(Tabell2[[#This Row],[Befvekst10]]&gt;=E$435,E$435,Tabell2[[#This Row],[Befvekst10]]))</f>
        <v>2.0006317784564409E-3</v>
      </c>
      <c r="O163" s="51">
        <f>IF(Tabell2[[#This Row],[Kvinneandel]]&lt;=F$434,F$434,IF(Tabell2[[#This Row],[Kvinneandel]]&gt;=F$435,F$435,Tabell2[[#This Row],[Kvinneandel]]))</f>
        <v>0.10886927280369903</v>
      </c>
      <c r="P163" s="51">
        <f>IF(Tabell2[[#This Row],[Eldreandel]]&lt;=G$434,G$434,IF(Tabell2[[#This Row],[Eldreandel]]&gt;=G$435,G$435,Tabell2[[#This Row],[Eldreandel]]))</f>
        <v>0.16288356452290878</v>
      </c>
      <c r="Q163" s="51">
        <f>IF(Tabell2[[#This Row],[Sysselsettingsvekst10]]&lt;=H$434,H$434,IF(Tabell2[[#This Row],[Sysselsettingsvekst10]]&gt;=H$435,H$435,Tabell2[[#This Row],[Sysselsettingsvekst10]]))</f>
        <v>1.9989479221462325E-2</v>
      </c>
      <c r="R163" s="51">
        <f>IF(Tabell2[[#This Row],[Yrkesaktivandel]]&lt;=I$434,I$434,IF(Tabell2[[#This Row],[Yrkesaktivandel]]&gt;=I$435,I$435,Tabell2[[#This Row],[Yrkesaktivandel]]))</f>
        <v>0.90135729306060031</v>
      </c>
      <c r="S163" s="52">
        <f>IF(Tabell2[[#This Row],[Inntekt]]&lt;=J$434,J$434,IF(Tabell2[[#This Row],[Inntekt]]&gt;=J$435,J$435,Tabell2[[#This Row],[Inntekt]]))</f>
        <v>376000</v>
      </c>
      <c r="T163" s="9">
        <f>IF(Tabell2[[#This Row],[NIBR11-T]]&lt;=K$437,100,IF(Tabell2[[#This Row],[NIBR11-T]]&gt;=K$436,0,100*(K$436-Tabell2[[#This Row],[NIBR11-T]])/K$439))</f>
        <v>50</v>
      </c>
      <c r="U163" s="9">
        <f>(L$436-Tabell2[[#This Row],[ReisetidOslo-T]])*100/L$439</f>
        <v>19.641214291001052</v>
      </c>
      <c r="V163" s="9">
        <f>100-(M$436-Tabell2[[#This Row],[Beftettotal-T]])*100/M$439</f>
        <v>27.49535723902784</v>
      </c>
      <c r="W163" s="9">
        <f>100-(N$436-Tabell2[[#This Row],[Befvekst10-T]])*100/N$439</f>
        <v>33.500029204838739</v>
      </c>
      <c r="X163" s="9">
        <f>100-(O$436-Tabell2[[#This Row],[Kvinneandel-T]])*100/O$439</f>
        <v>49.282613239180698</v>
      </c>
      <c r="Y163" s="9">
        <f>(P$436-Tabell2[[#This Row],[Eldreandel-T]])*100/P$439</f>
        <v>51.488715940814679</v>
      </c>
      <c r="Z163" s="9">
        <f>100-(Q$436-Tabell2[[#This Row],[Sysselsettingsvekst10-T]])*100/Q$439</f>
        <v>28.464357915879461</v>
      </c>
      <c r="AA163" s="9">
        <f>100-(R$436-Tabell2[[#This Row],[Yrkesaktivandel-T]])*100/R$439</f>
        <v>54.659522059406626</v>
      </c>
      <c r="AB163" s="9">
        <f>100-(S$436-Tabell2[[#This Row],[Inntekt-T]])*100/S$439</f>
        <v>69.822708411920033</v>
      </c>
      <c r="AC163" s="48">
        <f>Tabell2[[#This Row],[NIBR11-I]]*Vekter!$B$3</f>
        <v>10</v>
      </c>
      <c r="AD163" s="48">
        <f>Tabell2[[#This Row],[ReisetidOslo-I]]*Vekter!$C$3</f>
        <v>1.9641214291001052</v>
      </c>
      <c r="AE163" s="48">
        <f>Tabell2[[#This Row],[Beftettotal-I]]*Vekter!$D$3</f>
        <v>2.7495357239027842</v>
      </c>
      <c r="AF163" s="48">
        <f>Tabell2[[#This Row],[Befvekst10-I]]*Vekter!$E$3</f>
        <v>6.7000058409677479</v>
      </c>
      <c r="AG163" s="48">
        <f>Tabell2[[#This Row],[Kvinneandel-I]]*Vekter!$F$3</f>
        <v>2.4641306619590351</v>
      </c>
      <c r="AH163" s="48">
        <f>Tabell2[[#This Row],[Eldreandel-I]]*Vekter!$G$3</f>
        <v>2.5744357970407341</v>
      </c>
      <c r="AI163" s="48">
        <f>Tabell2[[#This Row],[Sysselsettingsvekst10-I]]*Vekter!$H$3</f>
        <v>2.8464357915879464</v>
      </c>
      <c r="AJ163" s="48">
        <f>Tabell2[[#This Row],[Yrkesaktivandel-I]]*Vekter!$J$3</f>
        <v>5.4659522059406633</v>
      </c>
      <c r="AK163" s="48">
        <f>Tabell2[[#This Row],[Inntekt-I]]*Vekter!$L$3</f>
        <v>6.9822708411920038</v>
      </c>
      <c r="AL163" s="37">
        <f>SUM(Tabell2[[#This Row],[NIBR11-v]:[Inntekt-v]])</f>
        <v>41.746888291691022</v>
      </c>
    </row>
    <row r="164" spans="1:38">
      <c r="A164" s="2" t="s">
        <v>161</v>
      </c>
      <c r="B164">
        <f>'Rådata-K'!M163</f>
        <v>6</v>
      </c>
      <c r="C164" s="9">
        <f>'Rådata-K'!L163</f>
        <v>247.06975202699999</v>
      </c>
      <c r="D164" s="51">
        <f>'Rådata-K'!N163</f>
        <v>16.582646452752428</v>
      </c>
      <c r="E164" s="51">
        <f>'Rådata-K'!O163</f>
        <v>1.0652612693428987E-2</v>
      </c>
      <c r="F164" s="51">
        <f>'Rådata-K'!P163</f>
        <v>0.10274048596471763</v>
      </c>
      <c r="G164" s="51">
        <f>'Rådata-K'!Q163</f>
        <v>0.1693109952291135</v>
      </c>
      <c r="H164" s="51">
        <f>'Rådata-K'!R163</f>
        <v>3.537214443625647E-2</v>
      </c>
      <c r="I164" s="51">
        <f>'Rådata-K'!S163</f>
        <v>0.89398166600239137</v>
      </c>
      <c r="J164" s="52">
        <f>'Rådata-K'!K163</f>
        <v>376300</v>
      </c>
      <c r="K164" s="26">
        <f>Tabell2[[#This Row],[NIBR11]]</f>
        <v>6</v>
      </c>
      <c r="L164" s="52">
        <f>IF(Tabell2[[#This Row],[ReisetidOslo]]&lt;=C$434,C$434,IF(Tabell2[[#This Row],[ReisetidOslo]]&gt;=C$435,C$435,Tabell2[[#This Row],[ReisetidOslo]]))</f>
        <v>247.06975202699999</v>
      </c>
      <c r="M164" s="51">
        <f>IF(Tabell2[[#This Row],[Beftettotal]]&lt;=D$434,D$434,IF(Tabell2[[#This Row],[Beftettotal]]&gt;=D$435,D$435,Tabell2[[#This Row],[Beftettotal]]))</f>
        <v>16.582646452752428</v>
      </c>
      <c r="N164" s="51">
        <f>IF(Tabell2[[#This Row],[Befvekst10]]&lt;=E$434,E$434,IF(Tabell2[[#This Row],[Befvekst10]]&gt;=E$435,E$435,Tabell2[[#This Row],[Befvekst10]]))</f>
        <v>1.0652612693428987E-2</v>
      </c>
      <c r="O164" s="51">
        <f>IF(Tabell2[[#This Row],[Kvinneandel]]&lt;=F$434,F$434,IF(Tabell2[[#This Row],[Kvinneandel]]&gt;=F$435,F$435,Tabell2[[#This Row],[Kvinneandel]]))</f>
        <v>0.10274048596471763</v>
      </c>
      <c r="P164" s="51">
        <f>IF(Tabell2[[#This Row],[Eldreandel]]&lt;=G$434,G$434,IF(Tabell2[[#This Row],[Eldreandel]]&gt;=G$435,G$435,Tabell2[[#This Row],[Eldreandel]]))</f>
        <v>0.1693109952291135</v>
      </c>
      <c r="Q164" s="51">
        <f>IF(Tabell2[[#This Row],[Sysselsettingsvekst10]]&lt;=H$434,H$434,IF(Tabell2[[#This Row],[Sysselsettingsvekst10]]&gt;=H$435,H$435,Tabell2[[#This Row],[Sysselsettingsvekst10]]))</f>
        <v>3.537214443625647E-2</v>
      </c>
      <c r="R164" s="51">
        <f>IF(Tabell2[[#This Row],[Yrkesaktivandel]]&lt;=I$434,I$434,IF(Tabell2[[#This Row],[Yrkesaktivandel]]&gt;=I$435,I$435,Tabell2[[#This Row],[Yrkesaktivandel]]))</f>
        <v>0.89398166600239137</v>
      </c>
      <c r="S164" s="52">
        <f>IF(Tabell2[[#This Row],[Inntekt]]&lt;=J$434,J$434,IF(Tabell2[[#This Row],[Inntekt]]&gt;=J$435,J$435,Tabell2[[#This Row],[Inntekt]]))</f>
        <v>376300</v>
      </c>
      <c r="T164" s="9">
        <f>IF(Tabell2[[#This Row],[NIBR11-T]]&lt;=K$437,100,IF(Tabell2[[#This Row],[NIBR11-T]]&gt;=K$436,0,100*(K$436-Tabell2[[#This Row],[NIBR11-T]])/K$439))</f>
        <v>50</v>
      </c>
      <c r="U164" s="9">
        <f>(L$436-Tabell2[[#This Row],[ReisetidOslo-T]])*100/L$439</f>
        <v>14.200125275185282</v>
      </c>
      <c r="V164" s="9">
        <f>100-(M$436-Tabell2[[#This Row],[Beftettotal-T]])*100/M$439</f>
        <v>12.006267498040728</v>
      </c>
      <c r="W164" s="9">
        <f>100-(N$436-Tabell2[[#This Row],[Befvekst10-T]])*100/N$439</f>
        <v>37.001102838366016</v>
      </c>
      <c r="X164" s="9">
        <f>100-(O$436-Tabell2[[#This Row],[Kvinneandel-T]])*100/O$439</f>
        <v>33.049309106000408</v>
      </c>
      <c r="Y164" s="9">
        <f>(P$436-Tabell2[[#This Row],[Eldreandel-T]])*100/P$439</f>
        <v>44.20202477694896</v>
      </c>
      <c r="Z164" s="9">
        <f>100-(Q$436-Tabell2[[#This Row],[Sysselsettingsvekst10-T]])*100/Q$439</f>
        <v>33.401749934372674</v>
      </c>
      <c r="AA164" s="9">
        <f>100-(R$436-Tabell2[[#This Row],[Yrkesaktivandel-T]])*100/R$439</f>
        <v>49.161171026338096</v>
      </c>
      <c r="AB164" s="9">
        <f>100-(S$436-Tabell2[[#This Row],[Inntekt-T]])*100/S$439</f>
        <v>70.199924556771037</v>
      </c>
      <c r="AC164" s="48">
        <f>Tabell2[[#This Row],[NIBR11-I]]*Vekter!$B$3</f>
        <v>10</v>
      </c>
      <c r="AD164" s="48">
        <f>Tabell2[[#This Row],[ReisetidOslo-I]]*Vekter!$C$3</f>
        <v>1.4200125275185282</v>
      </c>
      <c r="AE164" s="48">
        <f>Tabell2[[#This Row],[Beftettotal-I]]*Vekter!$D$3</f>
        <v>1.2006267498040728</v>
      </c>
      <c r="AF164" s="48">
        <f>Tabell2[[#This Row],[Befvekst10-I]]*Vekter!$E$3</f>
        <v>7.4002205676732036</v>
      </c>
      <c r="AG164" s="48">
        <f>Tabell2[[#This Row],[Kvinneandel-I]]*Vekter!$F$3</f>
        <v>1.6524654553000204</v>
      </c>
      <c r="AH164" s="48">
        <f>Tabell2[[#This Row],[Eldreandel-I]]*Vekter!$G$3</f>
        <v>2.2101012388474479</v>
      </c>
      <c r="AI164" s="48">
        <f>Tabell2[[#This Row],[Sysselsettingsvekst10-I]]*Vekter!$H$3</f>
        <v>3.3401749934372678</v>
      </c>
      <c r="AJ164" s="48">
        <f>Tabell2[[#This Row],[Yrkesaktivandel-I]]*Vekter!$J$3</f>
        <v>4.9161171026338097</v>
      </c>
      <c r="AK164" s="48">
        <f>Tabell2[[#This Row],[Inntekt-I]]*Vekter!$L$3</f>
        <v>7.0199924556771043</v>
      </c>
      <c r="AL164" s="37">
        <f>SUM(Tabell2[[#This Row],[NIBR11-v]:[Inntekt-v]])</f>
        <v>39.159711090891456</v>
      </c>
    </row>
    <row r="165" spans="1:38">
      <c r="A165" s="2" t="s">
        <v>162</v>
      </c>
      <c r="B165">
        <f>'Rådata-K'!M164</f>
        <v>2</v>
      </c>
      <c r="C165" s="9">
        <f>'Rådata-K'!L164</f>
        <v>160.01284094569999</v>
      </c>
      <c r="D165" s="51">
        <f>'Rådata-K'!N164</f>
        <v>36.377350638541365</v>
      </c>
      <c r="E165" s="51">
        <f>'Rådata-K'!O164</f>
        <v>0.13191971511816125</v>
      </c>
      <c r="F165" s="51">
        <f>'Rådata-K'!P164</f>
        <v>0.13213213213213212</v>
      </c>
      <c r="G165" s="51">
        <f>'Rådata-K'!Q164</f>
        <v>0.12147862147862148</v>
      </c>
      <c r="H165" s="51">
        <f>'Rådata-K'!R164</f>
        <v>0.11866631661853511</v>
      </c>
      <c r="I165" s="51">
        <f>'Rådata-K'!S164</f>
        <v>0.840825350036846</v>
      </c>
      <c r="J165" s="52">
        <f>'Rådata-K'!K164</f>
        <v>348100</v>
      </c>
      <c r="K165" s="26">
        <f>Tabell2[[#This Row],[NIBR11]]</f>
        <v>2</v>
      </c>
      <c r="L165" s="52">
        <f>IF(Tabell2[[#This Row],[ReisetidOslo]]&lt;=C$434,C$434,IF(Tabell2[[#This Row],[ReisetidOslo]]&gt;=C$435,C$435,Tabell2[[#This Row],[ReisetidOslo]]))</f>
        <v>160.01284094569999</v>
      </c>
      <c r="M165" s="51">
        <f>IF(Tabell2[[#This Row],[Beftettotal]]&lt;=D$434,D$434,IF(Tabell2[[#This Row],[Beftettotal]]&gt;=D$435,D$435,Tabell2[[#This Row],[Beftettotal]]))</f>
        <v>36.377350638541365</v>
      </c>
      <c r="N165" s="51">
        <f>IF(Tabell2[[#This Row],[Befvekst10]]&lt;=E$434,E$434,IF(Tabell2[[#This Row],[Befvekst10]]&gt;=E$435,E$435,Tabell2[[#This Row],[Befvekst10]]))</f>
        <v>0.13191971511816125</v>
      </c>
      <c r="O165" s="51">
        <f>IF(Tabell2[[#This Row],[Kvinneandel]]&lt;=F$434,F$434,IF(Tabell2[[#This Row],[Kvinneandel]]&gt;=F$435,F$435,Tabell2[[#This Row],[Kvinneandel]]))</f>
        <v>0.12801731869362362</v>
      </c>
      <c r="P165" s="51">
        <f>IF(Tabell2[[#This Row],[Eldreandel]]&lt;=G$434,G$434,IF(Tabell2[[#This Row],[Eldreandel]]&gt;=G$435,G$435,Tabell2[[#This Row],[Eldreandel]]))</f>
        <v>0.12147862147862148</v>
      </c>
      <c r="Q165" s="51">
        <f>IF(Tabell2[[#This Row],[Sysselsettingsvekst10]]&lt;=H$434,H$434,IF(Tabell2[[#This Row],[Sysselsettingsvekst10]]&gt;=H$435,H$435,Tabell2[[#This Row],[Sysselsettingsvekst10]]))</f>
        <v>0.11866631661853511</v>
      </c>
      <c r="R165" s="51">
        <f>IF(Tabell2[[#This Row],[Yrkesaktivandel]]&lt;=I$434,I$434,IF(Tabell2[[#This Row],[Yrkesaktivandel]]&gt;=I$435,I$435,Tabell2[[#This Row],[Yrkesaktivandel]]))</f>
        <v>0.840825350036846</v>
      </c>
      <c r="S165" s="52">
        <f>IF(Tabell2[[#This Row],[Inntekt]]&lt;=J$434,J$434,IF(Tabell2[[#This Row],[Inntekt]]&gt;=J$435,J$435,Tabell2[[#This Row],[Inntekt]]))</f>
        <v>348100</v>
      </c>
      <c r="T165" s="9">
        <f>IF(Tabell2[[#This Row],[NIBR11-T]]&lt;=K$437,100,IF(Tabell2[[#This Row],[NIBR11-T]]&gt;=K$436,0,100*(K$436-Tabell2[[#This Row],[NIBR11-T]])/K$439))</f>
        <v>90</v>
      </c>
      <c r="U165" s="9">
        <f>(L$436-Tabell2[[#This Row],[ReisetidOslo-T]])*100/L$439</f>
        <v>52.849092474437121</v>
      </c>
      <c r="V165" s="9">
        <f>100-(M$436-Tabell2[[#This Row],[Beftettotal-T]])*100/M$439</f>
        <v>27.597804195778565</v>
      </c>
      <c r="W165" s="9">
        <f>100-(N$436-Tabell2[[#This Row],[Befvekst10-T]])*100/N$439</f>
        <v>86.072530420777596</v>
      </c>
      <c r="X165" s="9">
        <f>100-(O$436-Tabell2[[#This Row],[Kvinneandel-T]])*100/O$439</f>
        <v>100</v>
      </c>
      <c r="Y165" s="9">
        <f>(P$436-Tabell2[[#This Row],[Eldreandel-T]])*100/P$439</f>
        <v>98.42893924496029</v>
      </c>
      <c r="Z165" s="9">
        <f>100-(Q$436-Tabell2[[#This Row],[Sysselsettingsvekst10-T]])*100/Q$439</f>
        <v>60.136777654033345</v>
      </c>
      <c r="AA165" s="9">
        <f>100-(R$436-Tabell2[[#This Row],[Yrkesaktivandel-T]])*100/R$439</f>
        <v>9.5344270903116239</v>
      </c>
      <c r="AB165" s="9">
        <f>100-(S$436-Tabell2[[#This Row],[Inntekt-T]])*100/S$439</f>
        <v>34.741606940777061</v>
      </c>
      <c r="AC165" s="48">
        <f>Tabell2[[#This Row],[NIBR11-I]]*Vekter!$B$3</f>
        <v>18</v>
      </c>
      <c r="AD165" s="48">
        <f>Tabell2[[#This Row],[ReisetidOslo-I]]*Vekter!$C$3</f>
        <v>5.2849092474437125</v>
      </c>
      <c r="AE165" s="48">
        <f>Tabell2[[#This Row],[Beftettotal-I]]*Vekter!$D$3</f>
        <v>2.7597804195778566</v>
      </c>
      <c r="AF165" s="48">
        <f>Tabell2[[#This Row],[Befvekst10-I]]*Vekter!$E$3</f>
        <v>17.21450608415552</v>
      </c>
      <c r="AG165" s="48">
        <f>Tabell2[[#This Row],[Kvinneandel-I]]*Vekter!$F$3</f>
        <v>5</v>
      </c>
      <c r="AH165" s="48">
        <f>Tabell2[[#This Row],[Eldreandel-I]]*Vekter!$G$3</f>
        <v>4.921446962248015</v>
      </c>
      <c r="AI165" s="48">
        <f>Tabell2[[#This Row],[Sysselsettingsvekst10-I]]*Vekter!$H$3</f>
        <v>6.0136777654033349</v>
      </c>
      <c r="AJ165" s="48">
        <f>Tabell2[[#This Row],[Yrkesaktivandel-I]]*Vekter!$J$3</f>
        <v>0.95344270903116246</v>
      </c>
      <c r="AK165" s="48">
        <f>Tabell2[[#This Row],[Inntekt-I]]*Vekter!$L$3</f>
        <v>3.4741606940777063</v>
      </c>
      <c r="AL165" s="37">
        <f>SUM(Tabell2[[#This Row],[NIBR11-v]:[Inntekt-v]])</f>
        <v>63.621923881937306</v>
      </c>
    </row>
    <row r="166" spans="1:38">
      <c r="A166" s="2" t="s">
        <v>163</v>
      </c>
      <c r="B166">
        <f>'Rådata-K'!M165</f>
        <v>2</v>
      </c>
      <c r="C166" s="9">
        <f>'Rådata-K'!L165</f>
        <v>171.1676260998</v>
      </c>
      <c r="D166" s="51">
        <f>'Rådata-K'!N165</f>
        <v>29.187311877749476</v>
      </c>
      <c r="E166" s="51">
        <f>'Rådata-K'!O165</f>
        <v>0.14955316432609878</v>
      </c>
      <c r="F166" s="51">
        <f>'Rådata-K'!P165</f>
        <v>0.13501507218784706</v>
      </c>
      <c r="G166" s="51">
        <f>'Rådata-K'!Q165</f>
        <v>0.11518324607329843</v>
      </c>
      <c r="H166" s="51">
        <f>'Rådata-K'!R165</f>
        <v>0.38854576080853453</v>
      </c>
      <c r="I166" s="51">
        <f>'Rådata-K'!S165</f>
        <v>0.83811083811083809</v>
      </c>
      <c r="J166" s="52">
        <f>'Rådata-K'!K165</f>
        <v>347400</v>
      </c>
      <c r="K166" s="26">
        <f>Tabell2[[#This Row],[NIBR11]]</f>
        <v>2</v>
      </c>
      <c r="L166" s="52">
        <f>IF(Tabell2[[#This Row],[ReisetidOslo]]&lt;=C$434,C$434,IF(Tabell2[[#This Row],[ReisetidOslo]]&gt;=C$435,C$435,Tabell2[[#This Row],[ReisetidOslo]]))</f>
        <v>171.1676260998</v>
      </c>
      <c r="M166" s="51">
        <f>IF(Tabell2[[#This Row],[Beftettotal]]&lt;=D$434,D$434,IF(Tabell2[[#This Row],[Beftettotal]]&gt;=D$435,D$435,Tabell2[[#This Row],[Beftettotal]]))</f>
        <v>29.187311877749476</v>
      </c>
      <c r="N166" s="51">
        <f>IF(Tabell2[[#This Row],[Befvekst10]]&lt;=E$434,E$434,IF(Tabell2[[#This Row],[Befvekst10]]&gt;=E$435,E$435,Tabell2[[#This Row],[Befvekst10]]))</f>
        <v>0.14955316432609878</v>
      </c>
      <c r="O166" s="51">
        <f>IF(Tabell2[[#This Row],[Kvinneandel]]&lt;=F$434,F$434,IF(Tabell2[[#This Row],[Kvinneandel]]&gt;=F$435,F$435,Tabell2[[#This Row],[Kvinneandel]]))</f>
        <v>0.12801731869362362</v>
      </c>
      <c r="P166" s="51">
        <f>IF(Tabell2[[#This Row],[Eldreandel]]&lt;=G$434,G$434,IF(Tabell2[[#This Row],[Eldreandel]]&gt;=G$435,G$435,Tabell2[[#This Row],[Eldreandel]]))</f>
        <v>0.1200928231908705</v>
      </c>
      <c r="Q166" s="51">
        <f>IF(Tabell2[[#This Row],[Sysselsettingsvekst10]]&lt;=H$434,H$434,IF(Tabell2[[#This Row],[Sysselsettingsvekst10]]&gt;=H$435,H$435,Tabell2[[#This Row],[Sysselsettingsvekst10]]))</f>
        <v>0.24286196513786068</v>
      </c>
      <c r="R166" s="51">
        <f>IF(Tabell2[[#This Row],[Yrkesaktivandel]]&lt;=I$434,I$434,IF(Tabell2[[#This Row],[Yrkesaktivandel]]&gt;=I$435,I$435,Tabell2[[#This Row],[Yrkesaktivandel]]))</f>
        <v>0.83811083811083809</v>
      </c>
      <c r="S166" s="52">
        <f>IF(Tabell2[[#This Row],[Inntekt]]&lt;=J$434,J$434,IF(Tabell2[[#This Row],[Inntekt]]&gt;=J$435,J$435,Tabell2[[#This Row],[Inntekt]]))</f>
        <v>347400</v>
      </c>
      <c r="T166" s="9">
        <f>IF(Tabell2[[#This Row],[NIBR11-T]]&lt;=K$437,100,IF(Tabell2[[#This Row],[NIBR11-T]]&gt;=K$436,0,100*(K$436-Tabell2[[#This Row],[NIBR11-T]])/K$439))</f>
        <v>90</v>
      </c>
      <c r="U166" s="9">
        <f>(L$436-Tabell2[[#This Row],[ReisetidOslo-T]])*100/L$439</f>
        <v>47.896919003305108</v>
      </c>
      <c r="V166" s="9">
        <f>100-(M$436-Tabell2[[#This Row],[Beftettotal-T]])*100/M$439</f>
        <v>21.934483736686985</v>
      </c>
      <c r="W166" s="9">
        <f>100-(N$436-Tabell2[[#This Row],[Befvekst10-T]])*100/N$439</f>
        <v>93.208006642554324</v>
      </c>
      <c r="X166" s="9">
        <f>100-(O$436-Tabell2[[#This Row],[Kvinneandel-T]])*100/O$439</f>
        <v>100</v>
      </c>
      <c r="Y166" s="9">
        <f>(P$436-Tabell2[[#This Row],[Eldreandel-T]])*100/P$439</f>
        <v>100.00000000000001</v>
      </c>
      <c r="Z166" s="9">
        <f>100-(Q$436-Tabell2[[#This Row],[Sysselsettingsvekst10-T]])*100/Q$439</f>
        <v>100</v>
      </c>
      <c r="AA166" s="9">
        <f>100-(R$436-Tabell2[[#This Row],[Yrkesaktivandel-T]])*100/R$439</f>
        <v>7.5108243057821653</v>
      </c>
      <c r="AB166" s="9">
        <f>100-(S$436-Tabell2[[#This Row],[Inntekt-T]])*100/S$439</f>
        <v>33.861435936124735</v>
      </c>
      <c r="AC166" s="48">
        <f>Tabell2[[#This Row],[NIBR11-I]]*Vekter!$B$3</f>
        <v>18</v>
      </c>
      <c r="AD166" s="48">
        <f>Tabell2[[#This Row],[ReisetidOslo-I]]*Vekter!$C$3</f>
        <v>4.789691900330511</v>
      </c>
      <c r="AE166" s="48">
        <f>Tabell2[[#This Row],[Beftettotal-I]]*Vekter!$D$3</f>
        <v>2.1934483736686987</v>
      </c>
      <c r="AF166" s="48">
        <f>Tabell2[[#This Row],[Befvekst10-I]]*Vekter!$E$3</f>
        <v>18.641601328510866</v>
      </c>
      <c r="AG166" s="48">
        <f>Tabell2[[#This Row],[Kvinneandel-I]]*Vekter!$F$3</f>
        <v>5</v>
      </c>
      <c r="AH166" s="48">
        <f>Tabell2[[#This Row],[Eldreandel-I]]*Vekter!$G$3</f>
        <v>5.0000000000000009</v>
      </c>
      <c r="AI166" s="48">
        <f>Tabell2[[#This Row],[Sysselsettingsvekst10-I]]*Vekter!$H$3</f>
        <v>10</v>
      </c>
      <c r="AJ166" s="48">
        <f>Tabell2[[#This Row],[Yrkesaktivandel-I]]*Vekter!$J$3</f>
        <v>0.75108243057821655</v>
      </c>
      <c r="AK166" s="48">
        <f>Tabell2[[#This Row],[Inntekt-I]]*Vekter!$L$3</f>
        <v>3.3861435936124735</v>
      </c>
      <c r="AL166" s="37">
        <f>SUM(Tabell2[[#This Row],[NIBR11-v]:[Inntekt-v]])</f>
        <v>67.761967626700766</v>
      </c>
    </row>
    <row r="167" spans="1:38">
      <c r="A167" s="2" t="s">
        <v>164</v>
      </c>
      <c r="B167">
        <f>'Rådata-K'!M166</f>
        <v>2</v>
      </c>
      <c r="C167" s="9">
        <f>'Rådata-K'!L166</f>
        <v>172.7294660579</v>
      </c>
      <c r="D167" s="51">
        <f>'Rådata-K'!N166</f>
        <v>72.755520296178773</v>
      </c>
      <c r="E167" s="51">
        <f>'Rådata-K'!O166</f>
        <v>0.16751538298323787</v>
      </c>
      <c r="F167" s="51">
        <f>'Rådata-K'!P166</f>
        <v>0.12212630622444344</v>
      </c>
      <c r="G167" s="51">
        <f>'Rådata-K'!Q166</f>
        <v>0.12412539754656975</v>
      </c>
      <c r="H167" s="51">
        <f>'Rådata-K'!R166</f>
        <v>0.19785018474974803</v>
      </c>
      <c r="I167" s="51">
        <f>'Rådata-K'!S166</f>
        <v>0.86777777777777776</v>
      </c>
      <c r="J167" s="52">
        <f>'Rådata-K'!K166</f>
        <v>396100</v>
      </c>
      <c r="K167" s="26">
        <f>Tabell2[[#This Row],[NIBR11]]</f>
        <v>2</v>
      </c>
      <c r="L167" s="52">
        <f>IF(Tabell2[[#This Row],[ReisetidOslo]]&lt;=C$434,C$434,IF(Tabell2[[#This Row],[ReisetidOslo]]&gt;=C$435,C$435,Tabell2[[#This Row],[ReisetidOslo]]))</f>
        <v>172.7294660579</v>
      </c>
      <c r="M167" s="51">
        <f>IF(Tabell2[[#This Row],[Beftettotal]]&lt;=D$434,D$434,IF(Tabell2[[#This Row],[Beftettotal]]&gt;=D$435,D$435,Tabell2[[#This Row],[Beftettotal]]))</f>
        <v>72.755520296178773</v>
      </c>
      <c r="N167" s="51">
        <f>IF(Tabell2[[#This Row],[Befvekst10]]&lt;=E$434,E$434,IF(Tabell2[[#This Row],[Befvekst10]]&gt;=E$435,E$435,Tabell2[[#This Row],[Befvekst10]]))</f>
        <v>0.16633778614624492</v>
      </c>
      <c r="O167" s="51">
        <f>IF(Tabell2[[#This Row],[Kvinneandel]]&lt;=F$434,F$434,IF(Tabell2[[#This Row],[Kvinneandel]]&gt;=F$435,F$435,Tabell2[[#This Row],[Kvinneandel]]))</f>
        <v>0.12212630622444344</v>
      </c>
      <c r="P167" s="51">
        <f>IF(Tabell2[[#This Row],[Eldreandel]]&lt;=G$434,G$434,IF(Tabell2[[#This Row],[Eldreandel]]&gt;=G$435,G$435,Tabell2[[#This Row],[Eldreandel]]))</f>
        <v>0.12412539754656975</v>
      </c>
      <c r="Q167" s="51">
        <f>IF(Tabell2[[#This Row],[Sysselsettingsvekst10]]&lt;=H$434,H$434,IF(Tabell2[[#This Row],[Sysselsettingsvekst10]]&gt;=H$435,H$435,Tabell2[[#This Row],[Sysselsettingsvekst10]]))</f>
        <v>0.19785018474974803</v>
      </c>
      <c r="R167" s="51">
        <f>IF(Tabell2[[#This Row],[Yrkesaktivandel]]&lt;=I$434,I$434,IF(Tabell2[[#This Row],[Yrkesaktivandel]]&gt;=I$435,I$435,Tabell2[[#This Row],[Yrkesaktivandel]]))</f>
        <v>0.86777777777777776</v>
      </c>
      <c r="S167" s="52">
        <f>IF(Tabell2[[#This Row],[Inntekt]]&lt;=J$434,J$434,IF(Tabell2[[#This Row],[Inntekt]]&gt;=J$435,J$435,Tabell2[[#This Row],[Inntekt]]))</f>
        <v>396100</v>
      </c>
      <c r="T167" s="9">
        <f>IF(Tabell2[[#This Row],[NIBR11-T]]&lt;=K$437,100,IF(Tabell2[[#This Row],[NIBR11-T]]&gt;=K$436,0,100*(K$436-Tabell2[[#This Row],[NIBR11-T]])/K$439))</f>
        <v>90</v>
      </c>
      <c r="U167" s="9">
        <f>(L$436-Tabell2[[#This Row],[ReisetidOslo-T]])*100/L$439</f>
        <v>47.203539229530278</v>
      </c>
      <c r="V167" s="9">
        <f>100-(M$436-Tabell2[[#This Row],[Beftettotal-T]])*100/M$439</f>
        <v>56.251506816946602</v>
      </c>
      <c r="W167" s="9">
        <f>100-(N$436-Tabell2[[#This Row],[Befvekst10-T]])*100/N$439</f>
        <v>100</v>
      </c>
      <c r="X167" s="9">
        <f>100-(O$436-Tabell2[[#This Row],[Kvinneandel-T]])*100/O$439</f>
        <v>84.396488313753622</v>
      </c>
      <c r="Y167" s="9">
        <f>(P$436-Tabell2[[#This Row],[Eldreandel-T]])*100/P$439</f>
        <v>95.428325054218135</v>
      </c>
      <c r="Z167" s="9">
        <f>100-(Q$436-Tabell2[[#This Row],[Sysselsettingsvekst10-T]])*100/Q$439</f>
        <v>85.552516282243573</v>
      </c>
      <c r="AA167" s="9">
        <f>100-(R$436-Tabell2[[#This Row],[Yrkesaktivandel-T]])*100/R$439</f>
        <v>29.626808082937885</v>
      </c>
      <c r="AB167" s="9">
        <f>100-(S$436-Tabell2[[#This Row],[Inntekt-T]])*100/S$439</f>
        <v>95.096190116937009</v>
      </c>
      <c r="AC167" s="48">
        <f>Tabell2[[#This Row],[NIBR11-I]]*Vekter!$B$3</f>
        <v>18</v>
      </c>
      <c r="AD167" s="48">
        <f>Tabell2[[#This Row],[ReisetidOslo-I]]*Vekter!$C$3</f>
        <v>4.720353922953028</v>
      </c>
      <c r="AE167" s="48">
        <f>Tabell2[[#This Row],[Beftettotal-I]]*Vekter!$D$3</f>
        <v>5.6251506816946604</v>
      </c>
      <c r="AF167" s="48">
        <f>Tabell2[[#This Row],[Befvekst10-I]]*Vekter!$E$3</f>
        <v>20</v>
      </c>
      <c r="AG167" s="48">
        <f>Tabell2[[#This Row],[Kvinneandel-I]]*Vekter!$F$3</f>
        <v>4.2198244156876816</v>
      </c>
      <c r="AH167" s="48">
        <f>Tabell2[[#This Row],[Eldreandel-I]]*Vekter!$G$3</f>
        <v>4.7714162527109067</v>
      </c>
      <c r="AI167" s="48">
        <f>Tabell2[[#This Row],[Sysselsettingsvekst10-I]]*Vekter!$H$3</f>
        <v>8.555251628224358</v>
      </c>
      <c r="AJ167" s="48">
        <f>Tabell2[[#This Row],[Yrkesaktivandel-I]]*Vekter!$J$3</f>
        <v>2.9626808082937885</v>
      </c>
      <c r="AK167" s="48">
        <f>Tabell2[[#This Row],[Inntekt-I]]*Vekter!$L$3</f>
        <v>9.5096190116937009</v>
      </c>
      <c r="AL167" s="37">
        <f>SUM(Tabell2[[#This Row],[NIBR11-v]:[Inntekt-v]])</f>
        <v>78.364296721258114</v>
      </c>
    </row>
    <row r="168" spans="1:38">
      <c r="A168" s="2" t="s">
        <v>165</v>
      </c>
      <c r="B168">
        <f>'Rådata-K'!M167</f>
        <v>5</v>
      </c>
      <c r="C168" s="9">
        <f>'Rådata-K'!L167</f>
        <v>193.35977505689999</v>
      </c>
      <c r="D168" s="51">
        <f>'Rådata-K'!N167</f>
        <v>5.7971748265910588</v>
      </c>
      <c r="E168" s="51">
        <f>'Rådata-K'!O167</f>
        <v>3.4327009936766073E-2</v>
      </c>
      <c r="F168" s="51">
        <f>'Rådata-K'!P167</f>
        <v>0.11528384279475982</v>
      </c>
      <c r="G168" s="51">
        <f>'Rådata-K'!Q167</f>
        <v>0.12925764192139738</v>
      </c>
      <c r="H168" s="51">
        <f>'Rådata-K'!R167</f>
        <v>-7.8982597054886194E-2</v>
      </c>
      <c r="I168" s="51">
        <f>'Rådata-K'!S167</f>
        <v>0.87614678899082565</v>
      </c>
      <c r="J168" s="52">
        <f>'Rådata-K'!K167</f>
        <v>340500</v>
      </c>
      <c r="K168" s="26">
        <f>Tabell2[[#This Row],[NIBR11]]</f>
        <v>5</v>
      </c>
      <c r="L168" s="52">
        <f>IF(Tabell2[[#This Row],[ReisetidOslo]]&lt;=C$434,C$434,IF(Tabell2[[#This Row],[ReisetidOslo]]&gt;=C$435,C$435,Tabell2[[#This Row],[ReisetidOslo]]))</f>
        <v>193.35977505689999</v>
      </c>
      <c r="M168" s="51">
        <f>IF(Tabell2[[#This Row],[Beftettotal]]&lt;=D$434,D$434,IF(Tabell2[[#This Row],[Beftettotal]]&gt;=D$435,D$435,Tabell2[[#This Row],[Beftettotal]]))</f>
        <v>5.7971748265910588</v>
      </c>
      <c r="N168" s="51">
        <f>IF(Tabell2[[#This Row],[Befvekst10]]&lt;=E$434,E$434,IF(Tabell2[[#This Row],[Befvekst10]]&gt;=E$435,E$435,Tabell2[[#This Row],[Befvekst10]]))</f>
        <v>3.4327009936766073E-2</v>
      </c>
      <c r="O168" s="51">
        <f>IF(Tabell2[[#This Row],[Kvinneandel]]&lt;=F$434,F$434,IF(Tabell2[[#This Row],[Kvinneandel]]&gt;=F$435,F$435,Tabell2[[#This Row],[Kvinneandel]]))</f>
        <v>0.11528384279475982</v>
      </c>
      <c r="P168" s="51">
        <f>IF(Tabell2[[#This Row],[Eldreandel]]&lt;=G$434,G$434,IF(Tabell2[[#This Row],[Eldreandel]]&gt;=G$435,G$435,Tabell2[[#This Row],[Eldreandel]]))</f>
        <v>0.12925764192139738</v>
      </c>
      <c r="Q168" s="51">
        <f>IF(Tabell2[[#This Row],[Sysselsettingsvekst10]]&lt;=H$434,H$434,IF(Tabell2[[#This Row],[Sysselsettingsvekst10]]&gt;=H$435,H$435,Tabell2[[#This Row],[Sysselsettingsvekst10]]))</f>
        <v>-6.8692498376029434E-2</v>
      </c>
      <c r="R168" s="51">
        <f>IF(Tabell2[[#This Row],[Yrkesaktivandel]]&lt;=I$434,I$434,IF(Tabell2[[#This Row],[Yrkesaktivandel]]&gt;=I$435,I$435,Tabell2[[#This Row],[Yrkesaktivandel]]))</f>
        <v>0.87614678899082565</v>
      </c>
      <c r="S168" s="52">
        <f>IF(Tabell2[[#This Row],[Inntekt]]&lt;=J$434,J$434,IF(Tabell2[[#This Row],[Inntekt]]&gt;=J$435,J$435,Tabell2[[#This Row],[Inntekt]]))</f>
        <v>340500</v>
      </c>
      <c r="T168" s="9">
        <f>IF(Tabell2[[#This Row],[NIBR11-T]]&lt;=K$437,100,IF(Tabell2[[#This Row],[NIBR11-T]]&gt;=K$436,0,100*(K$436-Tabell2[[#This Row],[NIBR11-T]])/K$439))</f>
        <v>60</v>
      </c>
      <c r="U168" s="9">
        <f>(L$436-Tabell2[[#This Row],[ReisetidOslo-T]])*100/L$439</f>
        <v>38.044701339357864</v>
      </c>
      <c r="V168" s="9">
        <f>100-(M$436-Tabell2[[#This Row],[Beftettotal-T]])*100/M$439</f>
        <v>3.5109611229935922</v>
      </c>
      <c r="W168" s="9">
        <f>100-(N$436-Tabell2[[#This Row],[Befvekst10-T]])*100/N$439</f>
        <v>46.581083283637426</v>
      </c>
      <c r="X168" s="9">
        <f>100-(O$436-Tabell2[[#This Row],[Kvinneandel-T]])*100/O$439</f>
        <v>66.272870574638588</v>
      </c>
      <c r="Y168" s="9">
        <f>(P$436-Tabell2[[#This Row],[Eldreandel-T]])*100/P$439</f>
        <v>89.609969097341789</v>
      </c>
      <c r="Z168" s="9">
        <f>100-(Q$436-Tabell2[[#This Row],[Sysselsettingsvekst10-T]])*100/Q$439</f>
        <v>0</v>
      </c>
      <c r="AA168" s="9">
        <f>100-(R$436-Tabell2[[#This Row],[Yrkesaktivandel-T]])*100/R$439</f>
        <v>35.865702903115817</v>
      </c>
      <c r="AB168" s="9">
        <f>100-(S$436-Tabell2[[#This Row],[Inntekt-T]])*100/S$439</f>
        <v>25.18546460455174</v>
      </c>
      <c r="AC168" s="48">
        <f>Tabell2[[#This Row],[NIBR11-I]]*Vekter!$B$3</f>
        <v>12</v>
      </c>
      <c r="AD168" s="48">
        <f>Tabell2[[#This Row],[ReisetidOslo-I]]*Vekter!$C$3</f>
        <v>3.8044701339357867</v>
      </c>
      <c r="AE168" s="48">
        <f>Tabell2[[#This Row],[Beftettotal-I]]*Vekter!$D$3</f>
        <v>0.35109611229935922</v>
      </c>
      <c r="AF168" s="48">
        <f>Tabell2[[#This Row],[Befvekst10-I]]*Vekter!$E$3</f>
        <v>9.3162166567274856</v>
      </c>
      <c r="AG168" s="48">
        <f>Tabell2[[#This Row],[Kvinneandel-I]]*Vekter!$F$3</f>
        <v>3.3136435287319297</v>
      </c>
      <c r="AH168" s="48">
        <f>Tabell2[[#This Row],[Eldreandel-I]]*Vekter!$G$3</f>
        <v>4.4804984548670896</v>
      </c>
      <c r="AI168" s="48">
        <f>Tabell2[[#This Row],[Sysselsettingsvekst10-I]]*Vekter!$H$3</f>
        <v>0</v>
      </c>
      <c r="AJ168" s="48">
        <f>Tabell2[[#This Row],[Yrkesaktivandel-I]]*Vekter!$J$3</f>
        <v>3.5865702903115819</v>
      </c>
      <c r="AK168" s="48">
        <f>Tabell2[[#This Row],[Inntekt-I]]*Vekter!$L$3</f>
        <v>2.5185464604551742</v>
      </c>
      <c r="AL168" s="37">
        <f>SUM(Tabell2[[#This Row],[NIBR11-v]:[Inntekt-v]])</f>
        <v>39.37104163732841</v>
      </c>
    </row>
    <row r="169" spans="1:38">
      <c r="A169" s="2" t="s">
        <v>166</v>
      </c>
      <c r="B169">
        <f>'Rådata-K'!M168</f>
        <v>5</v>
      </c>
      <c r="C169" s="9">
        <f>'Rådata-K'!L168</f>
        <v>220.3435747648</v>
      </c>
      <c r="D169" s="51">
        <f>'Rådata-K'!N168</f>
        <v>1.0399765639084191</v>
      </c>
      <c r="E169" s="51">
        <f>'Rådata-K'!O168</f>
        <v>9.8468271334792856E-3</v>
      </c>
      <c r="F169" s="51">
        <f>'Rådata-K'!P168</f>
        <v>9.3174431202600216E-2</v>
      </c>
      <c r="G169" s="51">
        <f>'Rådata-K'!Q168</f>
        <v>0.13651137594799567</v>
      </c>
      <c r="H169" s="51">
        <f>'Rådata-K'!R168</f>
        <v>0.36761487964989059</v>
      </c>
      <c r="I169" s="51">
        <f>'Rådata-K'!S168</f>
        <v>0.96442687747035571</v>
      </c>
      <c r="J169" s="52">
        <f>'Rådata-K'!K168</f>
        <v>355000</v>
      </c>
      <c r="K169" s="26">
        <f>Tabell2[[#This Row],[NIBR11]]</f>
        <v>5</v>
      </c>
      <c r="L169" s="52">
        <f>IF(Tabell2[[#This Row],[ReisetidOslo]]&lt;=C$434,C$434,IF(Tabell2[[#This Row],[ReisetidOslo]]&gt;=C$435,C$435,Tabell2[[#This Row],[ReisetidOslo]]))</f>
        <v>220.3435747648</v>
      </c>
      <c r="M169" s="51">
        <f>IF(Tabell2[[#This Row],[Beftettotal]]&lt;=D$434,D$434,IF(Tabell2[[#This Row],[Beftettotal]]&gt;=D$435,D$435,Tabell2[[#This Row],[Beftettotal]]))</f>
        <v>1.3397285732306117</v>
      </c>
      <c r="N169" s="51">
        <f>IF(Tabell2[[#This Row],[Befvekst10]]&lt;=E$434,E$434,IF(Tabell2[[#This Row],[Befvekst10]]&gt;=E$435,E$435,Tabell2[[#This Row],[Befvekst10]]))</f>
        <v>9.8468271334792856E-3</v>
      </c>
      <c r="O169" s="51">
        <f>IF(Tabell2[[#This Row],[Kvinneandel]]&lt;=F$434,F$434,IF(Tabell2[[#This Row],[Kvinneandel]]&gt;=F$435,F$435,Tabell2[[#This Row],[Kvinneandel]]))</f>
        <v>9.3174431202600216E-2</v>
      </c>
      <c r="P169" s="51">
        <f>IF(Tabell2[[#This Row],[Eldreandel]]&lt;=G$434,G$434,IF(Tabell2[[#This Row],[Eldreandel]]&gt;=G$435,G$435,Tabell2[[#This Row],[Eldreandel]]))</f>
        <v>0.13651137594799567</v>
      </c>
      <c r="Q169" s="51">
        <f>IF(Tabell2[[#This Row],[Sysselsettingsvekst10]]&lt;=H$434,H$434,IF(Tabell2[[#This Row],[Sysselsettingsvekst10]]&gt;=H$435,H$435,Tabell2[[#This Row],[Sysselsettingsvekst10]]))</f>
        <v>0.24286196513786068</v>
      </c>
      <c r="R169" s="51">
        <f>IF(Tabell2[[#This Row],[Yrkesaktivandel]]&lt;=I$434,I$434,IF(Tabell2[[#This Row],[Yrkesaktivandel]]&gt;=I$435,I$435,Tabell2[[#This Row],[Yrkesaktivandel]]))</f>
        <v>0.96217815624658265</v>
      </c>
      <c r="S169" s="52">
        <f>IF(Tabell2[[#This Row],[Inntekt]]&lt;=J$434,J$434,IF(Tabell2[[#This Row],[Inntekt]]&gt;=J$435,J$435,Tabell2[[#This Row],[Inntekt]]))</f>
        <v>355000</v>
      </c>
      <c r="T169" s="9">
        <f>IF(Tabell2[[#This Row],[NIBR11-T]]&lt;=K$437,100,IF(Tabell2[[#This Row],[NIBR11-T]]&gt;=K$436,0,100*(K$436-Tabell2[[#This Row],[NIBR11-T]])/K$439))</f>
        <v>60</v>
      </c>
      <c r="U169" s="9">
        <f>(L$436-Tabell2[[#This Row],[ReisetidOslo-T]])*100/L$439</f>
        <v>26.065227488650276</v>
      </c>
      <c r="V169" s="9">
        <f>100-(M$436-Tabell2[[#This Row],[Beftettotal-T]])*100/M$439</f>
        <v>0</v>
      </c>
      <c r="W169" s="9">
        <f>100-(N$436-Tabell2[[#This Row],[Befvekst10-T]])*100/N$439</f>
        <v>36.675037096203447</v>
      </c>
      <c r="X169" s="9">
        <f>100-(O$436-Tabell2[[#This Row],[Kvinneandel-T]])*100/O$439</f>
        <v>7.7117210338529247</v>
      </c>
      <c r="Y169" s="9">
        <f>(P$436-Tabell2[[#This Row],[Eldreandel-T]])*100/P$439</f>
        <v>81.386509047337412</v>
      </c>
      <c r="Z169" s="9">
        <f>100-(Q$436-Tabell2[[#This Row],[Sysselsettingsvekst10-T]])*100/Q$439</f>
        <v>100</v>
      </c>
      <c r="AA169" s="9">
        <f>100-(R$436-Tabell2[[#This Row],[Yrkesaktivandel-T]])*100/R$439</f>
        <v>100</v>
      </c>
      <c r="AB169" s="9">
        <f>100-(S$436-Tabell2[[#This Row],[Inntekt-T]])*100/S$439</f>
        <v>43.417578272350056</v>
      </c>
      <c r="AC169" s="48">
        <f>Tabell2[[#This Row],[NIBR11-I]]*Vekter!$B$3</f>
        <v>12</v>
      </c>
      <c r="AD169" s="48">
        <f>Tabell2[[#This Row],[ReisetidOslo-I]]*Vekter!$C$3</f>
        <v>2.6065227488650278</v>
      </c>
      <c r="AE169" s="48">
        <f>Tabell2[[#This Row],[Beftettotal-I]]*Vekter!$D$3</f>
        <v>0</v>
      </c>
      <c r="AF169" s="48">
        <f>Tabell2[[#This Row],[Befvekst10-I]]*Vekter!$E$3</f>
        <v>7.3350074192406893</v>
      </c>
      <c r="AG169" s="48">
        <f>Tabell2[[#This Row],[Kvinneandel-I]]*Vekter!$F$3</f>
        <v>0.38558605169264626</v>
      </c>
      <c r="AH169" s="48">
        <f>Tabell2[[#This Row],[Eldreandel-I]]*Vekter!$G$3</f>
        <v>4.0693254523668712</v>
      </c>
      <c r="AI169" s="48">
        <f>Tabell2[[#This Row],[Sysselsettingsvekst10-I]]*Vekter!$H$3</f>
        <v>10</v>
      </c>
      <c r="AJ169" s="48">
        <f>Tabell2[[#This Row],[Yrkesaktivandel-I]]*Vekter!$J$3</f>
        <v>10</v>
      </c>
      <c r="AK169" s="48">
        <f>Tabell2[[#This Row],[Inntekt-I]]*Vekter!$L$3</f>
        <v>4.3417578272350061</v>
      </c>
      <c r="AL169" s="37">
        <f>SUM(Tabell2[[#This Row],[NIBR11-v]:[Inntekt-v]])</f>
        <v>50.738199499400245</v>
      </c>
    </row>
    <row r="170" spans="1:38">
      <c r="A170" s="2" t="s">
        <v>167</v>
      </c>
      <c r="B170">
        <f>'Rådata-K'!M169</f>
        <v>5</v>
      </c>
      <c r="C170" s="9">
        <f>'Rådata-K'!L169</f>
        <v>203.20316415510001</v>
      </c>
      <c r="D170" s="51">
        <f>'Rådata-K'!N169</f>
        <v>6.9317955856034992</v>
      </c>
      <c r="E170" s="51">
        <f>'Rådata-K'!O169</f>
        <v>0.11160714285714279</v>
      </c>
      <c r="F170" s="51">
        <f>'Rådata-K'!P169</f>
        <v>0.11646586345381527</v>
      </c>
      <c r="G170" s="51">
        <f>'Rådata-K'!Q169</f>
        <v>0.13941480206540446</v>
      </c>
      <c r="H170" s="51">
        <f>'Rådata-K'!R169</f>
        <v>0.12140575079872207</v>
      </c>
      <c r="I170" s="51">
        <f>'Rådata-K'!S169</f>
        <v>0.9442105263157895</v>
      </c>
      <c r="J170" s="52">
        <f>'Rådata-K'!K169</f>
        <v>354200</v>
      </c>
      <c r="K170" s="26">
        <f>Tabell2[[#This Row],[NIBR11]]</f>
        <v>5</v>
      </c>
      <c r="L170" s="52">
        <f>IF(Tabell2[[#This Row],[ReisetidOslo]]&lt;=C$434,C$434,IF(Tabell2[[#This Row],[ReisetidOslo]]&gt;=C$435,C$435,Tabell2[[#This Row],[ReisetidOslo]]))</f>
        <v>203.20316415510001</v>
      </c>
      <c r="M170" s="51">
        <f>IF(Tabell2[[#This Row],[Beftettotal]]&lt;=D$434,D$434,IF(Tabell2[[#This Row],[Beftettotal]]&gt;=D$435,D$435,Tabell2[[#This Row],[Beftettotal]]))</f>
        <v>6.9317955856034992</v>
      </c>
      <c r="N170" s="51">
        <f>IF(Tabell2[[#This Row],[Befvekst10]]&lt;=E$434,E$434,IF(Tabell2[[#This Row],[Befvekst10]]&gt;=E$435,E$435,Tabell2[[#This Row],[Befvekst10]]))</f>
        <v>0.11160714285714279</v>
      </c>
      <c r="O170" s="51">
        <f>IF(Tabell2[[#This Row],[Kvinneandel]]&lt;=F$434,F$434,IF(Tabell2[[#This Row],[Kvinneandel]]&gt;=F$435,F$435,Tabell2[[#This Row],[Kvinneandel]]))</f>
        <v>0.11646586345381527</v>
      </c>
      <c r="P170" s="51">
        <f>IF(Tabell2[[#This Row],[Eldreandel]]&lt;=G$434,G$434,IF(Tabell2[[#This Row],[Eldreandel]]&gt;=G$435,G$435,Tabell2[[#This Row],[Eldreandel]]))</f>
        <v>0.13941480206540446</v>
      </c>
      <c r="Q170" s="51">
        <f>IF(Tabell2[[#This Row],[Sysselsettingsvekst10]]&lt;=H$434,H$434,IF(Tabell2[[#This Row],[Sysselsettingsvekst10]]&gt;=H$435,H$435,Tabell2[[#This Row],[Sysselsettingsvekst10]]))</f>
        <v>0.12140575079872207</v>
      </c>
      <c r="R170" s="51">
        <f>IF(Tabell2[[#This Row],[Yrkesaktivandel]]&lt;=I$434,I$434,IF(Tabell2[[#This Row],[Yrkesaktivandel]]&gt;=I$435,I$435,Tabell2[[#This Row],[Yrkesaktivandel]]))</f>
        <v>0.9442105263157895</v>
      </c>
      <c r="S170" s="52">
        <f>IF(Tabell2[[#This Row],[Inntekt]]&lt;=J$434,J$434,IF(Tabell2[[#This Row],[Inntekt]]&gt;=J$435,J$435,Tabell2[[#This Row],[Inntekt]]))</f>
        <v>354200</v>
      </c>
      <c r="T170" s="9">
        <f>IF(Tabell2[[#This Row],[NIBR11-T]]&lt;=K$437,100,IF(Tabell2[[#This Row],[NIBR11-T]]&gt;=K$436,0,100*(K$436-Tabell2[[#This Row],[NIBR11-T]])/K$439))</f>
        <v>60</v>
      </c>
      <c r="U170" s="9">
        <f>(L$436-Tabell2[[#This Row],[ReisetidOslo-T]])*100/L$439</f>
        <v>33.674722923393546</v>
      </c>
      <c r="V170" s="9">
        <f>100-(M$436-Tabell2[[#This Row],[Beftettotal-T]])*100/M$439</f>
        <v>4.4046588027426026</v>
      </c>
      <c r="W170" s="9">
        <f>100-(N$436-Tabell2[[#This Row],[Befvekst10-T]])*100/N$439</f>
        <v>77.852931710255589</v>
      </c>
      <c r="X170" s="9">
        <f>100-(O$436-Tabell2[[#This Row],[Kvinneandel-T]])*100/O$439</f>
        <v>69.403686077652267</v>
      </c>
      <c r="Y170" s="9">
        <f>(P$436-Tabell2[[#This Row],[Eldreandel-T]])*100/P$439</f>
        <v>78.094934170577346</v>
      </c>
      <c r="Z170" s="9">
        <f>100-(Q$436-Tabell2[[#This Row],[Sysselsettingsvekst10-T]])*100/Q$439</f>
        <v>61.016057042070365</v>
      </c>
      <c r="AA170" s="9">
        <f>100-(R$436-Tabell2[[#This Row],[Yrkesaktivandel-T]])*100/R$439</f>
        <v>86.605567796189547</v>
      </c>
      <c r="AB170" s="9">
        <f>100-(S$436-Tabell2[[#This Row],[Inntekt-T]])*100/S$439</f>
        <v>42.411668552747393</v>
      </c>
      <c r="AC170" s="48">
        <f>Tabell2[[#This Row],[NIBR11-I]]*Vekter!$B$3</f>
        <v>12</v>
      </c>
      <c r="AD170" s="48">
        <f>Tabell2[[#This Row],[ReisetidOslo-I]]*Vekter!$C$3</f>
        <v>3.3674722923393547</v>
      </c>
      <c r="AE170" s="48">
        <f>Tabell2[[#This Row],[Beftettotal-I]]*Vekter!$D$3</f>
        <v>0.44046588027426026</v>
      </c>
      <c r="AF170" s="48">
        <f>Tabell2[[#This Row],[Befvekst10-I]]*Vekter!$E$3</f>
        <v>15.570586342051119</v>
      </c>
      <c r="AG170" s="48">
        <f>Tabell2[[#This Row],[Kvinneandel-I]]*Vekter!$F$3</f>
        <v>3.4701843038826135</v>
      </c>
      <c r="AH170" s="48">
        <f>Tabell2[[#This Row],[Eldreandel-I]]*Vekter!$G$3</f>
        <v>3.9047467085288674</v>
      </c>
      <c r="AI170" s="48">
        <f>Tabell2[[#This Row],[Sysselsettingsvekst10-I]]*Vekter!$H$3</f>
        <v>6.1016057042070369</v>
      </c>
      <c r="AJ170" s="48">
        <f>Tabell2[[#This Row],[Yrkesaktivandel-I]]*Vekter!$J$3</f>
        <v>8.6605567796189558</v>
      </c>
      <c r="AK170" s="48">
        <f>Tabell2[[#This Row],[Inntekt-I]]*Vekter!$L$3</f>
        <v>4.2411668552747397</v>
      </c>
      <c r="AL170" s="37">
        <f>SUM(Tabell2[[#This Row],[NIBR11-v]:[Inntekt-v]])</f>
        <v>57.75678486617695</v>
      </c>
    </row>
    <row r="171" spans="1:38">
      <c r="A171" s="2" t="s">
        <v>168</v>
      </c>
      <c r="B171">
        <f>'Rådata-K'!M170</f>
        <v>5</v>
      </c>
      <c r="C171" s="9">
        <f>'Rådata-K'!L170</f>
        <v>202.8812841079</v>
      </c>
      <c r="D171" s="51">
        <f>'Rådata-K'!N170</f>
        <v>15.356137075594091</v>
      </c>
      <c r="E171" s="51">
        <f>'Rådata-K'!O170</f>
        <v>8.1810075791350911E-2</v>
      </c>
      <c r="F171" s="51">
        <f>'Rådata-K'!P170</f>
        <v>0.11621677313002267</v>
      </c>
      <c r="G171" s="51">
        <f>'Rådata-K'!Q170</f>
        <v>0.1531011745312178</v>
      </c>
      <c r="H171" s="51">
        <f>'Rådata-K'!R170</f>
        <v>4.6206503137478538E-2</v>
      </c>
      <c r="I171" s="51">
        <f>'Rådata-K'!S170</f>
        <v>0.86296296296296293</v>
      </c>
      <c r="J171" s="52">
        <f>'Rådata-K'!K170</f>
        <v>343900</v>
      </c>
      <c r="K171" s="26">
        <f>Tabell2[[#This Row],[NIBR11]]</f>
        <v>5</v>
      </c>
      <c r="L171" s="52">
        <f>IF(Tabell2[[#This Row],[ReisetidOslo]]&lt;=C$434,C$434,IF(Tabell2[[#This Row],[ReisetidOslo]]&gt;=C$435,C$435,Tabell2[[#This Row],[ReisetidOslo]]))</f>
        <v>202.8812841079</v>
      </c>
      <c r="M171" s="51">
        <f>IF(Tabell2[[#This Row],[Beftettotal]]&lt;=D$434,D$434,IF(Tabell2[[#This Row],[Beftettotal]]&gt;=D$435,D$435,Tabell2[[#This Row],[Beftettotal]]))</f>
        <v>15.356137075594091</v>
      </c>
      <c r="N171" s="51">
        <f>IF(Tabell2[[#This Row],[Befvekst10]]&lt;=E$434,E$434,IF(Tabell2[[#This Row],[Befvekst10]]&gt;=E$435,E$435,Tabell2[[#This Row],[Befvekst10]]))</f>
        <v>8.1810075791350911E-2</v>
      </c>
      <c r="O171" s="51">
        <f>IF(Tabell2[[#This Row],[Kvinneandel]]&lt;=F$434,F$434,IF(Tabell2[[#This Row],[Kvinneandel]]&gt;=F$435,F$435,Tabell2[[#This Row],[Kvinneandel]]))</f>
        <v>0.11621677313002267</v>
      </c>
      <c r="P171" s="51">
        <f>IF(Tabell2[[#This Row],[Eldreandel]]&lt;=G$434,G$434,IF(Tabell2[[#This Row],[Eldreandel]]&gt;=G$435,G$435,Tabell2[[#This Row],[Eldreandel]]))</f>
        <v>0.1531011745312178</v>
      </c>
      <c r="Q171" s="51">
        <f>IF(Tabell2[[#This Row],[Sysselsettingsvekst10]]&lt;=H$434,H$434,IF(Tabell2[[#This Row],[Sysselsettingsvekst10]]&gt;=H$435,H$435,Tabell2[[#This Row],[Sysselsettingsvekst10]]))</f>
        <v>4.6206503137478538E-2</v>
      </c>
      <c r="R171" s="51">
        <f>IF(Tabell2[[#This Row],[Yrkesaktivandel]]&lt;=I$434,I$434,IF(Tabell2[[#This Row],[Yrkesaktivandel]]&gt;=I$435,I$435,Tabell2[[#This Row],[Yrkesaktivandel]]))</f>
        <v>0.86296296296296293</v>
      </c>
      <c r="S171" s="52">
        <f>IF(Tabell2[[#This Row],[Inntekt]]&lt;=J$434,J$434,IF(Tabell2[[#This Row],[Inntekt]]&gt;=J$435,J$435,Tabell2[[#This Row],[Inntekt]]))</f>
        <v>343900</v>
      </c>
      <c r="T171" s="9">
        <f>IF(Tabell2[[#This Row],[NIBR11-T]]&lt;=K$437,100,IF(Tabell2[[#This Row],[NIBR11-T]]&gt;=K$436,0,100*(K$436-Tabell2[[#This Row],[NIBR11-T]])/K$439))</f>
        <v>60</v>
      </c>
      <c r="U171" s="9">
        <f>(L$436-Tabell2[[#This Row],[ReisetidOslo-T]])*100/L$439</f>
        <v>33.81762176085298</v>
      </c>
      <c r="V171" s="9">
        <f>100-(M$436-Tabell2[[#This Row],[Beftettotal-T]])*100/M$439</f>
        <v>11.04019264364544</v>
      </c>
      <c r="W171" s="9">
        <f>100-(N$436-Tabell2[[#This Row],[Befvekst10-T]])*100/N$439</f>
        <v>65.795377852276573</v>
      </c>
      <c r="X171" s="9">
        <f>100-(O$436-Tabell2[[#This Row],[Kvinneandel-T]])*100/O$439</f>
        <v>68.743921088431406</v>
      </c>
      <c r="Y171" s="9">
        <f>(P$436-Tabell2[[#This Row],[Eldreandel-T]])*100/P$439</f>
        <v>62.578879020306431</v>
      </c>
      <c r="Z171" s="9">
        <f>100-(Q$436-Tabell2[[#This Row],[Sysselsettingsvekst10-T]])*100/Q$439</f>
        <v>36.879266699507703</v>
      </c>
      <c r="AA171" s="9">
        <f>100-(R$436-Tabell2[[#This Row],[Yrkesaktivandel-T]])*100/R$439</f>
        <v>26.03748044989193</v>
      </c>
      <c r="AB171" s="9">
        <f>100-(S$436-Tabell2[[#This Row],[Inntekt-T]])*100/S$439</f>
        <v>29.460580912863065</v>
      </c>
      <c r="AC171" s="48">
        <f>Tabell2[[#This Row],[NIBR11-I]]*Vekter!$B$3</f>
        <v>12</v>
      </c>
      <c r="AD171" s="48">
        <f>Tabell2[[#This Row],[ReisetidOslo-I]]*Vekter!$C$3</f>
        <v>3.3817621760852981</v>
      </c>
      <c r="AE171" s="48">
        <f>Tabell2[[#This Row],[Beftettotal-I]]*Vekter!$D$3</f>
        <v>1.1040192643645441</v>
      </c>
      <c r="AF171" s="48">
        <f>Tabell2[[#This Row],[Befvekst10-I]]*Vekter!$E$3</f>
        <v>13.159075570455315</v>
      </c>
      <c r="AG171" s="48">
        <f>Tabell2[[#This Row],[Kvinneandel-I]]*Vekter!$F$3</f>
        <v>3.4371960544215705</v>
      </c>
      <c r="AH171" s="48">
        <f>Tabell2[[#This Row],[Eldreandel-I]]*Vekter!$G$3</f>
        <v>3.1289439510153216</v>
      </c>
      <c r="AI171" s="48">
        <f>Tabell2[[#This Row],[Sysselsettingsvekst10-I]]*Vekter!$H$3</f>
        <v>3.6879266699507705</v>
      </c>
      <c r="AJ171" s="48">
        <f>Tabell2[[#This Row],[Yrkesaktivandel-I]]*Vekter!$J$3</f>
        <v>2.6037480449891932</v>
      </c>
      <c r="AK171" s="48">
        <f>Tabell2[[#This Row],[Inntekt-I]]*Vekter!$L$3</f>
        <v>2.9460580912863068</v>
      </c>
      <c r="AL171" s="37">
        <f>SUM(Tabell2[[#This Row],[NIBR11-v]:[Inntekt-v]])</f>
        <v>45.448729822568318</v>
      </c>
    </row>
    <row r="172" spans="1:38">
      <c r="A172" s="2" t="s">
        <v>169</v>
      </c>
      <c r="B172">
        <f>'Rådata-K'!M171</f>
        <v>5</v>
      </c>
      <c r="C172" s="9">
        <f>'Rådata-K'!L171</f>
        <v>220.60799680370002</v>
      </c>
      <c r="D172" s="51">
        <f>'Rådata-K'!N171</f>
        <v>20.714340500600823</v>
      </c>
      <c r="E172" s="51">
        <f>'Rådata-K'!O171</f>
        <v>0.12278270509977829</v>
      </c>
      <c r="F172" s="51">
        <f>'Rådata-K'!P171</f>
        <v>0.12280918291779808</v>
      </c>
      <c r="G172" s="51">
        <f>'Rådata-K'!Q171</f>
        <v>0.1268822512959763</v>
      </c>
      <c r="H172" s="51">
        <f>'Rådata-K'!R171</f>
        <v>0.21131959397108591</v>
      </c>
      <c r="I172" s="51">
        <f>'Rådata-K'!S171</f>
        <v>0.89130434782608692</v>
      </c>
      <c r="J172" s="52">
        <f>'Rådata-K'!K171</f>
        <v>357000</v>
      </c>
      <c r="K172" s="26">
        <f>Tabell2[[#This Row],[NIBR11]]</f>
        <v>5</v>
      </c>
      <c r="L172" s="52">
        <f>IF(Tabell2[[#This Row],[ReisetidOslo]]&lt;=C$434,C$434,IF(Tabell2[[#This Row],[ReisetidOslo]]&gt;=C$435,C$435,Tabell2[[#This Row],[ReisetidOslo]]))</f>
        <v>220.60799680370002</v>
      </c>
      <c r="M172" s="51">
        <f>IF(Tabell2[[#This Row],[Beftettotal]]&lt;=D$434,D$434,IF(Tabell2[[#This Row],[Beftettotal]]&gt;=D$435,D$435,Tabell2[[#This Row],[Beftettotal]]))</f>
        <v>20.714340500600823</v>
      </c>
      <c r="N172" s="51">
        <f>IF(Tabell2[[#This Row],[Befvekst10]]&lt;=E$434,E$434,IF(Tabell2[[#This Row],[Befvekst10]]&gt;=E$435,E$435,Tabell2[[#This Row],[Befvekst10]]))</f>
        <v>0.12278270509977829</v>
      </c>
      <c r="O172" s="51">
        <f>IF(Tabell2[[#This Row],[Kvinneandel]]&lt;=F$434,F$434,IF(Tabell2[[#This Row],[Kvinneandel]]&gt;=F$435,F$435,Tabell2[[#This Row],[Kvinneandel]]))</f>
        <v>0.12280918291779808</v>
      </c>
      <c r="P172" s="51">
        <f>IF(Tabell2[[#This Row],[Eldreandel]]&lt;=G$434,G$434,IF(Tabell2[[#This Row],[Eldreandel]]&gt;=G$435,G$435,Tabell2[[#This Row],[Eldreandel]]))</f>
        <v>0.1268822512959763</v>
      </c>
      <c r="Q172" s="51">
        <f>IF(Tabell2[[#This Row],[Sysselsettingsvekst10]]&lt;=H$434,H$434,IF(Tabell2[[#This Row],[Sysselsettingsvekst10]]&gt;=H$435,H$435,Tabell2[[#This Row],[Sysselsettingsvekst10]]))</f>
        <v>0.21131959397108591</v>
      </c>
      <c r="R172" s="51">
        <f>IF(Tabell2[[#This Row],[Yrkesaktivandel]]&lt;=I$434,I$434,IF(Tabell2[[#This Row],[Yrkesaktivandel]]&gt;=I$435,I$435,Tabell2[[#This Row],[Yrkesaktivandel]]))</f>
        <v>0.89130434782608692</v>
      </c>
      <c r="S172" s="52">
        <f>IF(Tabell2[[#This Row],[Inntekt]]&lt;=J$434,J$434,IF(Tabell2[[#This Row],[Inntekt]]&gt;=J$435,J$435,Tabell2[[#This Row],[Inntekt]]))</f>
        <v>357000</v>
      </c>
      <c r="T172" s="9">
        <f>IF(Tabell2[[#This Row],[NIBR11-T]]&lt;=K$437,100,IF(Tabell2[[#This Row],[NIBR11-T]]&gt;=K$436,0,100*(K$436-Tabell2[[#This Row],[NIBR11-T]])/K$439))</f>
        <v>60</v>
      </c>
      <c r="U172" s="9">
        <f>(L$436-Tabell2[[#This Row],[ReisetidOslo-T]])*100/L$439</f>
        <v>25.947837167982197</v>
      </c>
      <c r="V172" s="9">
        <f>100-(M$436-Tabell2[[#This Row],[Beftettotal-T]])*100/M$439</f>
        <v>15.26064598059979</v>
      </c>
      <c r="W172" s="9">
        <f>100-(N$436-Tabell2[[#This Row],[Befvekst10-T]])*100/N$439</f>
        <v>82.375186982435451</v>
      </c>
      <c r="X172" s="9">
        <f>100-(O$436-Tabell2[[#This Row],[Kvinneandel-T]])*100/O$439</f>
        <v>86.205222299765225</v>
      </c>
      <c r="Y172" s="9">
        <f>(P$436-Tabell2[[#This Row],[Eldreandel-T]])*100/P$439</f>
        <v>92.302917286464435</v>
      </c>
      <c r="Z172" s="9">
        <f>100-(Q$436-Tabell2[[#This Row],[Sysselsettingsvekst10-T]])*100/Q$439</f>
        <v>89.875808290139133</v>
      </c>
      <c r="AA172" s="9">
        <f>100-(R$436-Tabell2[[#This Row],[Yrkesaktivandel-T]])*100/R$439</f>
        <v>47.165295279861368</v>
      </c>
      <c r="AB172" s="9">
        <f>100-(S$436-Tabell2[[#This Row],[Inntekt-T]])*100/S$439</f>
        <v>45.932352571356724</v>
      </c>
      <c r="AC172" s="48">
        <f>Tabell2[[#This Row],[NIBR11-I]]*Vekter!$B$3</f>
        <v>12</v>
      </c>
      <c r="AD172" s="48">
        <f>Tabell2[[#This Row],[ReisetidOslo-I]]*Vekter!$C$3</f>
        <v>2.59478371679822</v>
      </c>
      <c r="AE172" s="48">
        <f>Tabell2[[#This Row],[Beftettotal-I]]*Vekter!$D$3</f>
        <v>1.5260645980599792</v>
      </c>
      <c r="AF172" s="48">
        <f>Tabell2[[#This Row],[Befvekst10-I]]*Vekter!$E$3</f>
        <v>16.475037396487092</v>
      </c>
      <c r="AG172" s="48">
        <f>Tabell2[[#This Row],[Kvinneandel-I]]*Vekter!$F$3</f>
        <v>4.3102611149882613</v>
      </c>
      <c r="AH172" s="48">
        <f>Tabell2[[#This Row],[Eldreandel-I]]*Vekter!$G$3</f>
        <v>4.6151458643232219</v>
      </c>
      <c r="AI172" s="48">
        <f>Tabell2[[#This Row],[Sysselsettingsvekst10-I]]*Vekter!$H$3</f>
        <v>8.987580829013913</v>
      </c>
      <c r="AJ172" s="48">
        <f>Tabell2[[#This Row],[Yrkesaktivandel-I]]*Vekter!$J$3</f>
        <v>4.716529527986137</v>
      </c>
      <c r="AK172" s="48">
        <f>Tabell2[[#This Row],[Inntekt-I]]*Vekter!$L$3</f>
        <v>4.5932352571356727</v>
      </c>
      <c r="AL172" s="37">
        <f>SUM(Tabell2[[#This Row],[NIBR11-v]:[Inntekt-v]])</f>
        <v>59.818638304792508</v>
      </c>
    </row>
    <row r="173" spans="1:38">
      <c r="A173" s="2" t="s">
        <v>170</v>
      </c>
      <c r="B173">
        <f>'Rådata-K'!M172</f>
        <v>5</v>
      </c>
      <c r="C173" s="9">
        <f>'Rådata-K'!L172</f>
        <v>214.71333862310001</v>
      </c>
      <c r="D173" s="51">
        <f>'Rådata-K'!N172</f>
        <v>3.6633212667721589</v>
      </c>
      <c r="E173" s="51">
        <f>'Rådata-K'!O172</f>
        <v>4.5792079207920722E-2</v>
      </c>
      <c r="F173" s="51">
        <f>'Rådata-K'!P172</f>
        <v>0.11420118343195267</v>
      </c>
      <c r="G173" s="51">
        <f>'Rådata-K'!Q172</f>
        <v>0.14615384615384616</v>
      </c>
      <c r="H173" s="51">
        <f>'Rådata-K'!R172</f>
        <v>0.12579617834394896</v>
      </c>
      <c r="I173" s="51">
        <f>'Rådata-K'!S172</f>
        <v>0.96308016877637126</v>
      </c>
      <c r="J173" s="52">
        <f>'Rådata-K'!K172</f>
        <v>370200</v>
      </c>
      <c r="K173" s="26">
        <f>Tabell2[[#This Row],[NIBR11]]</f>
        <v>5</v>
      </c>
      <c r="L173" s="52">
        <f>IF(Tabell2[[#This Row],[ReisetidOslo]]&lt;=C$434,C$434,IF(Tabell2[[#This Row],[ReisetidOslo]]&gt;=C$435,C$435,Tabell2[[#This Row],[ReisetidOslo]]))</f>
        <v>214.71333862310001</v>
      </c>
      <c r="M173" s="51">
        <f>IF(Tabell2[[#This Row],[Beftettotal]]&lt;=D$434,D$434,IF(Tabell2[[#This Row],[Beftettotal]]&gt;=D$435,D$435,Tabell2[[#This Row],[Beftettotal]]))</f>
        <v>3.6633212667721589</v>
      </c>
      <c r="N173" s="51">
        <f>IF(Tabell2[[#This Row],[Befvekst10]]&lt;=E$434,E$434,IF(Tabell2[[#This Row],[Befvekst10]]&gt;=E$435,E$435,Tabell2[[#This Row],[Befvekst10]]))</f>
        <v>4.5792079207920722E-2</v>
      </c>
      <c r="O173" s="51">
        <f>IF(Tabell2[[#This Row],[Kvinneandel]]&lt;=F$434,F$434,IF(Tabell2[[#This Row],[Kvinneandel]]&gt;=F$435,F$435,Tabell2[[#This Row],[Kvinneandel]]))</f>
        <v>0.11420118343195267</v>
      </c>
      <c r="P173" s="51">
        <f>IF(Tabell2[[#This Row],[Eldreandel]]&lt;=G$434,G$434,IF(Tabell2[[#This Row],[Eldreandel]]&gt;=G$435,G$435,Tabell2[[#This Row],[Eldreandel]]))</f>
        <v>0.14615384615384616</v>
      </c>
      <c r="Q173" s="51">
        <f>IF(Tabell2[[#This Row],[Sysselsettingsvekst10]]&lt;=H$434,H$434,IF(Tabell2[[#This Row],[Sysselsettingsvekst10]]&gt;=H$435,H$435,Tabell2[[#This Row],[Sysselsettingsvekst10]]))</f>
        <v>0.12579617834394896</v>
      </c>
      <c r="R173" s="51">
        <f>IF(Tabell2[[#This Row],[Yrkesaktivandel]]&lt;=I$434,I$434,IF(Tabell2[[#This Row],[Yrkesaktivandel]]&gt;=I$435,I$435,Tabell2[[#This Row],[Yrkesaktivandel]]))</f>
        <v>0.96217815624658265</v>
      </c>
      <c r="S173" s="52">
        <f>IF(Tabell2[[#This Row],[Inntekt]]&lt;=J$434,J$434,IF(Tabell2[[#This Row],[Inntekt]]&gt;=J$435,J$435,Tabell2[[#This Row],[Inntekt]]))</f>
        <v>370200</v>
      </c>
      <c r="T173" s="9">
        <f>IF(Tabell2[[#This Row],[NIBR11-T]]&lt;=K$437,100,IF(Tabell2[[#This Row],[NIBR11-T]]&gt;=K$436,0,100*(K$436-Tabell2[[#This Row],[NIBR11-T]])/K$439))</f>
        <v>60</v>
      </c>
      <c r="U173" s="9">
        <f>(L$436-Tabell2[[#This Row],[ReisetidOslo-T]])*100/L$439</f>
        <v>28.564774156018153</v>
      </c>
      <c r="V173" s="9">
        <f>100-(M$436-Tabell2[[#This Row],[Beftettotal-T]])*100/M$439</f>
        <v>1.8302057162318022</v>
      </c>
      <c r="W173" s="9">
        <f>100-(N$436-Tabell2[[#This Row],[Befvekst10-T]])*100/N$439</f>
        <v>51.220489233128099</v>
      </c>
      <c r="X173" s="9">
        <f>100-(O$436-Tabell2[[#This Row],[Kvinneandel-T]])*100/O$439</f>
        <v>63.405233117042698</v>
      </c>
      <c r="Y173" s="9">
        <f>(P$436-Tabell2[[#This Row],[Eldreandel-T]])*100/P$439</f>
        <v>70.454971134531576</v>
      </c>
      <c r="Z173" s="9">
        <f>100-(Q$436-Tabell2[[#This Row],[Sysselsettingsvekst10-T]])*100/Q$439</f>
        <v>62.425257698581312</v>
      </c>
      <c r="AA173" s="9">
        <f>100-(R$436-Tabell2[[#This Row],[Yrkesaktivandel-T]])*100/R$439</f>
        <v>100</v>
      </c>
      <c r="AB173" s="9">
        <f>100-(S$436-Tabell2[[#This Row],[Inntekt-T]])*100/S$439</f>
        <v>62.529862944800705</v>
      </c>
      <c r="AC173" s="48">
        <f>Tabell2[[#This Row],[NIBR11-I]]*Vekter!$B$3</f>
        <v>12</v>
      </c>
      <c r="AD173" s="48">
        <f>Tabell2[[#This Row],[ReisetidOslo-I]]*Vekter!$C$3</f>
        <v>2.8564774156018156</v>
      </c>
      <c r="AE173" s="48">
        <f>Tabell2[[#This Row],[Beftettotal-I]]*Vekter!$D$3</f>
        <v>0.18302057162318022</v>
      </c>
      <c r="AF173" s="48">
        <f>Tabell2[[#This Row],[Befvekst10-I]]*Vekter!$E$3</f>
        <v>10.244097846625621</v>
      </c>
      <c r="AG173" s="48">
        <f>Tabell2[[#This Row],[Kvinneandel-I]]*Vekter!$F$3</f>
        <v>3.1702616558521353</v>
      </c>
      <c r="AH173" s="48">
        <f>Tabell2[[#This Row],[Eldreandel-I]]*Vekter!$G$3</f>
        <v>3.5227485567265791</v>
      </c>
      <c r="AI173" s="48">
        <f>Tabell2[[#This Row],[Sysselsettingsvekst10-I]]*Vekter!$H$3</f>
        <v>6.2425257698581316</v>
      </c>
      <c r="AJ173" s="48">
        <f>Tabell2[[#This Row],[Yrkesaktivandel-I]]*Vekter!$J$3</f>
        <v>10</v>
      </c>
      <c r="AK173" s="48">
        <f>Tabell2[[#This Row],[Inntekt-I]]*Vekter!$L$3</f>
        <v>6.2529862944800705</v>
      </c>
      <c r="AL173" s="37">
        <f>SUM(Tabell2[[#This Row],[NIBR11-v]:[Inntekt-v]])</f>
        <v>54.472118110767539</v>
      </c>
    </row>
    <row r="174" spans="1:38">
      <c r="A174" s="2" t="s">
        <v>171</v>
      </c>
      <c r="B174">
        <f>'Rådata-K'!M173</f>
        <v>6</v>
      </c>
      <c r="C174" s="9">
        <f>'Rådata-K'!L173</f>
        <v>232.85211337140001</v>
      </c>
      <c r="D174" s="51">
        <f>'Rådata-K'!N173</f>
        <v>6.1210282413083679</v>
      </c>
      <c r="E174" s="51">
        <f>'Rådata-K'!O173</f>
        <v>6.2015503875969102E-2</v>
      </c>
      <c r="F174" s="51">
        <f>'Rådata-K'!P173</f>
        <v>0.11390256323204889</v>
      </c>
      <c r="G174" s="51">
        <f>'Rådata-K'!Q173</f>
        <v>0.15039891359701238</v>
      </c>
      <c r="H174" s="51">
        <f>'Rådata-K'!R173</f>
        <v>5.2585451358457824E-3</v>
      </c>
      <c r="I174" s="51">
        <f>'Rådata-K'!S173</f>
        <v>0.87234042553191493</v>
      </c>
      <c r="J174" s="52">
        <f>'Rådata-K'!K173</f>
        <v>350200</v>
      </c>
      <c r="K174" s="26">
        <f>Tabell2[[#This Row],[NIBR11]]</f>
        <v>6</v>
      </c>
      <c r="L174" s="52">
        <f>IF(Tabell2[[#This Row],[ReisetidOslo]]&lt;=C$434,C$434,IF(Tabell2[[#This Row],[ReisetidOslo]]&gt;=C$435,C$435,Tabell2[[#This Row],[ReisetidOslo]]))</f>
        <v>232.85211337140001</v>
      </c>
      <c r="M174" s="51">
        <f>IF(Tabell2[[#This Row],[Beftettotal]]&lt;=D$434,D$434,IF(Tabell2[[#This Row],[Beftettotal]]&gt;=D$435,D$435,Tabell2[[#This Row],[Beftettotal]]))</f>
        <v>6.1210282413083679</v>
      </c>
      <c r="N174" s="51">
        <f>IF(Tabell2[[#This Row],[Befvekst10]]&lt;=E$434,E$434,IF(Tabell2[[#This Row],[Befvekst10]]&gt;=E$435,E$435,Tabell2[[#This Row],[Befvekst10]]))</f>
        <v>6.2015503875969102E-2</v>
      </c>
      <c r="O174" s="51">
        <f>IF(Tabell2[[#This Row],[Kvinneandel]]&lt;=F$434,F$434,IF(Tabell2[[#This Row],[Kvinneandel]]&gt;=F$435,F$435,Tabell2[[#This Row],[Kvinneandel]]))</f>
        <v>0.11390256323204889</v>
      </c>
      <c r="P174" s="51">
        <f>IF(Tabell2[[#This Row],[Eldreandel]]&lt;=G$434,G$434,IF(Tabell2[[#This Row],[Eldreandel]]&gt;=G$435,G$435,Tabell2[[#This Row],[Eldreandel]]))</f>
        <v>0.15039891359701238</v>
      </c>
      <c r="Q174" s="51">
        <f>IF(Tabell2[[#This Row],[Sysselsettingsvekst10]]&lt;=H$434,H$434,IF(Tabell2[[#This Row],[Sysselsettingsvekst10]]&gt;=H$435,H$435,Tabell2[[#This Row],[Sysselsettingsvekst10]]))</f>
        <v>5.2585451358457824E-3</v>
      </c>
      <c r="R174" s="51">
        <f>IF(Tabell2[[#This Row],[Yrkesaktivandel]]&lt;=I$434,I$434,IF(Tabell2[[#This Row],[Yrkesaktivandel]]&gt;=I$435,I$435,Tabell2[[#This Row],[Yrkesaktivandel]]))</f>
        <v>0.87234042553191493</v>
      </c>
      <c r="S174" s="52">
        <f>IF(Tabell2[[#This Row],[Inntekt]]&lt;=J$434,J$434,IF(Tabell2[[#This Row],[Inntekt]]&gt;=J$435,J$435,Tabell2[[#This Row],[Inntekt]]))</f>
        <v>350200</v>
      </c>
      <c r="T174" s="9">
        <f>IF(Tabell2[[#This Row],[NIBR11-T]]&lt;=K$437,100,IF(Tabell2[[#This Row],[NIBR11-T]]&gt;=K$436,0,100*(K$436-Tabell2[[#This Row],[NIBR11-T]])/K$439))</f>
        <v>50</v>
      </c>
      <c r="U174" s="9">
        <f>(L$436-Tabell2[[#This Row],[ReisetidOslo-T]])*100/L$439</f>
        <v>20.512054371060728</v>
      </c>
      <c r="V174" s="9">
        <f>100-(M$436-Tabell2[[#This Row],[Beftettotal-T]])*100/M$439</f>
        <v>3.7660481580338825</v>
      </c>
      <c r="W174" s="9">
        <f>100-(N$436-Tabell2[[#This Row],[Befvekst10-T]])*100/N$439</f>
        <v>57.785390948586922</v>
      </c>
      <c r="X174" s="9">
        <f>100-(O$436-Tabell2[[#This Row],[Kvinneandel-T]])*100/O$439</f>
        <v>62.614278454609909</v>
      </c>
      <c r="Y174" s="9">
        <f>(P$436-Tabell2[[#This Row],[Eldreandel-T]])*100/P$439</f>
        <v>65.642395652656262</v>
      </c>
      <c r="Z174" s="9">
        <f>100-(Q$436-Tabell2[[#This Row],[Sysselsettingsvekst10-T]])*100/Q$439</f>
        <v>23.736152799036446</v>
      </c>
      <c r="AA174" s="9">
        <f>100-(R$436-Tabell2[[#This Row],[Yrkesaktivandel-T]])*100/R$439</f>
        <v>33.028151290030564</v>
      </c>
      <c r="AB174" s="9">
        <f>100-(S$436-Tabell2[[#This Row],[Inntekt-T]])*100/S$439</f>
        <v>37.382119954734065</v>
      </c>
      <c r="AC174" s="48">
        <f>Tabell2[[#This Row],[NIBR11-I]]*Vekter!$B$3</f>
        <v>10</v>
      </c>
      <c r="AD174" s="48">
        <f>Tabell2[[#This Row],[ReisetidOslo-I]]*Vekter!$C$3</f>
        <v>2.0512054371060731</v>
      </c>
      <c r="AE174" s="48">
        <f>Tabell2[[#This Row],[Beftettotal-I]]*Vekter!$D$3</f>
        <v>0.37660481580338828</v>
      </c>
      <c r="AF174" s="48">
        <f>Tabell2[[#This Row],[Befvekst10-I]]*Vekter!$E$3</f>
        <v>11.557078189717386</v>
      </c>
      <c r="AG174" s="48">
        <f>Tabell2[[#This Row],[Kvinneandel-I]]*Vekter!$F$3</f>
        <v>3.1307139227304956</v>
      </c>
      <c r="AH174" s="48">
        <f>Tabell2[[#This Row],[Eldreandel-I]]*Vekter!$G$3</f>
        <v>3.2821197826328135</v>
      </c>
      <c r="AI174" s="48">
        <f>Tabell2[[#This Row],[Sysselsettingsvekst10-I]]*Vekter!$H$3</f>
        <v>2.3736152799036447</v>
      </c>
      <c r="AJ174" s="48">
        <f>Tabell2[[#This Row],[Yrkesaktivandel-I]]*Vekter!$J$3</f>
        <v>3.3028151290030565</v>
      </c>
      <c r="AK174" s="48">
        <f>Tabell2[[#This Row],[Inntekt-I]]*Vekter!$L$3</f>
        <v>3.7382119954734065</v>
      </c>
      <c r="AL174" s="37">
        <f>SUM(Tabell2[[#This Row],[NIBR11-v]:[Inntekt-v]])</f>
        <v>39.812364552370269</v>
      </c>
    </row>
    <row r="175" spans="1:38">
      <c r="A175" s="2" t="s">
        <v>172</v>
      </c>
      <c r="B175">
        <f>'Rådata-K'!M174</f>
        <v>7</v>
      </c>
      <c r="C175" s="9">
        <f>'Rådata-K'!L174</f>
        <v>237.8116612961</v>
      </c>
      <c r="D175" s="51">
        <f>'Rådata-K'!N174</f>
        <v>1.1776282785145546</v>
      </c>
      <c r="E175" s="51">
        <f>'Rådata-K'!O174</f>
        <v>3.6806342015855087E-2</v>
      </c>
      <c r="F175" s="51">
        <f>'Rådata-K'!P174</f>
        <v>0.11851447296559257</v>
      </c>
      <c r="G175" s="51">
        <f>'Rådata-K'!Q174</f>
        <v>0.15729109776078645</v>
      </c>
      <c r="H175" s="51">
        <f>'Rådata-K'!R174</f>
        <v>0.10432033719704958</v>
      </c>
      <c r="I175" s="51">
        <f>'Rådata-K'!S174</f>
        <v>0.98315163528245786</v>
      </c>
      <c r="J175" s="52">
        <f>'Rådata-K'!K174</f>
        <v>399500</v>
      </c>
      <c r="K175" s="26">
        <f>Tabell2[[#This Row],[NIBR11]]</f>
        <v>7</v>
      </c>
      <c r="L175" s="52">
        <f>IF(Tabell2[[#This Row],[ReisetidOslo]]&lt;=C$434,C$434,IF(Tabell2[[#This Row],[ReisetidOslo]]&gt;=C$435,C$435,Tabell2[[#This Row],[ReisetidOslo]]))</f>
        <v>237.8116612961</v>
      </c>
      <c r="M175" s="51">
        <f>IF(Tabell2[[#This Row],[Beftettotal]]&lt;=D$434,D$434,IF(Tabell2[[#This Row],[Beftettotal]]&gt;=D$435,D$435,Tabell2[[#This Row],[Beftettotal]]))</f>
        <v>1.3397285732306117</v>
      </c>
      <c r="N175" s="51">
        <f>IF(Tabell2[[#This Row],[Befvekst10]]&lt;=E$434,E$434,IF(Tabell2[[#This Row],[Befvekst10]]&gt;=E$435,E$435,Tabell2[[#This Row],[Befvekst10]]))</f>
        <v>3.6806342015855087E-2</v>
      </c>
      <c r="O175" s="51">
        <f>IF(Tabell2[[#This Row],[Kvinneandel]]&lt;=F$434,F$434,IF(Tabell2[[#This Row],[Kvinneandel]]&gt;=F$435,F$435,Tabell2[[#This Row],[Kvinneandel]]))</f>
        <v>0.11851447296559257</v>
      </c>
      <c r="P175" s="51">
        <f>IF(Tabell2[[#This Row],[Eldreandel]]&lt;=G$434,G$434,IF(Tabell2[[#This Row],[Eldreandel]]&gt;=G$435,G$435,Tabell2[[#This Row],[Eldreandel]]))</f>
        <v>0.15729109776078645</v>
      </c>
      <c r="Q175" s="51">
        <f>IF(Tabell2[[#This Row],[Sysselsettingsvekst10]]&lt;=H$434,H$434,IF(Tabell2[[#This Row],[Sysselsettingsvekst10]]&gt;=H$435,H$435,Tabell2[[#This Row],[Sysselsettingsvekst10]]))</f>
        <v>0.10432033719704958</v>
      </c>
      <c r="R175" s="51">
        <f>IF(Tabell2[[#This Row],[Yrkesaktivandel]]&lt;=I$434,I$434,IF(Tabell2[[#This Row],[Yrkesaktivandel]]&gt;=I$435,I$435,Tabell2[[#This Row],[Yrkesaktivandel]]))</f>
        <v>0.96217815624658265</v>
      </c>
      <c r="S175" s="52">
        <f>IF(Tabell2[[#This Row],[Inntekt]]&lt;=J$434,J$434,IF(Tabell2[[#This Row],[Inntekt]]&gt;=J$435,J$435,Tabell2[[#This Row],[Inntekt]]))</f>
        <v>399500</v>
      </c>
      <c r="T175" s="9">
        <f>IF(Tabell2[[#This Row],[NIBR11-T]]&lt;=K$437,100,IF(Tabell2[[#This Row],[NIBR11-T]]&gt;=K$436,0,100*(K$436-Tabell2[[#This Row],[NIBR11-T]])/K$439))</f>
        <v>40</v>
      </c>
      <c r="U175" s="9">
        <f>(L$436-Tabell2[[#This Row],[ReisetidOslo-T]])*100/L$439</f>
        <v>18.310260134577405</v>
      </c>
      <c r="V175" s="9">
        <f>100-(M$436-Tabell2[[#This Row],[Beftettotal-T]])*100/M$439</f>
        <v>0</v>
      </c>
      <c r="W175" s="9">
        <f>100-(N$436-Tabell2[[#This Row],[Befvekst10-T]])*100/N$439</f>
        <v>47.58435921040644</v>
      </c>
      <c r="X175" s="9">
        <f>100-(O$436-Tabell2[[#This Row],[Kvinneandel-T]])*100/O$439</f>
        <v>74.8298335565119</v>
      </c>
      <c r="Y175" s="9">
        <f>(P$436-Tabell2[[#This Row],[Eldreandel-T]])*100/P$439</f>
        <v>57.828819786731053</v>
      </c>
      <c r="Z175" s="9">
        <f>100-(Q$436-Tabell2[[#This Row],[Sysselsettingsvekst10-T]])*100/Q$439</f>
        <v>55.532131885302149</v>
      </c>
      <c r="AA175" s="9">
        <f>100-(R$436-Tabell2[[#This Row],[Yrkesaktivandel-T]])*100/R$439</f>
        <v>100</v>
      </c>
      <c r="AB175" s="9">
        <f>100-(S$436-Tabell2[[#This Row],[Inntekt-T]])*100/S$439</f>
        <v>99.371306425248335</v>
      </c>
      <c r="AC175" s="48">
        <f>Tabell2[[#This Row],[NIBR11-I]]*Vekter!$B$3</f>
        <v>8</v>
      </c>
      <c r="AD175" s="48">
        <f>Tabell2[[#This Row],[ReisetidOslo-I]]*Vekter!$C$3</f>
        <v>1.8310260134577405</v>
      </c>
      <c r="AE175" s="48">
        <f>Tabell2[[#This Row],[Beftettotal-I]]*Vekter!$D$3</f>
        <v>0</v>
      </c>
      <c r="AF175" s="48">
        <f>Tabell2[[#This Row],[Befvekst10-I]]*Vekter!$E$3</f>
        <v>9.5168718420812883</v>
      </c>
      <c r="AG175" s="48">
        <f>Tabell2[[#This Row],[Kvinneandel-I]]*Vekter!$F$3</f>
        <v>3.7414916778255951</v>
      </c>
      <c r="AH175" s="48">
        <f>Tabell2[[#This Row],[Eldreandel-I]]*Vekter!$G$3</f>
        <v>2.8914409893365529</v>
      </c>
      <c r="AI175" s="48">
        <f>Tabell2[[#This Row],[Sysselsettingsvekst10-I]]*Vekter!$H$3</f>
        <v>5.5532131885302149</v>
      </c>
      <c r="AJ175" s="48">
        <f>Tabell2[[#This Row],[Yrkesaktivandel-I]]*Vekter!$J$3</f>
        <v>10</v>
      </c>
      <c r="AK175" s="48">
        <f>Tabell2[[#This Row],[Inntekt-I]]*Vekter!$L$3</f>
        <v>9.9371306425248349</v>
      </c>
      <c r="AL175" s="37">
        <f>SUM(Tabell2[[#This Row],[NIBR11-v]:[Inntekt-v]])</f>
        <v>51.471174353756226</v>
      </c>
    </row>
    <row r="176" spans="1:38">
      <c r="A176" s="2" t="s">
        <v>173</v>
      </c>
      <c r="B176">
        <f>'Rådata-K'!M175</f>
        <v>5</v>
      </c>
      <c r="C176" s="9">
        <f>'Rådata-K'!L175</f>
        <v>211.1310995696</v>
      </c>
      <c r="D176" s="51">
        <f>'Rådata-K'!N175</f>
        <v>34.246670366259707</v>
      </c>
      <c r="E176" s="51">
        <f>'Rådata-K'!O175</f>
        <v>0.10628921422169113</v>
      </c>
      <c r="F176" s="51">
        <f>'Rådata-K'!P175</f>
        <v>0.11876308149348458</v>
      </c>
      <c r="G176" s="51">
        <f>'Rådata-K'!Q175</f>
        <v>0.13084869353858619</v>
      </c>
      <c r="H176" s="51">
        <f>'Rådata-K'!R175</f>
        <v>0.14001013342340829</v>
      </c>
      <c r="I176" s="51">
        <f>'Rådata-K'!S175</f>
        <v>0.90855286062434726</v>
      </c>
      <c r="J176" s="52">
        <f>'Rådata-K'!K175</f>
        <v>399700</v>
      </c>
      <c r="K176" s="26">
        <f>Tabell2[[#This Row],[NIBR11]]</f>
        <v>5</v>
      </c>
      <c r="L176" s="52">
        <f>IF(Tabell2[[#This Row],[ReisetidOslo]]&lt;=C$434,C$434,IF(Tabell2[[#This Row],[ReisetidOslo]]&gt;=C$435,C$435,Tabell2[[#This Row],[ReisetidOslo]]))</f>
        <v>211.1310995696</v>
      </c>
      <c r="M176" s="51">
        <f>IF(Tabell2[[#This Row],[Beftettotal]]&lt;=D$434,D$434,IF(Tabell2[[#This Row],[Beftettotal]]&gt;=D$435,D$435,Tabell2[[#This Row],[Beftettotal]]))</f>
        <v>34.246670366259707</v>
      </c>
      <c r="N176" s="51">
        <f>IF(Tabell2[[#This Row],[Befvekst10]]&lt;=E$434,E$434,IF(Tabell2[[#This Row],[Befvekst10]]&gt;=E$435,E$435,Tabell2[[#This Row],[Befvekst10]]))</f>
        <v>0.10628921422169113</v>
      </c>
      <c r="O176" s="51">
        <f>IF(Tabell2[[#This Row],[Kvinneandel]]&lt;=F$434,F$434,IF(Tabell2[[#This Row],[Kvinneandel]]&gt;=F$435,F$435,Tabell2[[#This Row],[Kvinneandel]]))</f>
        <v>0.11876308149348458</v>
      </c>
      <c r="P176" s="51">
        <f>IF(Tabell2[[#This Row],[Eldreandel]]&lt;=G$434,G$434,IF(Tabell2[[#This Row],[Eldreandel]]&gt;=G$435,G$435,Tabell2[[#This Row],[Eldreandel]]))</f>
        <v>0.13084869353858619</v>
      </c>
      <c r="Q176" s="51">
        <f>IF(Tabell2[[#This Row],[Sysselsettingsvekst10]]&lt;=H$434,H$434,IF(Tabell2[[#This Row],[Sysselsettingsvekst10]]&gt;=H$435,H$435,Tabell2[[#This Row],[Sysselsettingsvekst10]]))</f>
        <v>0.14001013342340829</v>
      </c>
      <c r="R176" s="51">
        <f>IF(Tabell2[[#This Row],[Yrkesaktivandel]]&lt;=I$434,I$434,IF(Tabell2[[#This Row],[Yrkesaktivandel]]&gt;=I$435,I$435,Tabell2[[#This Row],[Yrkesaktivandel]]))</f>
        <v>0.90855286062434726</v>
      </c>
      <c r="S176" s="52">
        <f>IF(Tabell2[[#This Row],[Inntekt]]&lt;=J$434,J$434,IF(Tabell2[[#This Row],[Inntekt]]&gt;=J$435,J$435,Tabell2[[#This Row],[Inntekt]]))</f>
        <v>399700</v>
      </c>
      <c r="T176" s="9">
        <f>IF(Tabell2[[#This Row],[NIBR11-T]]&lt;=K$437,100,IF(Tabell2[[#This Row],[NIBR11-T]]&gt;=K$436,0,100*(K$436-Tabell2[[#This Row],[NIBR11-T]])/K$439))</f>
        <v>60</v>
      </c>
      <c r="U176" s="9">
        <f>(L$436-Tabell2[[#This Row],[ReisetidOslo-T]])*100/L$439</f>
        <v>30.155111303970791</v>
      </c>
      <c r="V176" s="9">
        <f>100-(M$436-Tabell2[[#This Row],[Beftettotal-T]])*100/M$439</f>
        <v>25.919548267090562</v>
      </c>
      <c r="W176" s="9">
        <f>100-(N$436-Tabell2[[#This Row],[Befvekst10-T]])*100/N$439</f>
        <v>75.701001428215818</v>
      </c>
      <c r="X176" s="9">
        <f>100-(O$436-Tabell2[[#This Row],[Kvinneandel-T]])*100/O$439</f>
        <v>75.488322413997423</v>
      </c>
      <c r="Y176" s="9">
        <f>(P$436-Tabell2[[#This Row],[Eldreandel-T]])*100/P$439</f>
        <v>87.806215421859577</v>
      </c>
      <c r="Z176" s="9">
        <f>100-(Q$436-Tabell2[[#This Row],[Sysselsettingsvekst10-T]])*100/Q$439</f>
        <v>66.987527460068975</v>
      </c>
      <c r="AA176" s="9">
        <f>100-(R$436-Tabell2[[#This Row],[Yrkesaktivandel-T]])*100/R$439</f>
        <v>60.023643107746338</v>
      </c>
      <c r="AB176" s="9">
        <f>100-(S$436-Tabell2[[#This Row],[Inntekt-T]])*100/S$439</f>
        <v>99.622783855148995</v>
      </c>
      <c r="AC176" s="48">
        <f>Tabell2[[#This Row],[NIBR11-I]]*Vekter!$B$3</f>
        <v>12</v>
      </c>
      <c r="AD176" s="48">
        <f>Tabell2[[#This Row],[ReisetidOslo-I]]*Vekter!$C$3</f>
        <v>3.0155111303970794</v>
      </c>
      <c r="AE176" s="48">
        <f>Tabell2[[#This Row],[Beftettotal-I]]*Vekter!$D$3</f>
        <v>2.5919548267090562</v>
      </c>
      <c r="AF176" s="48">
        <f>Tabell2[[#This Row],[Befvekst10-I]]*Vekter!$E$3</f>
        <v>15.140200285643164</v>
      </c>
      <c r="AG176" s="48">
        <f>Tabell2[[#This Row],[Kvinneandel-I]]*Vekter!$F$3</f>
        <v>3.7744161206998714</v>
      </c>
      <c r="AH176" s="48">
        <f>Tabell2[[#This Row],[Eldreandel-I]]*Vekter!$G$3</f>
        <v>4.3903107710929792</v>
      </c>
      <c r="AI176" s="48">
        <f>Tabell2[[#This Row],[Sysselsettingsvekst10-I]]*Vekter!$H$3</f>
        <v>6.6987527460068979</v>
      </c>
      <c r="AJ176" s="48">
        <f>Tabell2[[#This Row],[Yrkesaktivandel-I]]*Vekter!$J$3</f>
        <v>6.0023643107746345</v>
      </c>
      <c r="AK176" s="48">
        <f>Tabell2[[#This Row],[Inntekt-I]]*Vekter!$L$3</f>
        <v>9.9622783855148995</v>
      </c>
      <c r="AL176" s="37">
        <f>SUM(Tabell2[[#This Row],[NIBR11-v]:[Inntekt-v]])</f>
        <v>63.575788576838583</v>
      </c>
    </row>
    <row r="177" spans="1:38">
      <c r="A177" s="2" t="s">
        <v>174</v>
      </c>
      <c r="B177">
        <f>'Rådata-K'!M176</f>
        <v>2</v>
      </c>
      <c r="C177" s="9">
        <f>'Rådata-K'!L176</f>
        <v>162.3933241945</v>
      </c>
      <c r="D177" s="51">
        <f>'Rådata-K'!N176</f>
        <v>236.21788553781457</v>
      </c>
      <c r="E177" s="51">
        <f>'Rådata-K'!O176</f>
        <v>0.26879367544293076</v>
      </c>
      <c r="F177" s="51">
        <f>'Rådata-K'!P176</f>
        <v>0.14446453407510432</v>
      </c>
      <c r="G177" s="51">
        <f>'Rådata-K'!Q176</f>
        <v>9.7121001390820583E-2</v>
      </c>
      <c r="H177" s="51">
        <f>'Rådata-K'!R176</f>
        <v>0.33034523633130841</v>
      </c>
      <c r="I177" s="51">
        <f>'Rådata-K'!S176</f>
        <v>0.89824135005617589</v>
      </c>
      <c r="J177" s="52">
        <f>'Rådata-K'!K176</f>
        <v>449800</v>
      </c>
      <c r="K177" s="26">
        <f>Tabell2[[#This Row],[NIBR11]]</f>
        <v>2</v>
      </c>
      <c r="L177" s="52">
        <f>IF(Tabell2[[#This Row],[ReisetidOslo]]&lt;=C$434,C$434,IF(Tabell2[[#This Row],[ReisetidOslo]]&gt;=C$435,C$435,Tabell2[[#This Row],[ReisetidOslo]]))</f>
        <v>162.3933241945</v>
      </c>
      <c r="M177" s="51">
        <f>IF(Tabell2[[#This Row],[Beftettotal]]&lt;=D$434,D$434,IF(Tabell2[[#This Row],[Beftettotal]]&gt;=D$435,D$435,Tabell2[[#This Row],[Beftettotal]]))</f>
        <v>128.29773514779066</v>
      </c>
      <c r="N177" s="51">
        <f>IF(Tabell2[[#This Row],[Befvekst10]]&lt;=E$434,E$434,IF(Tabell2[[#This Row],[Befvekst10]]&gt;=E$435,E$435,Tabell2[[#This Row],[Befvekst10]]))</f>
        <v>0.16633778614624492</v>
      </c>
      <c r="O177" s="51">
        <f>IF(Tabell2[[#This Row],[Kvinneandel]]&lt;=F$434,F$434,IF(Tabell2[[#This Row],[Kvinneandel]]&gt;=F$435,F$435,Tabell2[[#This Row],[Kvinneandel]]))</f>
        <v>0.12801731869362362</v>
      </c>
      <c r="P177" s="51">
        <f>IF(Tabell2[[#This Row],[Eldreandel]]&lt;=G$434,G$434,IF(Tabell2[[#This Row],[Eldreandel]]&gt;=G$435,G$435,Tabell2[[#This Row],[Eldreandel]]))</f>
        <v>0.1200928231908705</v>
      </c>
      <c r="Q177" s="51">
        <f>IF(Tabell2[[#This Row],[Sysselsettingsvekst10]]&lt;=H$434,H$434,IF(Tabell2[[#This Row],[Sysselsettingsvekst10]]&gt;=H$435,H$435,Tabell2[[#This Row],[Sysselsettingsvekst10]]))</f>
        <v>0.24286196513786068</v>
      </c>
      <c r="R177" s="51">
        <f>IF(Tabell2[[#This Row],[Yrkesaktivandel]]&lt;=I$434,I$434,IF(Tabell2[[#This Row],[Yrkesaktivandel]]&gt;=I$435,I$435,Tabell2[[#This Row],[Yrkesaktivandel]]))</f>
        <v>0.89824135005617589</v>
      </c>
      <c r="S177" s="52">
        <f>IF(Tabell2[[#This Row],[Inntekt]]&lt;=J$434,J$434,IF(Tabell2[[#This Row],[Inntekt]]&gt;=J$435,J$435,Tabell2[[#This Row],[Inntekt]]))</f>
        <v>400000</v>
      </c>
      <c r="T177" s="9">
        <f>IF(Tabell2[[#This Row],[NIBR11-T]]&lt;=K$437,100,IF(Tabell2[[#This Row],[NIBR11-T]]&gt;=K$436,0,100*(K$436-Tabell2[[#This Row],[NIBR11-T]])/K$439))</f>
        <v>90</v>
      </c>
      <c r="U177" s="9">
        <f>(L$436-Tabell2[[#This Row],[ReisetidOslo-T]])*100/L$439</f>
        <v>51.792275527241273</v>
      </c>
      <c r="V177" s="9">
        <f>100-(M$436-Tabell2[[#This Row],[Beftettotal-T]])*100/M$439</f>
        <v>100</v>
      </c>
      <c r="W177" s="9">
        <f>100-(N$436-Tabell2[[#This Row],[Befvekst10-T]])*100/N$439</f>
        <v>100</v>
      </c>
      <c r="X177" s="9">
        <f>100-(O$436-Tabell2[[#This Row],[Kvinneandel-T]])*100/O$439</f>
        <v>100</v>
      </c>
      <c r="Y177" s="9">
        <f>(P$436-Tabell2[[#This Row],[Eldreandel-T]])*100/P$439</f>
        <v>100.00000000000001</v>
      </c>
      <c r="Z177" s="9">
        <f>100-(Q$436-Tabell2[[#This Row],[Sysselsettingsvekst10-T]])*100/Q$439</f>
        <v>100</v>
      </c>
      <c r="AA177" s="9">
        <f>100-(R$436-Tabell2[[#This Row],[Yrkesaktivandel-T]])*100/R$439</f>
        <v>52.336662144968372</v>
      </c>
      <c r="AB177" s="9">
        <f>100-(S$436-Tabell2[[#This Row],[Inntekt-T]])*100/S$439</f>
        <v>100</v>
      </c>
      <c r="AC177" s="48">
        <f>Tabell2[[#This Row],[NIBR11-I]]*Vekter!$B$3</f>
        <v>18</v>
      </c>
      <c r="AD177" s="48">
        <f>Tabell2[[#This Row],[ReisetidOslo-I]]*Vekter!$C$3</f>
        <v>5.1792275527241278</v>
      </c>
      <c r="AE177" s="48">
        <f>Tabell2[[#This Row],[Beftettotal-I]]*Vekter!$D$3</f>
        <v>10</v>
      </c>
      <c r="AF177" s="48">
        <f>Tabell2[[#This Row],[Befvekst10-I]]*Vekter!$E$3</f>
        <v>20</v>
      </c>
      <c r="AG177" s="48">
        <f>Tabell2[[#This Row],[Kvinneandel-I]]*Vekter!$F$3</f>
        <v>5</v>
      </c>
      <c r="AH177" s="48">
        <f>Tabell2[[#This Row],[Eldreandel-I]]*Vekter!$G$3</f>
        <v>5.0000000000000009</v>
      </c>
      <c r="AI177" s="48">
        <f>Tabell2[[#This Row],[Sysselsettingsvekst10-I]]*Vekter!$H$3</f>
        <v>10</v>
      </c>
      <c r="AJ177" s="48">
        <f>Tabell2[[#This Row],[Yrkesaktivandel-I]]*Vekter!$J$3</f>
        <v>5.2336662144968376</v>
      </c>
      <c r="AK177" s="48">
        <f>Tabell2[[#This Row],[Inntekt-I]]*Vekter!$L$3</f>
        <v>10</v>
      </c>
      <c r="AL177" s="37">
        <f>SUM(Tabell2[[#This Row],[NIBR11-v]:[Inntekt-v]])</f>
        <v>88.412893767220964</v>
      </c>
    </row>
    <row r="178" spans="1:38">
      <c r="A178" s="2" t="s">
        <v>175</v>
      </c>
      <c r="B178">
        <f>'Rådata-K'!M177</f>
        <v>2</v>
      </c>
      <c r="C178" s="9">
        <f>'Rådata-K'!L177</f>
        <v>163.6584520923</v>
      </c>
      <c r="D178" s="51">
        <f>'Rådata-K'!N177</f>
        <v>1832.571829011913</v>
      </c>
      <c r="E178" s="51">
        <f>'Rådata-K'!O177</f>
        <v>0.16324006939193092</v>
      </c>
      <c r="F178" s="51">
        <f>'Rådata-K'!P177</f>
        <v>0.14921914434740047</v>
      </c>
      <c r="G178" s="51">
        <f>'Rådata-K'!Q177</f>
        <v>0.10711718188353703</v>
      </c>
      <c r="H178" s="51">
        <f>'Rådata-K'!R177</f>
        <v>0.29845486164548007</v>
      </c>
      <c r="I178" s="51">
        <f>'Rådata-K'!S177</f>
        <v>0.876529014580683</v>
      </c>
      <c r="J178" s="52">
        <f>'Rådata-K'!K177</f>
        <v>497200</v>
      </c>
      <c r="K178" s="26">
        <f>Tabell2[[#This Row],[NIBR11]]</f>
        <v>2</v>
      </c>
      <c r="L178" s="52">
        <f>IF(Tabell2[[#This Row],[ReisetidOslo]]&lt;=C$434,C$434,IF(Tabell2[[#This Row],[ReisetidOslo]]&gt;=C$435,C$435,Tabell2[[#This Row],[ReisetidOslo]]))</f>
        <v>163.6584520923</v>
      </c>
      <c r="M178" s="51">
        <f>IF(Tabell2[[#This Row],[Beftettotal]]&lt;=D$434,D$434,IF(Tabell2[[#This Row],[Beftettotal]]&gt;=D$435,D$435,Tabell2[[#This Row],[Beftettotal]]))</f>
        <v>128.29773514779066</v>
      </c>
      <c r="N178" s="51">
        <f>IF(Tabell2[[#This Row],[Befvekst10]]&lt;=E$434,E$434,IF(Tabell2[[#This Row],[Befvekst10]]&gt;=E$435,E$435,Tabell2[[#This Row],[Befvekst10]]))</f>
        <v>0.16324006939193092</v>
      </c>
      <c r="O178" s="51">
        <f>IF(Tabell2[[#This Row],[Kvinneandel]]&lt;=F$434,F$434,IF(Tabell2[[#This Row],[Kvinneandel]]&gt;=F$435,F$435,Tabell2[[#This Row],[Kvinneandel]]))</f>
        <v>0.12801731869362362</v>
      </c>
      <c r="P178" s="51">
        <f>IF(Tabell2[[#This Row],[Eldreandel]]&lt;=G$434,G$434,IF(Tabell2[[#This Row],[Eldreandel]]&gt;=G$435,G$435,Tabell2[[#This Row],[Eldreandel]]))</f>
        <v>0.1200928231908705</v>
      </c>
      <c r="Q178" s="51">
        <f>IF(Tabell2[[#This Row],[Sysselsettingsvekst10]]&lt;=H$434,H$434,IF(Tabell2[[#This Row],[Sysselsettingsvekst10]]&gt;=H$435,H$435,Tabell2[[#This Row],[Sysselsettingsvekst10]]))</f>
        <v>0.24286196513786068</v>
      </c>
      <c r="R178" s="51">
        <f>IF(Tabell2[[#This Row],[Yrkesaktivandel]]&lt;=I$434,I$434,IF(Tabell2[[#This Row],[Yrkesaktivandel]]&gt;=I$435,I$435,Tabell2[[#This Row],[Yrkesaktivandel]]))</f>
        <v>0.876529014580683</v>
      </c>
      <c r="S178" s="52">
        <f>IF(Tabell2[[#This Row],[Inntekt]]&lt;=J$434,J$434,IF(Tabell2[[#This Row],[Inntekt]]&gt;=J$435,J$435,Tabell2[[#This Row],[Inntekt]]))</f>
        <v>400000</v>
      </c>
      <c r="T178" s="9">
        <f>IF(Tabell2[[#This Row],[NIBR11-T]]&lt;=K$437,100,IF(Tabell2[[#This Row],[NIBR11-T]]&gt;=K$436,0,100*(K$436-Tabell2[[#This Row],[NIBR11-T]])/K$439))</f>
        <v>90</v>
      </c>
      <c r="U178" s="9">
        <f>(L$436-Tabell2[[#This Row],[ReisetidOslo-T]])*100/L$439</f>
        <v>51.230621248245917</v>
      </c>
      <c r="V178" s="9">
        <f>100-(M$436-Tabell2[[#This Row],[Beftettotal-T]])*100/M$439</f>
        <v>100</v>
      </c>
      <c r="W178" s="9">
        <f>100-(N$436-Tabell2[[#This Row],[Befvekst10-T]])*100/N$439</f>
        <v>98.746491172455521</v>
      </c>
      <c r="X178" s="9">
        <f>100-(O$436-Tabell2[[#This Row],[Kvinneandel-T]])*100/O$439</f>
        <v>100</v>
      </c>
      <c r="Y178" s="9">
        <f>(P$436-Tabell2[[#This Row],[Eldreandel-T]])*100/P$439</f>
        <v>100.00000000000001</v>
      </c>
      <c r="Z178" s="9">
        <f>100-(Q$436-Tabell2[[#This Row],[Sysselsettingsvekst10-T]])*100/Q$439</f>
        <v>100</v>
      </c>
      <c r="AA178" s="9">
        <f>100-(R$436-Tabell2[[#This Row],[Yrkesaktivandel-T]])*100/R$439</f>
        <v>36.150642807244836</v>
      </c>
      <c r="AB178" s="9">
        <f>100-(S$436-Tabell2[[#This Row],[Inntekt-T]])*100/S$439</f>
        <v>100</v>
      </c>
      <c r="AC178" s="48">
        <f>Tabell2[[#This Row],[NIBR11-I]]*Vekter!$B$3</f>
        <v>18</v>
      </c>
      <c r="AD178" s="48">
        <f>Tabell2[[#This Row],[ReisetidOslo-I]]*Vekter!$C$3</f>
        <v>5.1230621248245924</v>
      </c>
      <c r="AE178" s="48">
        <f>Tabell2[[#This Row],[Beftettotal-I]]*Vekter!$D$3</f>
        <v>10</v>
      </c>
      <c r="AF178" s="48">
        <f>Tabell2[[#This Row],[Befvekst10-I]]*Vekter!$E$3</f>
        <v>19.749298234491107</v>
      </c>
      <c r="AG178" s="48">
        <f>Tabell2[[#This Row],[Kvinneandel-I]]*Vekter!$F$3</f>
        <v>5</v>
      </c>
      <c r="AH178" s="48">
        <f>Tabell2[[#This Row],[Eldreandel-I]]*Vekter!$G$3</f>
        <v>5.0000000000000009</v>
      </c>
      <c r="AI178" s="48">
        <f>Tabell2[[#This Row],[Sysselsettingsvekst10-I]]*Vekter!$H$3</f>
        <v>10</v>
      </c>
      <c r="AJ178" s="48">
        <f>Tabell2[[#This Row],[Yrkesaktivandel-I]]*Vekter!$J$3</f>
        <v>3.6150642807244839</v>
      </c>
      <c r="AK178" s="48">
        <f>Tabell2[[#This Row],[Inntekt-I]]*Vekter!$L$3</f>
        <v>10</v>
      </c>
      <c r="AL178" s="37">
        <f>SUM(Tabell2[[#This Row],[NIBR11-v]:[Inntekt-v]])</f>
        <v>86.487424640040189</v>
      </c>
    </row>
    <row r="179" spans="1:38">
      <c r="A179" s="2" t="s">
        <v>176</v>
      </c>
      <c r="B179">
        <f>'Rådata-K'!M178</f>
        <v>4</v>
      </c>
      <c r="C179" s="9">
        <f>'Rådata-K'!L178</f>
        <v>163.7287982348</v>
      </c>
      <c r="D179" s="51">
        <f>'Rådata-K'!N178</f>
        <v>496.68409466152997</v>
      </c>
      <c r="E179" s="51">
        <f>'Rådata-K'!O178</f>
        <v>0.15107936609164252</v>
      </c>
      <c r="F179" s="51">
        <f>'Rådata-K'!P178</f>
        <v>0.13512839690850162</v>
      </c>
      <c r="G179" s="51">
        <f>'Rådata-K'!Q178</f>
        <v>0.12875702928058949</v>
      </c>
      <c r="H179" s="51">
        <f>'Rådata-K'!R178</f>
        <v>0.22978227060653178</v>
      </c>
      <c r="I179" s="51">
        <f>'Rådata-K'!S178</f>
        <v>0.83918356139307126</v>
      </c>
      <c r="J179" s="52">
        <f>'Rådata-K'!K178</f>
        <v>391600</v>
      </c>
      <c r="K179" s="26">
        <f>Tabell2[[#This Row],[NIBR11]]</f>
        <v>4</v>
      </c>
      <c r="L179" s="52">
        <f>IF(Tabell2[[#This Row],[ReisetidOslo]]&lt;=C$434,C$434,IF(Tabell2[[#This Row],[ReisetidOslo]]&gt;=C$435,C$435,Tabell2[[#This Row],[ReisetidOslo]]))</f>
        <v>163.7287982348</v>
      </c>
      <c r="M179" s="51">
        <f>IF(Tabell2[[#This Row],[Beftettotal]]&lt;=D$434,D$434,IF(Tabell2[[#This Row],[Beftettotal]]&gt;=D$435,D$435,Tabell2[[#This Row],[Beftettotal]]))</f>
        <v>128.29773514779066</v>
      </c>
      <c r="N179" s="51">
        <f>IF(Tabell2[[#This Row],[Befvekst10]]&lt;=E$434,E$434,IF(Tabell2[[#This Row],[Befvekst10]]&gt;=E$435,E$435,Tabell2[[#This Row],[Befvekst10]]))</f>
        <v>0.15107936609164252</v>
      </c>
      <c r="O179" s="51">
        <f>IF(Tabell2[[#This Row],[Kvinneandel]]&lt;=F$434,F$434,IF(Tabell2[[#This Row],[Kvinneandel]]&gt;=F$435,F$435,Tabell2[[#This Row],[Kvinneandel]]))</f>
        <v>0.12801731869362362</v>
      </c>
      <c r="P179" s="51">
        <f>IF(Tabell2[[#This Row],[Eldreandel]]&lt;=G$434,G$434,IF(Tabell2[[#This Row],[Eldreandel]]&gt;=G$435,G$435,Tabell2[[#This Row],[Eldreandel]]))</f>
        <v>0.12875702928058949</v>
      </c>
      <c r="Q179" s="51">
        <f>IF(Tabell2[[#This Row],[Sysselsettingsvekst10]]&lt;=H$434,H$434,IF(Tabell2[[#This Row],[Sysselsettingsvekst10]]&gt;=H$435,H$435,Tabell2[[#This Row],[Sysselsettingsvekst10]]))</f>
        <v>0.22978227060653178</v>
      </c>
      <c r="R179" s="51">
        <f>IF(Tabell2[[#This Row],[Yrkesaktivandel]]&lt;=I$434,I$434,IF(Tabell2[[#This Row],[Yrkesaktivandel]]&gt;=I$435,I$435,Tabell2[[#This Row],[Yrkesaktivandel]]))</f>
        <v>0.83918356139307126</v>
      </c>
      <c r="S179" s="52">
        <f>IF(Tabell2[[#This Row],[Inntekt]]&lt;=J$434,J$434,IF(Tabell2[[#This Row],[Inntekt]]&gt;=J$435,J$435,Tabell2[[#This Row],[Inntekt]]))</f>
        <v>391600</v>
      </c>
      <c r="T179" s="9">
        <f>IF(Tabell2[[#This Row],[NIBR11-T]]&lt;=K$437,100,IF(Tabell2[[#This Row],[NIBR11-T]]&gt;=K$436,0,100*(K$436-Tabell2[[#This Row],[NIBR11-T]])/K$439))</f>
        <v>70</v>
      </c>
      <c r="U179" s="9">
        <f>(L$436-Tabell2[[#This Row],[ReisetidOslo-T]])*100/L$439</f>
        <v>51.199391036648613</v>
      </c>
      <c r="V179" s="9">
        <f>100-(M$436-Tabell2[[#This Row],[Beftettotal-T]])*100/M$439</f>
        <v>100</v>
      </c>
      <c r="W179" s="9">
        <f>100-(N$436-Tabell2[[#This Row],[Befvekst10-T]])*100/N$439</f>
        <v>93.825592928666111</v>
      </c>
      <c r="X179" s="9">
        <f>100-(O$436-Tabell2[[#This Row],[Kvinneandel-T]])*100/O$439</f>
        <v>100</v>
      </c>
      <c r="Y179" s="9">
        <f>(P$436-Tabell2[[#This Row],[Eldreandel-T]])*100/P$439</f>
        <v>90.177506869903524</v>
      </c>
      <c r="Z179" s="9">
        <f>100-(Q$436-Tabell2[[#This Row],[Sysselsettingsvekst10-T]])*100/Q$439</f>
        <v>95.801795171281256</v>
      </c>
      <c r="AA179" s="9">
        <f>100-(R$436-Tabell2[[#This Row],[Yrkesaktivandel-T]])*100/R$439</f>
        <v>8.3105134875309687</v>
      </c>
      <c r="AB179" s="9">
        <f>100-(S$436-Tabell2[[#This Row],[Inntekt-T]])*100/S$439</f>
        <v>89.437947944172009</v>
      </c>
      <c r="AC179" s="48">
        <f>Tabell2[[#This Row],[NIBR11-I]]*Vekter!$B$3</f>
        <v>14</v>
      </c>
      <c r="AD179" s="48">
        <f>Tabell2[[#This Row],[ReisetidOslo-I]]*Vekter!$C$3</f>
        <v>5.119939103664862</v>
      </c>
      <c r="AE179" s="48">
        <f>Tabell2[[#This Row],[Beftettotal-I]]*Vekter!$D$3</f>
        <v>10</v>
      </c>
      <c r="AF179" s="48">
        <f>Tabell2[[#This Row],[Befvekst10-I]]*Vekter!$E$3</f>
        <v>18.765118585733223</v>
      </c>
      <c r="AG179" s="48">
        <f>Tabell2[[#This Row],[Kvinneandel-I]]*Vekter!$F$3</f>
        <v>5</v>
      </c>
      <c r="AH179" s="48">
        <f>Tabell2[[#This Row],[Eldreandel-I]]*Vekter!$G$3</f>
        <v>4.508875343495176</v>
      </c>
      <c r="AI179" s="48">
        <f>Tabell2[[#This Row],[Sysselsettingsvekst10-I]]*Vekter!$H$3</f>
        <v>9.5801795171281263</v>
      </c>
      <c r="AJ179" s="48">
        <f>Tabell2[[#This Row],[Yrkesaktivandel-I]]*Vekter!$J$3</f>
        <v>0.83105134875309694</v>
      </c>
      <c r="AK179" s="48">
        <f>Tabell2[[#This Row],[Inntekt-I]]*Vekter!$L$3</f>
        <v>8.9437947944172009</v>
      </c>
      <c r="AL179" s="37">
        <f>SUM(Tabell2[[#This Row],[NIBR11-v]:[Inntekt-v]])</f>
        <v>76.748958693191682</v>
      </c>
    </row>
    <row r="180" spans="1:38">
      <c r="A180" s="2" t="s">
        <v>177</v>
      </c>
      <c r="B180">
        <f>'Rådata-K'!M179</f>
        <v>5</v>
      </c>
      <c r="C180" s="9">
        <f>'Rådata-K'!L179</f>
        <v>227.12412678430002</v>
      </c>
      <c r="D180" s="51">
        <f>'Rådata-K'!N179</f>
        <v>11.197748923619352</v>
      </c>
      <c r="E180" s="51">
        <f>'Rådata-K'!O179</f>
        <v>-5.1204819277108626E-3</v>
      </c>
      <c r="F180" s="51">
        <f>'Rådata-K'!P179</f>
        <v>0.11504692703602785</v>
      </c>
      <c r="G180" s="51">
        <f>'Rådata-K'!Q179</f>
        <v>0.16076294277929154</v>
      </c>
      <c r="H180" s="51">
        <f>'Rådata-K'!R179</f>
        <v>0.11297852474323067</v>
      </c>
      <c r="I180" s="51">
        <f>'Rådata-K'!S179</f>
        <v>0.89978094194961666</v>
      </c>
      <c r="J180" s="52">
        <f>'Rådata-K'!K179</f>
        <v>373100</v>
      </c>
      <c r="K180" s="26">
        <f>Tabell2[[#This Row],[NIBR11]]</f>
        <v>5</v>
      </c>
      <c r="L180" s="52">
        <f>IF(Tabell2[[#This Row],[ReisetidOslo]]&lt;=C$434,C$434,IF(Tabell2[[#This Row],[ReisetidOslo]]&gt;=C$435,C$435,Tabell2[[#This Row],[ReisetidOslo]]))</f>
        <v>227.12412678430002</v>
      </c>
      <c r="M180" s="51">
        <f>IF(Tabell2[[#This Row],[Beftettotal]]&lt;=D$434,D$434,IF(Tabell2[[#This Row],[Beftettotal]]&gt;=D$435,D$435,Tabell2[[#This Row],[Beftettotal]]))</f>
        <v>11.197748923619352</v>
      </c>
      <c r="N180" s="51">
        <f>IF(Tabell2[[#This Row],[Befvekst10]]&lt;=E$434,E$434,IF(Tabell2[[#This Row],[Befvekst10]]&gt;=E$435,E$435,Tabell2[[#This Row],[Befvekst10]]))</f>
        <v>-5.1204819277108626E-3</v>
      </c>
      <c r="O180" s="51">
        <f>IF(Tabell2[[#This Row],[Kvinneandel]]&lt;=F$434,F$434,IF(Tabell2[[#This Row],[Kvinneandel]]&gt;=F$435,F$435,Tabell2[[#This Row],[Kvinneandel]]))</f>
        <v>0.11504692703602785</v>
      </c>
      <c r="P180" s="51">
        <f>IF(Tabell2[[#This Row],[Eldreandel]]&lt;=G$434,G$434,IF(Tabell2[[#This Row],[Eldreandel]]&gt;=G$435,G$435,Tabell2[[#This Row],[Eldreandel]]))</f>
        <v>0.16076294277929154</v>
      </c>
      <c r="Q180" s="51">
        <f>IF(Tabell2[[#This Row],[Sysselsettingsvekst10]]&lt;=H$434,H$434,IF(Tabell2[[#This Row],[Sysselsettingsvekst10]]&gt;=H$435,H$435,Tabell2[[#This Row],[Sysselsettingsvekst10]]))</f>
        <v>0.11297852474323067</v>
      </c>
      <c r="R180" s="51">
        <f>IF(Tabell2[[#This Row],[Yrkesaktivandel]]&lt;=I$434,I$434,IF(Tabell2[[#This Row],[Yrkesaktivandel]]&gt;=I$435,I$435,Tabell2[[#This Row],[Yrkesaktivandel]]))</f>
        <v>0.89978094194961666</v>
      </c>
      <c r="S180" s="52">
        <f>IF(Tabell2[[#This Row],[Inntekt]]&lt;=J$434,J$434,IF(Tabell2[[#This Row],[Inntekt]]&gt;=J$435,J$435,Tabell2[[#This Row],[Inntekt]]))</f>
        <v>373100</v>
      </c>
      <c r="T180" s="9">
        <f>IF(Tabell2[[#This Row],[NIBR11-T]]&lt;=K$437,100,IF(Tabell2[[#This Row],[NIBR11-T]]&gt;=K$436,0,100*(K$436-Tabell2[[#This Row],[NIBR11-T]])/K$439))</f>
        <v>60</v>
      </c>
      <c r="U180" s="9">
        <f>(L$436-Tabell2[[#This Row],[ReisetidOslo-T]])*100/L$439</f>
        <v>23.054997406517622</v>
      </c>
      <c r="V180" s="9">
        <f>100-(M$436-Tabell2[[#This Row],[Beftettotal-T]])*100/M$439</f>
        <v>7.7647882290900014</v>
      </c>
      <c r="W180" s="9">
        <f>100-(N$436-Tabell2[[#This Row],[Befvekst10-T]])*100/N$439</f>
        <v>30.61842975576144</v>
      </c>
      <c r="X180" s="9">
        <f>100-(O$436-Tabell2[[#This Row],[Kvinneandel-T]])*100/O$439</f>
        <v>65.64535232894309</v>
      </c>
      <c r="Y180" s="9">
        <f>(P$436-Tabell2[[#This Row],[Eldreandel-T]])*100/P$439</f>
        <v>53.892836098220712</v>
      </c>
      <c r="Z180" s="9">
        <f>100-(Q$436-Tabell2[[#This Row],[Sysselsettingsvekst10-T]])*100/Q$439</f>
        <v>58.311160453382691</v>
      </c>
      <c r="AA180" s="9">
        <f>100-(R$436-Tabell2[[#This Row],[Yrkesaktivandel-T]])*100/R$439</f>
        <v>53.484390549752945</v>
      </c>
      <c r="AB180" s="9">
        <f>100-(S$436-Tabell2[[#This Row],[Inntekt-T]])*100/S$439</f>
        <v>66.176285678360358</v>
      </c>
      <c r="AC180" s="48">
        <f>Tabell2[[#This Row],[NIBR11-I]]*Vekter!$B$3</f>
        <v>12</v>
      </c>
      <c r="AD180" s="48">
        <f>Tabell2[[#This Row],[ReisetidOslo-I]]*Vekter!$C$3</f>
        <v>2.3054997406517623</v>
      </c>
      <c r="AE180" s="48">
        <f>Tabell2[[#This Row],[Beftettotal-I]]*Vekter!$D$3</f>
        <v>0.77647882290900017</v>
      </c>
      <c r="AF180" s="48">
        <f>Tabell2[[#This Row],[Befvekst10-I]]*Vekter!$E$3</f>
        <v>6.1236859511522885</v>
      </c>
      <c r="AG180" s="48">
        <f>Tabell2[[#This Row],[Kvinneandel-I]]*Vekter!$F$3</f>
        <v>3.2822676164471547</v>
      </c>
      <c r="AH180" s="48">
        <f>Tabell2[[#This Row],[Eldreandel-I]]*Vekter!$G$3</f>
        <v>2.6946418049110359</v>
      </c>
      <c r="AI180" s="48">
        <f>Tabell2[[#This Row],[Sysselsettingsvekst10-I]]*Vekter!$H$3</f>
        <v>5.8311160453382698</v>
      </c>
      <c r="AJ180" s="48">
        <f>Tabell2[[#This Row],[Yrkesaktivandel-I]]*Vekter!$J$3</f>
        <v>5.3484390549752945</v>
      </c>
      <c r="AK180" s="48">
        <f>Tabell2[[#This Row],[Inntekt-I]]*Vekter!$L$3</f>
        <v>6.6176285678360358</v>
      </c>
      <c r="AL180" s="37">
        <f>SUM(Tabell2[[#This Row],[NIBR11-v]:[Inntekt-v]])</f>
        <v>44.979757604220843</v>
      </c>
    </row>
    <row r="181" spans="1:38">
      <c r="A181" s="2" t="s">
        <v>178</v>
      </c>
      <c r="B181">
        <f>'Rådata-K'!M180</f>
        <v>6</v>
      </c>
      <c r="C181" s="9">
        <f>'Rådata-K'!L180</f>
        <v>232.28126672689999</v>
      </c>
      <c r="D181" s="51">
        <f>'Rådata-K'!N180</f>
        <v>7.896283237843396</v>
      </c>
      <c r="E181" s="51">
        <f>'Rådata-K'!O180</f>
        <v>3.8647342995169032E-2</v>
      </c>
      <c r="F181" s="51">
        <f>'Rådata-K'!P180</f>
        <v>0.1144186046511628</v>
      </c>
      <c r="G181" s="51">
        <f>'Rådata-K'!Q180</f>
        <v>0.14046511627906977</v>
      </c>
      <c r="H181" s="51">
        <f>'Rådata-K'!R180</f>
        <v>-6.8446269678302807E-3</v>
      </c>
      <c r="I181" s="51">
        <f>'Rådata-K'!S180</f>
        <v>0.92656950672645744</v>
      </c>
      <c r="J181" s="52">
        <f>'Rådata-K'!K180</f>
        <v>353100</v>
      </c>
      <c r="K181" s="26">
        <f>Tabell2[[#This Row],[NIBR11]]</f>
        <v>6</v>
      </c>
      <c r="L181" s="52">
        <f>IF(Tabell2[[#This Row],[ReisetidOslo]]&lt;=C$434,C$434,IF(Tabell2[[#This Row],[ReisetidOslo]]&gt;=C$435,C$435,Tabell2[[#This Row],[ReisetidOslo]]))</f>
        <v>232.28126672689999</v>
      </c>
      <c r="M181" s="51">
        <f>IF(Tabell2[[#This Row],[Beftettotal]]&lt;=D$434,D$434,IF(Tabell2[[#This Row],[Beftettotal]]&gt;=D$435,D$435,Tabell2[[#This Row],[Beftettotal]]))</f>
        <v>7.896283237843396</v>
      </c>
      <c r="N181" s="51">
        <f>IF(Tabell2[[#This Row],[Befvekst10]]&lt;=E$434,E$434,IF(Tabell2[[#This Row],[Befvekst10]]&gt;=E$435,E$435,Tabell2[[#This Row],[Befvekst10]]))</f>
        <v>3.8647342995169032E-2</v>
      </c>
      <c r="O181" s="51">
        <f>IF(Tabell2[[#This Row],[Kvinneandel]]&lt;=F$434,F$434,IF(Tabell2[[#This Row],[Kvinneandel]]&gt;=F$435,F$435,Tabell2[[#This Row],[Kvinneandel]]))</f>
        <v>0.1144186046511628</v>
      </c>
      <c r="P181" s="51">
        <f>IF(Tabell2[[#This Row],[Eldreandel]]&lt;=G$434,G$434,IF(Tabell2[[#This Row],[Eldreandel]]&gt;=G$435,G$435,Tabell2[[#This Row],[Eldreandel]]))</f>
        <v>0.14046511627906977</v>
      </c>
      <c r="Q181" s="51">
        <f>IF(Tabell2[[#This Row],[Sysselsettingsvekst10]]&lt;=H$434,H$434,IF(Tabell2[[#This Row],[Sysselsettingsvekst10]]&gt;=H$435,H$435,Tabell2[[#This Row],[Sysselsettingsvekst10]]))</f>
        <v>-6.8446269678302807E-3</v>
      </c>
      <c r="R181" s="51">
        <f>IF(Tabell2[[#This Row],[Yrkesaktivandel]]&lt;=I$434,I$434,IF(Tabell2[[#This Row],[Yrkesaktivandel]]&gt;=I$435,I$435,Tabell2[[#This Row],[Yrkesaktivandel]]))</f>
        <v>0.92656950672645744</v>
      </c>
      <c r="S181" s="52">
        <f>IF(Tabell2[[#This Row],[Inntekt]]&lt;=J$434,J$434,IF(Tabell2[[#This Row],[Inntekt]]&gt;=J$435,J$435,Tabell2[[#This Row],[Inntekt]]))</f>
        <v>353100</v>
      </c>
      <c r="T181" s="9">
        <f>IF(Tabell2[[#This Row],[NIBR11-T]]&lt;=K$437,100,IF(Tabell2[[#This Row],[NIBR11-T]]&gt;=K$436,0,100*(K$436-Tabell2[[#This Row],[NIBR11-T]])/K$439))</f>
        <v>50</v>
      </c>
      <c r="U181" s="9">
        <f>(L$436-Tabell2[[#This Row],[ReisetidOslo-T]])*100/L$439</f>
        <v>20.765482076742593</v>
      </c>
      <c r="V181" s="9">
        <f>100-(M$436-Tabell2[[#This Row],[Beftettotal-T]])*100/M$439</f>
        <v>5.1643490958266085</v>
      </c>
      <c r="W181" s="9">
        <f>100-(N$436-Tabell2[[#This Row],[Befvekst10-T]])*100/N$439</f>
        <v>48.3293308014579</v>
      </c>
      <c r="X181" s="9">
        <f>100-(O$436-Tabell2[[#This Row],[Kvinneandel-T]])*100/O$439</f>
        <v>63.981116219061548</v>
      </c>
      <c r="Y181" s="9">
        <f>(P$436-Tabell2[[#This Row],[Eldreandel-T]])*100/P$439</f>
        <v>76.904207167856129</v>
      </c>
      <c r="Z181" s="9">
        <f>100-(Q$436-Tabell2[[#This Row],[Sysselsettingsvekst10-T]])*100/Q$439</f>
        <v>19.851383514343965</v>
      </c>
      <c r="AA181" s="9">
        <f>100-(R$436-Tabell2[[#This Row],[Yrkesaktivandel-T]])*100/R$439</f>
        <v>73.454615678100708</v>
      </c>
      <c r="AB181" s="9">
        <f>100-(S$436-Tabell2[[#This Row],[Inntekt-T]])*100/S$439</f>
        <v>41.028542688293726</v>
      </c>
      <c r="AC181" s="48">
        <f>Tabell2[[#This Row],[NIBR11-I]]*Vekter!$B$3</f>
        <v>10</v>
      </c>
      <c r="AD181" s="48">
        <f>Tabell2[[#This Row],[ReisetidOslo-I]]*Vekter!$C$3</f>
        <v>2.0765482076742594</v>
      </c>
      <c r="AE181" s="48">
        <f>Tabell2[[#This Row],[Beftettotal-I]]*Vekter!$D$3</f>
        <v>0.51643490958266092</v>
      </c>
      <c r="AF181" s="48">
        <f>Tabell2[[#This Row],[Befvekst10-I]]*Vekter!$E$3</f>
        <v>9.6658661602915803</v>
      </c>
      <c r="AG181" s="48">
        <f>Tabell2[[#This Row],[Kvinneandel-I]]*Vekter!$F$3</f>
        <v>3.1990558109530776</v>
      </c>
      <c r="AH181" s="48">
        <f>Tabell2[[#This Row],[Eldreandel-I]]*Vekter!$G$3</f>
        <v>3.8452103583928068</v>
      </c>
      <c r="AI181" s="48">
        <f>Tabell2[[#This Row],[Sysselsettingsvekst10-I]]*Vekter!$H$3</f>
        <v>1.9851383514343965</v>
      </c>
      <c r="AJ181" s="48">
        <f>Tabell2[[#This Row],[Yrkesaktivandel-I]]*Vekter!$J$3</f>
        <v>7.3454615678100712</v>
      </c>
      <c r="AK181" s="48">
        <f>Tabell2[[#This Row],[Inntekt-I]]*Vekter!$L$3</f>
        <v>4.1028542688293728</v>
      </c>
      <c r="AL181" s="37">
        <f>SUM(Tabell2[[#This Row],[NIBR11-v]:[Inntekt-v]])</f>
        <v>42.736569634968227</v>
      </c>
    </row>
    <row r="182" spans="1:38">
      <c r="A182" s="2" t="s">
        <v>179</v>
      </c>
      <c r="B182">
        <f>'Rådata-K'!M181</f>
        <v>2</v>
      </c>
      <c r="C182" s="9">
        <f>'Rådata-K'!L181</f>
        <v>191.23009832079998</v>
      </c>
      <c r="D182" s="51">
        <f>'Rådata-K'!N181</f>
        <v>4.3347270044269557</v>
      </c>
      <c r="E182" s="51">
        <f>'Rådata-K'!O181</f>
        <v>0.14587566030069077</v>
      </c>
      <c r="F182" s="51">
        <f>'Rådata-K'!P181</f>
        <v>0.13404255319148936</v>
      </c>
      <c r="G182" s="51">
        <f>'Rådata-K'!Q181</f>
        <v>0.11170212765957446</v>
      </c>
      <c r="H182" s="51">
        <f>'Rådata-K'!R181</f>
        <v>9.578544061302674E-2</v>
      </c>
      <c r="I182" s="51">
        <f>'Rådata-K'!S181</f>
        <v>0.9785276073619632</v>
      </c>
      <c r="J182" s="52">
        <f>'Rådata-K'!K181</f>
        <v>397100</v>
      </c>
      <c r="K182" s="26">
        <f>Tabell2[[#This Row],[NIBR11]]</f>
        <v>2</v>
      </c>
      <c r="L182" s="52">
        <f>IF(Tabell2[[#This Row],[ReisetidOslo]]&lt;=C$434,C$434,IF(Tabell2[[#This Row],[ReisetidOslo]]&gt;=C$435,C$435,Tabell2[[#This Row],[ReisetidOslo]]))</f>
        <v>191.23009832079998</v>
      </c>
      <c r="M182" s="51">
        <f>IF(Tabell2[[#This Row],[Beftettotal]]&lt;=D$434,D$434,IF(Tabell2[[#This Row],[Beftettotal]]&gt;=D$435,D$435,Tabell2[[#This Row],[Beftettotal]]))</f>
        <v>4.3347270044269557</v>
      </c>
      <c r="N182" s="51">
        <f>IF(Tabell2[[#This Row],[Befvekst10]]&lt;=E$434,E$434,IF(Tabell2[[#This Row],[Befvekst10]]&gt;=E$435,E$435,Tabell2[[#This Row],[Befvekst10]]))</f>
        <v>0.14587566030069077</v>
      </c>
      <c r="O182" s="51">
        <f>IF(Tabell2[[#This Row],[Kvinneandel]]&lt;=F$434,F$434,IF(Tabell2[[#This Row],[Kvinneandel]]&gt;=F$435,F$435,Tabell2[[#This Row],[Kvinneandel]]))</f>
        <v>0.12801731869362362</v>
      </c>
      <c r="P182" s="51">
        <f>IF(Tabell2[[#This Row],[Eldreandel]]&lt;=G$434,G$434,IF(Tabell2[[#This Row],[Eldreandel]]&gt;=G$435,G$435,Tabell2[[#This Row],[Eldreandel]]))</f>
        <v>0.1200928231908705</v>
      </c>
      <c r="Q182" s="51">
        <f>IF(Tabell2[[#This Row],[Sysselsettingsvekst10]]&lt;=H$434,H$434,IF(Tabell2[[#This Row],[Sysselsettingsvekst10]]&gt;=H$435,H$435,Tabell2[[#This Row],[Sysselsettingsvekst10]]))</f>
        <v>9.578544061302674E-2</v>
      </c>
      <c r="R182" s="51">
        <f>IF(Tabell2[[#This Row],[Yrkesaktivandel]]&lt;=I$434,I$434,IF(Tabell2[[#This Row],[Yrkesaktivandel]]&gt;=I$435,I$435,Tabell2[[#This Row],[Yrkesaktivandel]]))</f>
        <v>0.96217815624658265</v>
      </c>
      <c r="S182" s="52">
        <f>IF(Tabell2[[#This Row],[Inntekt]]&lt;=J$434,J$434,IF(Tabell2[[#This Row],[Inntekt]]&gt;=J$435,J$435,Tabell2[[#This Row],[Inntekt]]))</f>
        <v>397100</v>
      </c>
      <c r="T182" s="9">
        <f>IF(Tabell2[[#This Row],[NIBR11-T]]&lt;=K$437,100,IF(Tabell2[[#This Row],[NIBR11-T]]&gt;=K$436,0,100*(K$436-Tabell2[[#This Row],[NIBR11-T]])/K$439))</f>
        <v>90</v>
      </c>
      <c r="U182" s="9">
        <f>(L$436-Tabell2[[#This Row],[ReisetidOslo-T]])*100/L$439</f>
        <v>38.990172586800497</v>
      </c>
      <c r="V182" s="9">
        <f>100-(M$436-Tabell2[[#This Row],[Beftettotal-T]])*100/M$439</f>
        <v>2.3590465162489949</v>
      </c>
      <c r="W182" s="9">
        <f>100-(N$436-Tabell2[[#This Row],[Befvekst10-T]])*100/N$439</f>
        <v>91.71988357489181</v>
      </c>
      <c r="X182" s="9">
        <f>100-(O$436-Tabell2[[#This Row],[Kvinneandel-T]])*100/O$439</f>
        <v>100</v>
      </c>
      <c r="Y182" s="9">
        <f>(P$436-Tabell2[[#This Row],[Eldreandel-T]])*100/P$439</f>
        <v>100.00000000000001</v>
      </c>
      <c r="Z182" s="9">
        <f>100-(Q$436-Tabell2[[#This Row],[Sysselsettingsvekst10-T]])*100/Q$439</f>
        <v>52.792676161329723</v>
      </c>
      <c r="AA182" s="9">
        <f>100-(R$436-Tabell2[[#This Row],[Yrkesaktivandel-T]])*100/R$439</f>
        <v>100</v>
      </c>
      <c r="AB182" s="9">
        <f>100-(S$436-Tabell2[[#This Row],[Inntekt-T]])*100/S$439</f>
        <v>96.35357726644034</v>
      </c>
      <c r="AC182" s="48">
        <f>Tabell2[[#This Row],[NIBR11-I]]*Vekter!$B$3</f>
        <v>18</v>
      </c>
      <c r="AD182" s="48">
        <f>Tabell2[[#This Row],[ReisetidOslo-I]]*Vekter!$C$3</f>
        <v>3.89901725868005</v>
      </c>
      <c r="AE182" s="48">
        <f>Tabell2[[#This Row],[Beftettotal-I]]*Vekter!$D$3</f>
        <v>0.23590465162489949</v>
      </c>
      <c r="AF182" s="48">
        <f>Tabell2[[#This Row],[Befvekst10-I]]*Vekter!$E$3</f>
        <v>18.343976714978364</v>
      </c>
      <c r="AG182" s="48">
        <f>Tabell2[[#This Row],[Kvinneandel-I]]*Vekter!$F$3</f>
        <v>5</v>
      </c>
      <c r="AH182" s="48">
        <f>Tabell2[[#This Row],[Eldreandel-I]]*Vekter!$G$3</f>
        <v>5.0000000000000009</v>
      </c>
      <c r="AI182" s="48">
        <f>Tabell2[[#This Row],[Sysselsettingsvekst10-I]]*Vekter!$H$3</f>
        <v>5.279267616132973</v>
      </c>
      <c r="AJ182" s="48">
        <f>Tabell2[[#This Row],[Yrkesaktivandel-I]]*Vekter!$J$3</f>
        <v>10</v>
      </c>
      <c r="AK182" s="48">
        <f>Tabell2[[#This Row],[Inntekt-I]]*Vekter!$L$3</f>
        <v>9.6353577266440347</v>
      </c>
      <c r="AL182" s="37">
        <f>SUM(Tabell2[[#This Row],[NIBR11-v]:[Inntekt-v]])</f>
        <v>75.393523968060322</v>
      </c>
    </row>
    <row r="183" spans="1:38">
      <c r="A183" s="2" t="s">
        <v>180</v>
      </c>
      <c r="B183">
        <f>'Rådata-K'!M182</f>
        <v>2</v>
      </c>
      <c r="C183" s="9">
        <f>'Rådata-K'!L182</f>
        <v>186.00411608580001</v>
      </c>
      <c r="D183" s="51">
        <f>'Rådata-K'!N182</f>
        <v>70.215899841079107</v>
      </c>
      <c r="E183" s="51">
        <f>'Rådata-K'!O182</f>
        <v>0.24330816746739869</v>
      </c>
      <c r="F183" s="51">
        <f>'Rådata-K'!P182</f>
        <v>0.13701352470328457</v>
      </c>
      <c r="G183" s="51">
        <f>'Rådata-K'!Q182</f>
        <v>0.10345017940932928</v>
      </c>
      <c r="H183" s="51">
        <f>'Rådata-K'!R182</f>
        <v>0.24640723397384146</v>
      </c>
      <c r="I183" s="51">
        <f>'Rådata-K'!S182</f>
        <v>0.95833730574887976</v>
      </c>
      <c r="J183" s="52">
        <f>'Rådata-K'!K182</f>
        <v>399600</v>
      </c>
      <c r="K183" s="26">
        <f>Tabell2[[#This Row],[NIBR11]]</f>
        <v>2</v>
      </c>
      <c r="L183" s="52">
        <f>IF(Tabell2[[#This Row],[ReisetidOslo]]&lt;=C$434,C$434,IF(Tabell2[[#This Row],[ReisetidOslo]]&gt;=C$435,C$435,Tabell2[[#This Row],[ReisetidOslo]]))</f>
        <v>186.00411608580001</v>
      </c>
      <c r="M183" s="51">
        <f>IF(Tabell2[[#This Row],[Beftettotal]]&lt;=D$434,D$434,IF(Tabell2[[#This Row],[Beftettotal]]&gt;=D$435,D$435,Tabell2[[#This Row],[Beftettotal]]))</f>
        <v>70.215899841079107</v>
      </c>
      <c r="N183" s="51">
        <f>IF(Tabell2[[#This Row],[Befvekst10]]&lt;=E$434,E$434,IF(Tabell2[[#This Row],[Befvekst10]]&gt;=E$435,E$435,Tabell2[[#This Row],[Befvekst10]]))</f>
        <v>0.16633778614624492</v>
      </c>
      <c r="O183" s="51">
        <f>IF(Tabell2[[#This Row],[Kvinneandel]]&lt;=F$434,F$434,IF(Tabell2[[#This Row],[Kvinneandel]]&gt;=F$435,F$435,Tabell2[[#This Row],[Kvinneandel]]))</f>
        <v>0.12801731869362362</v>
      </c>
      <c r="P183" s="51">
        <f>IF(Tabell2[[#This Row],[Eldreandel]]&lt;=G$434,G$434,IF(Tabell2[[#This Row],[Eldreandel]]&gt;=G$435,G$435,Tabell2[[#This Row],[Eldreandel]]))</f>
        <v>0.1200928231908705</v>
      </c>
      <c r="Q183" s="51">
        <f>IF(Tabell2[[#This Row],[Sysselsettingsvekst10]]&lt;=H$434,H$434,IF(Tabell2[[#This Row],[Sysselsettingsvekst10]]&gt;=H$435,H$435,Tabell2[[#This Row],[Sysselsettingsvekst10]]))</f>
        <v>0.24286196513786068</v>
      </c>
      <c r="R183" s="51">
        <f>IF(Tabell2[[#This Row],[Yrkesaktivandel]]&lt;=I$434,I$434,IF(Tabell2[[#This Row],[Yrkesaktivandel]]&gt;=I$435,I$435,Tabell2[[#This Row],[Yrkesaktivandel]]))</f>
        <v>0.95833730574887976</v>
      </c>
      <c r="S183" s="52">
        <f>IF(Tabell2[[#This Row],[Inntekt]]&lt;=J$434,J$434,IF(Tabell2[[#This Row],[Inntekt]]&gt;=J$435,J$435,Tabell2[[#This Row],[Inntekt]]))</f>
        <v>399600</v>
      </c>
      <c r="T183" s="9">
        <f>IF(Tabell2[[#This Row],[NIBR11-T]]&lt;=K$437,100,IF(Tabell2[[#This Row],[NIBR11-T]]&gt;=K$436,0,100*(K$436-Tabell2[[#This Row],[NIBR11-T]])/K$439))</f>
        <v>90</v>
      </c>
      <c r="U183" s="9">
        <f>(L$436-Tabell2[[#This Row],[ReisetidOslo-T]])*100/L$439</f>
        <v>41.310250493030878</v>
      </c>
      <c r="V183" s="9">
        <f>100-(M$436-Tabell2[[#This Row],[Beftettotal-T]])*100/M$439</f>
        <v>54.251144237522986</v>
      </c>
      <c r="W183" s="9">
        <f>100-(N$436-Tabell2[[#This Row],[Befvekst10-T]])*100/N$439</f>
        <v>100</v>
      </c>
      <c r="X183" s="9">
        <f>100-(O$436-Tabell2[[#This Row],[Kvinneandel-T]])*100/O$439</f>
        <v>100</v>
      </c>
      <c r="Y183" s="9">
        <f>(P$436-Tabell2[[#This Row],[Eldreandel-T]])*100/P$439</f>
        <v>100.00000000000001</v>
      </c>
      <c r="Z183" s="9">
        <f>100-(Q$436-Tabell2[[#This Row],[Sysselsettingsvekst10-T]])*100/Q$439</f>
        <v>100</v>
      </c>
      <c r="AA183" s="9">
        <f>100-(R$436-Tabell2[[#This Row],[Yrkesaktivandel-T]])*100/R$439</f>
        <v>97.13673913617933</v>
      </c>
      <c r="AB183" s="9">
        <f>100-(S$436-Tabell2[[#This Row],[Inntekt-T]])*100/S$439</f>
        <v>99.497045140198665</v>
      </c>
      <c r="AC183" s="48">
        <f>Tabell2[[#This Row],[NIBR11-I]]*Vekter!$B$3</f>
        <v>18</v>
      </c>
      <c r="AD183" s="48">
        <f>Tabell2[[#This Row],[ReisetidOslo-I]]*Vekter!$C$3</f>
        <v>4.131025049303088</v>
      </c>
      <c r="AE183" s="48">
        <f>Tabell2[[#This Row],[Beftettotal-I]]*Vekter!$D$3</f>
        <v>5.4251144237522988</v>
      </c>
      <c r="AF183" s="48">
        <f>Tabell2[[#This Row],[Befvekst10-I]]*Vekter!$E$3</f>
        <v>20</v>
      </c>
      <c r="AG183" s="48">
        <f>Tabell2[[#This Row],[Kvinneandel-I]]*Vekter!$F$3</f>
        <v>5</v>
      </c>
      <c r="AH183" s="48">
        <f>Tabell2[[#This Row],[Eldreandel-I]]*Vekter!$G$3</f>
        <v>5.0000000000000009</v>
      </c>
      <c r="AI183" s="48">
        <f>Tabell2[[#This Row],[Sysselsettingsvekst10-I]]*Vekter!$H$3</f>
        <v>10</v>
      </c>
      <c r="AJ183" s="48">
        <f>Tabell2[[#This Row],[Yrkesaktivandel-I]]*Vekter!$J$3</f>
        <v>9.7136739136179333</v>
      </c>
      <c r="AK183" s="48">
        <f>Tabell2[[#This Row],[Inntekt-I]]*Vekter!$L$3</f>
        <v>9.9497045140198672</v>
      </c>
      <c r="AL183" s="37">
        <f>SUM(Tabell2[[#This Row],[NIBR11-v]:[Inntekt-v]])</f>
        <v>87.219517900693191</v>
      </c>
    </row>
    <row r="184" spans="1:38">
      <c r="A184" s="2" t="s">
        <v>181</v>
      </c>
      <c r="B184">
        <f>'Rådata-K'!M183</f>
        <v>2</v>
      </c>
      <c r="C184" s="9">
        <f>'Rådata-K'!L183</f>
        <v>168.0772505681</v>
      </c>
      <c r="D184" s="51">
        <f>'Rådata-K'!N183</f>
        <v>162.8777865891268</v>
      </c>
      <c r="E184" s="51">
        <f>'Rådata-K'!O183</f>
        <v>0.29148326696010618</v>
      </c>
      <c r="F184" s="51">
        <f>'Rådata-K'!P183</f>
        <v>0.13708412226129293</v>
      </c>
      <c r="G184" s="51">
        <f>'Rådata-K'!Q183</f>
        <v>9.8350013524479307E-2</v>
      </c>
      <c r="H184" s="51">
        <f>'Rådata-K'!R183</f>
        <v>0.48785912882298432</v>
      </c>
      <c r="I184" s="51">
        <f>'Rådata-K'!S183</f>
        <v>0.95925202344404126</v>
      </c>
      <c r="J184" s="52">
        <f>'Rådata-K'!K183</f>
        <v>428300</v>
      </c>
      <c r="K184" s="26">
        <f>Tabell2[[#This Row],[NIBR11]]</f>
        <v>2</v>
      </c>
      <c r="L184" s="52">
        <f>IF(Tabell2[[#This Row],[ReisetidOslo]]&lt;=C$434,C$434,IF(Tabell2[[#This Row],[ReisetidOslo]]&gt;=C$435,C$435,Tabell2[[#This Row],[ReisetidOslo]]))</f>
        <v>168.0772505681</v>
      </c>
      <c r="M184" s="51">
        <f>IF(Tabell2[[#This Row],[Beftettotal]]&lt;=D$434,D$434,IF(Tabell2[[#This Row],[Beftettotal]]&gt;=D$435,D$435,Tabell2[[#This Row],[Beftettotal]]))</f>
        <v>128.29773514779066</v>
      </c>
      <c r="N184" s="51">
        <f>IF(Tabell2[[#This Row],[Befvekst10]]&lt;=E$434,E$434,IF(Tabell2[[#This Row],[Befvekst10]]&gt;=E$435,E$435,Tabell2[[#This Row],[Befvekst10]]))</f>
        <v>0.16633778614624492</v>
      </c>
      <c r="O184" s="51">
        <f>IF(Tabell2[[#This Row],[Kvinneandel]]&lt;=F$434,F$434,IF(Tabell2[[#This Row],[Kvinneandel]]&gt;=F$435,F$435,Tabell2[[#This Row],[Kvinneandel]]))</f>
        <v>0.12801731869362362</v>
      </c>
      <c r="P184" s="51">
        <f>IF(Tabell2[[#This Row],[Eldreandel]]&lt;=G$434,G$434,IF(Tabell2[[#This Row],[Eldreandel]]&gt;=G$435,G$435,Tabell2[[#This Row],[Eldreandel]]))</f>
        <v>0.1200928231908705</v>
      </c>
      <c r="Q184" s="51">
        <f>IF(Tabell2[[#This Row],[Sysselsettingsvekst10]]&lt;=H$434,H$434,IF(Tabell2[[#This Row],[Sysselsettingsvekst10]]&gt;=H$435,H$435,Tabell2[[#This Row],[Sysselsettingsvekst10]]))</f>
        <v>0.24286196513786068</v>
      </c>
      <c r="R184" s="51">
        <f>IF(Tabell2[[#This Row],[Yrkesaktivandel]]&lt;=I$434,I$434,IF(Tabell2[[#This Row],[Yrkesaktivandel]]&gt;=I$435,I$435,Tabell2[[#This Row],[Yrkesaktivandel]]))</f>
        <v>0.95925202344404126</v>
      </c>
      <c r="S184" s="52">
        <f>IF(Tabell2[[#This Row],[Inntekt]]&lt;=J$434,J$434,IF(Tabell2[[#This Row],[Inntekt]]&gt;=J$435,J$435,Tabell2[[#This Row],[Inntekt]]))</f>
        <v>400000</v>
      </c>
      <c r="T184" s="9">
        <f>IF(Tabell2[[#This Row],[NIBR11-T]]&lt;=K$437,100,IF(Tabell2[[#This Row],[NIBR11-T]]&gt;=K$436,0,100*(K$436-Tabell2[[#This Row],[NIBR11-T]])/K$439))</f>
        <v>90</v>
      </c>
      <c r="U184" s="9">
        <f>(L$436-Tabell2[[#This Row],[ReisetidOslo-T]])*100/L$439</f>
        <v>49.268893049644781</v>
      </c>
      <c r="V184" s="9">
        <f>100-(M$436-Tabell2[[#This Row],[Beftettotal-T]])*100/M$439</f>
        <v>100</v>
      </c>
      <c r="W184" s="9">
        <f>100-(N$436-Tabell2[[#This Row],[Befvekst10-T]])*100/N$439</f>
        <v>100</v>
      </c>
      <c r="X184" s="9">
        <f>100-(O$436-Tabell2[[#This Row],[Kvinneandel-T]])*100/O$439</f>
        <v>100</v>
      </c>
      <c r="Y184" s="9">
        <f>(P$436-Tabell2[[#This Row],[Eldreandel-T]])*100/P$439</f>
        <v>100.00000000000001</v>
      </c>
      <c r="Z184" s="9">
        <f>100-(Q$436-Tabell2[[#This Row],[Sysselsettingsvekst10-T]])*100/Q$439</f>
        <v>100</v>
      </c>
      <c r="AA184" s="9">
        <f>100-(R$436-Tabell2[[#This Row],[Yrkesaktivandel-T]])*100/R$439</f>
        <v>97.818638986112703</v>
      </c>
      <c r="AB184" s="9">
        <f>100-(S$436-Tabell2[[#This Row],[Inntekt-T]])*100/S$439</f>
        <v>100</v>
      </c>
      <c r="AC184" s="48">
        <f>Tabell2[[#This Row],[NIBR11-I]]*Vekter!$B$3</f>
        <v>18</v>
      </c>
      <c r="AD184" s="48">
        <f>Tabell2[[#This Row],[ReisetidOslo-I]]*Vekter!$C$3</f>
        <v>4.9268893049644786</v>
      </c>
      <c r="AE184" s="48">
        <f>Tabell2[[#This Row],[Beftettotal-I]]*Vekter!$D$3</f>
        <v>10</v>
      </c>
      <c r="AF184" s="48">
        <f>Tabell2[[#This Row],[Befvekst10-I]]*Vekter!$E$3</f>
        <v>20</v>
      </c>
      <c r="AG184" s="48">
        <f>Tabell2[[#This Row],[Kvinneandel-I]]*Vekter!$F$3</f>
        <v>5</v>
      </c>
      <c r="AH184" s="48">
        <f>Tabell2[[#This Row],[Eldreandel-I]]*Vekter!$G$3</f>
        <v>5.0000000000000009</v>
      </c>
      <c r="AI184" s="48">
        <f>Tabell2[[#This Row],[Sysselsettingsvekst10-I]]*Vekter!$H$3</f>
        <v>10</v>
      </c>
      <c r="AJ184" s="48">
        <f>Tabell2[[#This Row],[Yrkesaktivandel-I]]*Vekter!$J$3</f>
        <v>9.7818638986112703</v>
      </c>
      <c r="AK184" s="48">
        <f>Tabell2[[#This Row],[Inntekt-I]]*Vekter!$L$3</f>
        <v>10</v>
      </c>
      <c r="AL184" s="37">
        <f>SUM(Tabell2[[#This Row],[NIBR11-v]:[Inntekt-v]])</f>
        <v>92.708753203575753</v>
      </c>
    </row>
    <row r="185" spans="1:38">
      <c r="A185" s="2" t="s">
        <v>182</v>
      </c>
      <c r="B185">
        <f>'Rådata-K'!M184</f>
        <v>2</v>
      </c>
      <c r="C185" s="9">
        <f>'Rådata-K'!L184</f>
        <v>172.35607635719998</v>
      </c>
      <c r="D185" s="51">
        <f>'Rådata-K'!N184</f>
        <v>97.696380806812599</v>
      </c>
      <c r="E185" s="51">
        <f>'Rådata-K'!O184</f>
        <v>0.26239683995203489</v>
      </c>
      <c r="F185" s="51">
        <f>'Rådata-K'!P184</f>
        <v>0.13974409118846734</v>
      </c>
      <c r="G185" s="51">
        <f>'Rådata-K'!Q184</f>
        <v>0.10398390791752808</v>
      </c>
      <c r="H185" s="51">
        <f>'Rådata-K'!R184</f>
        <v>0.20227520648278019</v>
      </c>
      <c r="I185" s="51">
        <f>'Rådata-K'!S184</f>
        <v>0.94595103578154427</v>
      </c>
      <c r="J185" s="52">
        <f>'Rådata-K'!K184</f>
        <v>437000</v>
      </c>
      <c r="K185" s="26">
        <f>Tabell2[[#This Row],[NIBR11]]</f>
        <v>2</v>
      </c>
      <c r="L185" s="52">
        <f>IF(Tabell2[[#This Row],[ReisetidOslo]]&lt;=C$434,C$434,IF(Tabell2[[#This Row],[ReisetidOslo]]&gt;=C$435,C$435,Tabell2[[#This Row],[ReisetidOslo]]))</f>
        <v>172.35607635719998</v>
      </c>
      <c r="M185" s="51">
        <f>IF(Tabell2[[#This Row],[Beftettotal]]&lt;=D$434,D$434,IF(Tabell2[[#This Row],[Beftettotal]]&gt;=D$435,D$435,Tabell2[[#This Row],[Beftettotal]]))</f>
        <v>97.696380806812599</v>
      </c>
      <c r="N185" s="51">
        <f>IF(Tabell2[[#This Row],[Befvekst10]]&lt;=E$434,E$434,IF(Tabell2[[#This Row],[Befvekst10]]&gt;=E$435,E$435,Tabell2[[#This Row],[Befvekst10]]))</f>
        <v>0.16633778614624492</v>
      </c>
      <c r="O185" s="51">
        <f>IF(Tabell2[[#This Row],[Kvinneandel]]&lt;=F$434,F$434,IF(Tabell2[[#This Row],[Kvinneandel]]&gt;=F$435,F$435,Tabell2[[#This Row],[Kvinneandel]]))</f>
        <v>0.12801731869362362</v>
      </c>
      <c r="P185" s="51">
        <f>IF(Tabell2[[#This Row],[Eldreandel]]&lt;=G$434,G$434,IF(Tabell2[[#This Row],[Eldreandel]]&gt;=G$435,G$435,Tabell2[[#This Row],[Eldreandel]]))</f>
        <v>0.1200928231908705</v>
      </c>
      <c r="Q185" s="51">
        <f>IF(Tabell2[[#This Row],[Sysselsettingsvekst10]]&lt;=H$434,H$434,IF(Tabell2[[#This Row],[Sysselsettingsvekst10]]&gt;=H$435,H$435,Tabell2[[#This Row],[Sysselsettingsvekst10]]))</f>
        <v>0.20227520648278019</v>
      </c>
      <c r="R185" s="51">
        <f>IF(Tabell2[[#This Row],[Yrkesaktivandel]]&lt;=I$434,I$434,IF(Tabell2[[#This Row],[Yrkesaktivandel]]&gt;=I$435,I$435,Tabell2[[#This Row],[Yrkesaktivandel]]))</f>
        <v>0.94595103578154427</v>
      </c>
      <c r="S185" s="52">
        <f>IF(Tabell2[[#This Row],[Inntekt]]&lt;=J$434,J$434,IF(Tabell2[[#This Row],[Inntekt]]&gt;=J$435,J$435,Tabell2[[#This Row],[Inntekt]]))</f>
        <v>400000</v>
      </c>
      <c r="T185" s="9">
        <f>IF(Tabell2[[#This Row],[NIBR11-T]]&lt;=K$437,100,IF(Tabell2[[#This Row],[NIBR11-T]]&gt;=K$436,0,100*(K$436-Tabell2[[#This Row],[NIBR11-T]])/K$439))</f>
        <v>90</v>
      </c>
      <c r="U185" s="9">
        <f>(L$436-Tabell2[[#This Row],[ReisetidOslo-T]])*100/L$439</f>
        <v>47.369305808147061</v>
      </c>
      <c r="V185" s="9">
        <f>100-(M$436-Tabell2[[#This Row],[Beftettotal-T]])*100/M$439</f>
        <v>75.89647540424599</v>
      </c>
      <c r="W185" s="9">
        <f>100-(N$436-Tabell2[[#This Row],[Befvekst10-T]])*100/N$439</f>
        <v>100</v>
      </c>
      <c r="X185" s="9">
        <f>100-(O$436-Tabell2[[#This Row],[Kvinneandel-T]])*100/O$439</f>
        <v>100</v>
      </c>
      <c r="Y185" s="9">
        <f>(P$436-Tabell2[[#This Row],[Eldreandel-T]])*100/P$439</f>
        <v>100.00000000000001</v>
      </c>
      <c r="Z185" s="9">
        <f>100-(Q$436-Tabell2[[#This Row],[Sysselsettingsvekst10-T]])*100/Q$439</f>
        <v>86.972820675614869</v>
      </c>
      <c r="AA185" s="9">
        <f>100-(R$436-Tabell2[[#This Row],[Yrkesaktivandel-T]])*100/R$439</f>
        <v>87.903075376707335</v>
      </c>
      <c r="AB185" s="9">
        <f>100-(S$436-Tabell2[[#This Row],[Inntekt-T]])*100/S$439</f>
        <v>100</v>
      </c>
      <c r="AC185" s="48">
        <f>Tabell2[[#This Row],[NIBR11-I]]*Vekter!$B$3</f>
        <v>18</v>
      </c>
      <c r="AD185" s="48">
        <f>Tabell2[[#This Row],[ReisetidOslo-I]]*Vekter!$C$3</f>
        <v>4.7369305808147066</v>
      </c>
      <c r="AE185" s="48">
        <f>Tabell2[[#This Row],[Beftettotal-I]]*Vekter!$D$3</f>
        <v>7.5896475404245995</v>
      </c>
      <c r="AF185" s="48">
        <f>Tabell2[[#This Row],[Befvekst10-I]]*Vekter!$E$3</f>
        <v>20</v>
      </c>
      <c r="AG185" s="48">
        <f>Tabell2[[#This Row],[Kvinneandel-I]]*Vekter!$F$3</f>
        <v>5</v>
      </c>
      <c r="AH185" s="48">
        <f>Tabell2[[#This Row],[Eldreandel-I]]*Vekter!$G$3</f>
        <v>5.0000000000000009</v>
      </c>
      <c r="AI185" s="48">
        <f>Tabell2[[#This Row],[Sysselsettingsvekst10-I]]*Vekter!$H$3</f>
        <v>8.6972820675614866</v>
      </c>
      <c r="AJ185" s="48">
        <f>Tabell2[[#This Row],[Yrkesaktivandel-I]]*Vekter!$J$3</f>
        <v>8.7903075376707331</v>
      </c>
      <c r="AK185" s="48">
        <f>Tabell2[[#This Row],[Inntekt-I]]*Vekter!$L$3</f>
        <v>10</v>
      </c>
      <c r="AL185" s="37">
        <f>SUM(Tabell2[[#This Row],[NIBR11-v]:[Inntekt-v]])</f>
        <v>87.814167726471524</v>
      </c>
    </row>
    <row r="186" spans="1:38">
      <c r="A186" s="2" t="s">
        <v>183</v>
      </c>
      <c r="B186">
        <f>'Rådata-K'!M185</f>
        <v>2</v>
      </c>
      <c r="C186" s="9">
        <f>'Rådata-K'!L185</f>
        <v>172.67071374099999</v>
      </c>
      <c r="D186" s="51">
        <f>'Rådata-K'!N185</f>
        <v>18.313779431992877</v>
      </c>
      <c r="E186" s="51">
        <f>'Rådata-K'!O185</f>
        <v>0.22372404844290661</v>
      </c>
      <c r="F186" s="51">
        <f>'Rådata-K'!P185</f>
        <v>0.14403110364937705</v>
      </c>
      <c r="G186" s="51">
        <f>'Rådata-K'!Q185</f>
        <v>7.5196606874613409E-2</v>
      </c>
      <c r="H186" s="51">
        <f>'Rådata-K'!R185</f>
        <v>0.3248497702368327</v>
      </c>
      <c r="I186" s="51">
        <f>'Rådata-K'!S185</f>
        <v>0.94733753850667446</v>
      </c>
      <c r="J186" s="52">
        <f>'Rådata-K'!K185</f>
        <v>413000</v>
      </c>
      <c r="K186" s="26">
        <f>Tabell2[[#This Row],[NIBR11]]</f>
        <v>2</v>
      </c>
      <c r="L186" s="52">
        <f>IF(Tabell2[[#This Row],[ReisetidOslo]]&lt;=C$434,C$434,IF(Tabell2[[#This Row],[ReisetidOslo]]&gt;=C$435,C$435,Tabell2[[#This Row],[ReisetidOslo]]))</f>
        <v>172.67071374099999</v>
      </c>
      <c r="M186" s="51">
        <f>IF(Tabell2[[#This Row],[Beftettotal]]&lt;=D$434,D$434,IF(Tabell2[[#This Row],[Beftettotal]]&gt;=D$435,D$435,Tabell2[[#This Row],[Beftettotal]]))</f>
        <v>18.313779431992877</v>
      </c>
      <c r="N186" s="51">
        <f>IF(Tabell2[[#This Row],[Befvekst10]]&lt;=E$434,E$434,IF(Tabell2[[#This Row],[Befvekst10]]&gt;=E$435,E$435,Tabell2[[#This Row],[Befvekst10]]))</f>
        <v>0.16633778614624492</v>
      </c>
      <c r="O186" s="51">
        <f>IF(Tabell2[[#This Row],[Kvinneandel]]&lt;=F$434,F$434,IF(Tabell2[[#This Row],[Kvinneandel]]&gt;=F$435,F$435,Tabell2[[#This Row],[Kvinneandel]]))</f>
        <v>0.12801731869362362</v>
      </c>
      <c r="P186" s="51">
        <f>IF(Tabell2[[#This Row],[Eldreandel]]&lt;=G$434,G$434,IF(Tabell2[[#This Row],[Eldreandel]]&gt;=G$435,G$435,Tabell2[[#This Row],[Eldreandel]]))</f>
        <v>0.1200928231908705</v>
      </c>
      <c r="Q186" s="51">
        <f>IF(Tabell2[[#This Row],[Sysselsettingsvekst10]]&lt;=H$434,H$434,IF(Tabell2[[#This Row],[Sysselsettingsvekst10]]&gt;=H$435,H$435,Tabell2[[#This Row],[Sysselsettingsvekst10]]))</f>
        <v>0.24286196513786068</v>
      </c>
      <c r="R186" s="51">
        <f>IF(Tabell2[[#This Row],[Yrkesaktivandel]]&lt;=I$434,I$434,IF(Tabell2[[#This Row],[Yrkesaktivandel]]&gt;=I$435,I$435,Tabell2[[#This Row],[Yrkesaktivandel]]))</f>
        <v>0.94733753850667446</v>
      </c>
      <c r="S186" s="52">
        <f>IF(Tabell2[[#This Row],[Inntekt]]&lt;=J$434,J$434,IF(Tabell2[[#This Row],[Inntekt]]&gt;=J$435,J$435,Tabell2[[#This Row],[Inntekt]]))</f>
        <v>400000</v>
      </c>
      <c r="T186" s="9">
        <f>IF(Tabell2[[#This Row],[NIBR11-T]]&lt;=K$437,100,IF(Tabell2[[#This Row],[NIBR11-T]]&gt;=K$436,0,100*(K$436-Tabell2[[#This Row],[NIBR11-T]])/K$439))</f>
        <v>90</v>
      </c>
      <c r="U186" s="9">
        <f>(L$436-Tabell2[[#This Row],[ReisetidOslo-T]])*100/L$439</f>
        <v>47.229622355390646</v>
      </c>
      <c r="V186" s="9">
        <f>100-(M$436-Tabell2[[#This Row],[Beftettotal-T]])*100/M$439</f>
        <v>13.369815198534738</v>
      </c>
      <c r="W186" s="9">
        <f>100-(N$436-Tabell2[[#This Row],[Befvekst10-T]])*100/N$439</f>
        <v>100</v>
      </c>
      <c r="X186" s="9">
        <f>100-(O$436-Tabell2[[#This Row],[Kvinneandel-T]])*100/O$439</f>
        <v>100</v>
      </c>
      <c r="Y186" s="9">
        <f>(P$436-Tabell2[[#This Row],[Eldreandel-T]])*100/P$439</f>
        <v>100.00000000000001</v>
      </c>
      <c r="Z186" s="9">
        <f>100-(Q$436-Tabell2[[#This Row],[Sysselsettingsvekst10-T]])*100/Q$439</f>
        <v>100</v>
      </c>
      <c r="AA186" s="9">
        <f>100-(R$436-Tabell2[[#This Row],[Yrkesaktivandel-T]])*100/R$439</f>
        <v>88.93667952058648</v>
      </c>
      <c r="AB186" s="9">
        <f>100-(S$436-Tabell2[[#This Row],[Inntekt-T]])*100/S$439</f>
        <v>100</v>
      </c>
      <c r="AC186" s="48">
        <f>Tabell2[[#This Row],[NIBR11-I]]*Vekter!$B$3</f>
        <v>18</v>
      </c>
      <c r="AD186" s="48">
        <f>Tabell2[[#This Row],[ReisetidOslo-I]]*Vekter!$C$3</f>
        <v>4.7229622355390646</v>
      </c>
      <c r="AE186" s="48">
        <f>Tabell2[[#This Row],[Beftettotal-I]]*Vekter!$D$3</f>
        <v>1.3369815198534738</v>
      </c>
      <c r="AF186" s="48">
        <f>Tabell2[[#This Row],[Befvekst10-I]]*Vekter!$E$3</f>
        <v>20</v>
      </c>
      <c r="AG186" s="48">
        <f>Tabell2[[#This Row],[Kvinneandel-I]]*Vekter!$F$3</f>
        <v>5</v>
      </c>
      <c r="AH186" s="48">
        <f>Tabell2[[#This Row],[Eldreandel-I]]*Vekter!$G$3</f>
        <v>5.0000000000000009</v>
      </c>
      <c r="AI186" s="48">
        <f>Tabell2[[#This Row],[Sysselsettingsvekst10-I]]*Vekter!$H$3</f>
        <v>10</v>
      </c>
      <c r="AJ186" s="48">
        <f>Tabell2[[#This Row],[Yrkesaktivandel-I]]*Vekter!$J$3</f>
        <v>8.8936679520586477</v>
      </c>
      <c r="AK186" s="48">
        <f>Tabell2[[#This Row],[Inntekt-I]]*Vekter!$L$3</f>
        <v>10</v>
      </c>
      <c r="AL186" s="37">
        <f>SUM(Tabell2[[#This Row],[NIBR11-v]:[Inntekt-v]])</f>
        <v>82.953611707451188</v>
      </c>
    </row>
    <row r="187" spans="1:38">
      <c r="A187" s="2" t="s">
        <v>184</v>
      </c>
      <c r="B187">
        <f>'Rådata-K'!M186</f>
        <v>2</v>
      </c>
      <c r="C187" s="9">
        <f>'Rådata-K'!L186</f>
        <v>154.23509961164001</v>
      </c>
      <c r="D187" s="51">
        <f>'Rådata-K'!N186</f>
        <v>365.16232348231182</v>
      </c>
      <c r="E187" s="51">
        <f>'Rådata-K'!O186</f>
        <v>0.28268984914344153</v>
      </c>
      <c r="F187" s="51">
        <f>'Rådata-K'!P186</f>
        <v>0.13901845871705937</v>
      </c>
      <c r="G187" s="51">
        <f>'Rådata-K'!Q186</f>
        <v>9.8712275246182674E-2</v>
      </c>
      <c r="H187" s="51">
        <f>'Rådata-K'!R186</f>
        <v>0.78535724786827399</v>
      </c>
      <c r="I187" s="51">
        <f>'Rådata-K'!S186</f>
        <v>0.91626334283630573</v>
      </c>
      <c r="J187" s="52">
        <f>'Rådata-K'!K186</f>
        <v>501100</v>
      </c>
      <c r="K187" s="26">
        <f>Tabell2[[#This Row],[NIBR11]]</f>
        <v>2</v>
      </c>
      <c r="L187" s="52">
        <f>IF(Tabell2[[#This Row],[ReisetidOslo]]&lt;=C$434,C$434,IF(Tabell2[[#This Row],[ReisetidOslo]]&gt;=C$435,C$435,Tabell2[[#This Row],[ReisetidOslo]]))</f>
        <v>154.23509961164001</v>
      </c>
      <c r="M187" s="51">
        <f>IF(Tabell2[[#This Row],[Beftettotal]]&lt;=D$434,D$434,IF(Tabell2[[#This Row],[Beftettotal]]&gt;=D$435,D$435,Tabell2[[#This Row],[Beftettotal]]))</f>
        <v>128.29773514779066</v>
      </c>
      <c r="N187" s="51">
        <f>IF(Tabell2[[#This Row],[Befvekst10]]&lt;=E$434,E$434,IF(Tabell2[[#This Row],[Befvekst10]]&gt;=E$435,E$435,Tabell2[[#This Row],[Befvekst10]]))</f>
        <v>0.16633778614624492</v>
      </c>
      <c r="O187" s="51">
        <f>IF(Tabell2[[#This Row],[Kvinneandel]]&lt;=F$434,F$434,IF(Tabell2[[#This Row],[Kvinneandel]]&gt;=F$435,F$435,Tabell2[[#This Row],[Kvinneandel]]))</f>
        <v>0.12801731869362362</v>
      </c>
      <c r="P187" s="51">
        <f>IF(Tabell2[[#This Row],[Eldreandel]]&lt;=G$434,G$434,IF(Tabell2[[#This Row],[Eldreandel]]&gt;=G$435,G$435,Tabell2[[#This Row],[Eldreandel]]))</f>
        <v>0.1200928231908705</v>
      </c>
      <c r="Q187" s="51">
        <f>IF(Tabell2[[#This Row],[Sysselsettingsvekst10]]&lt;=H$434,H$434,IF(Tabell2[[#This Row],[Sysselsettingsvekst10]]&gt;=H$435,H$435,Tabell2[[#This Row],[Sysselsettingsvekst10]]))</f>
        <v>0.24286196513786068</v>
      </c>
      <c r="R187" s="51">
        <f>IF(Tabell2[[#This Row],[Yrkesaktivandel]]&lt;=I$434,I$434,IF(Tabell2[[#This Row],[Yrkesaktivandel]]&gt;=I$435,I$435,Tabell2[[#This Row],[Yrkesaktivandel]]))</f>
        <v>0.91626334283630573</v>
      </c>
      <c r="S187" s="52">
        <f>IF(Tabell2[[#This Row],[Inntekt]]&lt;=J$434,J$434,IF(Tabell2[[#This Row],[Inntekt]]&gt;=J$435,J$435,Tabell2[[#This Row],[Inntekt]]))</f>
        <v>400000</v>
      </c>
      <c r="T187" s="9">
        <f>IF(Tabell2[[#This Row],[NIBR11-T]]&lt;=K$437,100,IF(Tabell2[[#This Row],[NIBR11-T]]&gt;=K$436,0,100*(K$436-Tabell2[[#This Row],[NIBR11-T]])/K$439))</f>
        <v>90</v>
      </c>
      <c r="U187" s="9">
        <f>(L$436-Tabell2[[#This Row],[ReisetidOslo-T]])*100/L$439</f>
        <v>55.4141241592543</v>
      </c>
      <c r="V187" s="9">
        <f>100-(M$436-Tabell2[[#This Row],[Beftettotal-T]])*100/M$439</f>
        <v>100</v>
      </c>
      <c r="W187" s="9">
        <f>100-(N$436-Tabell2[[#This Row],[Befvekst10-T]])*100/N$439</f>
        <v>100</v>
      </c>
      <c r="X187" s="9">
        <f>100-(O$436-Tabell2[[#This Row],[Kvinneandel-T]])*100/O$439</f>
        <v>100</v>
      </c>
      <c r="Y187" s="9">
        <f>(P$436-Tabell2[[#This Row],[Eldreandel-T]])*100/P$439</f>
        <v>100.00000000000001</v>
      </c>
      <c r="Z187" s="9">
        <f>100-(Q$436-Tabell2[[#This Row],[Sysselsettingsvekst10-T]])*100/Q$439</f>
        <v>100</v>
      </c>
      <c r="AA187" s="9">
        <f>100-(R$436-Tabell2[[#This Row],[Yrkesaktivandel-T]])*100/R$439</f>
        <v>65.771620534071559</v>
      </c>
      <c r="AB187" s="9">
        <f>100-(S$436-Tabell2[[#This Row],[Inntekt-T]])*100/S$439</f>
        <v>100</v>
      </c>
      <c r="AC187" s="48">
        <f>Tabell2[[#This Row],[NIBR11-I]]*Vekter!$B$3</f>
        <v>18</v>
      </c>
      <c r="AD187" s="48">
        <f>Tabell2[[#This Row],[ReisetidOslo-I]]*Vekter!$C$3</f>
        <v>5.5414124159254303</v>
      </c>
      <c r="AE187" s="48">
        <f>Tabell2[[#This Row],[Beftettotal-I]]*Vekter!$D$3</f>
        <v>10</v>
      </c>
      <c r="AF187" s="48">
        <f>Tabell2[[#This Row],[Befvekst10-I]]*Vekter!$E$3</f>
        <v>20</v>
      </c>
      <c r="AG187" s="48">
        <f>Tabell2[[#This Row],[Kvinneandel-I]]*Vekter!$F$3</f>
        <v>5</v>
      </c>
      <c r="AH187" s="48">
        <f>Tabell2[[#This Row],[Eldreandel-I]]*Vekter!$G$3</f>
        <v>5.0000000000000009</v>
      </c>
      <c r="AI187" s="48">
        <f>Tabell2[[#This Row],[Sysselsettingsvekst10-I]]*Vekter!$H$3</f>
        <v>10</v>
      </c>
      <c r="AJ187" s="48">
        <f>Tabell2[[#This Row],[Yrkesaktivandel-I]]*Vekter!$J$3</f>
        <v>6.5771620534071564</v>
      </c>
      <c r="AK187" s="48">
        <f>Tabell2[[#This Row],[Inntekt-I]]*Vekter!$L$3</f>
        <v>10</v>
      </c>
      <c r="AL187" s="37">
        <f>SUM(Tabell2[[#This Row],[NIBR11-v]:[Inntekt-v]])</f>
        <v>90.118574469332586</v>
      </c>
    </row>
    <row r="188" spans="1:38">
      <c r="A188" s="2" t="s">
        <v>185</v>
      </c>
      <c r="B188">
        <f>'Rådata-K'!M187</f>
        <v>2</v>
      </c>
      <c r="C188" s="9">
        <f>'Rådata-K'!L187</f>
        <v>167.16741645830001</v>
      </c>
      <c r="D188" s="51">
        <f>'Rådata-K'!N187</f>
        <v>421.52974504249289</v>
      </c>
      <c r="E188" s="51">
        <f>'Rådata-K'!O187</f>
        <v>0.14764213309828111</v>
      </c>
      <c r="F188" s="51">
        <f>'Rådata-K'!P187</f>
        <v>0.12327188940092165</v>
      </c>
      <c r="G188" s="51">
        <f>'Rådata-K'!Q187</f>
        <v>0.1107910906298003</v>
      </c>
      <c r="H188" s="51">
        <f>'Rådata-K'!R187</f>
        <v>0.34715596330275234</v>
      </c>
      <c r="I188" s="51">
        <f>'Rådata-K'!S187</f>
        <v>0.92872534394165418</v>
      </c>
      <c r="J188" s="52">
        <f>'Rådata-K'!K187</f>
        <v>473900</v>
      </c>
      <c r="K188" s="26">
        <f>Tabell2[[#This Row],[NIBR11]]</f>
        <v>2</v>
      </c>
      <c r="L188" s="52">
        <f>IF(Tabell2[[#This Row],[ReisetidOslo]]&lt;=C$434,C$434,IF(Tabell2[[#This Row],[ReisetidOslo]]&gt;=C$435,C$435,Tabell2[[#This Row],[ReisetidOslo]]))</f>
        <v>167.16741645830001</v>
      </c>
      <c r="M188" s="51">
        <f>IF(Tabell2[[#This Row],[Beftettotal]]&lt;=D$434,D$434,IF(Tabell2[[#This Row],[Beftettotal]]&gt;=D$435,D$435,Tabell2[[#This Row],[Beftettotal]]))</f>
        <v>128.29773514779066</v>
      </c>
      <c r="N188" s="51">
        <f>IF(Tabell2[[#This Row],[Befvekst10]]&lt;=E$434,E$434,IF(Tabell2[[#This Row],[Befvekst10]]&gt;=E$435,E$435,Tabell2[[#This Row],[Befvekst10]]))</f>
        <v>0.14764213309828111</v>
      </c>
      <c r="O188" s="51">
        <f>IF(Tabell2[[#This Row],[Kvinneandel]]&lt;=F$434,F$434,IF(Tabell2[[#This Row],[Kvinneandel]]&gt;=F$435,F$435,Tabell2[[#This Row],[Kvinneandel]]))</f>
        <v>0.12327188940092165</v>
      </c>
      <c r="P188" s="51">
        <f>IF(Tabell2[[#This Row],[Eldreandel]]&lt;=G$434,G$434,IF(Tabell2[[#This Row],[Eldreandel]]&gt;=G$435,G$435,Tabell2[[#This Row],[Eldreandel]]))</f>
        <v>0.1200928231908705</v>
      </c>
      <c r="Q188" s="51">
        <f>IF(Tabell2[[#This Row],[Sysselsettingsvekst10]]&lt;=H$434,H$434,IF(Tabell2[[#This Row],[Sysselsettingsvekst10]]&gt;=H$435,H$435,Tabell2[[#This Row],[Sysselsettingsvekst10]]))</f>
        <v>0.24286196513786068</v>
      </c>
      <c r="R188" s="51">
        <f>IF(Tabell2[[#This Row],[Yrkesaktivandel]]&lt;=I$434,I$434,IF(Tabell2[[#This Row],[Yrkesaktivandel]]&gt;=I$435,I$435,Tabell2[[#This Row],[Yrkesaktivandel]]))</f>
        <v>0.92872534394165418</v>
      </c>
      <c r="S188" s="52">
        <f>IF(Tabell2[[#This Row],[Inntekt]]&lt;=J$434,J$434,IF(Tabell2[[#This Row],[Inntekt]]&gt;=J$435,J$435,Tabell2[[#This Row],[Inntekt]]))</f>
        <v>400000</v>
      </c>
      <c r="T188" s="9">
        <f>IF(Tabell2[[#This Row],[NIBR11-T]]&lt;=K$437,100,IF(Tabell2[[#This Row],[NIBR11-T]]&gt;=K$436,0,100*(K$436-Tabell2[[#This Row],[NIBR11-T]])/K$439))</f>
        <v>90</v>
      </c>
      <c r="U188" s="9">
        <f>(L$436-Tabell2[[#This Row],[ReisetidOslo-T]])*100/L$439</f>
        <v>49.672814441176591</v>
      </c>
      <c r="V188" s="9">
        <f>100-(M$436-Tabell2[[#This Row],[Beftettotal-T]])*100/M$439</f>
        <v>100</v>
      </c>
      <c r="W188" s="9">
        <f>100-(N$436-Tabell2[[#This Row],[Befvekst10-T]])*100/N$439</f>
        <v>92.434696910330885</v>
      </c>
      <c r="X188" s="9">
        <f>100-(O$436-Tabell2[[#This Row],[Kvinneandel-T]])*100/O$439</f>
        <v>87.430791937326262</v>
      </c>
      <c r="Y188" s="9">
        <f>(P$436-Tabell2[[#This Row],[Eldreandel-T]])*100/P$439</f>
        <v>100.00000000000001</v>
      </c>
      <c r="Z188" s="9">
        <f>100-(Q$436-Tabell2[[#This Row],[Sysselsettingsvekst10-T]])*100/Q$439</f>
        <v>100</v>
      </c>
      <c r="AA188" s="9">
        <f>100-(R$436-Tabell2[[#This Row],[Yrkesaktivandel-T]])*100/R$439</f>
        <v>75.061740019632026</v>
      </c>
      <c r="AB188" s="9">
        <f>100-(S$436-Tabell2[[#This Row],[Inntekt-T]])*100/S$439</f>
        <v>100</v>
      </c>
      <c r="AC188" s="48">
        <f>Tabell2[[#This Row],[NIBR11-I]]*Vekter!$B$3</f>
        <v>18</v>
      </c>
      <c r="AD188" s="48">
        <f>Tabell2[[#This Row],[ReisetidOslo-I]]*Vekter!$C$3</f>
        <v>4.9672814441176598</v>
      </c>
      <c r="AE188" s="48">
        <f>Tabell2[[#This Row],[Beftettotal-I]]*Vekter!$D$3</f>
        <v>10</v>
      </c>
      <c r="AF188" s="48">
        <f>Tabell2[[#This Row],[Befvekst10-I]]*Vekter!$E$3</f>
        <v>18.486939382066179</v>
      </c>
      <c r="AG188" s="48">
        <f>Tabell2[[#This Row],[Kvinneandel-I]]*Vekter!$F$3</f>
        <v>4.3715395968663131</v>
      </c>
      <c r="AH188" s="48">
        <f>Tabell2[[#This Row],[Eldreandel-I]]*Vekter!$G$3</f>
        <v>5.0000000000000009</v>
      </c>
      <c r="AI188" s="48">
        <f>Tabell2[[#This Row],[Sysselsettingsvekst10-I]]*Vekter!$H$3</f>
        <v>10</v>
      </c>
      <c r="AJ188" s="48">
        <f>Tabell2[[#This Row],[Yrkesaktivandel-I]]*Vekter!$J$3</f>
        <v>7.5061740019632026</v>
      </c>
      <c r="AK188" s="48">
        <f>Tabell2[[#This Row],[Inntekt-I]]*Vekter!$L$3</f>
        <v>10</v>
      </c>
      <c r="AL188" s="37">
        <f>SUM(Tabell2[[#This Row],[NIBR11-v]:[Inntekt-v]])</f>
        <v>88.331934425013358</v>
      </c>
    </row>
    <row r="189" spans="1:38">
      <c r="A189" s="2" t="s">
        <v>186</v>
      </c>
      <c r="B189">
        <f>'Rådata-K'!M188</f>
        <v>2</v>
      </c>
      <c r="C189" s="9">
        <f>'Rådata-K'!L188</f>
        <v>199.67011548409999</v>
      </c>
      <c r="D189" s="51">
        <f>'Rådata-K'!N188</f>
        <v>1.592205627844369</v>
      </c>
      <c r="E189" s="51">
        <f>'Rådata-K'!O188</f>
        <v>0.16183348924228258</v>
      </c>
      <c r="F189" s="51">
        <f>'Rådata-K'!P188</f>
        <v>0.10869565217391304</v>
      </c>
      <c r="G189" s="51">
        <f>'Rådata-K'!Q188</f>
        <v>0.13043478260869565</v>
      </c>
      <c r="H189" s="51">
        <f>'Rådata-K'!R188</f>
        <v>0.10821643286573157</v>
      </c>
      <c r="I189" s="51">
        <f>'Rådata-K'!S188</f>
        <v>0.94230769230769229</v>
      </c>
      <c r="J189" s="52">
        <f>'Rådata-K'!K188</f>
        <v>392300</v>
      </c>
      <c r="K189" s="26">
        <f>Tabell2[[#This Row],[NIBR11]]</f>
        <v>2</v>
      </c>
      <c r="L189" s="52">
        <f>IF(Tabell2[[#This Row],[ReisetidOslo]]&lt;=C$434,C$434,IF(Tabell2[[#This Row],[ReisetidOslo]]&gt;=C$435,C$435,Tabell2[[#This Row],[ReisetidOslo]]))</f>
        <v>199.67011548409999</v>
      </c>
      <c r="M189" s="51">
        <f>IF(Tabell2[[#This Row],[Beftettotal]]&lt;=D$434,D$434,IF(Tabell2[[#This Row],[Beftettotal]]&gt;=D$435,D$435,Tabell2[[#This Row],[Beftettotal]]))</f>
        <v>1.592205627844369</v>
      </c>
      <c r="N189" s="51">
        <f>IF(Tabell2[[#This Row],[Befvekst10]]&lt;=E$434,E$434,IF(Tabell2[[#This Row],[Befvekst10]]&gt;=E$435,E$435,Tabell2[[#This Row],[Befvekst10]]))</f>
        <v>0.16183348924228258</v>
      </c>
      <c r="O189" s="51">
        <f>IF(Tabell2[[#This Row],[Kvinneandel]]&lt;=F$434,F$434,IF(Tabell2[[#This Row],[Kvinneandel]]&gt;=F$435,F$435,Tabell2[[#This Row],[Kvinneandel]]))</f>
        <v>0.10869565217391304</v>
      </c>
      <c r="P189" s="51">
        <f>IF(Tabell2[[#This Row],[Eldreandel]]&lt;=G$434,G$434,IF(Tabell2[[#This Row],[Eldreandel]]&gt;=G$435,G$435,Tabell2[[#This Row],[Eldreandel]]))</f>
        <v>0.13043478260869565</v>
      </c>
      <c r="Q189" s="51">
        <f>IF(Tabell2[[#This Row],[Sysselsettingsvekst10]]&lt;=H$434,H$434,IF(Tabell2[[#This Row],[Sysselsettingsvekst10]]&gt;=H$435,H$435,Tabell2[[#This Row],[Sysselsettingsvekst10]]))</f>
        <v>0.10821643286573157</v>
      </c>
      <c r="R189" s="51">
        <f>IF(Tabell2[[#This Row],[Yrkesaktivandel]]&lt;=I$434,I$434,IF(Tabell2[[#This Row],[Yrkesaktivandel]]&gt;=I$435,I$435,Tabell2[[#This Row],[Yrkesaktivandel]]))</f>
        <v>0.94230769230769229</v>
      </c>
      <c r="S189" s="52">
        <f>IF(Tabell2[[#This Row],[Inntekt]]&lt;=J$434,J$434,IF(Tabell2[[#This Row],[Inntekt]]&gt;=J$435,J$435,Tabell2[[#This Row],[Inntekt]]))</f>
        <v>392300</v>
      </c>
      <c r="T189" s="9">
        <f>IF(Tabell2[[#This Row],[NIBR11-T]]&lt;=K$437,100,IF(Tabell2[[#This Row],[NIBR11-T]]&gt;=K$436,0,100*(K$436-Tabell2[[#This Row],[NIBR11-T]])/K$439))</f>
        <v>90</v>
      </c>
      <c r="U189" s="9">
        <f>(L$436-Tabell2[[#This Row],[ReisetidOslo-T]])*100/L$439</f>
        <v>35.24322197192194</v>
      </c>
      <c r="V189" s="9">
        <f>100-(M$436-Tabell2[[#This Row],[Beftettotal-T]])*100/M$439</f>
        <v>0.19886658701234694</v>
      </c>
      <c r="W189" s="9">
        <f>100-(N$436-Tabell2[[#This Row],[Befvekst10-T]])*100/N$439</f>
        <v>98.177310458377136</v>
      </c>
      <c r="X189" s="9">
        <f>100-(O$436-Tabell2[[#This Row],[Kvinneandel-T]])*100/O$439</f>
        <v>48.822744661408684</v>
      </c>
      <c r="Y189" s="9">
        <f>(P$436-Tabell2[[#This Row],[Eldreandel-T]])*100/P$439</f>
        <v>88.275460638700167</v>
      </c>
      <c r="Z189" s="9">
        <f>100-(Q$436-Tabell2[[#This Row],[Sysselsettingsvekst10-T]])*100/Q$439</f>
        <v>56.782666262097649</v>
      </c>
      <c r="AA189" s="9">
        <f>100-(R$436-Tabell2[[#This Row],[Yrkesaktivandel-T]])*100/R$439</f>
        <v>85.187051207483407</v>
      </c>
      <c r="AB189" s="9">
        <f>100-(S$436-Tabell2[[#This Row],[Inntekt-T]])*100/S$439</f>
        <v>90.318118948824349</v>
      </c>
      <c r="AC189" s="48">
        <f>Tabell2[[#This Row],[NIBR11-I]]*Vekter!$B$3</f>
        <v>18</v>
      </c>
      <c r="AD189" s="48">
        <f>Tabell2[[#This Row],[ReisetidOslo-I]]*Vekter!$C$3</f>
        <v>3.5243221971921943</v>
      </c>
      <c r="AE189" s="48">
        <f>Tabell2[[#This Row],[Beftettotal-I]]*Vekter!$D$3</f>
        <v>1.9886658701234697E-2</v>
      </c>
      <c r="AF189" s="48">
        <f>Tabell2[[#This Row],[Befvekst10-I]]*Vekter!$E$3</f>
        <v>19.635462091675429</v>
      </c>
      <c r="AG189" s="48">
        <f>Tabell2[[#This Row],[Kvinneandel-I]]*Vekter!$F$3</f>
        <v>2.4411372330704344</v>
      </c>
      <c r="AH189" s="48">
        <f>Tabell2[[#This Row],[Eldreandel-I]]*Vekter!$G$3</f>
        <v>4.4137730319350084</v>
      </c>
      <c r="AI189" s="48">
        <f>Tabell2[[#This Row],[Sysselsettingsvekst10-I]]*Vekter!$H$3</f>
        <v>5.6782666262097656</v>
      </c>
      <c r="AJ189" s="48">
        <f>Tabell2[[#This Row],[Yrkesaktivandel-I]]*Vekter!$J$3</f>
        <v>8.5187051207483417</v>
      </c>
      <c r="AK189" s="48">
        <f>Tabell2[[#This Row],[Inntekt-I]]*Vekter!$L$3</f>
        <v>9.031811894882436</v>
      </c>
      <c r="AL189" s="37">
        <f>SUM(Tabell2[[#This Row],[NIBR11-v]:[Inntekt-v]])</f>
        <v>71.263364854414846</v>
      </c>
    </row>
    <row r="190" spans="1:38">
      <c r="A190" s="2" t="s">
        <v>187</v>
      </c>
      <c r="B190">
        <f>'Rådata-K'!M189</f>
        <v>2</v>
      </c>
      <c r="C190" s="9">
        <f>'Rådata-K'!L189</f>
        <v>208.71012144549999</v>
      </c>
      <c r="D190" s="51">
        <f>'Rådata-K'!N189</f>
        <v>55.650300279649748</v>
      </c>
      <c r="E190" s="51">
        <f>'Rådata-K'!O189</f>
        <v>0.17534856700232382</v>
      </c>
      <c r="F190" s="51">
        <f>'Rådata-K'!P189</f>
        <v>0.12999423346239394</v>
      </c>
      <c r="G190" s="51">
        <f>'Rådata-K'!Q189</f>
        <v>0.1232391465524343</v>
      </c>
      <c r="H190" s="51">
        <f>'Rådata-K'!R189</f>
        <v>0.32282978066110601</v>
      </c>
      <c r="I190" s="51">
        <f>'Rådata-K'!S189</f>
        <v>0.90040768782760627</v>
      </c>
      <c r="J190" s="52">
        <f>'Rådata-K'!K189</f>
        <v>408100</v>
      </c>
      <c r="K190" s="26">
        <f>Tabell2[[#This Row],[NIBR11]]</f>
        <v>2</v>
      </c>
      <c r="L190" s="52">
        <f>IF(Tabell2[[#This Row],[ReisetidOslo]]&lt;=C$434,C$434,IF(Tabell2[[#This Row],[ReisetidOslo]]&gt;=C$435,C$435,Tabell2[[#This Row],[ReisetidOslo]]))</f>
        <v>208.71012144549999</v>
      </c>
      <c r="M190" s="51">
        <f>IF(Tabell2[[#This Row],[Beftettotal]]&lt;=D$434,D$434,IF(Tabell2[[#This Row],[Beftettotal]]&gt;=D$435,D$435,Tabell2[[#This Row],[Beftettotal]]))</f>
        <v>55.650300279649748</v>
      </c>
      <c r="N190" s="51">
        <f>IF(Tabell2[[#This Row],[Befvekst10]]&lt;=E$434,E$434,IF(Tabell2[[#This Row],[Befvekst10]]&gt;=E$435,E$435,Tabell2[[#This Row],[Befvekst10]]))</f>
        <v>0.16633778614624492</v>
      </c>
      <c r="O190" s="51">
        <f>IF(Tabell2[[#This Row],[Kvinneandel]]&lt;=F$434,F$434,IF(Tabell2[[#This Row],[Kvinneandel]]&gt;=F$435,F$435,Tabell2[[#This Row],[Kvinneandel]]))</f>
        <v>0.12801731869362362</v>
      </c>
      <c r="P190" s="51">
        <f>IF(Tabell2[[#This Row],[Eldreandel]]&lt;=G$434,G$434,IF(Tabell2[[#This Row],[Eldreandel]]&gt;=G$435,G$435,Tabell2[[#This Row],[Eldreandel]]))</f>
        <v>0.1232391465524343</v>
      </c>
      <c r="Q190" s="51">
        <f>IF(Tabell2[[#This Row],[Sysselsettingsvekst10]]&lt;=H$434,H$434,IF(Tabell2[[#This Row],[Sysselsettingsvekst10]]&gt;=H$435,H$435,Tabell2[[#This Row],[Sysselsettingsvekst10]]))</f>
        <v>0.24286196513786068</v>
      </c>
      <c r="R190" s="51">
        <f>IF(Tabell2[[#This Row],[Yrkesaktivandel]]&lt;=I$434,I$434,IF(Tabell2[[#This Row],[Yrkesaktivandel]]&gt;=I$435,I$435,Tabell2[[#This Row],[Yrkesaktivandel]]))</f>
        <v>0.90040768782760627</v>
      </c>
      <c r="S190" s="52">
        <f>IF(Tabell2[[#This Row],[Inntekt]]&lt;=J$434,J$434,IF(Tabell2[[#This Row],[Inntekt]]&gt;=J$435,J$435,Tabell2[[#This Row],[Inntekt]]))</f>
        <v>400000</v>
      </c>
      <c r="T190" s="9">
        <f>IF(Tabell2[[#This Row],[NIBR11-T]]&lt;=K$437,100,IF(Tabell2[[#This Row],[NIBR11-T]]&gt;=K$436,0,100*(K$436-Tabell2[[#This Row],[NIBR11-T]])/K$439))</f>
        <v>90</v>
      </c>
      <c r="U190" s="9">
        <f>(L$436-Tabell2[[#This Row],[ReisetidOslo-T]])*100/L$439</f>
        <v>31.229905975023001</v>
      </c>
      <c r="V190" s="9">
        <f>100-(M$436-Tabell2[[#This Row],[Beftettotal-T]])*100/M$439</f>
        <v>42.778374654554419</v>
      </c>
      <c r="W190" s="9">
        <f>100-(N$436-Tabell2[[#This Row],[Befvekst10-T]])*100/N$439</f>
        <v>100</v>
      </c>
      <c r="X190" s="9">
        <f>100-(O$436-Tabell2[[#This Row],[Kvinneandel-T]])*100/O$439</f>
        <v>100</v>
      </c>
      <c r="Y190" s="9">
        <f>(P$436-Tabell2[[#This Row],[Eldreandel-T]])*100/P$439</f>
        <v>96.433055806383209</v>
      </c>
      <c r="Z190" s="9">
        <f>100-(Q$436-Tabell2[[#This Row],[Sysselsettingsvekst10-T]])*100/Q$439</f>
        <v>100</v>
      </c>
      <c r="AA190" s="9">
        <f>100-(R$436-Tabell2[[#This Row],[Yrkesaktivandel-T]])*100/R$439</f>
        <v>53.951614396419679</v>
      </c>
      <c r="AB190" s="9">
        <f>100-(S$436-Tabell2[[#This Row],[Inntekt-T]])*100/S$439</f>
        <v>100</v>
      </c>
      <c r="AC190" s="48">
        <f>Tabell2[[#This Row],[NIBR11-I]]*Vekter!$B$3</f>
        <v>18</v>
      </c>
      <c r="AD190" s="48">
        <f>Tabell2[[#This Row],[ReisetidOslo-I]]*Vekter!$C$3</f>
        <v>3.1229905975023002</v>
      </c>
      <c r="AE190" s="48">
        <f>Tabell2[[#This Row],[Beftettotal-I]]*Vekter!$D$3</f>
        <v>4.2778374654554421</v>
      </c>
      <c r="AF190" s="48">
        <f>Tabell2[[#This Row],[Befvekst10-I]]*Vekter!$E$3</f>
        <v>20</v>
      </c>
      <c r="AG190" s="48">
        <f>Tabell2[[#This Row],[Kvinneandel-I]]*Vekter!$F$3</f>
        <v>5</v>
      </c>
      <c r="AH190" s="48">
        <f>Tabell2[[#This Row],[Eldreandel-I]]*Vekter!$G$3</f>
        <v>4.8216527903191606</v>
      </c>
      <c r="AI190" s="48">
        <f>Tabell2[[#This Row],[Sysselsettingsvekst10-I]]*Vekter!$H$3</f>
        <v>10</v>
      </c>
      <c r="AJ190" s="48">
        <f>Tabell2[[#This Row],[Yrkesaktivandel-I]]*Vekter!$J$3</f>
        <v>5.395161439641968</v>
      </c>
      <c r="AK190" s="48">
        <f>Tabell2[[#This Row],[Inntekt-I]]*Vekter!$L$3</f>
        <v>10</v>
      </c>
      <c r="AL190" s="37">
        <f>SUM(Tabell2[[#This Row],[NIBR11-v]:[Inntekt-v]])</f>
        <v>80.617642292918873</v>
      </c>
    </row>
    <row r="191" spans="1:38">
      <c r="A191" s="2" t="s">
        <v>188</v>
      </c>
      <c r="B191">
        <f>'Rådata-K'!M190</f>
        <v>11</v>
      </c>
      <c r="C191" s="9">
        <f>'Rådata-K'!L190</f>
        <v>252.69941515799999</v>
      </c>
      <c r="D191" s="51">
        <f>'Rådata-K'!N190</f>
        <v>2.5596517330688271</v>
      </c>
      <c r="E191" s="51">
        <f>'Rådata-K'!O190</f>
        <v>1.4561339643247129E-2</v>
      </c>
      <c r="F191" s="51">
        <f>'Rådata-K'!P190</f>
        <v>0.1108719052744887</v>
      </c>
      <c r="G191" s="51">
        <f>'Rådata-K'!Q190</f>
        <v>0.14818801578758523</v>
      </c>
      <c r="H191" s="51">
        <f>'Rådata-K'!R190</f>
        <v>-6.8559556786703557E-2</v>
      </c>
      <c r="I191" s="51">
        <f>'Rådata-K'!S190</f>
        <v>0.96560674886437381</v>
      </c>
      <c r="J191" s="52">
        <f>'Rådata-K'!K190</f>
        <v>390000</v>
      </c>
      <c r="K191" s="26">
        <f>Tabell2[[#This Row],[NIBR11]]</f>
        <v>11</v>
      </c>
      <c r="L191" s="52">
        <f>IF(Tabell2[[#This Row],[ReisetidOslo]]&lt;=C$434,C$434,IF(Tabell2[[#This Row],[ReisetidOslo]]&gt;=C$435,C$435,Tabell2[[#This Row],[ReisetidOslo]]))</f>
        <v>252.69941515799999</v>
      </c>
      <c r="M191" s="51">
        <f>IF(Tabell2[[#This Row],[Beftettotal]]&lt;=D$434,D$434,IF(Tabell2[[#This Row],[Beftettotal]]&gt;=D$435,D$435,Tabell2[[#This Row],[Beftettotal]]))</f>
        <v>2.5596517330688271</v>
      </c>
      <c r="N191" s="51">
        <f>IF(Tabell2[[#This Row],[Befvekst10]]&lt;=E$434,E$434,IF(Tabell2[[#This Row],[Befvekst10]]&gt;=E$435,E$435,Tabell2[[#This Row],[Befvekst10]]))</f>
        <v>1.4561339643247129E-2</v>
      </c>
      <c r="O191" s="51">
        <f>IF(Tabell2[[#This Row],[Kvinneandel]]&lt;=F$434,F$434,IF(Tabell2[[#This Row],[Kvinneandel]]&gt;=F$435,F$435,Tabell2[[#This Row],[Kvinneandel]]))</f>
        <v>0.1108719052744887</v>
      </c>
      <c r="P191" s="51">
        <f>IF(Tabell2[[#This Row],[Eldreandel]]&lt;=G$434,G$434,IF(Tabell2[[#This Row],[Eldreandel]]&gt;=G$435,G$435,Tabell2[[#This Row],[Eldreandel]]))</f>
        <v>0.14818801578758523</v>
      </c>
      <c r="Q191" s="51">
        <f>IF(Tabell2[[#This Row],[Sysselsettingsvekst10]]&lt;=H$434,H$434,IF(Tabell2[[#This Row],[Sysselsettingsvekst10]]&gt;=H$435,H$435,Tabell2[[#This Row],[Sysselsettingsvekst10]]))</f>
        <v>-6.8559556786703557E-2</v>
      </c>
      <c r="R191" s="51">
        <f>IF(Tabell2[[#This Row],[Yrkesaktivandel]]&lt;=I$434,I$434,IF(Tabell2[[#This Row],[Yrkesaktivandel]]&gt;=I$435,I$435,Tabell2[[#This Row],[Yrkesaktivandel]]))</f>
        <v>0.96217815624658265</v>
      </c>
      <c r="S191" s="52">
        <f>IF(Tabell2[[#This Row],[Inntekt]]&lt;=J$434,J$434,IF(Tabell2[[#This Row],[Inntekt]]&gt;=J$435,J$435,Tabell2[[#This Row],[Inntekt]]))</f>
        <v>390000</v>
      </c>
      <c r="T191" s="9">
        <f>IF(Tabell2[[#This Row],[NIBR11-T]]&lt;=K$437,100,IF(Tabell2[[#This Row],[NIBR11-T]]&gt;=K$436,0,100*(K$436-Tabell2[[#This Row],[NIBR11-T]])/K$439))</f>
        <v>0</v>
      </c>
      <c r="U191" s="9">
        <f>(L$436-Tabell2[[#This Row],[ReisetidOslo-T]])*100/L$439</f>
        <v>11.7008329962568</v>
      </c>
      <c r="V191" s="9">
        <f>100-(M$436-Tabell2[[#This Row],[Beftettotal-T]])*100/M$439</f>
        <v>0.96088714115228413</v>
      </c>
      <c r="W191" s="9">
        <f>100-(N$436-Tabell2[[#This Row],[Befvekst10-T]])*100/N$439</f>
        <v>38.582791586775514</v>
      </c>
      <c r="X191" s="9">
        <f>100-(O$436-Tabell2[[#This Row],[Kvinneandel-T]])*100/O$439</f>
        <v>54.586981431355277</v>
      </c>
      <c r="Y191" s="9">
        <f>(P$436-Tabell2[[#This Row],[Eldreandel-T]])*100/P$439</f>
        <v>68.148860563528189</v>
      </c>
      <c r="Z191" s="9">
        <f>100-(Q$436-Tabell2[[#This Row],[Sysselsettingsvekst10-T]])*100/Q$439</f>
        <v>4.2670417180502795E-2</v>
      </c>
      <c r="AA191" s="9">
        <f>100-(R$436-Tabell2[[#This Row],[Yrkesaktivandel-T]])*100/R$439</f>
        <v>100</v>
      </c>
      <c r="AB191" s="9">
        <f>100-(S$436-Tabell2[[#This Row],[Inntekt-T]])*100/S$439</f>
        <v>87.426128504966684</v>
      </c>
      <c r="AC191" s="48">
        <f>Tabell2[[#This Row],[NIBR11-I]]*Vekter!$B$3</f>
        <v>0</v>
      </c>
      <c r="AD191" s="48">
        <f>Tabell2[[#This Row],[ReisetidOslo-I]]*Vekter!$C$3</f>
        <v>1.17008329962568</v>
      </c>
      <c r="AE191" s="48">
        <f>Tabell2[[#This Row],[Beftettotal-I]]*Vekter!$D$3</f>
        <v>9.6088714115228416E-2</v>
      </c>
      <c r="AF191" s="48">
        <f>Tabell2[[#This Row],[Befvekst10-I]]*Vekter!$E$3</f>
        <v>7.7165583173551031</v>
      </c>
      <c r="AG191" s="48">
        <f>Tabell2[[#This Row],[Kvinneandel-I]]*Vekter!$F$3</f>
        <v>2.7293490715677642</v>
      </c>
      <c r="AH191" s="48">
        <f>Tabell2[[#This Row],[Eldreandel-I]]*Vekter!$G$3</f>
        <v>3.4074430281764094</v>
      </c>
      <c r="AI191" s="48">
        <f>Tabell2[[#This Row],[Sysselsettingsvekst10-I]]*Vekter!$H$3</f>
        <v>4.2670417180502799E-3</v>
      </c>
      <c r="AJ191" s="48">
        <f>Tabell2[[#This Row],[Yrkesaktivandel-I]]*Vekter!$J$3</f>
        <v>10</v>
      </c>
      <c r="AK191" s="48">
        <f>Tabell2[[#This Row],[Inntekt-I]]*Vekter!$L$3</f>
        <v>8.742612850496668</v>
      </c>
      <c r="AL191" s="37">
        <f>SUM(Tabell2[[#This Row],[NIBR11-v]:[Inntekt-v]])</f>
        <v>33.866402323054906</v>
      </c>
    </row>
    <row r="192" spans="1:38">
      <c r="A192" s="2" t="s">
        <v>189</v>
      </c>
      <c r="B192">
        <f>'Rådata-K'!M191</f>
        <v>10</v>
      </c>
      <c r="C192" s="9">
        <f>'Rådata-K'!L191</f>
        <v>239.61046894770001</v>
      </c>
      <c r="D192" s="51">
        <f>'Rådata-K'!N191</f>
        <v>2.2344663995209801</v>
      </c>
      <c r="E192" s="51">
        <f>'Rådata-K'!O191</f>
        <v>-3.5943517329910524E-3</v>
      </c>
      <c r="F192" s="51">
        <f>'Rådata-K'!P191</f>
        <v>0.10873486214893069</v>
      </c>
      <c r="G192" s="51">
        <f>'Rådata-K'!Q191</f>
        <v>0.16490595207420769</v>
      </c>
      <c r="H192" s="51">
        <f>'Rådata-K'!R191</f>
        <v>0.12616339193381587</v>
      </c>
      <c r="I192" s="51">
        <f>'Rådata-K'!S191</f>
        <v>0.97350993377483441</v>
      </c>
      <c r="J192" s="52">
        <f>'Rådata-K'!K191</f>
        <v>361400</v>
      </c>
      <c r="K192" s="26">
        <f>Tabell2[[#This Row],[NIBR11]]</f>
        <v>10</v>
      </c>
      <c r="L192" s="52">
        <f>IF(Tabell2[[#This Row],[ReisetidOslo]]&lt;=C$434,C$434,IF(Tabell2[[#This Row],[ReisetidOslo]]&gt;=C$435,C$435,Tabell2[[#This Row],[ReisetidOslo]]))</f>
        <v>239.61046894770001</v>
      </c>
      <c r="M192" s="51">
        <f>IF(Tabell2[[#This Row],[Beftettotal]]&lt;=D$434,D$434,IF(Tabell2[[#This Row],[Beftettotal]]&gt;=D$435,D$435,Tabell2[[#This Row],[Beftettotal]]))</f>
        <v>2.2344663995209801</v>
      </c>
      <c r="N192" s="51">
        <f>IF(Tabell2[[#This Row],[Befvekst10]]&lt;=E$434,E$434,IF(Tabell2[[#This Row],[Befvekst10]]&gt;=E$435,E$435,Tabell2[[#This Row],[Befvekst10]]))</f>
        <v>-3.5943517329910524E-3</v>
      </c>
      <c r="O192" s="51">
        <f>IF(Tabell2[[#This Row],[Kvinneandel]]&lt;=F$434,F$434,IF(Tabell2[[#This Row],[Kvinneandel]]&gt;=F$435,F$435,Tabell2[[#This Row],[Kvinneandel]]))</f>
        <v>0.10873486214893069</v>
      </c>
      <c r="P192" s="51">
        <f>IF(Tabell2[[#This Row],[Eldreandel]]&lt;=G$434,G$434,IF(Tabell2[[#This Row],[Eldreandel]]&gt;=G$435,G$435,Tabell2[[#This Row],[Eldreandel]]))</f>
        <v>0.16490595207420769</v>
      </c>
      <c r="Q192" s="51">
        <f>IF(Tabell2[[#This Row],[Sysselsettingsvekst10]]&lt;=H$434,H$434,IF(Tabell2[[#This Row],[Sysselsettingsvekst10]]&gt;=H$435,H$435,Tabell2[[#This Row],[Sysselsettingsvekst10]]))</f>
        <v>0.12616339193381587</v>
      </c>
      <c r="R192" s="51">
        <f>IF(Tabell2[[#This Row],[Yrkesaktivandel]]&lt;=I$434,I$434,IF(Tabell2[[#This Row],[Yrkesaktivandel]]&gt;=I$435,I$435,Tabell2[[#This Row],[Yrkesaktivandel]]))</f>
        <v>0.96217815624658265</v>
      </c>
      <c r="S192" s="52">
        <f>IF(Tabell2[[#This Row],[Inntekt]]&lt;=J$434,J$434,IF(Tabell2[[#This Row],[Inntekt]]&gt;=J$435,J$435,Tabell2[[#This Row],[Inntekt]]))</f>
        <v>361400</v>
      </c>
      <c r="T192" s="9">
        <f>IF(Tabell2[[#This Row],[NIBR11-T]]&lt;=K$437,100,IF(Tabell2[[#This Row],[NIBR11-T]]&gt;=K$436,0,100*(K$436-Tabell2[[#This Row],[NIBR11-T]])/K$439))</f>
        <v>10</v>
      </c>
      <c r="U192" s="9">
        <f>(L$436-Tabell2[[#This Row],[ReisetidOslo-T]])*100/L$439</f>
        <v>17.511678413023699</v>
      </c>
      <c r="V192" s="9">
        <f>100-(M$436-Tabell2[[#This Row],[Beftettotal-T]])*100/M$439</f>
        <v>0.70475100423453796</v>
      </c>
      <c r="W192" s="9">
        <f>100-(N$436-Tabell2[[#This Row],[Befvekst10-T]])*100/N$439</f>
        <v>31.235987080329394</v>
      </c>
      <c r="X192" s="9">
        <f>100-(O$436-Tabell2[[#This Row],[Kvinneandel-T]])*100/O$439</f>
        <v>48.926600035439222</v>
      </c>
      <c r="Y192" s="9">
        <f>(P$436-Tabell2[[#This Row],[Eldreandel-T]])*100/P$439</f>
        <v>49.195962557143673</v>
      </c>
      <c r="Z192" s="9">
        <f>100-(Q$436-Tabell2[[#This Row],[Sysselsettingsvekst10-T]])*100/Q$439</f>
        <v>62.543122673367826</v>
      </c>
      <c r="AA192" s="9">
        <f>100-(R$436-Tabell2[[#This Row],[Yrkesaktivandel-T]])*100/R$439</f>
        <v>100</v>
      </c>
      <c r="AB192" s="9">
        <f>100-(S$436-Tabell2[[#This Row],[Inntekt-T]])*100/S$439</f>
        <v>51.464856029171379</v>
      </c>
      <c r="AC192" s="48">
        <f>Tabell2[[#This Row],[NIBR11-I]]*Vekter!$B$3</f>
        <v>2</v>
      </c>
      <c r="AD192" s="48">
        <f>Tabell2[[#This Row],[ReisetidOslo-I]]*Vekter!$C$3</f>
        <v>1.7511678413023699</v>
      </c>
      <c r="AE192" s="48">
        <f>Tabell2[[#This Row],[Beftettotal-I]]*Vekter!$D$3</f>
        <v>7.0475100423453799E-2</v>
      </c>
      <c r="AF192" s="48">
        <f>Tabell2[[#This Row],[Befvekst10-I]]*Vekter!$E$3</f>
        <v>6.2471974160658794</v>
      </c>
      <c r="AG192" s="48">
        <f>Tabell2[[#This Row],[Kvinneandel-I]]*Vekter!$F$3</f>
        <v>2.4463300017719614</v>
      </c>
      <c r="AH192" s="48">
        <f>Tabell2[[#This Row],[Eldreandel-I]]*Vekter!$G$3</f>
        <v>2.4597981278571837</v>
      </c>
      <c r="AI192" s="48">
        <f>Tabell2[[#This Row],[Sysselsettingsvekst10-I]]*Vekter!$H$3</f>
        <v>6.2543122673367826</v>
      </c>
      <c r="AJ192" s="48">
        <f>Tabell2[[#This Row],[Yrkesaktivandel-I]]*Vekter!$J$3</f>
        <v>10</v>
      </c>
      <c r="AK192" s="48">
        <f>Tabell2[[#This Row],[Inntekt-I]]*Vekter!$L$3</f>
        <v>5.1464856029171386</v>
      </c>
      <c r="AL192" s="37">
        <f>SUM(Tabell2[[#This Row],[NIBR11-v]:[Inntekt-v]])</f>
        <v>36.37576635767477</v>
      </c>
    </row>
    <row r="193" spans="1:38">
      <c r="A193" s="2" t="s">
        <v>190</v>
      </c>
      <c r="B193">
        <f>'Rådata-K'!M192</f>
        <v>9</v>
      </c>
      <c r="C193" s="9">
        <f>'Rådata-K'!L192</f>
        <v>251.86443753</v>
      </c>
      <c r="D193" s="51">
        <f>'Rådata-K'!N192</f>
        <v>8.7131612667032776</v>
      </c>
      <c r="E193" s="51">
        <f>'Rådata-K'!O192</f>
        <v>-2.419024190241903E-2</v>
      </c>
      <c r="F193" s="51">
        <f>'Rådata-K'!P192</f>
        <v>0.11092436974789915</v>
      </c>
      <c r="G193" s="51">
        <f>'Rådata-K'!Q192</f>
        <v>0.17941176470588235</v>
      </c>
      <c r="H193" s="51">
        <f>'Rådata-K'!R192</f>
        <v>1.1857707509881354E-2</v>
      </c>
      <c r="I193" s="51">
        <f>'Rådata-K'!S192</f>
        <v>0.89847908745247151</v>
      </c>
      <c r="J193" s="52">
        <f>'Rådata-K'!K192</f>
        <v>369400</v>
      </c>
      <c r="K193" s="26">
        <f>Tabell2[[#This Row],[NIBR11]]</f>
        <v>9</v>
      </c>
      <c r="L193" s="52">
        <f>IF(Tabell2[[#This Row],[ReisetidOslo]]&lt;=C$434,C$434,IF(Tabell2[[#This Row],[ReisetidOslo]]&gt;=C$435,C$435,Tabell2[[#This Row],[ReisetidOslo]]))</f>
        <v>251.86443753</v>
      </c>
      <c r="M193" s="51">
        <f>IF(Tabell2[[#This Row],[Beftettotal]]&lt;=D$434,D$434,IF(Tabell2[[#This Row],[Beftettotal]]&gt;=D$435,D$435,Tabell2[[#This Row],[Beftettotal]]))</f>
        <v>8.7131612667032776</v>
      </c>
      <c r="N193" s="51">
        <f>IF(Tabell2[[#This Row],[Befvekst10]]&lt;=E$434,E$434,IF(Tabell2[[#This Row],[Befvekst10]]&gt;=E$435,E$435,Tabell2[[#This Row],[Befvekst10]]))</f>
        <v>-2.419024190241903E-2</v>
      </c>
      <c r="O193" s="51">
        <f>IF(Tabell2[[#This Row],[Kvinneandel]]&lt;=F$434,F$434,IF(Tabell2[[#This Row],[Kvinneandel]]&gt;=F$435,F$435,Tabell2[[#This Row],[Kvinneandel]]))</f>
        <v>0.11092436974789915</v>
      </c>
      <c r="P193" s="51">
        <f>IF(Tabell2[[#This Row],[Eldreandel]]&lt;=G$434,G$434,IF(Tabell2[[#This Row],[Eldreandel]]&gt;=G$435,G$435,Tabell2[[#This Row],[Eldreandel]]))</f>
        <v>0.17941176470588235</v>
      </c>
      <c r="Q193" s="51">
        <f>IF(Tabell2[[#This Row],[Sysselsettingsvekst10]]&lt;=H$434,H$434,IF(Tabell2[[#This Row],[Sysselsettingsvekst10]]&gt;=H$435,H$435,Tabell2[[#This Row],[Sysselsettingsvekst10]]))</f>
        <v>1.1857707509881354E-2</v>
      </c>
      <c r="R193" s="51">
        <f>IF(Tabell2[[#This Row],[Yrkesaktivandel]]&lt;=I$434,I$434,IF(Tabell2[[#This Row],[Yrkesaktivandel]]&gt;=I$435,I$435,Tabell2[[#This Row],[Yrkesaktivandel]]))</f>
        <v>0.89847908745247151</v>
      </c>
      <c r="S193" s="52">
        <f>IF(Tabell2[[#This Row],[Inntekt]]&lt;=J$434,J$434,IF(Tabell2[[#This Row],[Inntekt]]&gt;=J$435,J$435,Tabell2[[#This Row],[Inntekt]]))</f>
        <v>369400</v>
      </c>
      <c r="T193" s="9">
        <f>IF(Tabell2[[#This Row],[NIBR11-T]]&lt;=K$437,100,IF(Tabell2[[#This Row],[NIBR11-T]]&gt;=K$436,0,100*(K$436-Tabell2[[#This Row],[NIBR11-T]])/K$439))</f>
        <v>20</v>
      </c>
      <c r="U193" s="9">
        <f>(L$436-Tabell2[[#This Row],[ReisetidOslo-T]])*100/L$439</f>
        <v>12.071521808389631</v>
      </c>
      <c r="V193" s="9">
        <f>100-(M$436-Tabell2[[#This Row],[Beftettotal-T]])*100/M$439</f>
        <v>5.8077728946873322</v>
      </c>
      <c r="W193" s="9">
        <f>100-(N$436-Tabell2[[#This Row],[Befvekst10-T]])*100/N$439</f>
        <v>22.901742155398594</v>
      </c>
      <c r="X193" s="9">
        <f>100-(O$436-Tabell2[[#This Row],[Kvinneandel-T]])*100/O$439</f>
        <v>54.725943965937496</v>
      </c>
      <c r="Y193" s="9">
        <f>(P$436-Tabell2[[#This Row],[Eldreandel-T]])*100/P$439</f>
        <v>32.750919186099821</v>
      </c>
      <c r="Z193" s="9">
        <f>100-(Q$436-Tabell2[[#This Row],[Sysselsettingsvekst10-T]])*100/Q$439</f>
        <v>25.854293653000283</v>
      </c>
      <c r="AA193" s="9">
        <f>100-(R$436-Tabell2[[#This Row],[Yrkesaktivandel-T]])*100/R$439</f>
        <v>52.513889606200472</v>
      </c>
      <c r="AB193" s="9">
        <f>100-(S$436-Tabell2[[#This Row],[Inntekt-T]])*100/S$439</f>
        <v>61.523953225198035</v>
      </c>
      <c r="AC193" s="48">
        <f>Tabell2[[#This Row],[NIBR11-I]]*Vekter!$B$3</f>
        <v>4</v>
      </c>
      <c r="AD193" s="48">
        <f>Tabell2[[#This Row],[ReisetidOslo-I]]*Vekter!$C$3</f>
        <v>1.2071521808389631</v>
      </c>
      <c r="AE193" s="48">
        <f>Tabell2[[#This Row],[Beftettotal-I]]*Vekter!$D$3</f>
        <v>0.58077728946873319</v>
      </c>
      <c r="AF193" s="48">
        <f>Tabell2[[#This Row],[Befvekst10-I]]*Vekter!$E$3</f>
        <v>4.5803484310797193</v>
      </c>
      <c r="AG193" s="48">
        <f>Tabell2[[#This Row],[Kvinneandel-I]]*Vekter!$F$3</f>
        <v>2.7362971982968749</v>
      </c>
      <c r="AH193" s="48">
        <f>Tabell2[[#This Row],[Eldreandel-I]]*Vekter!$G$3</f>
        <v>1.6375459593049912</v>
      </c>
      <c r="AI193" s="48">
        <f>Tabell2[[#This Row],[Sysselsettingsvekst10-I]]*Vekter!$H$3</f>
        <v>2.5854293653000284</v>
      </c>
      <c r="AJ193" s="48">
        <f>Tabell2[[#This Row],[Yrkesaktivandel-I]]*Vekter!$J$3</f>
        <v>5.2513889606200479</v>
      </c>
      <c r="AK193" s="48">
        <f>Tabell2[[#This Row],[Inntekt-I]]*Vekter!$L$3</f>
        <v>6.152395322519804</v>
      </c>
      <c r="AL193" s="37">
        <f>SUM(Tabell2[[#This Row],[NIBR11-v]:[Inntekt-v]])</f>
        <v>28.731334707429163</v>
      </c>
    </row>
    <row r="194" spans="1:38">
      <c r="A194" s="2" t="s">
        <v>191</v>
      </c>
      <c r="B194">
        <f>'Rådata-K'!M193</f>
        <v>2</v>
      </c>
      <c r="C194" s="9">
        <f>'Rådata-K'!L193</f>
        <v>194.4205606006</v>
      </c>
      <c r="D194" s="51">
        <f>'Rådata-K'!N193</f>
        <v>29.288382338856429</v>
      </c>
      <c r="E194" s="51">
        <f>'Rådata-K'!O193</f>
        <v>8.8643645425418249E-2</v>
      </c>
      <c r="F194" s="51">
        <f>'Rådata-K'!P193</f>
        <v>0.11739699149771092</v>
      </c>
      <c r="G194" s="51">
        <f>'Rådata-K'!Q193</f>
        <v>0.14617396991497711</v>
      </c>
      <c r="H194" s="51">
        <f>'Rådata-K'!R193</f>
        <v>0.15541601255886972</v>
      </c>
      <c r="I194" s="51">
        <f>'Rådata-K'!S193</f>
        <v>1.015606936416185</v>
      </c>
      <c r="J194" s="52">
        <f>'Rådata-K'!K193</f>
        <v>412100</v>
      </c>
      <c r="K194" s="26">
        <f>Tabell2[[#This Row],[NIBR11]]</f>
        <v>2</v>
      </c>
      <c r="L194" s="52">
        <f>IF(Tabell2[[#This Row],[ReisetidOslo]]&lt;=C$434,C$434,IF(Tabell2[[#This Row],[ReisetidOslo]]&gt;=C$435,C$435,Tabell2[[#This Row],[ReisetidOslo]]))</f>
        <v>194.4205606006</v>
      </c>
      <c r="M194" s="51">
        <f>IF(Tabell2[[#This Row],[Beftettotal]]&lt;=D$434,D$434,IF(Tabell2[[#This Row],[Beftettotal]]&gt;=D$435,D$435,Tabell2[[#This Row],[Beftettotal]]))</f>
        <v>29.288382338856429</v>
      </c>
      <c r="N194" s="51">
        <f>IF(Tabell2[[#This Row],[Befvekst10]]&lt;=E$434,E$434,IF(Tabell2[[#This Row],[Befvekst10]]&gt;=E$435,E$435,Tabell2[[#This Row],[Befvekst10]]))</f>
        <v>8.8643645425418249E-2</v>
      </c>
      <c r="O194" s="51">
        <f>IF(Tabell2[[#This Row],[Kvinneandel]]&lt;=F$434,F$434,IF(Tabell2[[#This Row],[Kvinneandel]]&gt;=F$435,F$435,Tabell2[[#This Row],[Kvinneandel]]))</f>
        <v>0.11739699149771092</v>
      </c>
      <c r="P194" s="51">
        <f>IF(Tabell2[[#This Row],[Eldreandel]]&lt;=G$434,G$434,IF(Tabell2[[#This Row],[Eldreandel]]&gt;=G$435,G$435,Tabell2[[#This Row],[Eldreandel]]))</f>
        <v>0.14617396991497711</v>
      </c>
      <c r="Q194" s="51">
        <f>IF(Tabell2[[#This Row],[Sysselsettingsvekst10]]&lt;=H$434,H$434,IF(Tabell2[[#This Row],[Sysselsettingsvekst10]]&gt;=H$435,H$435,Tabell2[[#This Row],[Sysselsettingsvekst10]]))</f>
        <v>0.15541601255886972</v>
      </c>
      <c r="R194" s="51">
        <f>IF(Tabell2[[#This Row],[Yrkesaktivandel]]&lt;=I$434,I$434,IF(Tabell2[[#This Row],[Yrkesaktivandel]]&gt;=I$435,I$435,Tabell2[[#This Row],[Yrkesaktivandel]]))</f>
        <v>0.96217815624658265</v>
      </c>
      <c r="S194" s="52">
        <f>IF(Tabell2[[#This Row],[Inntekt]]&lt;=J$434,J$434,IF(Tabell2[[#This Row],[Inntekt]]&gt;=J$435,J$435,Tabell2[[#This Row],[Inntekt]]))</f>
        <v>400000</v>
      </c>
      <c r="T194" s="9">
        <f>IF(Tabell2[[#This Row],[NIBR11-T]]&lt;=K$437,100,IF(Tabell2[[#This Row],[NIBR11-T]]&gt;=K$436,0,100*(K$436-Tabell2[[#This Row],[NIBR11-T]])/K$439))</f>
        <v>90</v>
      </c>
      <c r="U194" s="9">
        <f>(L$436-Tabell2[[#This Row],[ReisetidOslo-T]])*100/L$439</f>
        <v>37.573764969405396</v>
      </c>
      <c r="V194" s="9">
        <f>100-(M$436-Tabell2[[#This Row],[Beftettotal-T]])*100/M$439</f>
        <v>22.014093100313517</v>
      </c>
      <c r="W194" s="9">
        <f>100-(N$436-Tabell2[[#This Row],[Befvekst10-T]])*100/N$439</f>
        <v>68.560620945601372</v>
      </c>
      <c r="X194" s="9">
        <f>100-(O$436-Tabell2[[#This Row],[Kvinneandel-T]])*100/O$439</f>
        <v>71.869962866290521</v>
      </c>
      <c r="Y194" s="9">
        <f>(P$436-Tabell2[[#This Row],[Eldreandel-T]])*100/P$439</f>
        <v>70.432157099014233</v>
      </c>
      <c r="Z194" s="9">
        <f>100-(Q$436-Tabell2[[#This Row],[Sysselsettingsvekst10-T]])*100/Q$439</f>
        <v>71.932370477788922</v>
      </c>
      <c r="AA194" s="9">
        <f>100-(R$436-Tabell2[[#This Row],[Yrkesaktivandel-T]])*100/R$439</f>
        <v>100</v>
      </c>
      <c r="AB194" s="9">
        <f>100-(S$436-Tabell2[[#This Row],[Inntekt-T]])*100/S$439</f>
        <v>100</v>
      </c>
      <c r="AC194" s="48">
        <f>Tabell2[[#This Row],[NIBR11-I]]*Vekter!$B$3</f>
        <v>18</v>
      </c>
      <c r="AD194" s="48">
        <f>Tabell2[[#This Row],[ReisetidOslo-I]]*Vekter!$C$3</f>
        <v>3.7573764969405397</v>
      </c>
      <c r="AE194" s="48">
        <f>Tabell2[[#This Row],[Beftettotal-I]]*Vekter!$D$3</f>
        <v>2.2014093100313517</v>
      </c>
      <c r="AF194" s="48">
        <f>Tabell2[[#This Row],[Befvekst10-I]]*Vekter!$E$3</f>
        <v>13.712124189120274</v>
      </c>
      <c r="AG194" s="48">
        <f>Tabell2[[#This Row],[Kvinneandel-I]]*Vekter!$F$3</f>
        <v>3.5934981433145263</v>
      </c>
      <c r="AH194" s="48">
        <f>Tabell2[[#This Row],[Eldreandel-I]]*Vekter!$G$3</f>
        <v>3.5216078549507119</v>
      </c>
      <c r="AI194" s="48">
        <f>Tabell2[[#This Row],[Sysselsettingsvekst10-I]]*Vekter!$H$3</f>
        <v>7.1932370477788927</v>
      </c>
      <c r="AJ194" s="48">
        <f>Tabell2[[#This Row],[Yrkesaktivandel-I]]*Vekter!$J$3</f>
        <v>10</v>
      </c>
      <c r="AK194" s="48">
        <f>Tabell2[[#This Row],[Inntekt-I]]*Vekter!$L$3</f>
        <v>10</v>
      </c>
      <c r="AL194" s="37">
        <f>SUM(Tabell2[[#This Row],[NIBR11-v]:[Inntekt-v]])</f>
        <v>71.979253042136293</v>
      </c>
    </row>
    <row r="195" spans="1:38">
      <c r="A195" s="2" t="s">
        <v>192</v>
      </c>
      <c r="B195">
        <f>'Rådata-K'!M194</f>
        <v>2</v>
      </c>
      <c r="C195" s="9">
        <f>'Rådata-K'!L194</f>
        <v>180.61545932019999</v>
      </c>
      <c r="D195" s="51">
        <f>'Rådata-K'!N194</f>
        <v>72.595419847328245</v>
      </c>
      <c r="E195" s="51">
        <f>'Rådata-K'!O194</f>
        <v>0.4369900271985494</v>
      </c>
      <c r="F195" s="51">
        <f>'Rådata-K'!P194</f>
        <v>0.13417455310199788</v>
      </c>
      <c r="G195" s="51">
        <f>'Rådata-K'!Q194</f>
        <v>9.3796004206098849E-2</v>
      </c>
      <c r="H195" s="51">
        <f>'Rådata-K'!R194</f>
        <v>0.13937621832358671</v>
      </c>
      <c r="I195" s="51">
        <f>'Rådata-K'!S194</f>
        <v>0.96162201303403327</v>
      </c>
      <c r="J195" s="52">
        <f>'Rådata-K'!K194</f>
        <v>471000</v>
      </c>
      <c r="K195" s="26">
        <f>Tabell2[[#This Row],[NIBR11]]</f>
        <v>2</v>
      </c>
      <c r="L195" s="52">
        <f>IF(Tabell2[[#This Row],[ReisetidOslo]]&lt;=C$434,C$434,IF(Tabell2[[#This Row],[ReisetidOslo]]&gt;=C$435,C$435,Tabell2[[#This Row],[ReisetidOslo]]))</f>
        <v>180.61545932019999</v>
      </c>
      <c r="M195" s="51">
        <f>IF(Tabell2[[#This Row],[Beftettotal]]&lt;=D$434,D$434,IF(Tabell2[[#This Row],[Beftettotal]]&gt;=D$435,D$435,Tabell2[[#This Row],[Beftettotal]]))</f>
        <v>72.595419847328245</v>
      </c>
      <c r="N195" s="51">
        <f>IF(Tabell2[[#This Row],[Befvekst10]]&lt;=E$434,E$434,IF(Tabell2[[#This Row],[Befvekst10]]&gt;=E$435,E$435,Tabell2[[#This Row],[Befvekst10]]))</f>
        <v>0.16633778614624492</v>
      </c>
      <c r="O195" s="51">
        <f>IF(Tabell2[[#This Row],[Kvinneandel]]&lt;=F$434,F$434,IF(Tabell2[[#This Row],[Kvinneandel]]&gt;=F$435,F$435,Tabell2[[#This Row],[Kvinneandel]]))</f>
        <v>0.12801731869362362</v>
      </c>
      <c r="P195" s="51">
        <f>IF(Tabell2[[#This Row],[Eldreandel]]&lt;=G$434,G$434,IF(Tabell2[[#This Row],[Eldreandel]]&gt;=G$435,G$435,Tabell2[[#This Row],[Eldreandel]]))</f>
        <v>0.1200928231908705</v>
      </c>
      <c r="Q195" s="51">
        <f>IF(Tabell2[[#This Row],[Sysselsettingsvekst10]]&lt;=H$434,H$434,IF(Tabell2[[#This Row],[Sysselsettingsvekst10]]&gt;=H$435,H$435,Tabell2[[#This Row],[Sysselsettingsvekst10]]))</f>
        <v>0.13937621832358671</v>
      </c>
      <c r="R195" s="51">
        <f>IF(Tabell2[[#This Row],[Yrkesaktivandel]]&lt;=I$434,I$434,IF(Tabell2[[#This Row],[Yrkesaktivandel]]&gt;=I$435,I$435,Tabell2[[#This Row],[Yrkesaktivandel]]))</f>
        <v>0.96162201303403327</v>
      </c>
      <c r="S195" s="52">
        <f>IF(Tabell2[[#This Row],[Inntekt]]&lt;=J$434,J$434,IF(Tabell2[[#This Row],[Inntekt]]&gt;=J$435,J$435,Tabell2[[#This Row],[Inntekt]]))</f>
        <v>400000</v>
      </c>
      <c r="T195" s="9">
        <f>IF(Tabell2[[#This Row],[NIBR11-T]]&lt;=K$437,100,IF(Tabell2[[#This Row],[NIBR11-T]]&gt;=K$436,0,100*(K$436-Tabell2[[#This Row],[NIBR11-T]])/K$439))</f>
        <v>90</v>
      </c>
      <c r="U195" s="9">
        <f>(L$436-Tabell2[[#This Row],[ReisetidOslo-T]])*100/L$439</f>
        <v>43.702547853400205</v>
      </c>
      <c r="V195" s="9">
        <f>100-(M$436-Tabell2[[#This Row],[Beftettotal-T]])*100/M$439</f>
        <v>56.125401773893252</v>
      </c>
      <c r="W195" s="9">
        <f>100-(N$436-Tabell2[[#This Row],[Befvekst10-T]])*100/N$439</f>
        <v>100</v>
      </c>
      <c r="X195" s="9">
        <f>100-(O$436-Tabell2[[#This Row],[Kvinneandel-T]])*100/O$439</f>
        <v>100</v>
      </c>
      <c r="Y195" s="9">
        <f>(P$436-Tabell2[[#This Row],[Eldreandel-T]])*100/P$439</f>
        <v>100.00000000000001</v>
      </c>
      <c r="Z195" s="9">
        <f>100-(Q$436-Tabell2[[#This Row],[Sysselsettingsvekst10-T]])*100/Q$439</f>
        <v>66.784058990167466</v>
      </c>
      <c r="AA195" s="9">
        <f>100-(R$436-Tabell2[[#This Row],[Yrkesaktivandel-T]])*100/R$439</f>
        <v>99.585408727539772</v>
      </c>
      <c r="AB195" s="9">
        <f>100-(S$436-Tabell2[[#This Row],[Inntekt-T]])*100/S$439</f>
        <v>100</v>
      </c>
      <c r="AC195" s="48">
        <f>Tabell2[[#This Row],[NIBR11-I]]*Vekter!$B$3</f>
        <v>18</v>
      </c>
      <c r="AD195" s="48">
        <f>Tabell2[[#This Row],[ReisetidOslo-I]]*Vekter!$C$3</f>
        <v>4.3702547853400207</v>
      </c>
      <c r="AE195" s="48">
        <f>Tabell2[[#This Row],[Beftettotal-I]]*Vekter!$D$3</f>
        <v>5.6125401773893255</v>
      </c>
      <c r="AF195" s="48">
        <f>Tabell2[[#This Row],[Befvekst10-I]]*Vekter!$E$3</f>
        <v>20</v>
      </c>
      <c r="AG195" s="48">
        <f>Tabell2[[#This Row],[Kvinneandel-I]]*Vekter!$F$3</f>
        <v>5</v>
      </c>
      <c r="AH195" s="48">
        <f>Tabell2[[#This Row],[Eldreandel-I]]*Vekter!$G$3</f>
        <v>5.0000000000000009</v>
      </c>
      <c r="AI195" s="48">
        <f>Tabell2[[#This Row],[Sysselsettingsvekst10-I]]*Vekter!$H$3</f>
        <v>6.678405899016747</v>
      </c>
      <c r="AJ195" s="48">
        <f>Tabell2[[#This Row],[Yrkesaktivandel-I]]*Vekter!$J$3</f>
        <v>9.9585408727539786</v>
      </c>
      <c r="AK195" s="48">
        <f>Tabell2[[#This Row],[Inntekt-I]]*Vekter!$L$3</f>
        <v>10</v>
      </c>
      <c r="AL195" s="37">
        <f>SUM(Tabell2[[#This Row],[NIBR11-v]:[Inntekt-v]])</f>
        <v>84.619741734500082</v>
      </c>
    </row>
    <row r="196" spans="1:38">
      <c r="A196" s="2" t="s">
        <v>193</v>
      </c>
      <c r="B196">
        <f>'Rådata-K'!M195</f>
        <v>2</v>
      </c>
      <c r="C196" s="9">
        <f>'Rådata-K'!L195</f>
        <v>224.42987368960002</v>
      </c>
      <c r="D196" s="51">
        <f>'Rådata-K'!N195</f>
        <v>84.419713831478532</v>
      </c>
      <c r="E196" s="51">
        <f>'Rådata-K'!O195</f>
        <v>4.5275590551181022E-2</v>
      </c>
      <c r="F196" s="51">
        <f>'Rådata-K'!P195</f>
        <v>0.10169491525423729</v>
      </c>
      <c r="G196" s="51">
        <f>'Rådata-K'!Q195</f>
        <v>0.19962335216572505</v>
      </c>
      <c r="H196" s="51">
        <f>'Rådata-K'!R195</f>
        <v>0.12977099236641232</v>
      </c>
      <c r="I196" s="51">
        <f>'Rådata-K'!S195</f>
        <v>0.97517730496453903</v>
      </c>
      <c r="J196" s="52">
        <f>'Rådata-K'!K195</f>
        <v>364300</v>
      </c>
      <c r="K196" s="26">
        <f>Tabell2[[#This Row],[NIBR11]]</f>
        <v>2</v>
      </c>
      <c r="L196" s="52">
        <f>IF(Tabell2[[#This Row],[ReisetidOslo]]&lt;=C$434,C$434,IF(Tabell2[[#This Row],[ReisetidOslo]]&gt;=C$435,C$435,Tabell2[[#This Row],[ReisetidOslo]]))</f>
        <v>224.42987368960002</v>
      </c>
      <c r="M196" s="51">
        <f>IF(Tabell2[[#This Row],[Beftettotal]]&lt;=D$434,D$434,IF(Tabell2[[#This Row],[Beftettotal]]&gt;=D$435,D$435,Tabell2[[#This Row],[Beftettotal]]))</f>
        <v>84.419713831478532</v>
      </c>
      <c r="N196" s="51">
        <f>IF(Tabell2[[#This Row],[Befvekst10]]&lt;=E$434,E$434,IF(Tabell2[[#This Row],[Befvekst10]]&gt;=E$435,E$435,Tabell2[[#This Row],[Befvekst10]]))</f>
        <v>4.5275590551181022E-2</v>
      </c>
      <c r="O196" s="51">
        <f>IF(Tabell2[[#This Row],[Kvinneandel]]&lt;=F$434,F$434,IF(Tabell2[[#This Row],[Kvinneandel]]&gt;=F$435,F$435,Tabell2[[#This Row],[Kvinneandel]]))</f>
        <v>0.10169491525423729</v>
      </c>
      <c r="P196" s="51">
        <f>IF(Tabell2[[#This Row],[Eldreandel]]&lt;=G$434,G$434,IF(Tabell2[[#This Row],[Eldreandel]]&gt;=G$435,G$435,Tabell2[[#This Row],[Eldreandel]]))</f>
        <v>0.19962335216572505</v>
      </c>
      <c r="Q196" s="51">
        <f>IF(Tabell2[[#This Row],[Sysselsettingsvekst10]]&lt;=H$434,H$434,IF(Tabell2[[#This Row],[Sysselsettingsvekst10]]&gt;=H$435,H$435,Tabell2[[#This Row],[Sysselsettingsvekst10]]))</f>
        <v>0.12977099236641232</v>
      </c>
      <c r="R196" s="51">
        <f>IF(Tabell2[[#This Row],[Yrkesaktivandel]]&lt;=I$434,I$434,IF(Tabell2[[#This Row],[Yrkesaktivandel]]&gt;=I$435,I$435,Tabell2[[#This Row],[Yrkesaktivandel]]))</f>
        <v>0.96217815624658265</v>
      </c>
      <c r="S196" s="52">
        <f>IF(Tabell2[[#This Row],[Inntekt]]&lt;=J$434,J$434,IF(Tabell2[[#This Row],[Inntekt]]&gt;=J$435,J$435,Tabell2[[#This Row],[Inntekt]]))</f>
        <v>364300</v>
      </c>
      <c r="T196" s="9">
        <f>IF(Tabell2[[#This Row],[NIBR11-T]]&lt;=K$437,100,IF(Tabell2[[#This Row],[NIBR11-T]]&gt;=K$436,0,100*(K$436-Tabell2[[#This Row],[NIBR11-T]])/K$439))</f>
        <v>90</v>
      </c>
      <c r="U196" s="9">
        <f>(L$436-Tabell2[[#This Row],[ReisetidOslo-T]])*100/L$439</f>
        <v>24.251112662505729</v>
      </c>
      <c r="V196" s="9">
        <f>100-(M$436-Tabell2[[#This Row],[Beftettotal-T]])*100/M$439</f>
        <v>65.438949066561321</v>
      </c>
      <c r="W196" s="9">
        <f>100-(N$436-Tabell2[[#This Row],[Befvekst10-T]])*100/N$439</f>
        <v>51.011489139866448</v>
      </c>
      <c r="X196" s="9">
        <f>100-(O$436-Tabell2[[#This Row],[Kvinneandel-T]])*100/O$439</f>
        <v>30.279908279719834</v>
      </c>
      <c r="Y196" s="9">
        <f>(P$436-Tabell2[[#This Row],[Eldreandel-T]])*100/P$439</f>
        <v>9.8373161488609124</v>
      </c>
      <c r="Z196" s="9">
        <f>100-(Q$436-Tabell2[[#This Row],[Sysselsettingsvekst10-T]])*100/Q$439</f>
        <v>63.701058397320502</v>
      </c>
      <c r="AA196" s="9">
        <f>100-(R$436-Tabell2[[#This Row],[Yrkesaktivandel-T]])*100/R$439</f>
        <v>100</v>
      </c>
      <c r="AB196" s="9">
        <f>100-(S$436-Tabell2[[#This Row],[Inntekt-T]])*100/S$439</f>
        <v>55.111278762731047</v>
      </c>
      <c r="AC196" s="48">
        <f>Tabell2[[#This Row],[NIBR11-I]]*Vekter!$B$3</f>
        <v>18</v>
      </c>
      <c r="AD196" s="48">
        <f>Tabell2[[#This Row],[ReisetidOslo-I]]*Vekter!$C$3</f>
        <v>2.4251112662505729</v>
      </c>
      <c r="AE196" s="48">
        <f>Tabell2[[#This Row],[Beftettotal-I]]*Vekter!$D$3</f>
        <v>6.5438949066561323</v>
      </c>
      <c r="AF196" s="48">
        <f>Tabell2[[#This Row],[Befvekst10-I]]*Vekter!$E$3</f>
        <v>10.20229782797329</v>
      </c>
      <c r="AG196" s="48">
        <f>Tabell2[[#This Row],[Kvinneandel-I]]*Vekter!$F$3</f>
        <v>1.5139954139859917</v>
      </c>
      <c r="AH196" s="48">
        <f>Tabell2[[#This Row],[Eldreandel-I]]*Vekter!$G$3</f>
        <v>0.49186580744304564</v>
      </c>
      <c r="AI196" s="48">
        <f>Tabell2[[#This Row],[Sysselsettingsvekst10-I]]*Vekter!$H$3</f>
        <v>6.3701058397320507</v>
      </c>
      <c r="AJ196" s="48">
        <f>Tabell2[[#This Row],[Yrkesaktivandel-I]]*Vekter!$J$3</f>
        <v>10</v>
      </c>
      <c r="AK196" s="48">
        <f>Tabell2[[#This Row],[Inntekt-I]]*Vekter!$L$3</f>
        <v>5.5111278762731049</v>
      </c>
      <c r="AL196" s="37">
        <f>SUM(Tabell2[[#This Row],[NIBR11-v]:[Inntekt-v]])</f>
        <v>61.058398938314198</v>
      </c>
    </row>
    <row r="197" spans="1:38">
      <c r="A197" s="2" t="s">
        <v>194</v>
      </c>
      <c r="B197">
        <f>'Rådata-K'!M196</f>
        <v>4</v>
      </c>
      <c r="C197" s="9">
        <f>'Rådata-K'!L196</f>
        <v>195.3012530446</v>
      </c>
      <c r="D197" s="51">
        <f>'Rådata-K'!N196</f>
        <v>18.405428329092448</v>
      </c>
      <c r="E197" s="51">
        <f>'Rådata-K'!O196</f>
        <v>0.13168187744458937</v>
      </c>
      <c r="F197" s="51">
        <f>'Rådata-K'!P196</f>
        <v>0.11405529953917051</v>
      </c>
      <c r="G197" s="51">
        <f>'Rådata-K'!Q196</f>
        <v>0.17165898617511521</v>
      </c>
      <c r="H197" s="51">
        <f>'Rådata-K'!R196</f>
        <v>2.8481012658227778E-2</v>
      </c>
      <c r="I197" s="51">
        <f>'Rådata-K'!S196</f>
        <v>0.9161425576519916</v>
      </c>
      <c r="J197" s="52">
        <f>'Rådata-K'!K196</f>
        <v>381900</v>
      </c>
      <c r="K197" s="26">
        <f>Tabell2[[#This Row],[NIBR11]]</f>
        <v>4</v>
      </c>
      <c r="L197" s="52">
        <f>IF(Tabell2[[#This Row],[ReisetidOslo]]&lt;=C$434,C$434,IF(Tabell2[[#This Row],[ReisetidOslo]]&gt;=C$435,C$435,Tabell2[[#This Row],[ReisetidOslo]]))</f>
        <v>195.3012530446</v>
      </c>
      <c r="M197" s="51">
        <f>IF(Tabell2[[#This Row],[Beftettotal]]&lt;=D$434,D$434,IF(Tabell2[[#This Row],[Beftettotal]]&gt;=D$435,D$435,Tabell2[[#This Row],[Beftettotal]]))</f>
        <v>18.405428329092448</v>
      </c>
      <c r="N197" s="51">
        <f>IF(Tabell2[[#This Row],[Befvekst10]]&lt;=E$434,E$434,IF(Tabell2[[#This Row],[Befvekst10]]&gt;=E$435,E$435,Tabell2[[#This Row],[Befvekst10]]))</f>
        <v>0.13168187744458937</v>
      </c>
      <c r="O197" s="51">
        <f>IF(Tabell2[[#This Row],[Kvinneandel]]&lt;=F$434,F$434,IF(Tabell2[[#This Row],[Kvinneandel]]&gt;=F$435,F$435,Tabell2[[#This Row],[Kvinneandel]]))</f>
        <v>0.11405529953917051</v>
      </c>
      <c r="P197" s="51">
        <f>IF(Tabell2[[#This Row],[Eldreandel]]&lt;=G$434,G$434,IF(Tabell2[[#This Row],[Eldreandel]]&gt;=G$435,G$435,Tabell2[[#This Row],[Eldreandel]]))</f>
        <v>0.17165898617511521</v>
      </c>
      <c r="Q197" s="51">
        <f>IF(Tabell2[[#This Row],[Sysselsettingsvekst10]]&lt;=H$434,H$434,IF(Tabell2[[#This Row],[Sysselsettingsvekst10]]&gt;=H$435,H$435,Tabell2[[#This Row],[Sysselsettingsvekst10]]))</f>
        <v>2.8481012658227778E-2</v>
      </c>
      <c r="R197" s="51">
        <f>IF(Tabell2[[#This Row],[Yrkesaktivandel]]&lt;=I$434,I$434,IF(Tabell2[[#This Row],[Yrkesaktivandel]]&gt;=I$435,I$435,Tabell2[[#This Row],[Yrkesaktivandel]]))</f>
        <v>0.9161425576519916</v>
      </c>
      <c r="S197" s="52">
        <f>IF(Tabell2[[#This Row],[Inntekt]]&lt;=J$434,J$434,IF(Tabell2[[#This Row],[Inntekt]]&gt;=J$435,J$435,Tabell2[[#This Row],[Inntekt]]))</f>
        <v>381900</v>
      </c>
      <c r="T197" s="9">
        <f>IF(Tabell2[[#This Row],[NIBR11-T]]&lt;=K$437,100,IF(Tabell2[[#This Row],[NIBR11-T]]&gt;=K$436,0,100*(K$436-Tabell2[[#This Row],[NIBR11-T]])/K$439))</f>
        <v>70</v>
      </c>
      <c r="U197" s="9">
        <f>(L$436-Tabell2[[#This Row],[ReisetidOslo-T]])*100/L$439</f>
        <v>37.182781037653001</v>
      </c>
      <c r="V197" s="9">
        <f>100-(M$436-Tabell2[[#This Row],[Beftettotal-T]])*100/M$439</f>
        <v>13.442003554017262</v>
      </c>
      <c r="W197" s="9">
        <f>100-(N$436-Tabell2[[#This Row],[Befvekst10-T]])*100/N$439</f>
        <v>85.976288043894755</v>
      </c>
      <c r="X197" s="9">
        <f>100-(O$436-Tabell2[[#This Row],[Kvinneandel-T]])*100/O$439</f>
        <v>63.018830773172219</v>
      </c>
      <c r="Y197" s="9">
        <f>(P$436-Tabell2[[#This Row],[Eldreandel-T]])*100/P$439</f>
        <v>41.54013923339091</v>
      </c>
      <c r="Z197" s="9">
        <f>100-(Q$436-Tabell2[[#This Row],[Sysselsettingsvekst10-T]])*100/Q$439</f>
        <v>31.189895319835429</v>
      </c>
      <c r="AA197" s="9">
        <f>100-(R$436-Tabell2[[#This Row],[Yrkesaktivandel-T]])*100/R$439</f>
        <v>65.681578109514049</v>
      </c>
      <c r="AB197" s="9">
        <f>100-(S$436-Tabell2[[#This Row],[Inntekt-T]])*100/S$439</f>
        <v>77.241292593989698</v>
      </c>
      <c r="AC197" s="48">
        <f>Tabell2[[#This Row],[NIBR11-I]]*Vekter!$B$3</f>
        <v>14</v>
      </c>
      <c r="AD197" s="48">
        <f>Tabell2[[#This Row],[ReisetidOslo-I]]*Vekter!$C$3</f>
        <v>3.7182781037653001</v>
      </c>
      <c r="AE197" s="48">
        <f>Tabell2[[#This Row],[Beftettotal-I]]*Vekter!$D$3</f>
        <v>1.3442003554017263</v>
      </c>
      <c r="AF197" s="48">
        <f>Tabell2[[#This Row],[Befvekst10-I]]*Vekter!$E$3</f>
        <v>17.195257608778952</v>
      </c>
      <c r="AG197" s="48">
        <f>Tabell2[[#This Row],[Kvinneandel-I]]*Vekter!$F$3</f>
        <v>3.150941538658611</v>
      </c>
      <c r="AH197" s="48">
        <f>Tabell2[[#This Row],[Eldreandel-I]]*Vekter!$G$3</f>
        <v>2.0770069616695457</v>
      </c>
      <c r="AI197" s="48">
        <f>Tabell2[[#This Row],[Sysselsettingsvekst10-I]]*Vekter!$H$3</f>
        <v>3.118989531983543</v>
      </c>
      <c r="AJ197" s="48">
        <f>Tabell2[[#This Row],[Yrkesaktivandel-I]]*Vekter!$J$3</f>
        <v>6.5681578109514049</v>
      </c>
      <c r="AK197" s="48">
        <f>Tabell2[[#This Row],[Inntekt-I]]*Vekter!$L$3</f>
        <v>7.7241292593989703</v>
      </c>
      <c r="AL197" s="37">
        <f>SUM(Tabell2[[#This Row],[NIBR11-v]:[Inntekt-v]])</f>
        <v>58.896961170608058</v>
      </c>
    </row>
    <row r="198" spans="1:38">
      <c r="A198" s="2" t="s">
        <v>195</v>
      </c>
      <c r="B198">
        <f>'Rådata-K'!M197</f>
        <v>4</v>
      </c>
      <c r="C198" s="9">
        <f>'Rådata-K'!L197</f>
        <v>170.3523457014</v>
      </c>
      <c r="D198" s="51">
        <f>'Rådata-K'!N197</f>
        <v>25.077574047954869</v>
      </c>
      <c r="E198" s="51">
        <f>'Rådata-K'!O197</f>
        <v>0.15792901335070009</v>
      </c>
      <c r="F198" s="51">
        <f>'Rådata-K'!P197</f>
        <v>0.12439070116235471</v>
      </c>
      <c r="G198" s="51">
        <f>'Rådata-K'!Q197</f>
        <v>0.11876640419947507</v>
      </c>
      <c r="H198" s="51">
        <f>'Rådata-K'!R197</f>
        <v>0.19380925822643613</v>
      </c>
      <c r="I198" s="51">
        <f>'Rådata-K'!S197</f>
        <v>0.91967130638940131</v>
      </c>
      <c r="J198" s="52">
        <f>'Rådata-K'!K197</f>
        <v>394600</v>
      </c>
      <c r="K198" s="26">
        <f>Tabell2[[#This Row],[NIBR11]]</f>
        <v>4</v>
      </c>
      <c r="L198" s="52">
        <f>IF(Tabell2[[#This Row],[ReisetidOslo]]&lt;=C$434,C$434,IF(Tabell2[[#This Row],[ReisetidOslo]]&gt;=C$435,C$435,Tabell2[[#This Row],[ReisetidOslo]]))</f>
        <v>170.3523457014</v>
      </c>
      <c r="M198" s="51">
        <f>IF(Tabell2[[#This Row],[Beftettotal]]&lt;=D$434,D$434,IF(Tabell2[[#This Row],[Beftettotal]]&gt;=D$435,D$435,Tabell2[[#This Row],[Beftettotal]]))</f>
        <v>25.077574047954869</v>
      </c>
      <c r="N198" s="51">
        <f>IF(Tabell2[[#This Row],[Befvekst10]]&lt;=E$434,E$434,IF(Tabell2[[#This Row],[Befvekst10]]&gt;=E$435,E$435,Tabell2[[#This Row],[Befvekst10]]))</f>
        <v>0.15792901335070009</v>
      </c>
      <c r="O198" s="51">
        <f>IF(Tabell2[[#This Row],[Kvinneandel]]&lt;=F$434,F$434,IF(Tabell2[[#This Row],[Kvinneandel]]&gt;=F$435,F$435,Tabell2[[#This Row],[Kvinneandel]]))</f>
        <v>0.12439070116235471</v>
      </c>
      <c r="P198" s="51">
        <f>IF(Tabell2[[#This Row],[Eldreandel]]&lt;=G$434,G$434,IF(Tabell2[[#This Row],[Eldreandel]]&gt;=G$435,G$435,Tabell2[[#This Row],[Eldreandel]]))</f>
        <v>0.1200928231908705</v>
      </c>
      <c r="Q198" s="51">
        <f>IF(Tabell2[[#This Row],[Sysselsettingsvekst10]]&lt;=H$434,H$434,IF(Tabell2[[#This Row],[Sysselsettingsvekst10]]&gt;=H$435,H$435,Tabell2[[#This Row],[Sysselsettingsvekst10]]))</f>
        <v>0.19380925822643613</v>
      </c>
      <c r="R198" s="51">
        <f>IF(Tabell2[[#This Row],[Yrkesaktivandel]]&lt;=I$434,I$434,IF(Tabell2[[#This Row],[Yrkesaktivandel]]&gt;=I$435,I$435,Tabell2[[#This Row],[Yrkesaktivandel]]))</f>
        <v>0.91967130638940131</v>
      </c>
      <c r="S198" s="52">
        <f>IF(Tabell2[[#This Row],[Inntekt]]&lt;=J$434,J$434,IF(Tabell2[[#This Row],[Inntekt]]&gt;=J$435,J$435,Tabell2[[#This Row],[Inntekt]]))</f>
        <v>394600</v>
      </c>
      <c r="T198" s="9">
        <f>IF(Tabell2[[#This Row],[NIBR11-T]]&lt;=K$437,100,IF(Tabell2[[#This Row],[NIBR11-T]]&gt;=K$436,0,100*(K$436-Tabell2[[#This Row],[NIBR11-T]])/K$439))</f>
        <v>70</v>
      </c>
      <c r="U198" s="9">
        <f>(L$436-Tabell2[[#This Row],[ReisetidOslo-T]])*100/L$439</f>
        <v>48.258863218699204</v>
      </c>
      <c r="V198" s="9">
        <f>100-(M$436-Tabell2[[#This Row],[Beftettotal-T]])*100/M$439</f>
        <v>18.697399333206661</v>
      </c>
      <c r="W198" s="9">
        <f>100-(N$436-Tabell2[[#This Row],[Befvekst10-T]])*100/N$439</f>
        <v>96.597341925031643</v>
      </c>
      <c r="X198" s="9">
        <f>100-(O$436-Tabell2[[#This Row],[Kvinneandel-T]])*100/O$439</f>
        <v>90.394186173132383</v>
      </c>
      <c r="Y198" s="9">
        <f>(P$436-Tabell2[[#This Row],[Eldreandel-T]])*100/P$439</f>
        <v>100.00000000000001</v>
      </c>
      <c r="Z198" s="9">
        <f>100-(Q$436-Tabell2[[#This Row],[Sysselsettingsvekst10-T]])*100/Q$439</f>
        <v>84.255495376898168</v>
      </c>
      <c r="AA198" s="9">
        <f>100-(R$436-Tabell2[[#This Row],[Yrkesaktivandel-T]])*100/R$439</f>
        <v>68.31217468288358</v>
      </c>
      <c r="AB198" s="9">
        <f>100-(S$436-Tabell2[[#This Row],[Inntekt-T]])*100/S$439</f>
        <v>93.210109392682</v>
      </c>
      <c r="AC198" s="48">
        <f>Tabell2[[#This Row],[NIBR11-I]]*Vekter!$B$3</f>
        <v>14</v>
      </c>
      <c r="AD198" s="48">
        <f>Tabell2[[#This Row],[ReisetidOslo-I]]*Vekter!$C$3</f>
        <v>4.8258863218699206</v>
      </c>
      <c r="AE198" s="48">
        <f>Tabell2[[#This Row],[Beftettotal-I]]*Vekter!$D$3</f>
        <v>1.8697399333206661</v>
      </c>
      <c r="AF198" s="48">
        <f>Tabell2[[#This Row],[Befvekst10-I]]*Vekter!$E$3</f>
        <v>19.319468385006331</v>
      </c>
      <c r="AG198" s="48">
        <f>Tabell2[[#This Row],[Kvinneandel-I]]*Vekter!$F$3</f>
        <v>4.5197093086566191</v>
      </c>
      <c r="AH198" s="48">
        <f>Tabell2[[#This Row],[Eldreandel-I]]*Vekter!$G$3</f>
        <v>5.0000000000000009</v>
      </c>
      <c r="AI198" s="48">
        <f>Tabell2[[#This Row],[Sysselsettingsvekst10-I]]*Vekter!$H$3</f>
        <v>8.4255495376898164</v>
      </c>
      <c r="AJ198" s="48">
        <f>Tabell2[[#This Row],[Yrkesaktivandel-I]]*Vekter!$J$3</f>
        <v>6.831217468288358</v>
      </c>
      <c r="AK198" s="48">
        <f>Tabell2[[#This Row],[Inntekt-I]]*Vekter!$L$3</f>
        <v>9.3210109392682003</v>
      </c>
      <c r="AL198" s="37">
        <f>SUM(Tabell2[[#This Row],[NIBR11-v]:[Inntekt-v]])</f>
        <v>74.112581894099918</v>
      </c>
    </row>
    <row r="199" spans="1:38">
      <c r="A199" s="2" t="s">
        <v>196</v>
      </c>
      <c r="B199">
        <f>'Rådata-K'!M198</f>
        <v>4</v>
      </c>
      <c r="C199" s="9">
        <f>'Rådata-K'!L198</f>
        <v>160.56813710329999</v>
      </c>
      <c r="D199" s="51">
        <f>'Rådata-K'!N198</f>
        <v>181.61374510656808</v>
      </c>
      <c r="E199" s="51">
        <f>'Rådata-K'!O198</f>
        <v>0.11995386389850049</v>
      </c>
      <c r="F199" s="51">
        <f>'Rådata-K'!P198</f>
        <v>0.12681723468972289</v>
      </c>
      <c r="G199" s="51">
        <f>'Rådata-K'!Q198</f>
        <v>0.12674538356525281</v>
      </c>
      <c r="H199" s="51">
        <f>'Rådata-K'!R198</f>
        <v>0.13148711856856488</v>
      </c>
      <c r="I199" s="51">
        <f>'Rådata-K'!S198</f>
        <v>0.85339749439973456</v>
      </c>
      <c r="J199" s="52">
        <f>'Rådata-K'!K198</f>
        <v>382100</v>
      </c>
      <c r="K199" s="26">
        <f>Tabell2[[#This Row],[NIBR11]]</f>
        <v>4</v>
      </c>
      <c r="L199" s="52">
        <f>IF(Tabell2[[#This Row],[ReisetidOslo]]&lt;=C$434,C$434,IF(Tabell2[[#This Row],[ReisetidOslo]]&gt;=C$435,C$435,Tabell2[[#This Row],[ReisetidOslo]]))</f>
        <v>160.56813710329999</v>
      </c>
      <c r="M199" s="51">
        <f>IF(Tabell2[[#This Row],[Beftettotal]]&lt;=D$434,D$434,IF(Tabell2[[#This Row],[Beftettotal]]&gt;=D$435,D$435,Tabell2[[#This Row],[Beftettotal]]))</f>
        <v>128.29773514779066</v>
      </c>
      <c r="N199" s="51">
        <f>IF(Tabell2[[#This Row],[Befvekst10]]&lt;=E$434,E$434,IF(Tabell2[[#This Row],[Befvekst10]]&gt;=E$435,E$435,Tabell2[[#This Row],[Befvekst10]]))</f>
        <v>0.11995386389850049</v>
      </c>
      <c r="O199" s="51">
        <f>IF(Tabell2[[#This Row],[Kvinneandel]]&lt;=F$434,F$434,IF(Tabell2[[#This Row],[Kvinneandel]]&gt;=F$435,F$435,Tabell2[[#This Row],[Kvinneandel]]))</f>
        <v>0.12681723468972289</v>
      </c>
      <c r="P199" s="51">
        <f>IF(Tabell2[[#This Row],[Eldreandel]]&lt;=G$434,G$434,IF(Tabell2[[#This Row],[Eldreandel]]&gt;=G$435,G$435,Tabell2[[#This Row],[Eldreandel]]))</f>
        <v>0.12674538356525281</v>
      </c>
      <c r="Q199" s="51">
        <f>IF(Tabell2[[#This Row],[Sysselsettingsvekst10]]&lt;=H$434,H$434,IF(Tabell2[[#This Row],[Sysselsettingsvekst10]]&gt;=H$435,H$435,Tabell2[[#This Row],[Sysselsettingsvekst10]]))</f>
        <v>0.13148711856856488</v>
      </c>
      <c r="R199" s="51">
        <f>IF(Tabell2[[#This Row],[Yrkesaktivandel]]&lt;=I$434,I$434,IF(Tabell2[[#This Row],[Yrkesaktivandel]]&gt;=I$435,I$435,Tabell2[[#This Row],[Yrkesaktivandel]]))</f>
        <v>0.85339749439973456</v>
      </c>
      <c r="S199" s="52">
        <f>IF(Tabell2[[#This Row],[Inntekt]]&lt;=J$434,J$434,IF(Tabell2[[#This Row],[Inntekt]]&gt;=J$435,J$435,Tabell2[[#This Row],[Inntekt]]))</f>
        <v>382100</v>
      </c>
      <c r="T199" s="9">
        <f>IF(Tabell2[[#This Row],[NIBR11-T]]&lt;=K$437,100,IF(Tabell2[[#This Row],[NIBR11-T]]&gt;=K$436,0,100*(K$436-Tabell2[[#This Row],[NIBR11-T]])/K$439))</f>
        <v>70</v>
      </c>
      <c r="U199" s="9">
        <f>(L$436-Tabell2[[#This Row],[ReisetidOslo-T]])*100/L$439</f>
        <v>52.602568416618091</v>
      </c>
      <c r="V199" s="9">
        <f>100-(M$436-Tabell2[[#This Row],[Beftettotal-T]])*100/M$439</f>
        <v>100</v>
      </c>
      <c r="W199" s="9">
        <f>100-(N$436-Tabell2[[#This Row],[Befvekst10-T]])*100/N$439</f>
        <v>81.230480187475905</v>
      </c>
      <c r="X199" s="9">
        <f>100-(O$436-Tabell2[[#This Row],[Kvinneandel-T]])*100/O$439</f>
        <v>96.821340155481238</v>
      </c>
      <c r="Y199" s="9">
        <f>(P$436-Tabell2[[#This Row],[Eldreandel-T]])*100/P$439</f>
        <v>92.4580823795892</v>
      </c>
      <c r="Z199" s="9">
        <f>100-(Q$436-Tabell2[[#This Row],[Sysselsettingsvekst10-T]])*100/Q$439</f>
        <v>64.251885428587229</v>
      </c>
      <c r="AA199" s="9">
        <f>100-(R$436-Tabell2[[#This Row],[Yrkesaktivandel-T]])*100/R$439</f>
        <v>18.906655702201519</v>
      </c>
      <c r="AB199" s="9">
        <f>100-(S$436-Tabell2[[#This Row],[Inntekt-T]])*100/S$439</f>
        <v>77.492770023890358</v>
      </c>
      <c r="AC199" s="48">
        <f>Tabell2[[#This Row],[NIBR11-I]]*Vekter!$B$3</f>
        <v>14</v>
      </c>
      <c r="AD199" s="48">
        <f>Tabell2[[#This Row],[ReisetidOslo-I]]*Vekter!$C$3</f>
        <v>5.2602568416618096</v>
      </c>
      <c r="AE199" s="48">
        <f>Tabell2[[#This Row],[Beftettotal-I]]*Vekter!$D$3</f>
        <v>10</v>
      </c>
      <c r="AF199" s="48">
        <f>Tabell2[[#This Row],[Befvekst10-I]]*Vekter!$E$3</f>
        <v>16.246096037495182</v>
      </c>
      <c r="AG199" s="48">
        <f>Tabell2[[#This Row],[Kvinneandel-I]]*Vekter!$F$3</f>
        <v>4.8410670077740621</v>
      </c>
      <c r="AH199" s="48">
        <f>Tabell2[[#This Row],[Eldreandel-I]]*Vekter!$G$3</f>
        <v>4.6229041189794602</v>
      </c>
      <c r="AI199" s="48">
        <f>Tabell2[[#This Row],[Sysselsettingsvekst10-I]]*Vekter!$H$3</f>
        <v>6.4251885428587237</v>
      </c>
      <c r="AJ199" s="48">
        <f>Tabell2[[#This Row],[Yrkesaktivandel-I]]*Vekter!$J$3</f>
        <v>1.890665570220152</v>
      </c>
      <c r="AK199" s="48">
        <f>Tabell2[[#This Row],[Inntekt-I]]*Vekter!$L$3</f>
        <v>7.7492770023890358</v>
      </c>
      <c r="AL199" s="37">
        <f>SUM(Tabell2[[#This Row],[NIBR11-v]:[Inntekt-v]])</f>
        <v>71.035455121378433</v>
      </c>
    </row>
    <row r="200" spans="1:38">
      <c r="A200" s="2" t="s">
        <v>197</v>
      </c>
      <c r="B200">
        <f>'Rådata-K'!M199</f>
        <v>11</v>
      </c>
      <c r="C200" s="9">
        <f>'Rådata-K'!L199</f>
        <v>233</v>
      </c>
      <c r="D200" s="51">
        <f>'Rådata-K'!N199</f>
        <v>33.333333333333336</v>
      </c>
      <c r="E200" s="51">
        <f>'Rådata-K'!O199</f>
        <v>-1.8604651162790753E-2</v>
      </c>
      <c r="F200" s="51">
        <f>'Rådata-K'!P199</f>
        <v>0.12322274881516587</v>
      </c>
      <c r="G200" s="51">
        <f>'Rådata-K'!Q199</f>
        <v>0.15165876777251186</v>
      </c>
      <c r="H200" s="51">
        <f>'Rådata-K'!R199</f>
        <v>9.5744680851063801E-2</v>
      </c>
      <c r="I200" s="51">
        <f>'Rådata-K'!S199</f>
        <v>0.95121951219512191</v>
      </c>
      <c r="J200" s="52">
        <f>'Rådata-K'!K199</f>
        <v>414300</v>
      </c>
      <c r="K200" s="26">
        <f>Tabell2[[#This Row],[NIBR11]]</f>
        <v>11</v>
      </c>
      <c r="L200" s="52">
        <f>IF(Tabell2[[#This Row],[ReisetidOslo]]&lt;=C$434,C$434,IF(Tabell2[[#This Row],[ReisetidOslo]]&gt;=C$435,C$435,Tabell2[[#This Row],[ReisetidOslo]]))</f>
        <v>233</v>
      </c>
      <c r="M200" s="51">
        <f>IF(Tabell2[[#This Row],[Beftettotal]]&lt;=D$434,D$434,IF(Tabell2[[#This Row],[Beftettotal]]&gt;=D$435,D$435,Tabell2[[#This Row],[Beftettotal]]))</f>
        <v>33.333333333333336</v>
      </c>
      <c r="N200" s="51">
        <f>IF(Tabell2[[#This Row],[Befvekst10]]&lt;=E$434,E$434,IF(Tabell2[[#This Row],[Befvekst10]]&gt;=E$435,E$435,Tabell2[[#This Row],[Befvekst10]]))</f>
        <v>-1.8604651162790753E-2</v>
      </c>
      <c r="O200" s="51">
        <f>IF(Tabell2[[#This Row],[Kvinneandel]]&lt;=F$434,F$434,IF(Tabell2[[#This Row],[Kvinneandel]]&gt;=F$435,F$435,Tabell2[[#This Row],[Kvinneandel]]))</f>
        <v>0.12322274881516587</v>
      </c>
      <c r="P200" s="51">
        <f>IF(Tabell2[[#This Row],[Eldreandel]]&lt;=G$434,G$434,IF(Tabell2[[#This Row],[Eldreandel]]&gt;=G$435,G$435,Tabell2[[#This Row],[Eldreandel]]))</f>
        <v>0.15165876777251186</v>
      </c>
      <c r="Q200" s="51">
        <f>IF(Tabell2[[#This Row],[Sysselsettingsvekst10]]&lt;=H$434,H$434,IF(Tabell2[[#This Row],[Sysselsettingsvekst10]]&gt;=H$435,H$435,Tabell2[[#This Row],[Sysselsettingsvekst10]]))</f>
        <v>9.5744680851063801E-2</v>
      </c>
      <c r="R200" s="51">
        <f>IF(Tabell2[[#This Row],[Yrkesaktivandel]]&lt;=I$434,I$434,IF(Tabell2[[#This Row],[Yrkesaktivandel]]&gt;=I$435,I$435,Tabell2[[#This Row],[Yrkesaktivandel]]))</f>
        <v>0.95121951219512191</v>
      </c>
      <c r="S200" s="52">
        <f>IF(Tabell2[[#This Row],[Inntekt]]&lt;=J$434,J$434,IF(Tabell2[[#This Row],[Inntekt]]&gt;=J$435,J$435,Tabell2[[#This Row],[Inntekt]]))</f>
        <v>400000</v>
      </c>
      <c r="T200" s="9">
        <f>IF(Tabell2[[#This Row],[NIBR11-T]]&lt;=K$437,100,IF(Tabell2[[#This Row],[NIBR11-T]]&gt;=K$436,0,100*(K$436-Tabell2[[#This Row],[NIBR11-T]])/K$439))</f>
        <v>0</v>
      </c>
      <c r="U200" s="9">
        <f>(L$436-Tabell2[[#This Row],[ReisetidOslo-T]])*100/L$439</f>
        <v>20.446400014766926</v>
      </c>
      <c r="V200" s="9">
        <f>100-(M$436-Tabell2[[#This Row],[Beftettotal-T]])*100/M$439</f>
        <v>25.200147374174051</v>
      </c>
      <c r="W200" s="9">
        <f>100-(N$436-Tabell2[[#This Row],[Befvekst10-T]])*100/N$439</f>
        <v>25.16198344099196</v>
      </c>
      <c r="X200" s="9">
        <f>100-(O$436-Tabell2[[#This Row],[Kvinneandel-T]])*100/O$439</f>
        <v>87.300633376616915</v>
      </c>
      <c r="Y200" s="9">
        <f>(P$436-Tabell2[[#This Row],[Eldreandel-T]])*100/P$439</f>
        <v>64.214116032386016</v>
      </c>
      <c r="Z200" s="9">
        <f>100-(Q$436-Tabell2[[#This Row],[Sysselsettingsvekst10-T]])*100/Q$439</f>
        <v>52.779593452931572</v>
      </c>
      <c r="AA200" s="9">
        <f>100-(R$436-Tabell2[[#This Row],[Yrkesaktivandel-T]])*100/R$439</f>
        <v>91.830596725424527</v>
      </c>
      <c r="AB200" s="9">
        <f>100-(S$436-Tabell2[[#This Row],[Inntekt-T]])*100/S$439</f>
        <v>100</v>
      </c>
      <c r="AC200" s="48">
        <f>Tabell2[[#This Row],[NIBR11-I]]*Vekter!$B$3</f>
        <v>0</v>
      </c>
      <c r="AD200" s="48">
        <f>Tabell2[[#This Row],[ReisetidOslo-I]]*Vekter!$C$3</f>
        <v>2.0446400014766928</v>
      </c>
      <c r="AE200" s="48">
        <f>Tabell2[[#This Row],[Beftettotal-I]]*Vekter!$D$3</f>
        <v>2.5200147374174051</v>
      </c>
      <c r="AF200" s="48">
        <f>Tabell2[[#This Row],[Befvekst10-I]]*Vekter!$E$3</f>
        <v>5.0323966881983928</v>
      </c>
      <c r="AG200" s="48">
        <f>Tabell2[[#This Row],[Kvinneandel-I]]*Vekter!$F$3</f>
        <v>4.3650316688308459</v>
      </c>
      <c r="AH200" s="48">
        <f>Tabell2[[#This Row],[Eldreandel-I]]*Vekter!$G$3</f>
        <v>3.2107058016193011</v>
      </c>
      <c r="AI200" s="48">
        <f>Tabell2[[#This Row],[Sysselsettingsvekst10-I]]*Vekter!$H$3</f>
        <v>5.2779593452931577</v>
      </c>
      <c r="AJ200" s="48">
        <f>Tabell2[[#This Row],[Yrkesaktivandel-I]]*Vekter!$J$3</f>
        <v>9.1830596725424538</v>
      </c>
      <c r="AK200" s="48">
        <f>Tabell2[[#This Row],[Inntekt-I]]*Vekter!$L$3</f>
        <v>10</v>
      </c>
      <c r="AL200" s="37">
        <f>SUM(Tabell2[[#This Row],[NIBR11-v]:[Inntekt-v]])</f>
        <v>41.633807915378249</v>
      </c>
    </row>
    <row r="201" spans="1:38">
      <c r="A201" s="2" t="s">
        <v>198</v>
      </c>
      <c r="B201">
        <f>'Rådata-K'!M200</f>
        <v>4</v>
      </c>
      <c r="C201" s="9">
        <f>'Rådata-K'!L200</f>
        <v>200.6499809458</v>
      </c>
      <c r="D201" s="51">
        <f>'Rådata-K'!N200</f>
        <v>14.094651863549203</v>
      </c>
      <c r="E201" s="51">
        <f>'Rådata-K'!O200</f>
        <v>6.9054021021755174E-2</v>
      </c>
      <c r="F201" s="51">
        <f>'Rådata-K'!P200</f>
        <v>0.11409626157539728</v>
      </c>
      <c r="G201" s="51">
        <f>'Rådata-K'!Q200</f>
        <v>0.14519263747570596</v>
      </c>
      <c r="H201" s="51">
        <f>'Rådata-K'!R200</f>
        <v>0.23975566301857976</v>
      </c>
      <c r="I201" s="51">
        <f>'Rådata-K'!S200</f>
        <v>0.93590780428629194</v>
      </c>
      <c r="J201" s="52">
        <f>'Rådata-K'!K200</f>
        <v>386000</v>
      </c>
      <c r="K201" s="26">
        <f>Tabell2[[#This Row],[NIBR11]]</f>
        <v>4</v>
      </c>
      <c r="L201" s="52">
        <f>IF(Tabell2[[#This Row],[ReisetidOslo]]&lt;=C$434,C$434,IF(Tabell2[[#This Row],[ReisetidOslo]]&gt;=C$435,C$435,Tabell2[[#This Row],[ReisetidOslo]]))</f>
        <v>200.6499809458</v>
      </c>
      <c r="M201" s="51">
        <f>IF(Tabell2[[#This Row],[Beftettotal]]&lt;=D$434,D$434,IF(Tabell2[[#This Row],[Beftettotal]]&gt;=D$435,D$435,Tabell2[[#This Row],[Beftettotal]]))</f>
        <v>14.094651863549203</v>
      </c>
      <c r="N201" s="51">
        <f>IF(Tabell2[[#This Row],[Befvekst10]]&lt;=E$434,E$434,IF(Tabell2[[#This Row],[Befvekst10]]&gt;=E$435,E$435,Tabell2[[#This Row],[Befvekst10]]))</f>
        <v>6.9054021021755174E-2</v>
      </c>
      <c r="O201" s="51">
        <f>IF(Tabell2[[#This Row],[Kvinneandel]]&lt;=F$434,F$434,IF(Tabell2[[#This Row],[Kvinneandel]]&gt;=F$435,F$435,Tabell2[[#This Row],[Kvinneandel]]))</f>
        <v>0.11409626157539728</v>
      </c>
      <c r="P201" s="51">
        <f>IF(Tabell2[[#This Row],[Eldreandel]]&lt;=G$434,G$434,IF(Tabell2[[#This Row],[Eldreandel]]&gt;=G$435,G$435,Tabell2[[#This Row],[Eldreandel]]))</f>
        <v>0.14519263747570596</v>
      </c>
      <c r="Q201" s="51">
        <f>IF(Tabell2[[#This Row],[Sysselsettingsvekst10]]&lt;=H$434,H$434,IF(Tabell2[[#This Row],[Sysselsettingsvekst10]]&gt;=H$435,H$435,Tabell2[[#This Row],[Sysselsettingsvekst10]]))</f>
        <v>0.23975566301857976</v>
      </c>
      <c r="R201" s="51">
        <f>IF(Tabell2[[#This Row],[Yrkesaktivandel]]&lt;=I$434,I$434,IF(Tabell2[[#This Row],[Yrkesaktivandel]]&gt;=I$435,I$435,Tabell2[[#This Row],[Yrkesaktivandel]]))</f>
        <v>0.93590780428629194</v>
      </c>
      <c r="S201" s="52">
        <f>IF(Tabell2[[#This Row],[Inntekt]]&lt;=J$434,J$434,IF(Tabell2[[#This Row],[Inntekt]]&gt;=J$435,J$435,Tabell2[[#This Row],[Inntekt]]))</f>
        <v>386000</v>
      </c>
      <c r="T201" s="9">
        <f>IF(Tabell2[[#This Row],[NIBR11-T]]&lt;=K$437,100,IF(Tabell2[[#This Row],[NIBR11-T]]&gt;=K$436,0,100*(K$436-Tabell2[[#This Row],[NIBR11-T]])/K$439))</f>
        <v>70</v>
      </c>
      <c r="U201" s="9">
        <f>(L$436-Tabell2[[#This Row],[ReisetidOslo-T]])*100/L$439</f>
        <v>34.808210120265997</v>
      </c>
      <c r="V201" s="9">
        <f>100-(M$436-Tabell2[[#This Row],[Beftettotal-T]])*100/M$439</f>
        <v>10.046568652468451</v>
      </c>
      <c r="W201" s="9">
        <f>100-(N$436-Tabell2[[#This Row],[Befvekst10-T]])*100/N$439</f>
        <v>60.633567226414449</v>
      </c>
      <c r="X201" s="9">
        <f>100-(O$436-Tabell2[[#This Row],[Kvinneandel-T]])*100/O$439</f>
        <v>63.127326827848826</v>
      </c>
      <c r="Y201" s="9">
        <f>(P$436-Tabell2[[#This Row],[Eldreandel-T]])*100/P$439</f>
        <v>71.544680398121756</v>
      </c>
      <c r="Z201" s="9">
        <f>100-(Q$436-Tabell2[[#This Row],[Sysselsettingsvekst10-T]])*100/Q$439</f>
        <v>99.002966581108723</v>
      </c>
      <c r="AA201" s="9">
        <f>100-(R$436-Tabell2[[#This Row],[Yrkesaktivandel-T]])*100/R$439</f>
        <v>80.416089954117837</v>
      </c>
      <c r="AB201" s="9">
        <f>100-(S$436-Tabell2[[#This Row],[Inntekt-T]])*100/S$439</f>
        <v>82.396579906953349</v>
      </c>
      <c r="AC201" s="48">
        <f>Tabell2[[#This Row],[NIBR11-I]]*Vekter!$B$3</f>
        <v>14</v>
      </c>
      <c r="AD201" s="48">
        <f>Tabell2[[#This Row],[ReisetidOslo-I]]*Vekter!$C$3</f>
        <v>3.4808210120265999</v>
      </c>
      <c r="AE201" s="48">
        <f>Tabell2[[#This Row],[Beftettotal-I]]*Vekter!$D$3</f>
        <v>1.0046568652468453</v>
      </c>
      <c r="AF201" s="48">
        <f>Tabell2[[#This Row],[Befvekst10-I]]*Vekter!$E$3</f>
        <v>12.12671344528289</v>
      </c>
      <c r="AG201" s="48">
        <f>Tabell2[[#This Row],[Kvinneandel-I]]*Vekter!$F$3</f>
        <v>3.1563663413924417</v>
      </c>
      <c r="AH201" s="48">
        <f>Tabell2[[#This Row],[Eldreandel-I]]*Vekter!$G$3</f>
        <v>3.5772340199060881</v>
      </c>
      <c r="AI201" s="48">
        <f>Tabell2[[#This Row],[Sysselsettingsvekst10-I]]*Vekter!$H$3</f>
        <v>9.9002966581108733</v>
      </c>
      <c r="AJ201" s="48">
        <f>Tabell2[[#This Row],[Yrkesaktivandel-I]]*Vekter!$J$3</f>
        <v>8.0416089954117833</v>
      </c>
      <c r="AK201" s="48">
        <f>Tabell2[[#This Row],[Inntekt-I]]*Vekter!$L$3</f>
        <v>8.2396579906953349</v>
      </c>
      <c r="AL201" s="37">
        <f>SUM(Tabell2[[#This Row],[NIBR11-v]:[Inntekt-v]])</f>
        <v>63.527355328072858</v>
      </c>
    </row>
    <row r="202" spans="1:38">
      <c r="A202" s="2" t="s">
        <v>199</v>
      </c>
      <c r="B202">
        <f>'Rådata-K'!M201</f>
        <v>1</v>
      </c>
      <c r="C202" s="9">
        <f>'Rådata-K'!L201</f>
        <v>165.9361952889</v>
      </c>
      <c r="D202" s="51">
        <f>'Rådata-K'!N201</f>
        <v>585.21411663438778</v>
      </c>
      <c r="E202" s="51">
        <f>'Rådata-K'!O201</f>
        <v>0.14538600850777073</v>
      </c>
      <c r="F202" s="51">
        <f>'Rådata-K'!P201</f>
        <v>0.15007961051520691</v>
      </c>
      <c r="G202" s="51">
        <f>'Rådata-K'!Q201</f>
        <v>0.12640237691626002</v>
      </c>
      <c r="H202" s="51">
        <f>'Rådata-K'!R201</f>
        <v>0.22158104760350694</v>
      </c>
      <c r="I202" s="51">
        <f>'Rådata-K'!S201</f>
        <v>0.85897823906760906</v>
      </c>
      <c r="J202" s="52">
        <f>'Rådata-K'!K201</f>
        <v>410900</v>
      </c>
      <c r="K202" s="26">
        <f>Tabell2[[#This Row],[NIBR11]]</f>
        <v>1</v>
      </c>
      <c r="L202" s="52">
        <f>IF(Tabell2[[#This Row],[ReisetidOslo]]&lt;=C$434,C$434,IF(Tabell2[[#This Row],[ReisetidOslo]]&gt;=C$435,C$435,Tabell2[[#This Row],[ReisetidOslo]]))</f>
        <v>165.9361952889</v>
      </c>
      <c r="M202" s="51">
        <f>IF(Tabell2[[#This Row],[Beftettotal]]&lt;=D$434,D$434,IF(Tabell2[[#This Row],[Beftettotal]]&gt;=D$435,D$435,Tabell2[[#This Row],[Beftettotal]]))</f>
        <v>128.29773514779066</v>
      </c>
      <c r="N202" s="51">
        <f>IF(Tabell2[[#This Row],[Befvekst10]]&lt;=E$434,E$434,IF(Tabell2[[#This Row],[Befvekst10]]&gt;=E$435,E$435,Tabell2[[#This Row],[Befvekst10]]))</f>
        <v>0.14538600850777073</v>
      </c>
      <c r="O202" s="51">
        <f>IF(Tabell2[[#This Row],[Kvinneandel]]&lt;=F$434,F$434,IF(Tabell2[[#This Row],[Kvinneandel]]&gt;=F$435,F$435,Tabell2[[#This Row],[Kvinneandel]]))</f>
        <v>0.12801731869362362</v>
      </c>
      <c r="P202" s="51">
        <f>IF(Tabell2[[#This Row],[Eldreandel]]&lt;=G$434,G$434,IF(Tabell2[[#This Row],[Eldreandel]]&gt;=G$435,G$435,Tabell2[[#This Row],[Eldreandel]]))</f>
        <v>0.12640237691626002</v>
      </c>
      <c r="Q202" s="51">
        <f>IF(Tabell2[[#This Row],[Sysselsettingsvekst10]]&lt;=H$434,H$434,IF(Tabell2[[#This Row],[Sysselsettingsvekst10]]&gt;=H$435,H$435,Tabell2[[#This Row],[Sysselsettingsvekst10]]))</f>
        <v>0.22158104760350694</v>
      </c>
      <c r="R202" s="51">
        <f>IF(Tabell2[[#This Row],[Yrkesaktivandel]]&lt;=I$434,I$434,IF(Tabell2[[#This Row],[Yrkesaktivandel]]&gt;=I$435,I$435,Tabell2[[#This Row],[Yrkesaktivandel]]))</f>
        <v>0.85897823906760906</v>
      </c>
      <c r="S202" s="52">
        <f>IF(Tabell2[[#This Row],[Inntekt]]&lt;=J$434,J$434,IF(Tabell2[[#This Row],[Inntekt]]&gt;=J$435,J$435,Tabell2[[#This Row],[Inntekt]]))</f>
        <v>400000</v>
      </c>
      <c r="T202" s="9">
        <f>IF(Tabell2[[#This Row],[NIBR11-T]]&lt;=K$437,100,IF(Tabell2[[#This Row],[NIBR11-T]]&gt;=K$436,0,100*(K$436-Tabell2[[#This Row],[NIBR11-T]])/K$439))</f>
        <v>100</v>
      </c>
      <c r="U202" s="9">
        <f>(L$436-Tabell2[[#This Row],[ReisetidOslo-T]])*100/L$439</f>
        <v>50.219415808031044</v>
      </c>
      <c r="V202" s="9">
        <f>100-(M$436-Tabell2[[#This Row],[Beftettotal-T]])*100/M$439</f>
        <v>100</v>
      </c>
      <c r="W202" s="9">
        <f>100-(N$436-Tabell2[[#This Row],[Befvekst10-T]])*100/N$439</f>
        <v>91.52174317228932</v>
      </c>
      <c r="X202" s="9">
        <f>100-(O$436-Tabell2[[#This Row],[Kvinneandel-T]])*100/O$439</f>
        <v>100</v>
      </c>
      <c r="Y202" s="9">
        <f>(P$436-Tabell2[[#This Row],[Eldreandel-T]])*100/P$439</f>
        <v>92.846944373223792</v>
      </c>
      <c r="Z202" s="9">
        <f>100-(Q$436-Tabell2[[#This Row],[Sysselsettingsvekst10-T]])*100/Q$439</f>
        <v>93.169439046279308</v>
      </c>
      <c r="AA202" s="9">
        <f>100-(R$436-Tabell2[[#This Row],[Yrkesaktivandel-T]])*100/R$439</f>
        <v>23.066965458610326</v>
      </c>
      <c r="AB202" s="9">
        <f>100-(S$436-Tabell2[[#This Row],[Inntekt-T]])*100/S$439</f>
        <v>100</v>
      </c>
      <c r="AC202" s="48">
        <f>Tabell2[[#This Row],[NIBR11-I]]*Vekter!$B$3</f>
        <v>20</v>
      </c>
      <c r="AD202" s="48">
        <f>Tabell2[[#This Row],[ReisetidOslo-I]]*Vekter!$C$3</f>
        <v>5.0219415808031052</v>
      </c>
      <c r="AE202" s="48">
        <f>Tabell2[[#This Row],[Beftettotal-I]]*Vekter!$D$3</f>
        <v>10</v>
      </c>
      <c r="AF202" s="48">
        <f>Tabell2[[#This Row],[Befvekst10-I]]*Vekter!$E$3</f>
        <v>18.304348634457863</v>
      </c>
      <c r="AG202" s="48">
        <f>Tabell2[[#This Row],[Kvinneandel-I]]*Vekter!$F$3</f>
        <v>5</v>
      </c>
      <c r="AH202" s="48">
        <f>Tabell2[[#This Row],[Eldreandel-I]]*Vekter!$G$3</f>
        <v>4.6423472186611896</v>
      </c>
      <c r="AI202" s="48">
        <f>Tabell2[[#This Row],[Sysselsettingsvekst10-I]]*Vekter!$H$3</f>
        <v>9.3169439046279319</v>
      </c>
      <c r="AJ202" s="48">
        <f>Tabell2[[#This Row],[Yrkesaktivandel-I]]*Vekter!$J$3</f>
        <v>2.3066965458610329</v>
      </c>
      <c r="AK202" s="48">
        <f>Tabell2[[#This Row],[Inntekt-I]]*Vekter!$L$3</f>
        <v>10</v>
      </c>
      <c r="AL202" s="37">
        <f>SUM(Tabell2[[#This Row],[NIBR11-v]:[Inntekt-v]])</f>
        <v>84.592277884411118</v>
      </c>
    </row>
    <row r="203" spans="1:38">
      <c r="A203" s="2" t="s">
        <v>200</v>
      </c>
      <c r="B203">
        <f>'Rådata-K'!M202</f>
        <v>8</v>
      </c>
      <c r="C203" s="9">
        <f>'Rådata-K'!L202</f>
        <v>211.40325304460001</v>
      </c>
      <c r="D203" s="51">
        <f>'Rådata-K'!N202</f>
        <v>5.5177009805921635</v>
      </c>
      <c r="E203" s="51">
        <f>'Rådata-K'!O202</f>
        <v>3.6006128702757989E-2</v>
      </c>
      <c r="F203" s="51">
        <f>'Rådata-K'!P202</f>
        <v>0.10968696080847917</v>
      </c>
      <c r="G203" s="51">
        <f>'Rådata-K'!Q202</f>
        <v>0.16194232191274341</v>
      </c>
      <c r="H203" s="51">
        <f>'Rådata-K'!R202</f>
        <v>8.6240947992100025E-2</v>
      </c>
      <c r="I203" s="51">
        <f>'Rådata-K'!S202</f>
        <v>0.95024218405988548</v>
      </c>
      <c r="J203" s="52">
        <f>'Rådata-K'!K202</f>
        <v>375200</v>
      </c>
      <c r="K203" s="26">
        <f>Tabell2[[#This Row],[NIBR11]]</f>
        <v>8</v>
      </c>
      <c r="L203" s="52">
        <f>IF(Tabell2[[#This Row],[ReisetidOslo]]&lt;=C$434,C$434,IF(Tabell2[[#This Row],[ReisetidOslo]]&gt;=C$435,C$435,Tabell2[[#This Row],[ReisetidOslo]]))</f>
        <v>211.40325304460001</v>
      </c>
      <c r="M203" s="51">
        <f>IF(Tabell2[[#This Row],[Beftettotal]]&lt;=D$434,D$434,IF(Tabell2[[#This Row],[Beftettotal]]&gt;=D$435,D$435,Tabell2[[#This Row],[Beftettotal]]))</f>
        <v>5.5177009805921635</v>
      </c>
      <c r="N203" s="51">
        <f>IF(Tabell2[[#This Row],[Befvekst10]]&lt;=E$434,E$434,IF(Tabell2[[#This Row],[Befvekst10]]&gt;=E$435,E$435,Tabell2[[#This Row],[Befvekst10]]))</f>
        <v>3.6006128702757989E-2</v>
      </c>
      <c r="O203" s="51">
        <f>IF(Tabell2[[#This Row],[Kvinneandel]]&lt;=F$434,F$434,IF(Tabell2[[#This Row],[Kvinneandel]]&gt;=F$435,F$435,Tabell2[[#This Row],[Kvinneandel]]))</f>
        <v>0.10968696080847917</v>
      </c>
      <c r="P203" s="51">
        <f>IF(Tabell2[[#This Row],[Eldreandel]]&lt;=G$434,G$434,IF(Tabell2[[#This Row],[Eldreandel]]&gt;=G$435,G$435,Tabell2[[#This Row],[Eldreandel]]))</f>
        <v>0.16194232191274341</v>
      </c>
      <c r="Q203" s="51">
        <f>IF(Tabell2[[#This Row],[Sysselsettingsvekst10]]&lt;=H$434,H$434,IF(Tabell2[[#This Row],[Sysselsettingsvekst10]]&gt;=H$435,H$435,Tabell2[[#This Row],[Sysselsettingsvekst10]]))</f>
        <v>8.6240947992100025E-2</v>
      </c>
      <c r="R203" s="51">
        <f>IF(Tabell2[[#This Row],[Yrkesaktivandel]]&lt;=I$434,I$434,IF(Tabell2[[#This Row],[Yrkesaktivandel]]&gt;=I$435,I$435,Tabell2[[#This Row],[Yrkesaktivandel]]))</f>
        <v>0.95024218405988548</v>
      </c>
      <c r="S203" s="52">
        <f>IF(Tabell2[[#This Row],[Inntekt]]&lt;=J$434,J$434,IF(Tabell2[[#This Row],[Inntekt]]&gt;=J$435,J$435,Tabell2[[#This Row],[Inntekt]]))</f>
        <v>375200</v>
      </c>
      <c r="T203" s="9">
        <f>IF(Tabell2[[#This Row],[NIBR11-T]]&lt;=K$437,100,IF(Tabell2[[#This Row],[NIBR11-T]]&gt;=K$436,0,100*(K$436-Tabell2[[#This Row],[NIBR11-T]])/K$439))</f>
        <v>30</v>
      </c>
      <c r="U203" s="9">
        <f>(L$436-Tabell2[[#This Row],[ReisetidOslo-T]])*100/L$439</f>
        <v>30.034288607670266</v>
      </c>
      <c r="V203" s="9">
        <f>100-(M$436-Tabell2[[#This Row],[Beftettotal-T]])*100/M$439</f>
        <v>3.2908301887269289</v>
      </c>
      <c r="W203" s="9">
        <f>100-(N$436-Tabell2[[#This Row],[Befvekst10-T]])*100/N$439</f>
        <v>47.260548309849149</v>
      </c>
      <c r="X203" s="9">
        <f>100-(O$436-Tabell2[[#This Row],[Kvinneandel-T]])*100/O$439</f>
        <v>51.44842164733469</v>
      </c>
      <c r="Y203" s="9">
        <f>(P$436-Tabell2[[#This Row],[Eldreandel-T]])*100/P$439</f>
        <v>52.555789943483433</v>
      </c>
      <c r="Z203" s="9">
        <f>100-(Q$436-Tabell2[[#This Row],[Sysselsettingsvekst10-T]])*100/Q$439</f>
        <v>49.729169218345035</v>
      </c>
      <c r="AA203" s="9">
        <f>100-(R$436-Tabell2[[#This Row],[Yrkesaktivandel-T]])*100/R$439</f>
        <v>91.102022311396468</v>
      </c>
      <c r="AB203" s="9">
        <f>100-(S$436-Tabell2[[#This Row],[Inntekt-T]])*100/S$439</f>
        <v>68.816798692317363</v>
      </c>
      <c r="AC203" s="48">
        <f>Tabell2[[#This Row],[NIBR11-I]]*Vekter!$B$3</f>
        <v>6</v>
      </c>
      <c r="AD203" s="48">
        <f>Tabell2[[#This Row],[ReisetidOslo-I]]*Vekter!$C$3</f>
        <v>3.003428860767027</v>
      </c>
      <c r="AE203" s="48">
        <f>Tabell2[[#This Row],[Beftettotal-I]]*Vekter!$D$3</f>
        <v>0.32908301887269292</v>
      </c>
      <c r="AF203" s="48">
        <f>Tabell2[[#This Row],[Befvekst10-I]]*Vekter!$E$3</f>
        <v>9.4521096619698302</v>
      </c>
      <c r="AG203" s="48">
        <f>Tabell2[[#This Row],[Kvinneandel-I]]*Vekter!$F$3</f>
        <v>2.5724210823667346</v>
      </c>
      <c r="AH203" s="48">
        <f>Tabell2[[#This Row],[Eldreandel-I]]*Vekter!$G$3</f>
        <v>2.627789497174172</v>
      </c>
      <c r="AI203" s="48">
        <f>Tabell2[[#This Row],[Sysselsettingsvekst10-I]]*Vekter!$H$3</f>
        <v>4.9729169218345035</v>
      </c>
      <c r="AJ203" s="48">
        <f>Tabell2[[#This Row],[Yrkesaktivandel-I]]*Vekter!$J$3</f>
        <v>9.1102022311396471</v>
      </c>
      <c r="AK203" s="48">
        <f>Tabell2[[#This Row],[Inntekt-I]]*Vekter!$L$3</f>
        <v>6.8816798692317365</v>
      </c>
      <c r="AL203" s="37">
        <f>SUM(Tabell2[[#This Row],[NIBR11-v]:[Inntekt-v]])</f>
        <v>44.949631143356342</v>
      </c>
    </row>
    <row r="204" spans="1:38">
      <c r="A204" s="2" t="s">
        <v>201</v>
      </c>
      <c r="B204">
        <f>'Rådata-K'!M203</f>
        <v>4</v>
      </c>
      <c r="C204" s="9">
        <f>'Rådata-K'!L203</f>
        <v>179.69353327940001</v>
      </c>
      <c r="D204" s="51">
        <f>'Rådata-K'!N203</f>
        <v>22.19468595108475</v>
      </c>
      <c r="E204" s="51">
        <f>'Rådata-K'!O203</f>
        <v>0.16556432686153189</v>
      </c>
      <c r="F204" s="51">
        <f>'Rådata-K'!P203</f>
        <v>0.12191103789126853</v>
      </c>
      <c r="G204" s="51">
        <f>'Rådata-K'!Q203</f>
        <v>0.12062969064616511</v>
      </c>
      <c r="H204" s="51">
        <f>'Rådata-K'!R203</f>
        <v>0.32328767123287672</v>
      </c>
      <c r="I204" s="51">
        <f>'Rådata-K'!S203</f>
        <v>0.90006447453255967</v>
      </c>
      <c r="J204" s="52">
        <f>'Rådata-K'!K203</f>
        <v>381200</v>
      </c>
      <c r="K204" s="26">
        <f>Tabell2[[#This Row],[NIBR11]]</f>
        <v>4</v>
      </c>
      <c r="L204" s="52">
        <f>IF(Tabell2[[#This Row],[ReisetidOslo]]&lt;=C$434,C$434,IF(Tabell2[[#This Row],[ReisetidOslo]]&gt;=C$435,C$435,Tabell2[[#This Row],[ReisetidOslo]]))</f>
        <v>179.69353327940001</v>
      </c>
      <c r="M204" s="51">
        <f>IF(Tabell2[[#This Row],[Beftettotal]]&lt;=D$434,D$434,IF(Tabell2[[#This Row],[Beftettotal]]&gt;=D$435,D$435,Tabell2[[#This Row],[Beftettotal]]))</f>
        <v>22.19468595108475</v>
      </c>
      <c r="N204" s="51">
        <f>IF(Tabell2[[#This Row],[Befvekst10]]&lt;=E$434,E$434,IF(Tabell2[[#This Row],[Befvekst10]]&gt;=E$435,E$435,Tabell2[[#This Row],[Befvekst10]]))</f>
        <v>0.16556432686153189</v>
      </c>
      <c r="O204" s="51">
        <f>IF(Tabell2[[#This Row],[Kvinneandel]]&lt;=F$434,F$434,IF(Tabell2[[#This Row],[Kvinneandel]]&gt;=F$435,F$435,Tabell2[[#This Row],[Kvinneandel]]))</f>
        <v>0.12191103789126853</v>
      </c>
      <c r="P204" s="51">
        <f>IF(Tabell2[[#This Row],[Eldreandel]]&lt;=G$434,G$434,IF(Tabell2[[#This Row],[Eldreandel]]&gt;=G$435,G$435,Tabell2[[#This Row],[Eldreandel]]))</f>
        <v>0.12062969064616511</v>
      </c>
      <c r="Q204" s="51">
        <f>IF(Tabell2[[#This Row],[Sysselsettingsvekst10]]&lt;=H$434,H$434,IF(Tabell2[[#This Row],[Sysselsettingsvekst10]]&gt;=H$435,H$435,Tabell2[[#This Row],[Sysselsettingsvekst10]]))</f>
        <v>0.24286196513786068</v>
      </c>
      <c r="R204" s="51">
        <f>IF(Tabell2[[#This Row],[Yrkesaktivandel]]&lt;=I$434,I$434,IF(Tabell2[[#This Row],[Yrkesaktivandel]]&gt;=I$435,I$435,Tabell2[[#This Row],[Yrkesaktivandel]]))</f>
        <v>0.90006447453255967</v>
      </c>
      <c r="S204" s="52">
        <f>IF(Tabell2[[#This Row],[Inntekt]]&lt;=J$434,J$434,IF(Tabell2[[#This Row],[Inntekt]]&gt;=J$435,J$435,Tabell2[[#This Row],[Inntekt]]))</f>
        <v>381200</v>
      </c>
      <c r="T204" s="9">
        <f>IF(Tabell2[[#This Row],[NIBR11-T]]&lt;=K$437,100,IF(Tabell2[[#This Row],[NIBR11-T]]&gt;=K$436,0,100*(K$436-Tabell2[[#This Row],[NIBR11-T]])/K$439))</f>
        <v>70</v>
      </c>
      <c r="U204" s="9">
        <f>(L$436-Tabell2[[#This Row],[ReisetidOslo-T]])*100/L$439</f>
        <v>44.11183746485608</v>
      </c>
      <c r="V204" s="9">
        <f>100-(M$436-Tabell2[[#This Row],[Beftettotal-T]])*100/M$439</f>
        <v>16.426657869432134</v>
      </c>
      <c r="W204" s="9">
        <f>100-(N$436-Tabell2[[#This Row],[Befvekst10-T]])*100/N$439</f>
        <v>99.68701527026839</v>
      </c>
      <c r="X204" s="9">
        <f>100-(O$436-Tabell2[[#This Row],[Kvinneandel-T]])*100/O$439</f>
        <v>83.826307556210438</v>
      </c>
      <c r="Y204" s="9">
        <f>(P$436-Tabell2[[#This Row],[Eldreandel-T]])*100/P$439</f>
        <v>99.391360635146825</v>
      </c>
      <c r="Z204" s="9">
        <f>100-(Q$436-Tabell2[[#This Row],[Sysselsettingsvekst10-T]])*100/Q$439</f>
        <v>100</v>
      </c>
      <c r="AA204" s="9">
        <f>100-(R$436-Tabell2[[#This Row],[Yrkesaktivandel-T]])*100/R$439</f>
        <v>53.69575721160146</v>
      </c>
      <c r="AB204" s="9">
        <f>100-(S$436-Tabell2[[#This Row],[Inntekt-T]])*100/S$439</f>
        <v>76.361121589337358</v>
      </c>
      <c r="AC204" s="48">
        <f>Tabell2[[#This Row],[NIBR11-I]]*Vekter!$B$3</f>
        <v>14</v>
      </c>
      <c r="AD204" s="48">
        <f>Tabell2[[#This Row],[ReisetidOslo-I]]*Vekter!$C$3</f>
        <v>4.4111837464856078</v>
      </c>
      <c r="AE204" s="48">
        <f>Tabell2[[#This Row],[Beftettotal-I]]*Vekter!$D$3</f>
        <v>1.6426657869432135</v>
      </c>
      <c r="AF204" s="48">
        <f>Tabell2[[#This Row],[Befvekst10-I]]*Vekter!$E$3</f>
        <v>19.937403054053679</v>
      </c>
      <c r="AG204" s="48">
        <f>Tabell2[[#This Row],[Kvinneandel-I]]*Vekter!$F$3</f>
        <v>4.1913153778105219</v>
      </c>
      <c r="AH204" s="48">
        <f>Tabell2[[#This Row],[Eldreandel-I]]*Vekter!$G$3</f>
        <v>4.9695680317573414</v>
      </c>
      <c r="AI204" s="48">
        <f>Tabell2[[#This Row],[Sysselsettingsvekst10-I]]*Vekter!$H$3</f>
        <v>10</v>
      </c>
      <c r="AJ204" s="48">
        <f>Tabell2[[#This Row],[Yrkesaktivandel-I]]*Vekter!$J$3</f>
        <v>5.369575721160146</v>
      </c>
      <c r="AK204" s="48">
        <f>Tabell2[[#This Row],[Inntekt-I]]*Vekter!$L$3</f>
        <v>7.6361121589337362</v>
      </c>
      <c r="AL204" s="37">
        <f>SUM(Tabell2[[#This Row],[NIBR11-v]:[Inntekt-v]])</f>
        <v>72.157823877144239</v>
      </c>
    </row>
    <row r="205" spans="1:38">
      <c r="A205" s="2" t="s">
        <v>202</v>
      </c>
      <c r="B205">
        <f>'Rådata-K'!M204</f>
        <v>6</v>
      </c>
      <c r="C205" s="9">
        <f>'Rådata-K'!L204</f>
        <v>186.0814002134</v>
      </c>
      <c r="D205" s="51">
        <f>'Rådata-K'!N204</f>
        <v>47.651687216093443</v>
      </c>
      <c r="E205" s="51">
        <f>'Rådata-K'!O204</f>
        <v>8.6361534905224246E-2</v>
      </c>
      <c r="F205" s="51">
        <f>'Rådata-K'!P204</f>
        <v>0.1197548727551281</v>
      </c>
      <c r="G205" s="51">
        <f>'Rådata-K'!Q204</f>
        <v>0.12903225806451613</v>
      </c>
      <c r="H205" s="51">
        <f>'Rådata-K'!R204</f>
        <v>0.13728694840065381</v>
      </c>
      <c r="I205" s="51">
        <f>'Rådata-K'!S204</f>
        <v>0.89867640346873578</v>
      </c>
      <c r="J205" s="52">
        <f>'Rådata-K'!K204</f>
        <v>393300</v>
      </c>
      <c r="K205" s="26">
        <f>Tabell2[[#This Row],[NIBR11]]</f>
        <v>6</v>
      </c>
      <c r="L205" s="52">
        <f>IF(Tabell2[[#This Row],[ReisetidOslo]]&lt;=C$434,C$434,IF(Tabell2[[#This Row],[ReisetidOslo]]&gt;=C$435,C$435,Tabell2[[#This Row],[ReisetidOslo]]))</f>
        <v>186.0814002134</v>
      </c>
      <c r="M205" s="51">
        <f>IF(Tabell2[[#This Row],[Beftettotal]]&lt;=D$434,D$434,IF(Tabell2[[#This Row],[Beftettotal]]&gt;=D$435,D$435,Tabell2[[#This Row],[Beftettotal]]))</f>
        <v>47.651687216093443</v>
      </c>
      <c r="N205" s="51">
        <f>IF(Tabell2[[#This Row],[Befvekst10]]&lt;=E$434,E$434,IF(Tabell2[[#This Row],[Befvekst10]]&gt;=E$435,E$435,Tabell2[[#This Row],[Befvekst10]]))</f>
        <v>8.6361534905224246E-2</v>
      </c>
      <c r="O205" s="51">
        <f>IF(Tabell2[[#This Row],[Kvinneandel]]&lt;=F$434,F$434,IF(Tabell2[[#This Row],[Kvinneandel]]&gt;=F$435,F$435,Tabell2[[#This Row],[Kvinneandel]]))</f>
        <v>0.1197548727551281</v>
      </c>
      <c r="P205" s="51">
        <f>IF(Tabell2[[#This Row],[Eldreandel]]&lt;=G$434,G$434,IF(Tabell2[[#This Row],[Eldreandel]]&gt;=G$435,G$435,Tabell2[[#This Row],[Eldreandel]]))</f>
        <v>0.12903225806451613</v>
      </c>
      <c r="Q205" s="51">
        <f>IF(Tabell2[[#This Row],[Sysselsettingsvekst10]]&lt;=H$434,H$434,IF(Tabell2[[#This Row],[Sysselsettingsvekst10]]&gt;=H$435,H$435,Tabell2[[#This Row],[Sysselsettingsvekst10]]))</f>
        <v>0.13728694840065381</v>
      </c>
      <c r="R205" s="51">
        <f>IF(Tabell2[[#This Row],[Yrkesaktivandel]]&lt;=I$434,I$434,IF(Tabell2[[#This Row],[Yrkesaktivandel]]&gt;=I$435,I$435,Tabell2[[#This Row],[Yrkesaktivandel]]))</f>
        <v>0.89867640346873578</v>
      </c>
      <c r="S205" s="52">
        <f>IF(Tabell2[[#This Row],[Inntekt]]&lt;=J$434,J$434,IF(Tabell2[[#This Row],[Inntekt]]&gt;=J$435,J$435,Tabell2[[#This Row],[Inntekt]]))</f>
        <v>393300</v>
      </c>
      <c r="T205" s="9">
        <f>IF(Tabell2[[#This Row],[NIBR11-T]]&lt;=K$437,100,IF(Tabell2[[#This Row],[NIBR11-T]]&gt;=K$436,0,100*(K$436-Tabell2[[#This Row],[NIBR11-T]])/K$439))</f>
        <v>50</v>
      </c>
      <c r="U205" s="9">
        <f>(L$436-Tabell2[[#This Row],[ReisetidOslo-T]])*100/L$439</f>
        <v>41.275940158842182</v>
      </c>
      <c r="V205" s="9">
        <f>100-(M$436-Tabell2[[#This Row],[Beftettotal-T]])*100/M$439</f>
        <v>36.478170926277649</v>
      </c>
      <c r="W205" s="9">
        <f>100-(N$436-Tabell2[[#This Row],[Befvekst10-T]])*100/N$439</f>
        <v>67.637151852272723</v>
      </c>
      <c r="X205" s="9">
        <f>100-(O$436-Tabell2[[#This Row],[Kvinneandel-T]])*100/O$439</f>
        <v>78.11527773319493</v>
      </c>
      <c r="Y205" s="9">
        <f>(P$436-Tabell2[[#This Row],[Eldreandel-T]])*100/P$439</f>
        <v>89.865483724178489</v>
      </c>
      <c r="Z205" s="9">
        <f>100-(Q$436-Tabell2[[#This Row],[Sysselsettingsvekst10-T]])*100/Q$439</f>
        <v>66.113463583069489</v>
      </c>
      <c r="AA205" s="9">
        <f>100-(R$436-Tabell2[[#This Row],[Yrkesaktivandel-T]])*100/R$439</f>
        <v>52.660983909275373</v>
      </c>
      <c r="AB205" s="9">
        <f>100-(S$436-Tabell2[[#This Row],[Inntekt-T]])*100/S$439</f>
        <v>91.575506098327679</v>
      </c>
      <c r="AC205" s="48">
        <f>Tabell2[[#This Row],[NIBR11-I]]*Vekter!$B$3</f>
        <v>10</v>
      </c>
      <c r="AD205" s="48">
        <f>Tabell2[[#This Row],[ReisetidOslo-I]]*Vekter!$C$3</f>
        <v>4.1275940158842186</v>
      </c>
      <c r="AE205" s="48">
        <f>Tabell2[[#This Row],[Beftettotal-I]]*Vekter!$D$3</f>
        <v>3.6478170926277649</v>
      </c>
      <c r="AF205" s="48">
        <f>Tabell2[[#This Row],[Befvekst10-I]]*Vekter!$E$3</f>
        <v>13.527430370454546</v>
      </c>
      <c r="AG205" s="48">
        <f>Tabell2[[#This Row],[Kvinneandel-I]]*Vekter!$F$3</f>
        <v>3.9057638866597468</v>
      </c>
      <c r="AH205" s="48">
        <f>Tabell2[[#This Row],[Eldreandel-I]]*Vekter!$G$3</f>
        <v>4.4932741862089243</v>
      </c>
      <c r="AI205" s="48">
        <f>Tabell2[[#This Row],[Sysselsettingsvekst10-I]]*Vekter!$H$3</f>
        <v>6.6113463583069496</v>
      </c>
      <c r="AJ205" s="48">
        <f>Tabell2[[#This Row],[Yrkesaktivandel-I]]*Vekter!$J$3</f>
        <v>5.2660983909275378</v>
      </c>
      <c r="AK205" s="48">
        <f>Tabell2[[#This Row],[Inntekt-I]]*Vekter!$L$3</f>
        <v>9.1575506098327679</v>
      </c>
      <c r="AL205" s="37">
        <f>SUM(Tabell2[[#This Row],[NIBR11-v]:[Inntekt-v]])</f>
        <v>60.736874910902458</v>
      </c>
    </row>
    <row r="206" spans="1:38">
      <c r="A206" s="2" t="s">
        <v>203</v>
      </c>
      <c r="B206">
        <f>'Rådata-K'!M205</f>
        <v>6</v>
      </c>
      <c r="C206" s="9">
        <f>'Rådata-K'!L205</f>
        <v>167.7926574599</v>
      </c>
      <c r="D206" s="51">
        <f>'Rådata-K'!N205</f>
        <v>128.2185107863605</v>
      </c>
      <c r="E206" s="51">
        <f>'Rådata-K'!O205</f>
        <v>0.12313319110027421</v>
      </c>
      <c r="F206" s="51">
        <f>'Rådata-K'!P205</f>
        <v>0.1251560379918589</v>
      </c>
      <c r="G206" s="51">
        <f>'Rådata-K'!Q205</f>
        <v>0.12222523744911805</v>
      </c>
      <c r="H206" s="51">
        <f>'Rådata-K'!R205</f>
        <v>0.12394104676801665</v>
      </c>
      <c r="I206" s="51">
        <f>'Rådata-K'!S205</f>
        <v>0.89898800599700146</v>
      </c>
      <c r="J206" s="52">
        <f>'Rådata-K'!K205</f>
        <v>389800</v>
      </c>
      <c r="K206" s="26">
        <f>Tabell2[[#This Row],[NIBR11]]</f>
        <v>6</v>
      </c>
      <c r="L206" s="52">
        <f>IF(Tabell2[[#This Row],[ReisetidOslo]]&lt;=C$434,C$434,IF(Tabell2[[#This Row],[ReisetidOslo]]&gt;=C$435,C$435,Tabell2[[#This Row],[ReisetidOslo]]))</f>
        <v>167.7926574599</v>
      </c>
      <c r="M206" s="51">
        <f>IF(Tabell2[[#This Row],[Beftettotal]]&lt;=D$434,D$434,IF(Tabell2[[#This Row],[Beftettotal]]&gt;=D$435,D$435,Tabell2[[#This Row],[Beftettotal]]))</f>
        <v>128.2185107863605</v>
      </c>
      <c r="N206" s="51">
        <f>IF(Tabell2[[#This Row],[Befvekst10]]&lt;=E$434,E$434,IF(Tabell2[[#This Row],[Befvekst10]]&gt;=E$435,E$435,Tabell2[[#This Row],[Befvekst10]]))</f>
        <v>0.12313319110027421</v>
      </c>
      <c r="O206" s="51">
        <f>IF(Tabell2[[#This Row],[Kvinneandel]]&lt;=F$434,F$434,IF(Tabell2[[#This Row],[Kvinneandel]]&gt;=F$435,F$435,Tabell2[[#This Row],[Kvinneandel]]))</f>
        <v>0.1251560379918589</v>
      </c>
      <c r="P206" s="51">
        <f>IF(Tabell2[[#This Row],[Eldreandel]]&lt;=G$434,G$434,IF(Tabell2[[#This Row],[Eldreandel]]&gt;=G$435,G$435,Tabell2[[#This Row],[Eldreandel]]))</f>
        <v>0.12222523744911805</v>
      </c>
      <c r="Q206" s="51">
        <f>IF(Tabell2[[#This Row],[Sysselsettingsvekst10]]&lt;=H$434,H$434,IF(Tabell2[[#This Row],[Sysselsettingsvekst10]]&gt;=H$435,H$435,Tabell2[[#This Row],[Sysselsettingsvekst10]]))</f>
        <v>0.12394104676801665</v>
      </c>
      <c r="R206" s="51">
        <f>IF(Tabell2[[#This Row],[Yrkesaktivandel]]&lt;=I$434,I$434,IF(Tabell2[[#This Row],[Yrkesaktivandel]]&gt;=I$435,I$435,Tabell2[[#This Row],[Yrkesaktivandel]]))</f>
        <v>0.89898800599700146</v>
      </c>
      <c r="S206" s="52">
        <f>IF(Tabell2[[#This Row],[Inntekt]]&lt;=J$434,J$434,IF(Tabell2[[#This Row],[Inntekt]]&gt;=J$435,J$435,Tabell2[[#This Row],[Inntekt]]))</f>
        <v>389800</v>
      </c>
      <c r="T206" s="9">
        <f>IF(Tabell2[[#This Row],[NIBR11-T]]&lt;=K$437,100,IF(Tabell2[[#This Row],[NIBR11-T]]&gt;=K$436,0,100*(K$436-Tabell2[[#This Row],[NIBR11-T]])/K$439))</f>
        <v>50</v>
      </c>
      <c r="U206" s="9">
        <f>(L$436-Tabell2[[#This Row],[ReisetidOslo-T]])*100/L$439</f>
        <v>49.395238328466839</v>
      </c>
      <c r="V206" s="9">
        <f>100-(M$436-Tabell2[[#This Row],[Beftettotal-T]])*100/M$439</f>
        <v>99.937597979388855</v>
      </c>
      <c r="W206" s="9">
        <f>100-(N$436-Tabell2[[#This Row],[Befvekst10-T]])*100/N$439</f>
        <v>82.517013150028262</v>
      </c>
      <c r="X206" s="9">
        <f>100-(O$436-Tabell2[[#This Row],[Kvinneandel-T]])*100/O$439</f>
        <v>92.421332139222201</v>
      </c>
      <c r="Y206" s="9">
        <f>(P$436-Tabell2[[#This Row],[Eldreandel-T]])*100/P$439</f>
        <v>97.58251082842888</v>
      </c>
      <c r="Z206" s="9">
        <f>100-(Q$436-Tabell2[[#This Row],[Sysselsettingsvekst10-T]])*100/Q$439</f>
        <v>61.829813950156378</v>
      </c>
      <c r="AA206" s="9">
        <f>100-(R$436-Tabell2[[#This Row],[Yrkesaktivandel-T]])*100/R$439</f>
        <v>52.893276034361797</v>
      </c>
      <c r="AB206" s="9">
        <f>100-(S$436-Tabell2[[#This Row],[Inntekt-T]])*100/S$439</f>
        <v>87.174651075066009</v>
      </c>
      <c r="AC206" s="48">
        <f>Tabell2[[#This Row],[NIBR11-I]]*Vekter!$B$3</f>
        <v>10</v>
      </c>
      <c r="AD206" s="48">
        <f>Tabell2[[#This Row],[ReisetidOslo-I]]*Vekter!$C$3</f>
        <v>4.9395238328466844</v>
      </c>
      <c r="AE206" s="48">
        <f>Tabell2[[#This Row],[Beftettotal-I]]*Vekter!$D$3</f>
        <v>9.9937597979388855</v>
      </c>
      <c r="AF206" s="48">
        <f>Tabell2[[#This Row],[Befvekst10-I]]*Vekter!$E$3</f>
        <v>16.503402630005652</v>
      </c>
      <c r="AG206" s="48">
        <f>Tabell2[[#This Row],[Kvinneandel-I]]*Vekter!$F$3</f>
        <v>4.6210666069611106</v>
      </c>
      <c r="AH206" s="48">
        <f>Tabell2[[#This Row],[Eldreandel-I]]*Vekter!$G$3</f>
        <v>4.8791255414214447</v>
      </c>
      <c r="AI206" s="48">
        <f>Tabell2[[#This Row],[Sysselsettingsvekst10-I]]*Vekter!$H$3</f>
        <v>6.1829813950156378</v>
      </c>
      <c r="AJ206" s="48">
        <f>Tabell2[[#This Row],[Yrkesaktivandel-I]]*Vekter!$J$3</f>
        <v>5.2893276034361802</v>
      </c>
      <c r="AK206" s="48">
        <f>Tabell2[[#This Row],[Inntekt-I]]*Vekter!$L$3</f>
        <v>8.7174651075066016</v>
      </c>
      <c r="AL206" s="37">
        <f>SUM(Tabell2[[#This Row],[NIBR11-v]:[Inntekt-v]])</f>
        <v>71.126652515132193</v>
      </c>
    </row>
    <row r="207" spans="1:38">
      <c r="A207" s="2" t="s">
        <v>204</v>
      </c>
      <c r="B207">
        <f>'Rådata-K'!M206</f>
        <v>6</v>
      </c>
      <c r="C207" s="9">
        <f>'Rådata-K'!L206</f>
        <v>171.59349923880001</v>
      </c>
      <c r="D207" s="51">
        <f>'Rådata-K'!N206</f>
        <v>21.126167240047746</v>
      </c>
      <c r="E207" s="51">
        <f>'Rådata-K'!O206</f>
        <v>3.3665407076606035E-2</v>
      </c>
      <c r="F207" s="51">
        <f>'Rådata-K'!P206</f>
        <v>0.11299435028248588</v>
      </c>
      <c r="G207" s="51">
        <f>'Rådata-K'!Q206</f>
        <v>0.12495845795945497</v>
      </c>
      <c r="H207" s="51">
        <f>'Rådata-K'!R206</f>
        <v>0.1454545454545455</v>
      </c>
      <c r="I207" s="51">
        <f>'Rådata-K'!S206</f>
        <v>0.93684210526315792</v>
      </c>
      <c r="J207" s="52">
        <f>'Rådata-K'!K206</f>
        <v>388000</v>
      </c>
      <c r="K207" s="26">
        <f>Tabell2[[#This Row],[NIBR11]]</f>
        <v>6</v>
      </c>
      <c r="L207" s="52">
        <f>IF(Tabell2[[#This Row],[ReisetidOslo]]&lt;=C$434,C$434,IF(Tabell2[[#This Row],[ReisetidOslo]]&gt;=C$435,C$435,Tabell2[[#This Row],[ReisetidOslo]]))</f>
        <v>171.59349923880001</v>
      </c>
      <c r="M207" s="51">
        <f>IF(Tabell2[[#This Row],[Beftettotal]]&lt;=D$434,D$434,IF(Tabell2[[#This Row],[Beftettotal]]&gt;=D$435,D$435,Tabell2[[#This Row],[Beftettotal]]))</f>
        <v>21.126167240047746</v>
      </c>
      <c r="N207" s="51">
        <f>IF(Tabell2[[#This Row],[Befvekst10]]&lt;=E$434,E$434,IF(Tabell2[[#This Row],[Befvekst10]]&gt;=E$435,E$435,Tabell2[[#This Row],[Befvekst10]]))</f>
        <v>3.3665407076606035E-2</v>
      </c>
      <c r="O207" s="51">
        <f>IF(Tabell2[[#This Row],[Kvinneandel]]&lt;=F$434,F$434,IF(Tabell2[[#This Row],[Kvinneandel]]&gt;=F$435,F$435,Tabell2[[#This Row],[Kvinneandel]]))</f>
        <v>0.11299435028248588</v>
      </c>
      <c r="P207" s="51">
        <f>IF(Tabell2[[#This Row],[Eldreandel]]&lt;=G$434,G$434,IF(Tabell2[[#This Row],[Eldreandel]]&gt;=G$435,G$435,Tabell2[[#This Row],[Eldreandel]]))</f>
        <v>0.12495845795945497</v>
      </c>
      <c r="Q207" s="51">
        <f>IF(Tabell2[[#This Row],[Sysselsettingsvekst10]]&lt;=H$434,H$434,IF(Tabell2[[#This Row],[Sysselsettingsvekst10]]&gt;=H$435,H$435,Tabell2[[#This Row],[Sysselsettingsvekst10]]))</f>
        <v>0.1454545454545455</v>
      </c>
      <c r="R207" s="51">
        <f>IF(Tabell2[[#This Row],[Yrkesaktivandel]]&lt;=I$434,I$434,IF(Tabell2[[#This Row],[Yrkesaktivandel]]&gt;=I$435,I$435,Tabell2[[#This Row],[Yrkesaktivandel]]))</f>
        <v>0.93684210526315792</v>
      </c>
      <c r="S207" s="52">
        <f>IF(Tabell2[[#This Row],[Inntekt]]&lt;=J$434,J$434,IF(Tabell2[[#This Row],[Inntekt]]&gt;=J$435,J$435,Tabell2[[#This Row],[Inntekt]]))</f>
        <v>388000</v>
      </c>
      <c r="T207" s="9">
        <f>IF(Tabell2[[#This Row],[NIBR11-T]]&lt;=K$437,100,IF(Tabell2[[#This Row],[NIBR11-T]]&gt;=K$436,0,100*(K$436-Tabell2[[#This Row],[NIBR11-T]])/K$439))</f>
        <v>50</v>
      </c>
      <c r="U207" s="9">
        <f>(L$436-Tabell2[[#This Row],[ReisetidOslo-T]])*100/L$439</f>
        <v>47.707852371192672</v>
      </c>
      <c r="V207" s="9">
        <f>100-(M$436-Tabell2[[#This Row],[Beftettotal-T]])*100/M$439</f>
        <v>15.585026262362533</v>
      </c>
      <c r="W207" s="9">
        <f>100-(N$436-Tabell2[[#This Row],[Befvekst10-T]])*100/N$439</f>
        <v>46.31336189678553</v>
      </c>
      <c r="X207" s="9">
        <f>100-(O$436-Tabell2[[#This Row],[Kvinneandel-T]])*100/O$439</f>
        <v>60.208696825603617</v>
      </c>
      <c r="Y207" s="9">
        <f>(P$436-Tabell2[[#This Row],[Eldreandel-T]])*100/P$439</f>
        <v>94.483895743813079</v>
      </c>
      <c r="Z207" s="9">
        <f>100-(Q$436-Tabell2[[#This Row],[Sysselsettingsvekst10-T]])*100/Q$439</f>
        <v>68.735026747908421</v>
      </c>
      <c r="AA207" s="9">
        <f>100-(R$436-Tabell2[[#This Row],[Yrkesaktivandel-T]])*100/R$439</f>
        <v>81.112588665455263</v>
      </c>
      <c r="AB207" s="9">
        <f>100-(S$436-Tabell2[[#This Row],[Inntekt-T]])*100/S$439</f>
        <v>84.911354205960009</v>
      </c>
      <c r="AC207" s="48">
        <f>Tabell2[[#This Row],[NIBR11-I]]*Vekter!$B$3</f>
        <v>10</v>
      </c>
      <c r="AD207" s="48">
        <f>Tabell2[[#This Row],[ReisetidOslo-I]]*Vekter!$C$3</f>
        <v>4.7707852371192674</v>
      </c>
      <c r="AE207" s="48">
        <f>Tabell2[[#This Row],[Beftettotal-I]]*Vekter!$D$3</f>
        <v>1.5585026262362534</v>
      </c>
      <c r="AF207" s="48">
        <f>Tabell2[[#This Row],[Befvekst10-I]]*Vekter!$E$3</f>
        <v>9.262672379357106</v>
      </c>
      <c r="AG207" s="48">
        <f>Tabell2[[#This Row],[Kvinneandel-I]]*Vekter!$F$3</f>
        <v>3.0104348412801811</v>
      </c>
      <c r="AH207" s="48">
        <f>Tabell2[[#This Row],[Eldreandel-I]]*Vekter!$G$3</f>
        <v>4.7241947871906538</v>
      </c>
      <c r="AI207" s="48">
        <f>Tabell2[[#This Row],[Sysselsettingsvekst10-I]]*Vekter!$H$3</f>
        <v>6.8735026747908421</v>
      </c>
      <c r="AJ207" s="48">
        <f>Tabell2[[#This Row],[Yrkesaktivandel-I]]*Vekter!$J$3</f>
        <v>8.1112588665455263</v>
      </c>
      <c r="AK207" s="48">
        <f>Tabell2[[#This Row],[Inntekt-I]]*Vekter!$L$3</f>
        <v>8.4911354205960006</v>
      </c>
      <c r="AL207" s="37">
        <f>SUM(Tabell2[[#This Row],[NIBR11-v]:[Inntekt-v]])</f>
        <v>56.802486833115829</v>
      </c>
    </row>
    <row r="208" spans="1:38">
      <c r="A208" s="2" t="s">
        <v>205</v>
      </c>
      <c r="B208">
        <f>'Rådata-K'!M207</f>
        <v>6</v>
      </c>
      <c r="C208" s="9">
        <f>'Rådata-K'!L207</f>
        <v>199.9430332709</v>
      </c>
      <c r="D208" s="51">
        <f>'Rådata-K'!N207</f>
        <v>10.760064285994277</v>
      </c>
      <c r="E208" s="51">
        <f>'Rådata-K'!O207</f>
        <v>-2.3826458036984355E-2</v>
      </c>
      <c r="F208" s="51">
        <f>'Rådata-K'!P207</f>
        <v>9.94535519125683E-2</v>
      </c>
      <c r="G208" s="51">
        <f>'Rådata-K'!Q207</f>
        <v>0.2058287795992714</v>
      </c>
      <c r="H208" s="51">
        <f>'Rådata-K'!R207</f>
        <v>0.1165644171779141</v>
      </c>
      <c r="I208" s="51">
        <f>'Rådata-K'!S207</f>
        <v>0.91070211315610083</v>
      </c>
      <c r="J208" s="52">
        <f>'Rådata-K'!K207</f>
        <v>368900</v>
      </c>
      <c r="K208" s="26">
        <f>Tabell2[[#This Row],[NIBR11]]</f>
        <v>6</v>
      </c>
      <c r="L208" s="52">
        <f>IF(Tabell2[[#This Row],[ReisetidOslo]]&lt;=C$434,C$434,IF(Tabell2[[#This Row],[ReisetidOslo]]&gt;=C$435,C$435,Tabell2[[#This Row],[ReisetidOslo]]))</f>
        <v>199.9430332709</v>
      </c>
      <c r="M208" s="51">
        <f>IF(Tabell2[[#This Row],[Beftettotal]]&lt;=D$434,D$434,IF(Tabell2[[#This Row],[Beftettotal]]&gt;=D$435,D$435,Tabell2[[#This Row],[Beftettotal]]))</f>
        <v>10.760064285994277</v>
      </c>
      <c r="N208" s="51">
        <f>IF(Tabell2[[#This Row],[Befvekst10]]&lt;=E$434,E$434,IF(Tabell2[[#This Row],[Befvekst10]]&gt;=E$435,E$435,Tabell2[[#This Row],[Befvekst10]]))</f>
        <v>-2.3826458036984355E-2</v>
      </c>
      <c r="O208" s="51">
        <f>IF(Tabell2[[#This Row],[Kvinneandel]]&lt;=F$434,F$434,IF(Tabell2[[#This Row],[Kvinneandel]]&gt;=F$435,F$435,Tabell2[[#This Row],[Kvinneandel]]))</f>
        <v>9.94535519125683E-2</v>
      </c>
      <c r="P208" s="51">
        <f>IF(Tabell2[[#This Row],[Eldreandel]]&lt;=G$434,G$434,IF(Tabell2[[#This Row],[Eldreandel]]&gt;=G$435,G$435,Tabell2[[#This Row],[Eldreandel]]))</f>
        <v>0.2058287795992714</v>
      </c>
      <c r="Q208" s="51">
        <f>IF(Tabell2[[#This Row],[Sysselsettingsvekst10]]&lt;=H$434,H$434,IF(Tabell2[[#This Row],[Sysselsettingsvekst10]]&gt;=H$435,H$435,Tabell2[[#This Row],[Sysselsettingsvekst10]]))</f>
        <v>0.1165644171779141</v>
      </c>
      <c r="R208" s="51">
        <f>IF(Tabell2[[#This Row],[Yrkesaktivandel]]&lt;=I$434,I$434,IF(Tabell2[[#This Row],[Yrkesaktivandel]]&gt;=I$435,I$435,Tabell2[[#This Row],[Yrkesaktivandel]]))</f>
        <v>0.91070211315610083</v>
      </c>
      <c r="S208" s="52">
        <f>IF(Tabell2[[#This Row],[Inntekt]]&lt;=J$434,J$434,IF(Tabell2[[#This Row],[Inntekt]]&gt;=J$435,J$435,Tabell2[[#This Row],[Inntekt]]))</f>
        <v>368900</v>
      </c>
      <c r="T208" s="9">
        <f>IF(Tabell2[[#This Row],[NIBR11-T]]&lt;=K$437,100,IF(Tabell2[[#This Row],[NIBR11-T]]&gt;=K$436,0,100*(K$436-Tabell2[[#This Row],[NIBR11-T]])/K$439))</f>
        <v>50</v>
      </c>
      <c r="U208" s="9">
        <f>(L$436-Tabell2[[#This Row],[ReisetidOslo-T]])*100/L$439</f>
        <v>35.122059958945449</v>
      </c>
      <c r="V208" s="9">
        <f>100-(M$436-Tabell2[[#This Row],[Beftettotal-T]])*100/M$439</f>
        <v>7.4200406629977209</v>
      </c>
      <c r="W208" s="9">
        <f>100-(N$436-Tabell2[[#This Row],[Befvekst10-T]])*100/N$439</f>
        <v>23.04894938020557</v>
      </c>
      <c r="X208" s="9">
        <f>100-(O$436-Tabell2[[#This Row],[Kvinneandel-T]])*100/O$439</f>
        <v>24.343214158323164</v>
      </c>
      <c r="Y208" s="9">
        <f>(P$436-Tabell2[[#This Row],[Eldreandel-T]])*100/P$439</f>
        <v>2.8023070892716886</v>
      </c>
      <c r="Z208" s="9">
        <f>100-(Q$436-Tabell2[[#This Row],[Sysselsettingsvekst10-T]])*100/Q$439</f>
        <v>59.462128535893754</v>
      </c>
      <c r="AA208" s="9">
        <f>100-(R$436-Tabell2[[#This Row],[Yrkesaktivandel-T]])*100/R$439</f>
        <v>61.625858727520651</v>
      </c>
      <c r="AB208" s="9">
        <f>100-(S$436-Tabell2[[#This Row],[Inntekt-T]])*100/S$439</f>
        <v>60.89525965044637</v>
      </c>
      <c r="AC208" s="48">
        <f>Tabell2[[#This Row],[NIBR11-I]]*Vekter!$B$3</f>
        <v>10</v>
      </c>
      <c r="AD208" s="48">
        <f>Tabell2[[#This Row],[ReisetidOslo-I]]*Vekter!$C$3</f>
        <v>3.5122059958945453</v>
      </c>
      <c r="AE208" s="48">
        <f>Tabell2[[#This Row],[Beftettotal-I]]*Vekter!$D$3</f>
        <v>0.74200406629977211</v>
      </c>
      <c r="AF208" s="48">
        <f>Tabell2[[#This Row],[Befvekst10-I]]*Vekter!$E$3</f>
        <v>4.6097898760411145</v>
      </c>
      <c r="AG208" s="48">
        <f>Tabell2[[#This Row],[Kvinneandel-I]]*Vekter!$F$3</f>
        <v>1.2171607079161584</v>
      </c>
      <c r="AH208" s="48">
        <f>Tabell2[[#This Row],[Eldreandel-I]]*Vekter!$G$3</f>
        <v>0.14011535446358445</v>
      </c>
      <c r="AI208" s="48">
        <f>Tabell2[[#This Row],[Sysselsettingsvekst10-I]]*Vekter!$H$3</f>
        <v>5.9462128535893761</v>
      </c>
      <c r="AJ208" s="48">
        <f>Tabell2[[#This Row],[Yrkesaktivandel-I]]*Vekter!$J$3</f>
        <v>6.1625858727520653</v>
      </c>
      <c r="AK208" s="48">
        <f>Tabell2[[#This Row],[Inntekt-I]]*Vekter!$L$3</f>
        <v>6.0895259650446372</v>
      </c>
      <c r="AL208" s="37">
        <f>SUM(Tabell2[[#This Row],[NIBR11-v]:[Inntekt-v]])</f>
        <v>38.419600692001254</v>
      </c>
    </row>
    <row r="209" spans="1:38">
      <c r="A209" s="2" t="s">
        <v>206</v>
      </c>
      <c r="B209">
        <f>'Rådata-K'!M208</f>
        <v>8</v>
      </c>
      <c r="C209" s="9">
        <f>'Rådata-K'!L208</f>
        <v>267.881399837</v>
      </c>
      <c r="D209" s="51">
        <f>'Rådata-K'!N208</f>
        <v>12.131324892503185</v>
      </c>
      <c r="E209" s="51">
        <f>'Rådata-K'!O208</f>
        <v>5.6239550083598822E-3</v>
      </c>
      <c r="F209" s="51">
        <f>'Rådata-K'!P208</f>
        <v>0.1038391777509069</v>
      </c>
      <c r="G209" s="51">
        <f>'Rådata-K'!Q208</f>
        <v>0.16603688029020555</v>
      </c>
      <c r="H209" s="51">
        <f>'Rådata-K'!R208</f>
        <v>2.2269730981649749E-2</v>
      </c>
      <c r="I209" s="51">
        <f>'Rådata-K'!S208</f>
        <v>0.90143194772695678</v>
      </c>
      <c r="J209" s="52">
        <f>'Rådata-K'!K208</f>
        <v>366900</v>
      </c>
      <c r="K209" s="26">
        <f>Tabell2[[#This Row],[NIBR11]]</f>
        <v>8</v>
      </c>
      <c r="L209" s="52">
        <f>IF(Tabell2[[#This Row],[ReisetidOslo]]&lt;=C$434,C$434,IF(Tabell2[[#This Row],[ReisetidOslo]]&gt;=C$435,C$435,Tabell2[[#This Row],[ReisetidOslo]]))</f>
        <v>267.881399837</v>
      </c>
      <c r="M209" s="51">
        <f>IF(Tabell2[[#This Row],[Beftettotal]]&lt;=D$434,D$434,IF(Tabell2[[#This Row],[Beftettotal]]&gt;=D$435,D$435,Tabell2[[#This Row],[Beftettotal]]))</f>
        <v>12.131324892503185</v>
      </c>
      <c r="N209" s="51">
        <f>IF(Tabell2[[#This Row],[Befvekst10]]&lt;=E$434,E$434,IF(Tabell2[[#This Row],[Befvekst10]]&gt;=E$435,E$435,Tabell2[[#This Row],[Befvekst10]]))</f>
        <v>5.6239550083598822E-3</v>
      </c>
      <c r="O209" s="51">
        <f>IF(Tabell2[[#This Row],[Kvinneandel]]&lt;=F$434,F$434,IF(Tabell2[[#This Row],[Kvinneandel]]&gt;=F$435,F$435,Tabell2[[#This Row],[Kvinneandel]]))</f>
        <v>0.1038391777509069</v>
      </c>
      <c r="P209" s="51">
        <f>IF(Tabell2[[#This Row],[Eldreandel]]&lt;=G$434,G$434,IF(Tabell2[[#This Row],[Eldreandel]]&gt;=G$435,G$435,Tabell2[[#This Row],[Eldreandel]]))</f>
        <v>0.16603688029020555</v>
      </c>
      <c r="Q209" s="51">
        <f>IF(Tabell2[[#This Row],[Sysselsettingsvekst10]]&lt;=H$434,H$434,IF(Tabell2[[#This Row],[Sysselsettingsvekst10]]&gt;=H$435,H$435,Tabell2[[#This Row],[Sysselsettingsvekst10]]))</f>
        <v>2.2269730981649749E-2</v>
      </c>
      <c r="R209" s="51">
        <f>IF(Tabell2[[#This Row],[Yrkesaktivandel]]&lt;=I$434,I$434,IF(Tabell2[[#This Row],[Yrkesaktivandel]]&gt;=I$435,I$435,Tabell2[[#This Row],[Yrkesaktivandel]]))</f>
        <v>0.90143194772695678</v>
      </c>
      <c r="S209" s="52">
        <f>IF(Tabell2[[#This Row],[Inntekt]]&lt;=J$434,J$434,IF(Tabell2[[#This Row],[Inntekt]]&gt;=J$435,J$435,Tabell2[[#This Row],[Inntekt]]))</f>
        <v>366900</v>
      </c>
      <c r="T209" s="9">
        <f>IF(Tabell2[[#This Row],[NIBR11-T]]&lt;=K$437,100,IF(Tabell2[[#This Row],[NIBR11-T]]&gt;=K$436,0,100*(K$436-Tabell2[[#This Row],[NIBR11-T]])/K$439))</f>
        <v>30</v>
      </c>
      <c r="U209" s="9">
        <f>(L$436-Tabell2[[#This Row],[ReisetidOslo-T]])*100/L$439</f>
        <v>4.9607819125438795</v>
      </c>
      <c r="V209" s="9">
        <f>100-(M$436-Tabell2[[#This Row],[Beftettotal-T]])*100/M$439</f>
        <v>8.5001305631991499</v>
      </c>
      <c r="W209" s="9">
        <f>100-(N$436-Tabell2[[#This Row],[Befvekst10-T]])*100/N$439</f>
        <v>34.966227703266895</v>
      </c>
      <c r="X209" s="9">
        <f>100-(O$436-Tabell2[[#This Row],[Kvinneandel-T]])*100/O$439</f>
        <v>35.959411607917687</v>
      </c>
      <c r="Y209" s="9">
        <f>(P$436-Tabell2[[#This Row],[Eldreandel-T]])*100/P$439</f>
        <v>47.913844551495963</v>
      </c>
      <c r="Z209" s="9">
        <f>100-(Q$436-Tabell2[[#This Row],[Sysselsettingsvekst10-T]])*100/Q$439</f>
        <v>29.196252986317361</v>
      </c>
      <c r="AA209" s="9">
        <f>100-(R$436-Tabell2[[#This Row],[Yrkesaktivandel-T]])*100/R$439</f>
        <v>54.715175301991287</v>
      </c>
      <c r="AB209" s="9">
        <f>100-(S$436-Tabell2[[#This Row],[Inntekt-T]])*100/S$439</f>
        <v>58.38048535143971</v>
      </c>
      <c r="AC209" s="48">
        <f>Tabell2[[#This Row],[NIBR11-I]]*Vekter!$B$3</f>
        <v>6</v>
      </c>
      <c r="AD209" s="48">
        <f>Tabell2[[#This Row],[ReisetidOslo-I]]*Vekter!$C$3</f>
        <v>0.49607819125438796</v>
      </c>
      <c r="AE209" s="48">
        <f>Tabell2[[#This Row],[Beftettotal-I]]*Vekter!$D$3</f>
        <v>0.85001305631991508</v>
      </c>
      <c r="AF209" s="48">
        <f>Tabell2[[#This Row],[Befvekst10-I]]*Vekter!$E$3</f>
        <v>6.9932455406533798</v>
      </c>
      <c r="AG209" s="48">
        <f>Tabell2[[#This Row],[Kvinneandel-I]]*Vekter!$F$3</f>
        <v>1.7979705803958845</v>
      </c>
      <c r="AH209" s="48">
        <f>Tabell2[[#This Row],[Eldreandel-I]]*Vekter!$G$3</f>
        <v>2.395692227574798</v>
      </c>
      <c r="AI209" s="48">
        <f>Tabell2[[#This Row],[Sysselsettingsvekst10-I]]*Vekter!$H$3</f>
        <v>2.9196252986317361</v>
      </c>
      <c r="AJ209" s="48">
        <f>Tabell2[[#This Row],[Yrkesaktivandel-I]]*Vekter!$J$3</f>
        <v>5.4715175301991295</v>
      </c>
      <c r="AK209" s="48">
        <f>Tabell2[[#This Row],[Inntekt-I]]*Vekter!$L$3</f>
        <v>5.8380485351439715</v>
      </c>
      <c r="AL209" s="37">
        <f>SUM(Tabell2[[#This Row],[NIBR11-v]:[Inntekt-v]])</f>
        <v>32.7621909601732</v>
      </c>
    </row>
    <row r="210" spans="1:38">
      <c r="A210" s="2" t="s">
        <v>207</v>
      </c>
      <c r="B210">
        <f>'Rådata-K'!M209</f>
        <v>9</v>
      </c>
      <c r="C210" s="9">
        <f>'Rådata-K'!L209</f>
        <v>232.38977560059999</v>
      </c>
      <c r="D210" s="51">
        <f>'Rådata-K'!N209</f>
        <v>4.4278949285627558</v>
      </c>
      <c r="E210" s="51">
        <f>'Rådata-K'!O209</f>
        <v>1.9571295433364444E-2</v>
      </c>
      <c r="F210" s="51">
        <f>'Rådata-K'!P209</f>
        <v>0.10329067641681901</v>
      </c>
      <c r="G210" s="51">
        <f>'Rådata-K'!Q209</f>
        <v>0.20566727605118831</v>
      </c>
      <c r="H210" s="51">
        <f>'Rådata-K'!R209</f>
        <v>-0.14730290456431538</v>
      </c>
      <c r="I210" s="51">
        <f>'Rådata-K'!S209</f>
        <v>0.93115318416523241</v>
      </c>
      <c r="J210" s="52">
        <f>'Rådata-K'!K209</f>
        <v>342500</v>
      </c>
      <c r="K210" s="26">
        <f>Tabell2[[#This Row],[NIBR11]]</f>
        <v>9</v>
      </c>
      <c r="L210" s="52">
        <f>IF(Tabell2[[#This Row],[ReisetidOslo]]&lt;=C$434,C$434,IF(Tabell2[[#This Row],[ReisetidOslo]]&gt;=C$435,C$435,Tabell2[[#This Row],[ReisetidOslo]]))</f>
        <v>232.38977560059999</v>
      </c>
      <c r="M210" s="51">
        <f>IF(Tabell2[[#This Row],[Beftettotal]]&lt;=D$434,D$434,IF(Tabell2[[#This Row],[Beftettotal]]&gt;=D$435,D$435,Tabell2[[#This Row],[Beftettotal]]))</f>
        <v>4.4278949285627558</v>
      </c>
      <c r="N210" s="51">
        <f>IF(Tabell2[[#This Row],[Befvekst10]]&lt;=E$434,E$434,IF(Tabell2[[#This Row],[Befvekst10]]&gt;=E$435,E$435,Tabell2[[#This Row],[Befvekst10]]))</f>
        <v>1.9571295433364444E-2</v>
      </c>
      <c r="O210" s="51">
        <f>IF(Tabell2[[#This Row],[Kvinneandel]]&lt;=F$434,F$434,IF(Tabell2[[#This Row],[Kvinneandel]]&gt;=F$435,F$435,Tabell2[[#This Row],[Kvinneandel]]))</f>
        <v>0.10329067641681901</v>
      </c>
      <c r="P210" s="51">
        <f>IF(Tabell2[[#This Row],[Eldreandel]]&lt;=G$434,G$434,IF(Tabell2[[#This Row],[Eldreandel]]&gt;=G$435,G$435,Tabell2[[#This Row],[Eldreandel]]))</f>
        <v>0.20566727605118831</v>
      </c>
      <c r="Q210" s="51">
        <f>IF(Tabell2[[#This Row],[Sysselsettingsvekst10]]&lt;=H$434,H$434,IF(Tabell2[[#This Row],[Sysselsettingsvekst10]]&gt;=H$435,H$435,Tabell2[[#This Row],[Sysselsettingsvekst10]]))</f>
        <v>-6.8692498376029434E-2</v>
      </c>
      <c r="R210" s="51">
        <f>IF(Tabell2[[#This Row],[Yrkesaktivandel]]&lt;=I$434,I$434,IF(Tabell2[[#This Row],[Yrkesaktivandel]]&gt;=I$435,I$435,Tabell2[[#This Row],[Yrkesaktivandel]]))</f>
        <v>0.93115318416523241</v>
      </c>
      <c r="S210" s="52">
        <f>IF(Tabell2[[#This Row],[Inntekt]]&lt;=J$434,J$434,IF(Tabell2[[#This Row],[Inntekt]]&gt;=J$435,J$435,Tabell2[[#This Row],[Inntekt]]))</f>
        <v>342500</v>
      </c>
      <c r="T210" s="9">
        <f>IF(Tabell2[[#This Row],[NIBR11-T]]&lt;=K$437,100,IF(Tabell2[[#This Row],[NIBR11-T]]&gt;=K$436,0,100*(K$436-Tabell2[[#This Row],[NIBR11-T]])/K$439))</f>
        <v>20</v>
      </c>
      <c r="U210" s="9">
        <f>(L$436-Tabell2[[#This Row],[ReisetidOslo-T]])*100/L$439</f>
        <v>20.717309498042404</v>
      </c>
      <c r="V210" s="9">
        <f>100-(M$436-Tabell2[[#This Row],[Beftettotal-T]])*100/M$439</f>
        <v>2.4324313516363389</v>
      </c>
      <c r="W210" s="9">
        <f>100-(N$436-Tabell2[[#This Row],[Befvekst10-T]])*100/N$439</f>
        <v>40.610098892962831</v>
      </c>
      <c r="X210" s="9">
        <f>100-(O$436-Tabell2[[#This Row],[Kvinneandel-T]])*100/O$439</f>
        <v>34.506597338530625</v>
      </c>
      <c r="Y210" s="9">
        <f>(P$436-Tabell2[[#This Row],[Eldreandel-T]])*100/P$439</f>
        <v>2.9854014749667281</v>
      </c>
      <c r="Z210" s="9">
        <f>100-(Q$436-Tabell2[[#This Row],[Sysselsettingsvekst10-T]])*100/Q$439</f>
        <v>0</v>
      </c>
      <c r="AA210" s="9">
        <f>100-(R$436-Tabell2[[#This Row],[Yrkesaktivandel-T]])*100/R$439</f>
        <v>76.871636004893276</v>
      </c>
      <c r="AB210" s="9">
        <f>100-(S$436-Tabell2[[#This Row],[Inntekt-T]])*100/S$439</f>
        <v>27.7002389035584</v>
      </c>
      <c r="AC210" s="48">
        <f>Tabell2[[#This Row],[NIBR11-I]]*Vekter!$B$3</f>
        <v>4</v>
      </c>
      <c r="AD210" s="48">
        <f>Tabell2[[#This Row],[ReisetidOslo-I]]*Vekter!$C$3</f>
        <v>2.0717309498042407</v>
      </c>
      <c r="AE210" s="48">
        <f>Tabell2[[#This Row],[Beftettotal-I]]*Vekter!$D$3</f>
        <v>0.24324313516363391</v>
      </c>
      <c r="AF210" s="48">
        <f>Tabell2[[#This Row],[Befvekst10-I]]*Vekter!$E$3</f>
        <v>8.1220197785925663</v>
      </c>
      <c r="AG210" s="48">
        <f>Tabell2[[#This Row],[Kvinneandel-I]]*Vekter!$F$3</f>
        <v>1.7253298669265313</v>
      </c>
      <c r="AH210" s="48">
        <f>Tabell2[[#This Row],[Eldreandel-I]]*Vekter!$G$3</f>
        <v>0.14927007374833642</v>
      </c>
      <c r="AI210" s="48">
        <f>Tabell2[[#This Row],[Sysselsettingsvekst10-I]]*Vekter!$H$3</f>
        <v>0</v>
      </c>
      <c r="AJ210" s="48">
        <f>Tabell2[[#This Row],[Yrkesaktivandel-I]]*Vekter!$J$3</f>
        <v>7.6871636004893276</v>
      </c>
      <c r="AK210" s="48">
        <f>Tabell2[[#This Row],[Inntekt-I]]*Vekter!$L$3</f>
        <v>2.7700238903558403</v>
      </c>
      <c r="AL210" s="37">
        <f>SUM(Tabell2[[#This Row],[NIBR11-v]:[Inntekt-v]])</f>
        <v>26.76878129508048</v>
      </c>
    </row>
    <row r="211" spans="1:38">
      <c r="A211" s="2" t="s">
        <v>208</v>
      </c>
      <c r="B211">
        <f>'Rådata-K'!M210</f>
        <v>7</v>
      </c>
      <c r="C211" s="9">
        <f>'Rådata-K'!L210</f>
        <v>269.01517326499999</v>
      </c>
      <c r="D211" s="51">
        <f>'Rådata-K'!N210</f>
        <v>4.3356911670967699</v>
      </c>
      <c r="E211" s="51">
        <f>'Rådata-K'!O210</f>
        <v>-6.1863952865559679E-2</v>
      </c>
      <c r="F211" s="51">
        <f>'Rådata-K'!P210</f>
        <v>0.10876391664287753</v>
      </c>
      <c r="G211" s="51">
        <f>'Rådata-K'!Q210</f>
        <v>0.19597487867542107</v>
      </c>
      <c r="H211" s="51">
        <f>'Rådata-K'!R210</f>
        <v>-6.8832599118943127E-3</v>
      </c>
      <c r="I211" s="51">
        <f>'Rådata-K'!S210</f>
        <v>0.87351678868972482</v>
      </c>
      <c r="J211" s="52">
        <f>'Rådata-K'!K210</f>
        <v>357200</v>
      </c>
      <c r="K211" s="26">
        <f>Tabell2[[#This Row],[NIBR11]]</f>
        <v>7</v>
      </c>
      <c r="L211" s="52">
        <f>IF(Tabell2[[#This Row],[ReisetidOslo]]&lt;=C$434,C$434,IF(Tabell2[[#This Row],[ReisetidOslo]]&gt;=C$435,C$435,Tabell2[[#This Row],[ReisetidOslo]]))</f>
        <v>269.01517326499999</v>
      </c>
      <c r="M211" s="51">
        <f>IF(Tabell2[[#This Row],[Beftettotal]]&lt;=D$434,D$434,IF(Tabell2[[#This Row],[Beftettotal]]&gt;=D$435,D$435,Tabell2[[#This Row],[Beftettotal]]))</f>
        <v>4.3356911670967699</v>
      </c>
      <c r="N211" s="51">
        <f>IF(Tabell2[[#This Row],[Befvekst10]]&lt;=E$434,E$434,IF(Tabell2[[#This Row],[Befvekst10]]&gt;=E$435,E$435,Tabell2[[#This Row],[Befvekst10]]))</f>
        <v>-6.1863952865559679E-2</v>
      </c>
      <c r="O211" s="51">
        <f>IF(Tabell2[[#This Row],[Kvinneandel]]&lt;=F$434,F$434,IF(Tabell2[[#This Row],[Kvinneandel]]&gt;=F$435,F$435,Tabell2[[#This Row],[Kvinneandel]]))</f>
        <v>0.10876391664287753</v>
      </c>
      <c r="P211" s="51">
        <f>IF(Tabell2[[#This Row],[Eldreandel]]&lt;=G$434,G$434,IF(Tabell2[[#This Row],[Eldreandel]]&gt;=G$435,G$435,Tabell2[[#This Row],[Eldreandel]]))</f>
        <v>0.19597487867542107</v>
      </c>
      <c r="Q211" s="51">
        <f>IF(Tabell2[[#This Row],[Sysselsettingsvekst10]]&lt;=H$434,H$434,IF(Tabell2[[#This Row],[Sysselsettingsvekst10]]&gt;=H$435,H$435,Tabell2[[#This Row],[Sysselsettingsvekst10]]))</f>
        <v>-6.8832599118943127E-3</v>
      </c>
      <c r="R211" s="51">
        <f>IF(Tabell2[[#This Row],[Yrkesaktivandel]]&lt;=I$434,I$434,IF(Tabell2[[#This Row],[Yrkesaktivandel]]&gt;=I$435,I$435,Tabell2[[#This Row],[Yrkesaktivandel]]))</f>
        <v>0.87351678868972482</v>
      </c>
      <c r="S211" s="52">
        <f>IF(Tabell2[[#This Row],[Inntekt]]&lt;=J$434,J$434,IF(Tabell2[[#This Row],[Inntekt]]&gt;=J$435,J$435,Tabell2[[#This Row],[Inntekt]]))</f>
        <v>357200</v>
      </c>
      <c r="T211" s="9">
        <f>IF(Tabell2[[#This Row],[NIBR11-T]]&lt;=K$437,100,IF(Tabell2[[#This Row],[NIBR11-T]]&gt;=K$436,0,100*(K$436-Tabell2[[#This Row],[NIBR11-T]])/K$439))</f>
        <v>40</v>
      </c>
      <c r="U211" s="9">
        <f>(L$436-Tabell2[[#This Row],[ReisetidOslo-T]])*100/L$439</f>
        <v>4.4574425281584951</v>
      </c>
      <c r="V211" s="9">
        <f>100-(M$436-Tabell2[[#This Row],[Beftettotal-T]])*100/M$439</f>
        <v>2.3598059505657716</v>
      </c>
      <c r="W211" s="9">
        <f>100-(N$436-Tabell2[[#This Row],[Befvekst10-T]])*100/N$439</f>
        <v>7.6568592290013981</v>
      </c>
      <c r="X211" s="9">
        <f>100-(O$436-Tabell2[[#This Row],[Kvinneandel-T]])*100/O$439</f>
        <v>49.003556609238601</v>
      </c>
      <c r="Y211" s="9">
        <f>(P$436-Tabell2[[#This Row],[Eldreandel-T]])*100/P$439</f>
        <v>13.973541144290614</v>
      </c>
      <c r="Z211" s="9">
        <f>100-(Q$436-Tabell2[[#This Row],[Sysselsettingsvekst10-T]])*100/Q$439</f>
        <v>19.838983453170599</v>
      </c>
      <c r="AA211" s="9">
        <f>100-(R$436-Tabell2[[#This Row],[Yrkesaktivandel-T]])*100/R$439</f>
        <v>33.90510148463251</v>
      </c>
      <c r="AB211" s="9">
        <f>100-(S$436-Tabell2[[#This Row],[Inntekt-T]])*100/S$439</f>
        <v>46.183830001257384</v>
      </c>
      <c r="AC211" s="48">
        <f>Tabell2[[#This Row],[NIBR11-I]]*Vekter!$B$3</f>
        <v>8</v>
      </c>
      <c r="AD211" s="48">
        <f>Tabell2[[#This Row],[ReisetidOslo-I]]*Vekter!$C$3</f>
        <v>0.44574425281584951</v>
      </c>
      <c r="AE211" s="48">
        <f>Tabell2[[#This Row],[Beftettotal-I]]*Vekter!$D$3</f>
        <v>0.23598059505657717</v>
      </c>
      <c r="AF211" s="48">
        <f>Tabell2[[#This Row],[Befvekst10-I]]*Vekter!$E$3</f>
        <v>1.5313718458002796</v>
      </c>
      <c r="AG211" s="48">
        <f>Tabell2[[#This Row],[Kvinneandel-I]]*Vekter!$F$3</f>
        <v>2.4501778304619304</v>
      </c>
      <c r="AH211" s="48">
        <f>Tabell2[[#This Row],[Eldreandel-I]]*Vekter!$G$3</f>
        <v>0.69867705721453077</v>
      </c>
      <c r="AI211" s="48">
        <f>Tabell2[[#This Row],[Sysselsettingsvekst10-I]]*Vekter!$H$3</f>
        <v>1.98389834531706</v>
      </c>
      <c r="AJ211" s="48">
        <f>Tabell2[[#This Row],[Yrkesaktivandel-I]]*Vekter!$J$3</f>
        <v>3.3905101484632514</v>
      </c>
      <c r="AK211" s="48">
        <f>Tabell2[[#This Row],[Inntekt-I]]*Vekter!$L$3</f>
        <v>4.6183830001257382</v>
      </c>
      <c r="AL211" s="37">
        <f>SUM(Tabell2[[#This Row],[NIBR11-v]:[Inntekt-v]])</f>
        <v>23.354743075255218</v>
      </c>
    </row>
    <row r="212" spans="1:38">
      <c r="A212" s="2" t="s">
        <v>209</v>
      </c>
      <c r="B212">
        <f>'Rådata-K'!M211</f>
        <v>7</v>
      </c>
      <c r="C212" s="9">
        <f>'Rådata-K'!L211</f>
        <v>284.77290619600001</v>
      </c>
      <c r="D212" s="51">
        <f>'Rådata-K'!N211</f>
        <v>2.408975202356777</v>
      </c>
      <c r="E212" s="51">
        <f>'Rådata-K'!O211</f>
        <v>-4.0990606319385114E-2</v>
      </c>
      <c r="F212" s="51">
        <f>'Rådata-K'!P211</f>
        <v>0.10092015434847136</v>
      </c>
      <c r="G212" s="51">
        <f>'Rådata-K'!Q211</f>
        <v>0.19857524487978628</v>
      </c>
      <c r="H212" s="51">
        <f>'Rådata-K'!R211</f>
        <v>-3.7907505686125886E-2</v>
      </c>
      <c r="I212" s="51">
        <f>'Rådata-K'!S211</f>
        <v>0.96382860322760155</v>
      </c>
      <c r="J212" s="52">
        <f>'Rådata-K'!K211</f>
        <v>354500</v>
      </c>
      <c r="K212" s="26">
        <f>Tabell2[[#This Row],[NIBR11]]</f>
        <v>7</v>
      </c>
      <c r="L212" s="52">
        <f>IF(Tabell2[[#This Row],[ReisetidOslo]]&lt;=C$434,C$434,IF(Tabell2[[#This Row],[ReisetidOslo]]&gt;=C$435,C$435,Tabell2[[#This Row],[ReisetidOslo]]))</f>
        <v>279.05557553043002</v>
      </c>
      <c r="M212" s="51">
        <f>IF(Tabell2[[#This Row],[Beftettotal]]&lt;=D$434,D$434,IF(Tabell2[[#This Row],[Beftettotal]]&gt;=D$435,D$435,Tabell2[[#This Row],[Beftettotal]]))</f>
        <v>2.408975202356777</v>
      </c>
      <c r="N212" s="51">
        <f>IF(Tabell2[[#This Row],[Befvekst10]]&lt;=E$434,E$434,IF(Tabell2[[#This Row],[Befvekst10]]&gt;=E$435,E$435,Tabell2[[#This Row],[Befvekst10]]))</f>
        <v>-4.0990606319385114E-2</v>
      </c>
      <c r="O212" s="51">
        <f>IF(Tabell2[[#This Row],[Kvinneandel]]&lt;=F$434,F$434,IF(Tabell2[[#This Row],[Kvinneandel]]&gt;=F$435,F$435,Tabell2[[#This Row],[Kvinneandel]]))</f>
        <v>0.10092015434847136</v>
      </c>
      <c r="P212" s="51">
        <f>IF(Tabell2[[#This Row],[Eldreandel]]&lt;=G$434,G$434,IF(Tabell2[[#This Row],[Eldreandel]]&gt;=G$435,G$435,Tabell2[[#This Row],[Eldreandel]]))</f>
        <v>0.19857524487978628</v>
      </c>
      <c r="Q212" s="51">
        <f>IF(Tabell2[[#This Row],[Sysselsettingsvekst10]]&lt;=H$434,H$434,IF(Tabell2[[#This Row],[Sysselsettingsvekst10]]&gt;=H$435,H$435,Tabell2[[#This Row],[Sysselsettingsvekst10]]))</f>
        <v>-3.7907505686125886E-2</v>
      </c>
      <c r="R212" s="51">
        <f>IF(Tabell2[[#This Row],[Yrkesaktivandel]]&lt;=I$434,I$434,IF(Tabell2[[#This Row],[Yrkesaktivandel]]&gt;=I$435,I$435,Tabell2[[#This Row],[Yrkesaktivandel]]))</f>
        <v>0.96217815624658265</v>
      </c>
      <c r="S212" s="52">
        <f>IF(Tabell2[[#This Row],[Inntekt]]&lt;=J$434,J$434,IF(Tabell2[[#This Row],[Inntekt]]&gt;=J$435,J$435,Tabell2[[#This Row],[Inntekt]]))</f>
        <v>354500</v>
      </c>
      <c r="T212" s="9">
        <f>IF(Tabell2[[#This Row],[NIBR11-T]]&lt;=K$437,100,IF(Tabell2[[#This Row],[NIBR11-T]]&gt;=K$436,0,100*(K$436-Tabell2[[#This Row],[NIBR11-T]])/K$439))</f>
        <v>40</v>
      </c>
      <c r="U212" s="9">
        <f>(L$436-Tabell2[[#This Row],[ReisetidOslo-T]])*100/L$439</f>
        <v>0</v>
      </c>
      <c r="V212" s="9">
        <f>100-(M$436-Tabell2[[#This Row],[Beftettotal-T]])*100/M$439</f>
        <v>0.84220496050259896</v>
      </c>
      <c r="W212" s="9">
        <f>100-(N$436-Tabell2[[#This Row],[Befvekst10-T]])*100/N$439</f>
        <v>16.103378465980256</v>
      </c>
      <c r="X212" s="9">
        <f>100-(O$436-Tabell2[[#This Row],[Kvinneandel-T]])*100/O$439</f>
        <v>28.227800783697504</v>
      </c>
      <c r="Y212" s="9">
        <f>(P$436-Tabell2[[#This Row],[Eldreandel-T]])*100/P$439</f>
        <v>11.025541187500487</v>
      </c>
      <c r="Z212" s="9">
        <f>100-(Q$436-Tabell2[[#This Row],[Sysselsettingsvekst10-T]])*100/Q$439</f>
        <v>9.8810950556421773</v>
      </c>
      <c r="AA212" s="9">
        <f>100-(R$436-Tabell2[[#This Row],[Yrkesaktivandel-T]])*100/R$439</f>
        <v>100</v>
      </c>
      <c r="AB212" s="9">
        <f>100-(S$436-Tabell2[[#This Row],[Inntekt-T]])*100/S$439</f>
        <v>42.788884697598391</v>
      </c>
      <c r="AC212" s="48">
        <f>Tabell2[[#This Row],[NIBR11-I]]*Vekter!$B$3</f>
        <v>8</v>
      </c>
      <c r="AD212" s="48">
        <f>Tabell2[[#This Row],[ReisetidOslo-I]]*Vekter!$C$3</f>
        <v>0</v>
      </c>
      <c r="AE212" s="48">
        <f>Tabell2[[#This Row],[Beftettotal-I]]*Vekter!$D$3</f>
        <v>8.4220496050259899E-2</v>
      </c>
      <c r="AF212" s="48">
        <f>Tabell2[[#This Row],[Befvekst10-I]]*Vekter!$E$3</f>
        <v>3.2206756931960516</v>
      </c>
      <c r="AG212" s="48">
        <f>Tabell2[[#This Row],[Kvinneandel-I]]*Vekter!$F$3</f>
        <v>1.4113900391848753</v>
      </c>
      <c r="AH212" s="48">
        <f>Tabell2[[#This Row],[Eldreandel-I]]*Vekter!$G$3</f>
        <v>0.55127705937502436</v>
      </c>
      <c r="AI212" s="48">
        <f>Tabell2[[#This Row],[Sysselsettingsvekst10-I]]*Vekter!$H$3</f>
        <v>0.98810950556421773</v>
      </c>
      <c r="AJ212" s="48">
        <f>Tabell2[[#This Row],[Yrkesaktivandel-I]]*Vekter!$J$3</f>
        <v>10</v>
      </c>
      <c r="AK212" s="48">
        <f>Tabell2[[#This Row],[Inntekt-I]]*Vekter!$L$3</f>
        <v>4.2788884697598393</v>
      </c>
      <c r="AL212" s="37">
        <f>SUM(Tabell2[[#This Row],[NIBR11-v]:[Inntekt-v]])</f>
        <v>28.534561263130268</v>
      </c>
    </row>
    <row r="213" spans="1:38">
      <c r="A213" s="2" t="s">
        <v>210</v>
      </c>
      <c r="B213">
        <f>'Rådata-K'!M212</f>
        <v>9</v>
      </c>
      <c r="C213" s="9">
        <f>'Rådata-K'!L212</f>
        <v>260.496367023</v>
      </c>
      <c r="D213" s="51">
        <f>'Rådata-K'!N212</f>
        <v>0.63695548686865977</v>
      </c>
      <c r="E213" s="51">
        <f>'Rådata-K'!O212</f>
        <v>3.7117903930131035E-2</v>
      </c>
      <c r="F213" s="51">
        <f>'Rådata-K'!P212</f>
        <v>0.11052631578947368</v>
      </c>
      <c r="G213" s="51">
        <f>'Rådata-K'!Q212</f>
        <v>0.18</v>
      </c>
      <c r="H213" s="51">
        <f>'Rådata-K'!R212</f>
        <v>6.6997518610421913E-2</v>
      </c>
      <c r="I213" s="51">
        <f>'Rådata-K'!S212</f>
        <v>0.97147950089126556</v>
      </c>
      <c r="J213" s="52">
        <f>'Rådata-K'!K212</f>
        <v>376400</v>
      </c>
      <c r="K213" s="26">
        <f>Tabell2[[#This Row],[NIBR11]]</f>
        <v>9</v>
      </c>
      <c r="L213" s="52">
        <f>IF(Tabell2[[#This Row],[ReisetidOslo]]&lt;=C$434,C$434,IF(Tabell2[[#This Row],[ReisetidOslo]]&gt;=C$435,C$435,Tabell2[[#This Row],[ReisetidOslo]]))</f>
        <v>260.496367023</v>
      </c>
      <c r="M213" s="51">
        <f>IF(Tabell2[[#This Row],[Beftettotal]]&lt;=D$434,D$434,IF(Tabell2[[#This Row],[Beftettotal]]&gt;=D$435,D$435,Tabell2[[#This Row],[Beftettotal]]))</f>
        <v>1.3397285732306117</v>
      </c>
      <c r="N213" s="51">
        <f>IF(Tabell2[[#This Row],[Befvekst10]]&lt;=E$434,E$434,IF(Tabell2[[#This Row],[Befvekst10]]&gt;=E$435,E$435,Tabell2[[#This Row],[Befvekst10]]))</f>
        <v>3.7117903930131035E-2</v>
      </c>
      <c r="O213" s="51">
        <f>IF(Tabell2[[#This Row],[Kvinneandel]]&lt;=F$434,F$434,IF(Tabell2[[#This Row],[Kvinneandel]]&gt;=F$435,F$435,Tabell2[[#This Row],[Kvinneandel]]))</f>
        <v>0.11052631578947368</v>
      </c>
      <c r="P213" s="51">
        <f>IF(Tabell2[[#This Row],[Eldreandel]]&lt;=G$434,G$434,IF(Tabell2[[#This Row],[Eldreandel]]&gt;=G$435,G$435,Tabell2[[#This Row],[Eldreandel]]))</f>
        <v>0.18</v>
      </c>
      <c r="Q213" s="51">
        <f>IF(Tabell2[[#This Row],[Sysselsettingsvekst10]]&lt;=H$434,H$434,IF(Tabell2[[#This Row],[Sysselsettingsvekst10]]&gt;=H$435,H$435,Tabell2[[#This Row],[Sysselsettingsvekst10]]))</f>
        <v>6.6997518610421913E-2</v>
      </c>
      <c r="R213" s="51">
        <f>IF(Tabell2[[#This Row],[Yrkesaktivandel]]&lt;=I$434,I$434,IF(Tabell2[[#This Row],[Yrkesaktivandel]]&gt;=I$435,I$435,Tabell2[[#This Row],[Yrkesaktivandel]]))</f>
        <v>0.96217815624658265</v>
      </c>
      <c r="S213" s="52">
        <f>IF(Tabell2[[#This Row],[Inntekt]]&lt;=J$434,J$434,IF(Tabell2[[#This Row],[Inntekt]]&gt;=J$435,J$435,Tabell2[[#This Row],[Inntekt]]))</f>
        <v>376400</v>
      </c>
      <c r="T213" s="9">
        <f>IF(Tabell2[[#This Row],[NIBR11-T]]&lt;=K$437,100,IF(Tabell2[[#This Row],[NIBR11-T]]&gt;=K$436,0,100*(K$436-Tabell2[[#This Row],[NIBR11-T]])/K$439))</f>
        <v>20</v>
      </c>
      <c r="U213" s="9">
        <f>(L$436-Tabell2[[#This Row],[ReisetidOslo-T]])*100/L$439</f>
        <v>8.2393716011572877</v>
      </c>
      <c r="V213" s="9">
        <f>100-(M$436-Tabell2[[#This Row],[Beftettotal-T]])*100/M$439</f>
        <v>0</v>
      </c>
      <c r="W213" s="9">
        <f>100-(N$436-Tabell2[[#This Row],[Befvekst10-T]])*100/N$439</f>
        <v>47.710434523563357</v>
      </c>
      <c r="X213" s="9">
        <f>100-(O$436-Tabell2[[#This Row],[Kvinneandel-T]])*100/O$439</f>
        <v>53.67161932742372</v>
      </c>
      <c r="Y213" s="9">
        <f>(P$436-Tabell2[[#This Row],[Eldreandel-T]])*100/P$439</f>
        <v>32.084044797896276</v>
      </c>
      <c r="Z213" s="9">
        <f>100-(Q$436-Tabell2[[#This Row],[Sysselsettingsvekst10-T]])*100/Q$439</f>
        <v>43.552583216450003</v>
      </c>
      <c r="AA213" s="9">
        <f>100-(R$436-Tabell2[[#This Row],[Yrkesaktivandel-T]])*100/R$439</f>
        <v>100</v>
      </c>
      <c r="AB213" s="9">
        <f>100-(S$436-Tabell2[[#This Row],[Inntekt-T]])*100/S$439</f>
        <v>70.325663271721368</v>
      </c>
      <c r="AC213" s="48">
        <f>Tabell2[[#This Row],[NIBR11-I]]*Vekter!$B$3</f>
        <v>4</v>
      </c>
      <c r="AD213" s="48">
        <f>Tabell2[[#This Row],[ReisetidOslo-I]]*Vekter!$C$3</f>
        <v>0.82393716011572882</v>
      </c>
      <c r="AE213" s="48">
        <f>Tabell2[[#This Row],[Beftettotal-I]]*Vekter!$D$3</f>
        <v>0</v>
      </c>
      <c r="AF213" s="48">
        <f>Tabell2[[#This Row],[Befvekst10-I]]*Vekter!$E$3</f>
        <v>9.5420869047126722</v>
      </c>
      <c r="AG213" s="48">
        <f>Tabell2[[#This Row],[Kvinneandel-I]]*Vekter!$F$3</f>
        <v>2.6835809663711863</v>
      </c>
      <c r="AH213" s="48">
        <f>Tabell2[[#This Row],[Eldreandel-I]]*Vekter!$G$3</f>
        <v>1.6042022398948139</v>
      </c>
      <c r="AI213" s="48">
        <f>Tabell2[[#This Row],[Sysselsettingsvekst10-I]]*Vekter!$H$3</f>
        <v>4.3552583216450005</v>
      </c>
      <c r="AJ213" s="48">
        <f>Tabell2[[#This Row],[Yrkesaktivandel-I]]*Vekter!$J$3</f>
        <v>10</v>
      </c>
      <c r="AK213" s="48">
        <f>Tabell2[[#This Row],[Inntekt-I]]*Vekter!$L$3</f>
        <v>7.0325663271721375</v>
      </c>
      <c r="AL213" s="37">
        <f>SUM(Tabell2[[#This Row],[NIBR11-v]:[Inntekt-v]])</f>
        <v>40.041631919911538</v>
      </c>
    </row>
    <row r="214" spans="1:38">
      <c r="A214" s="2" t="s">
        <v>211</v>
      </c>
      <c r="B214">
        <f>'Rådata-K'!M213</f>
        <v>6</v>
      </c>
      <c r="C214" s="9">
        <f>'Rådata-K'!L213</f>
        <v>271.93243606800002</v>
      </c>
      <c r="D214" s="51">
        <f>'Rådata-K'!N213</f>
        <v>1.5176948795138936</v>
      </c>
      <c r="E214" s="51">
        <f>'Rådata-K'!O213</f>
        <v>-6.893617021276599E-2</v>
      </c>
      <c r="F214" s="51">
        <f>'Rådata-K'!P213</f>
        <v>8.318098720292505E-2</v>
      </c>
      <c r="G214" s="51">
        <f>'Rådata-K'!Q213</f>
        <v>0.22394881170018283</v>
      </c>
      <c r="H214" s="51">
        <f>'Rådata-K'!R213</f>
        <v>-0.203125</v>
      </c>
      <c r="I214" s="51">
        <f>'Rådata-K'!S213</f>
        <v>0.9703315881326352</v>
      </c>
      <c r="J214" s="52">
        <f>'Rådata-K'!K213</f>
        <v>334500</v>
      </c>
      <c r="K214" s="26">
        <f>Tabell2[[#This Row],[NIBR11]]</f>
        <v>6</v>
      </c>
      <c r="L214" s="52">
        <f>IF(Tabell2[[#This Row],[ReisetidOslo]]&lt;=C$434,C$434,IF(Tabell2[[#This Row],[ReisetidOslo]]&gt;=C$435,C$435,Tabell2[[#This Row],[ReisetidOslo]]))</f>
        <v>271.93243606800002</v>
      </c>
      <c r="M214" s="51">
        <f>IF(Tabell2[[#This Row],[Beftettotal]]&lt;=D$434,D$434,IF(Tabell2[[#This Row],[Beftettotal]]&gt;=D$435,D$435,Tabell2[[#This Row],[Beftettotal]]))</f>
        <v>1.5176948795138936</v>
      </c>
      <c r="N214" s="51">
        <f>IF(Tabell2[[#This Row],[Befvekst10]]&lt;=E$434,E$434,IF(Tabell2[[#This Row],[Befvekst10]]&gt;=E$435,E$435,Tabell2[[#This Row],[Befvekst10]]))</f>
        <v>-6.893617021276599E-2</v>
      </c>
      <c r="O214" s="51">
        <f>IF(Tabell2[[#This Row],[Kvinneandel]]&lt;=F$434,F$434,IF(Tabell2[[#This Row],[Kvinneandel]]&gt;=F$435,F$435,Tabell2[[#This Row],[Kvinneandel]]))</f>
        <v>9.0262917071501733E-2</v>
      </c>
      <c r="P214" s="51">
        <f>IF(Tabell2[[#This Row],[Eldreandel]]&lt;=G$434,G$434,IF(Tabell2[[#This Row],[Eldreandel]]&gt;=G$435,G$435,Tabell2[[#This Row],[Eldreandel]]))</f>
        <v>0.20830063331569054</v>
      </c>
      <c r="Q214" s="51">
        <f>IF(Tabell2[[#This Row],[Sysselsettingsvekst10]]&lt;=H$434,H$434,IF(Tabell2[[#This Row],[Sysselsettingsvekst10]]&gt;=H$435,H$435,Tabell2[[#This Row],[Sysselsettingsvekst10]]))</f>
        <v>-6.8692498376029434E-2</v>
      </c>
      <c r="R214" s="51">
        <f>IF(Tabell2[[#This Row],[Yrkesaktivandel]]&lt;=I$434,I$434,IF(Tabell2[[#This Row],[Yrkesaktivandel]]&gt;=I$435,I$435,Tabell2[[#This Row],[Yrkesaktivandel]]))</f>
        <v>0.96217815624658265</v>
      </c>
      <c r="S214" s="52">
        <f>IF(Tabell2[[#This Row],[Inntekt]]&lt;=J$434,J$434,IF(Tabell2[[#This Row],[Inntekt]]&gt;=J$435,J$435,Tabell2[[#This Row],[Inntekt]]))</f>
        <v>334500</v>
      </c>
      <c r="T214" s="9">
        <f>IF(Tabell2[[#This Row],[NIBR11-T]]&lt;=K$437,100,IF(Tabell2[[#This Row],[NIBR11-T]]&gt;=K$436,0,100*(K$436-Tabell2[[#This Row],[NIBR11-T]])/K$439))</f>
        <v>50</v>
      </c>
      <c r="U214" s="9">
        <f>(L$436-Tabell2[[#This Row],[ReisetidOslo-T]])*100/L$439</f>
        <v>3.1623219801820999</v>
      </c>
      <c r="V214" s="9">
        <f>100-(M$436-Tabell2[[#This Row],[Beftettotal-T]])*100/M$439</f>
        <v>0.14017730042000665</v>
      </c>
      <c r="W214" s="9">
        <f>100-(N$436-Tabell2[[#This Row],[Befvekst10-T]])*100/N$439</f>
        <v>4.7950459716432334</v>
      </c>
      <c r="X214" s="9">
        <f>100-(O$436-Tabell2[[#This Row],[Kvinneandel-T]])*100/O$439</f>
        <v>0</v>
      </c>
      <c r="Y214" s="9">
        <f>(P$436-Tabell2[[#This Row],[Eldreandel-T]])*100/P$439</f>
        <v>0</v>
      </c>
      <c r="Z214" s="9">
        <f>100-(Q$436-Tabell2[[#This Row],[Sysselsettingsvekst10-T]])*100/Q$439</f>
        <v>0</v>
      </c>
      <c r="AA214" s="9">
        <f>100-(R$436-Tabell2[[#This Row],[Yrkesaktivandel-T]])*100/R$439</f>
        <v>100</v>
      </c>
      <c r="AB214" s="9">
        <f>100-(S$436-Tabell2[[#This Row],[Inntekt-T]])*100/S$439</f>
        <v>17.641141707531744</v>
      </c>
      <c r="AC214" s="48">
        <f>Tabell2[[#This Row],[NIBR11-I]]*Vekter!$B$3</f>
        <v>10</v>
      </c>
      <c r="AD214" s="48">
        <f>Tabell2[[#This Row],[ReisetidOslo-I]]*Vekter!$C$3</f>
        <v>0.31623219801821001</v>
      </c>
      <c r="AE214" s="48">
        <f>Tabell2[[#This Row],[Beftettotal-I]]*Vekter!$D$3</f>
        <v>1.4017730042000666E-2</v>
      </c>
      <c r="AF214" s="48">
        <f>Tabell2[[#This Row],[Befvekst10-I]]*Vekter!$E$3</f>
        <v>0.95900919432864673</v>
      </c>
      <c r="AG214" s="48">
        <f>Tabell2[[#This Row],[Kvinneandel-I]]*Vekter!$F$3</f>
        <v>0</v>
      </c>
      <c r="AH214" s="48">
        <f>Tabell2[[#This Row],[Eldreandel-I]]*Vekter!$G$3</f>
        <v>0</v>
      </c>
      <c r="AI214" s="48">
        <f>Tabell2[[#This Row],[Sysselsettingsvekst10-I]]*Vekter!$H$3</f>
        <v>0</v>
      </c>
      <c r="AJ214" s="48">
        <f>Tabell2[[#This Row],[Yrkesaktivandel-I]]*Vekter!$J$3</f>
        <v>10</v>
      </c>
      <c r="AK214" s="48">
        <f>Tabell2[[#This Row],[Inntekt-I]]*Vekter!$L$3</f>
        <v>1.7641141707531744</v>
      </c>
      <c r="AL214" s="37">
        <f>SUM(Tabell2[[#This Row],[NIBR11-v]:[Inntekt-v]])</f>
        <v>23.05337329314203</v>
      </c>
    </row>
    <row r="215" spans="1:38">
      <c r="A215" s="2" t="s">
        <v>212</v>
      </c>
      <c r="B215">
        <f>'Rådata-K'!M214</f>
        <v>6</v>
      </c>
      <c r="C215" s="9">
        <f>'Rådata-K'!L214</f>
        <v>261.12910347299999</v>
      </c>
      <c r="D215" s="51">
        <f>'Rådata-K'!N214</f>
        <v>4.2878659512378796</v>
      </c>
      <c r="E215" s="51">
        <f>'Rådata-K'!O214</f>
        <v>-0.10773751224289907</v>
      </c>
      <c r="F215" s="51">
        <f>'Rådata-K'!P214</f>
        <v>0.1119648737650933</v>
      </c>
      <c r="G215" s="51">
        <f>'Rådata-K'!Q214</f>
        <v>0.18990120746432493</v>
      </c>
      <c r="H215" s="51">
        <f>'Rådata-K'!R214</f>
        <v>-0.20802005012531333</v>
      </c>
      <c r="I215" s="51">
        <f>'Rådata-K'!S214</f>
        <v>0.91793893129770987</v>
      </c>
      <c r="J215" s="52">
        <f>'Rådata-K'!K214</f>
        <v>339600</v>
      </c>
      <c r="K215" s="26">
        <f>Tabell2[[#This Row],[NIBR11]]</f>
        <v>6</v>
      </c>
      <c r="L215" s="52">
        <f>IF(Tabell2[[#This Row],[ReisetidOslo]]&lt;=C$434,C$434,IF(Tabell2[[#This Row],[ReisetidOslo]]&gt;=C$435,C$435,Tabell2[[#This Row],[ReisetidOslo]]))</f>
        <v>261.12910347299999</v>
      </c>
      <c r="M215" s="51">
        <f>IF(Tabell2[[#This Row],[Beftettotal]]&lt;=D$434,D$434,IF(Tabell2[[#This Row],[Beftettotal]]&gt;=D$435,D$435,Tabell2[[#This Row],[Beftettotal]]))</f>
        <v>4.2878659512378796</v>
      </c>
      <c r="N215" s="51">
        <f>IF(Tabell2[[#This Row],[Befvekst10]]&lt;=E$434,E$434,IF(Tabell2[[#This Row],[Befvekst10]]&gt;=E$435,E$435,Tabell2[[#This Row],[Befvekst10]]))</f>
        <v>-8.0785862785862778E-2</v>
      </c>
      <c r="O215" s="51">
        <f>IF(Tabell2[[#This Row],[Kvinneandel]]&lt;=F$434,F$434,IF(Tabell2[[#This Row],[Kvinneandel]]&gt;=F$435,F$435,Tabell2[[#This Row],[Kvinneandel]]))</f>
        <v>0.1119648737650933</v>
      </c>
      <c r="P215" s="51">
        <f>IF(Tabell2[[#This Row],[Eldreandel]]&lt;=G$434,G$434,IF(Tabell2[[#This Row],[Eldreandel]]&gt;=G$435,G$435,Tabell2[[#This Row],[Eldreandel]]))</f>
        <v>0.18990120746432493</v>
      </c>
      <c r="Q215" s="51">
        <f>IF(Tabell2[[#This Row],[Sysselsettingsvekst10]]&lt;=H$434,H$434,IF(Tabell2[[#This Row],[Sysselsettingsvekst10]]&gt;=H$435,H$435,Tabell2[[#This Row],[Sysselsettingsvekst10]]))</f>
        <v>-6.8692498376029434E-2</v>
      </c>
      <c r="R215" s="51">
        <f>IF(Tabell2[[#This Row],[Yrkesaktivandel]]&lt;=I$434,I$434,IF(Tabell2[[#This Row],[Yrkesaktivandel]]&gt;=I$435,I$435,Tabell2[[#This Row],[Yrkesaktivandel]]))</f>
        <v>0.91793893129770987</v>
      </c>
      <c r="S215" s="52">
        <f>IF(Tabell2[[#This Row],[Inntekt]]&lt;=J$434,J$434,IF(Tabell2[[#This Row],[Inntekt]]&gt;=J$435,J$435,Tabell2[[#This Row],[Inntekt]]))</f>
        <v>339600</v>
      </c>
      <c r="T215" s="9">
        <f>IF(Tabell2[[#This Row],[NIBR11-T]]&lt;=K$437,100,IF(Tabell2[[#This Row],[NIBR11-T]]&gt;=K$436,0,100*(K$436-Tabell2[[#This Row],[NIBR11-T]])/K$439))</f>
        <v>50</v>
      </c>
      <c r="U215" s="9">
        <f>(L$436-Tabell2[[#This Row],[ReisetidOslo-T]])*100/L$439</f>
        <v>7.9584678796941759</v>
      </c>
      <c r="V215" s="9">
        <f>100-(M$436-Tabell2[[#This Row],[Beftettotal-T]])*100/M$439</f>
        <v>2.3221358444029079</v>
      </c>
      <c r="W215" s="9">
        <f>100-(N$436-Tabell2[[#This Row],[Befvekst10-T]])*100/N$439</f>
        <v>0</v>
      </c>
      <c r="X215" s="9">
        <f>100-(O$436-Tabell2[[#This Row],[Kvinneandel-T]])*100/O$439</f>
        <v>57.481924652927042</v>
      </c>
      <c r="Y215" s="9">
        <f>(P$436-Tabell2[[#This Row],[Eldreandel-T]])*100/P$439</f>
        <v>20.8591799584744</v>
      </c>
      <c r="Z215" s="9">
        <f>100-(Q$436-Tabell2[[#This Row],[Sysselsettingsvekst10-T]])*100/Q$439</f>
        <v>0</v>
      </c>
      <c r="AA215" s="9">
        <f>100-(R$436-Tabell2[[#This Row],[Yrkesaktivandel-T]])*100/R$439</f>
        <v>67.020731080883337</v>
      </c>
      <c r="AB215" s="9">
        <f>100-(S$436-Tabell2[[#This Row],[Inntekt-T]])*100/S$439</f>
        <v>24.05381616999874</v>
      </c>
      <c r="AC215" s="48">
        <f>Tabell2[[#This Row],[NIBR11-I]]*Vekter!$B$3</f>
        <v>10</v>
      </c>
      <c r="AD215" s="48">
        <f>Tabell2[[#This Row],[ReisetidOslo-I]]*Vekter!$C$3</f>
        <v>0.79584678796941766</v>
      </c>
      <c r="AE215" s="48">
        <f>Tabell2[[#This Row],[Beftettotal-I]]*Vekter!$D$3</f>
        <v>0.2322135844402908</v>
      </c>
      <c r="AF215" s="48">
        <f>Tabell2[[#This Row],[Befvekst10-I]]*Vekter!$E$3</f>
        <v>0</v>
      </c>
      <c r="AG215" s="48">
        <f>Tabell2[[#This Row],[Kvinneandel-I]]*Vekter!$F$3</f>
        <v>2.8740962326463522</v>
      </c>
      <c r="AH215" s="48">
        <f>Tabell2[[#This Row],[Eldreandel-I]]*Vekter!$G$3</f>
        <v>1.0429589979237199</v>
      </c>
      <c r="AI215" s="48">
        <f>Tabell2[[#This Row],[Sysselsettingsvekst10-I]]*Vekter!$H$3</f>
        <v>0</v>
      </c>
      <c r="AJ215" s="48">
        <f>Tabell2[[#This Row],[Yrkesaktivandel-I]]*Vekter!$J$3</f>
        <v>6.7020731080883342</v>
      </c>
      <c r="AK215" s="48">
        <f>Tabell2[[#This Row],[Inntekt-I]]*Vekter!$L$3</f>
        <v>2.4053816169998741</v>
      </c>
      <c r="AL215" s="37">
        <f>SUM(Tabell2[[#This Row],[NIBR11-v]:[Inntekt-v]])</f>
        <v>24.05257032806799</v>
      </c>
    </row>
    <row r="216" spans="1:38">
      <c r="A216" s="2" t="s">
        <v>213</v>
      </c>
      <c r="B216">
        <f>'Rådata-K'!M215</f>
        <v>6</v>
      </c>
      <c r="C216" s="9">
        <f>'Rådata-K'!L215</f>
        <v>238.41622768139999</v>
      </c>
      <c r="D216" s="51">
        <f>'Rådata-K'!N215</f>
        <v>7.8457866552959619</v>
      </c>
      <c r="E216" s="51">
        <f>'Rådata-K'!O215</f>
        <v>2.8828697988526608E-2</v>
      </c>
      <c r="F216" s="51">
        <f>'Rådata-K'!P215</f>
        <v>0.11243647656691134</v>
      </c>
      <c r="G216" s="51">
        <f>'Rådata-K'!Q215</f>
        <v>0.17758328627893846</v>
      </c>
      <c r="H216" s="51">
        <f>'Rådata-K'!R215</f>
        <v>0.10759294265910513</v>
      </c>
      <c r="I216" s="51">
        <f>'Rådata-K'!S215</f>
        <v>0.94074923547400613</v>
      </c>
      <c r="J216" s="52">
        <f>'Rådata-K'!K215</f>
        <v>359200</v>
      </c>
      <c r="K216" s="26">
        <f>Tabell2[[#This Row],[NIBR11]]</f>
        <v>6</v>
      </c>
      <c r="L216" s="52">
        <f>IF(Tabell2[[#This Row],[ReisetidOslo]]&lt;=C$434,C$434,IF(Tabell2[[#This Row],[ReisetidOslo]]&gt;=C$435,C$435,Tabell2[[#This Row],[ReisetidOslo]]))</f>
        <v>238.41622768139999</v>
      </c>
      <c r="M216" s="51">
        <f>IF(Tabell2[[#This Row],[Beftettotal]]&lt;=D$434,D$434,IF(Tabell2[[#This Row],[Beftettotal]]&gt;=D$435,D$435,Tabell2[[#This Row],[Beftettotal]]))</f>
        <v>7.8457866552959619</v>
      </c>
      <c r="N216" s="51">
        <f>IF(Tabell2[[#This Row],[Befvekst10]]&lt;=E$434,E$434,IF(Tabell2[[#This Row],[Befvekst10]]&gt;=E$435,E$435,Tabell2[[#This Row],[Befvekst10]]))</f>
        <v>2.8828697988526608E-2</v>
      </c>
      <c r="O216" s="51">
        <f>IF(Tabell2[[#This Row],[Kvinneandel]]&lt;=F$434,F$434,IF(Tabell2[[#This Row],[Kvinneandel]]&gt;=F$435,F$435,Tabell2[[#This Row],[Kvinneandel]]))</f>
        <v>0.11243647656691134</v>
      </c>
      <c r="P216" s="51">
        <f>IF(Tabell2[[#This Row],[Eldreandel]]&lt;=G$434,G$434,IF(Tabell2[[#This Row],[Eldreandel]]&gt;=G$435,G$435,Tabell2[[#This Row],[Eldreandel]]))</f>
        <v>0.17758328627893846</v>
      </c>
      <c r="Q216" s="51">
        <f>IF(Tabell2[[#This Row],[Sysselsettingsvekst10]]&lt;=H$434,H$434,IF(Tabell2[[#This Row],[Sysselsettingsvekst10]]&gt;=H$435,H$435,Tabell2[[#This Row],[Sysselsettingsvekst10]]))</f>
        <v>0.10759294265910513</v>
      </c>
      <c r="R216" s="51">
        <f>IF(Tabell2[[#This Row],[Yrkesaktivandel]]&lt;=I$434,I$434,IF(Tabell2[[#This Row],[Yrkesaktivandel]]&gt;=I$435,I$435,Tabell2[[#This Row],[Yrkesaktivandel]]))</f>
        <v>0.94074923547400613</v>
      </c>
      <c r="S216" s="52">
        <f>IF(Tabell2[[#This Row],[Inntekt]]&lt;=J$434,J$434,IF(Tabell2[[#This Row],[Inntekt]]&gt;=J$435,J$435,Tabell2[[#This Row],[Inntekt]]))</f>
        <v>359200</v>
      </c>
      <c r="T216" s="9">
        <f>IF(Tabell2[[#This Row],[NIBR11-T]]&lt;=K$437,100,IF(Tabell2[[#This Row],[NIBR11-T]]&gt;=K$436,0,100*(K$436-Tabell2[[#This Row],[NIBR11-T]])/K$439))</f>
        <v>50</v>
      </c>
      <c r="U216" s="9">
        <f>(L$436-Tabell2[[#This Row],[ReisetidOslo-T]])*100/L$439</f>
        <v>18.041862530010331</v>
      </c>
      <c r="V216" s="9">
        <f>100-(M$436-Tabell2[[#This Row],[Beftettotal-T]])*100/M$439</f>
        <v>5.1245748555798656</v>
      </c>
      <c r="W216" s="9">
        <f>100-(N$436-Tabell2[[#This Row],[Befvekst10-T]])*100/N$439</f>
        <v>44.35615986088964</v>
      </c>
      <c r="X216" s="9">
        <f>100-(O$436-Tabell2[[#This Row],[Kvinneandel-T]])*100/O$439</f>
        <v>58.731057950120423</v>
      </c>
      <c r="Y216" s="9">
        <f>(P$436-Tabell2[[#This Row],[Eldreandel-T]])*100/P$439</f>
        <v>34.823840421029551</v>
      </c>
      <c r="Z216" s="9">
        <f>100-(Q$436-Tabell2[[#This Row],[Sysselsettingsvekst10-T]])*100/Q$439</f>
        <v>56.582543882339593</v>
      </c>
      <c r="AA216" s="9">
        <f>100-(R$436-Tabell2[[#This Row],[Yrkesaktivandel-T]])*100/R$439</f>
        <v>84.025259447424986</v>
      </c>
      <c r="AB216" s="9">
        <f>100-(S$436-Tabell2[[#This Row],[Inntekt-T]])*100/S$439</f>
        <v>48.698604300264051</v>
      </c>
      <c r="AC216" s="48">
        <f>Tabell2[[#This Row],[NIBR11-I]]*Vekter!$B$3</f>
        <v>10</v>
      </c>
      <c r="AD216" s="48">
        <f>Tabell2[[#This Row],[ReisetidOslo-I]]*Vekter!$C$3</f>
        <v>1.8041862530010331</v>
      </c>
      <c r="AE216" s="48">
        <f>Tabell2[[#This Row],[Beftettotal-I]]*Vekter!$D$3</f>
        <v>0.51245748555798654</v>
      </c>
      <c r="AF216" s="48">
        <f>Tabell2[[#This Row],[Befvekst10-I]]*Vekter!$E$3</f>
        <v>8.8712319721779291</v>
      </c>
      <c r="AG216" s="48">
        <f>Tabell2[[#This Row],[Kvinneandel-I]]*Vekter!$F$3</f>
        <v>2.9365528975060213</v>
      </c>
      <c r="AH216" s="48">
        <f>Tabell2[[#This Row],[Eldreandel-I]]*Vekter!$G$3</f>
        <v>1.7411920210514777</v>
      </c>
      <c r="AI216" s="48">
        <f>Tabell2[[#This Row],[Sysselsettingsvekst10-I]]*Vekter!$H$3</f>
        <v>5.65825438823396</v>
      </c>
      <c r="AJ216" s="48">
        <f>Tabell2[[#This Row],[Yrkesaktivandel-I]]*Vekter!$J$3</f>
        <v>8.4025259447424983</v>
      </c>
      <c r="AK216" s="48">
        <f>Tabell2[[#This Row],[Inntekt-I]]*Vekter!$L$3</f>
        <v>4.8698604300264057</v>
      </c>
      <c r="AL216" s="37">
        <f>SUM(Tabell2[[#This Row],[NIBR11-v]:[Inntekt-v]])</f>
        <v>44.796261392297311</v>
      </c>
    </row>
    <row r="217" spans="1:38">
      <c r="A217" s="2" t="s">
        <v>214</v>
      </c>
      <c r="B217">
        <f>'Rådata-K'!M216</f>
        <v>5</v>
      </c>
      <c r="C217" s="9">
        <f>'Rådata-K'!L216</f>
        <v>217.27167989010002</v>
      </c>
      <c r="D217" s="51">
        <f>'Rådata-K'!N216</f>
        <v>13.924440767596151</v>
      </c>
      <c r="E217" s="51">
        <f>'Rådata-K'!O216</f>
        <v>2.324472523542731E-2</v>
      </c>
      <c r="F217" s="51">
        <f>'Rådata-K'!P216</f>
        <v>0.10659366262814539</v>
      </c>
      <c r="G217" s="51">
        <f>'Rådata-K'!Q216</f>
        <v>0.17823858341099721</v>
      </c>
      <c r="H217" s="51">
        <f>'Rådata-K'!R216</f>
        <v>1.5576323987538387E-3</v>
      </c>
      <c r="I217" s="51">
        <f>'Rådata-K'!S216</f>
        <v>0.90998948475289165</v>
      </c>
      <c r="J217" s="52">
        <f>'Rådata-K'!K216</f>
        <v>357400</v>
      </c>
      <c r="K217" s="26">
        <f>Tabell2[[#This Row],[NIBR11]]</f>
        <v>5</v>
      </c>
      <c r="L217" s="52">
        <f>IF(Tabell2[[#This Row],[ReisetidOslo]]&lt;=C$434,C$434,IF(Tabell2[[#This Row],[ReisetidOslo]]&gt;=C$435,C$435,Tabell2[[#This Row],[ReisetidOslo]]))</f>
        <v>217.27167989010002</v>
      </c>
      <c r="M217" s="51">
        <f>IF(Tabell2[[#This Row],[Beftettotal]]&lt;=D$434,D$434,IF(Tabell2[[#This Row],[Beftettotal]]&gt;=D$435,D$435,Tabell2[[#This Row],[Beftettotal]]))</f>
        <v>13.924440767596151</v>
      </c>
      <c r="N217" s="51">
        <f>IF(Tabell2[[#This Row],[Befvekst10]]&lt;=E$434,E$434,IF(Tabell2[[#This Row],[Befvekst10]]&gt;=E$435,E$435,Tabell2[[#This Row],[Befvekst10]]))</f>
        <v>2.324472523542731E-2</v>
      </c>
      <c r="O217" s="51">
        <f>IF(Tabell2[[#This Row],[Kvinneandel]]&lt;=F$434,F$434,IF(Tabell2[[#This Row],[Kvinneandel]]&gt;=F$435,F$435,Tabell2[[#This Row],[Kvinneandel]]))</f>
        <v>0.10659366262814539</v>
      </c>
      <c r="P217" s="51">
        <f>IF(Tabell2[[#This Row],[Eldreandel]]&lt;=G$434,G$434,IF(Tabell2[[#This Row],[Eldreandel]]&gt;=G$435,G$435,Tabell2[[#This Row],[Eldreandel]]))</f>
        <v>0.17823858341099721</v>
      </c>
      <c r="Q217" s="51">
        <f>IF(Tabell2[[#This Row],[Sysselsettingsvekst10]]&lt;=H$434,H$434,IF(Tabell2[[#This Row],[Sysselsettingsvekst10]]&gt;=H$435,H$435,Tabell2[[#This Row],[Sysselsettingsvekst10]]))</f>
        <v>1.5576323987538387E-3</v>
      </c>
      <c r="R217" s="51">
        <f>IF(Tabell2[[#This Row],[Yrkesaktivandel]]&lt;=I$434,I$434,IF(Tabell2[[#This Row],[Yrkesaktivandel]]&gt;=I$435,I$435,Tabell2[[#This Row],[Yrkesaktivandel]]))</f>
        <v>0.90998948475289165</v>
      </c>
      <c r="S217" s="52">
        <f>IF(Tabell2[[#This Row],[Inntekt]]&lt;=J$434,J$434,IF(Tabell2[[#This Row],[Inntekt]]&gt;=J$435,J$435,Tabell2[[#This Row],[Inntekt]]))</f>
        <v>357400</v>
      </c>
      <c r="T217" s="9">
        <f>IF(Tabell2[[#This Row],[NIBR11-T]]&lt;=K$437,100,IF(Tabell2[[#This Row],[NIBR11-T]]&gt;=K$436,0,100*(K$436-Tabell2[[#This Row],[NIBR11-T]])/K$439))</f>
        <v>60</v>
      </c>
      <c r="U217" s="9">
        <f>(L$436-Tabell2[[#This Row],[ReisetidOslo-T]])*100/L$439</f>
        <v>27.428997036376995</v>
      </c>
      <c r="V217" s="9">
        <f>100-(M$436-Tabell2[[#This Row],[Beftettotal-T]])*100/M$439</f>
        <v>9.9124998366879424</v>
      </c>
      <c r="W217" s="9">
        <f>100-(N$436-Tabell2[[#This Row],[Befvekst10-T]])*100/N$439</f>
        <v>42.096573302812644</v>
      </c>
      <c r="X217" s="9">
        <f>100-(O$436-Tabell2[[#This Row],[Kvinneandel-T]])*100/O$439</f>
        <v>43.255209604685632</v>
      </c>
      <c r="Y217" s="9">
        <f>(P$436-Tabell2[[#This Row],[Eldreandel-T]])*100/P$439</f>
        <v>34.080938935173073</v>
      </c>
      <c r="Z217" s="9">
        <f>100-(Q$436-Tabell2[[#This Row],[Sysselsettingsvekst10-T]])*100/Q$439</f>
        <v>22.548266515735961</v>
      </c>
      <c r="AA217" s="9">
        <f>100-(R$436-Tabell2[[#This Row],[Yrkesaktivandel-T]])*100/R$439</f>
        <v>61.094611541883985</v>
      </c>
      <c r="AB217" s="9">
        <f>100-(S$436-Tabell2[[#This Row],[Inntekt-T]])*100/S$439</f>
        <v>46.435307431158051</v>
      </c>
      <c r="AC217" s="48">
        <f>Tabell2[[#This Row],[NIBR11-I]]*Vekter!$B$3</f>
        <v>12</v>
      </c>
      <c r="AD217" s="48">
        <f>Tabell2[[#This Row],[ReisetidOslo-I]]*Vekter!$C$3</f>
        <v>2.7428997036376996</v>
      </c>
      <c r="AE217" s="48">
        <f>Tabell2[[#This Row],[Beftettotal-I]]*Vekter!$D$3</f>
        <v>0.99124998366879424</v>
      </c>
      <c r="AF217" s="48">
        <f>Tabell2[[#This Row],[Befvekst10-I]]*Vekter!$E$3</f>
        <v>8.4193146605625291</v>
      </c>
      <c r="AG217" s="48">
        <f>Tabell2[[#This Row],[Kvinneandel-I]]*Vekter!$F$3</f>
        <v>2.1627604802342817</v>
      </c>
      <c r="AH217" s="48">
        <f>Tabell2[[#This Row],[Eldreandel-I]]*Vekter!$G$3</f>
        <v>1.7040469467586536</v>
      </c>
      <c r="AI217" s="48">
        <f>Tabell2[[#This Row],[Sysselsettingsvekst10-I]]*Vekter!$H$3</f>
        <v>2.254826651573596</v>
      </c>
      <c r="AJ217" s="48">
        <f>Tabell2[[#This Row],[Yrkesaktivandel-I]]*Vekter!$J$3</f>
        <v>6.1094611541883985</v>
      </c>
      <c r="AK217" s="48">
        <f>Tabell2[[#This Row],[Inntekt-I]]*Vekter!$L$3</f>
        <v>4.6435307431158055</v>
      </c>
      <c r="AL217" s="37">
        <f>SUM(Tabell2[[#This Row],[NIBR11-v]:[Inntekt-v]])</f>
        <v>41.028090323739761</v>
      </c>
    </row>
    <row r="218" spans="1:38">
      <c r="A218" s="2" t="s">
        <v>215</v>
      </c>
      <c r="B218">
        <f>'Rådata-K'!M217</f>
        <v>1</v>
      </c>
      <c r="C218" s="9">
        <f>'Rådata-K'!L217</f>
        <v>210.13089505889999</v>
      </c>
      <c r="D218" s="51">
        <f>'Rådata-K'!N217</f>
        <v>10.134455560849082</v>
      </c>
      <c r="E218" s="51">
        <f>'Rådata-K'!O217</f>
        <v>2.7092274678111483E-2</v>
      </c>
      <c r="F218" s="51">
        <f>'Rådata-K'!P217</f>
        <v>9.5325150169757122E-2</v>
      </c>
      <c r="G218" s="51">
        <f>'Rådata-K'!Q217</f>
        <v>0.16792896317576392</v>
      </c>
      <c r="H218" s="51">
        <f>'Rådata-K'!R217</f>
        <v>3.7735849056603765E-2</v>
      </c>
      <c r="I218" s="51">
        <f>'Rådata-K'!S217</f>
        <v>0.94670542635658916</v>
      </c>
      <c r="J218" s="52">
        <f>'Rådata-K'!K217</f>
        <v>380300</v>
      </c>
      <c r="K218" s="26">
        <f>Tabell2[[#This Row],[NIBR11]]</f>
        <v>1</v>
      </c>
      <c r="L218" s="52">
        <f>IF(Tabell2[[#This Row],[ReisetidOslo]]&lt;=C$434,C$434,IF(Tabell2[[#This Row],[ReisetidOslo]]&gt;=C$435,C$435,Tabell2[[#This Row],[ReisetidOslo]]))</f>
        <v>210.13089505889999</v>
      </c>
      <c r="M218" s="51">
        <f>IF(Tabell2[[#This Row],[Beftettotal]]&lt;=D$434,D$434,IF(Tabell2[[#This Row],[Beftettotal]]&gt;=D$435,D$435,Tabell2[[#This Row],[Beftettotal]]))</f>
        <v>10.134455560849082</v>
      </c>
      <c r="N218" s="51">
        <f>IF(Tabell2[[#This Row],[Befvekst10]]&lt;=E$434,E$434,IF(Tabell2[[#This Row],[Befvekst10]]&gt;=E$435,E$435,Tabell2[[#This Row],[Befvekst10]]))</f>
        <v>2.7092274678111483E-2</v>
      </c>
      <c r="O218" s="51">
        <f>IF(Tabell2[[#This Row],[Kvinneandel]]&lt;=F$434,F$434,IF(Tabell2[[#This Row],[Kvinneandel]]&gt;=F$435,F$435,Tabell2[[#This Row],[Kvinneandel]]))</f>
        <v>9.5325150169757122E-2</v>
      </c>
      <c r="P218" s="51">
        <f>IF(Tabell2[[#This Row],[Eldreandel]]&lt;=G$434,G$434,IF(Tabell2[[#This Row],[Eldreandel]]&gt;=G$435,G$435,Tabell2[[#This Row],[Eldreandel]]))</f>
        <v>0.16792896317576392</v>
      </c>
      <c r="Q218" s="51">
        <f>IF(Tabell2[[#This Row],[Sysselsettingsvekst10]]&lt;=H$434,H$434,IF(Tabell2[[#This Row],[Sysselsettingsvekst10]]&gt;=H$435,H$435,Tabell2[[#This Row],[Sysselsettingsvekst10]]))</f>
        <v>3.7735849056603765E-2</v>
      </c>
      <c r="R218" s="51">
        <f>IF(Tabell2[[#This Row],[Yrkesaktivandel]]&lt;=I$434,I$434,IF(Tabell2[[#This Row],[Yrkesaktivandel]]&gt;=I$435,I$435,Tabell2[[#This Row],[Yrkesaktivandel]]))</f>
        <v>0.94670542635658916</v>
      </c>
      <c r="S218" s="52">
        <f>IF(Tabell2[[#This Row],[Inntekt]]&lt;=J$434,J$434,IF(Tabell2[[#This Row],[Inntekt]]&gt;=J$435,J$435,Tabell2[[#This Row],[Inntekt]]))</f>
        <v>380300</v>
      </c>
      <c r="T218" s="9">
        <f>IF(Tabell2[[#This Row],[NIBR11-T]]&lt;=K$437,100,IF(Tabell2[[#This Row],[NIBR11-T]]&gt;=K$436,0,100*(K$436-Tabell2[[#This Row],[NIBR11-T]])/K$439))</f>
        <v>100</v>
      </c>
      <c r="U218" s="9">
        <f>(L$436-Tabell2[[#This Row],[ReisetidOslo-T]])*100/L$439</f>
        <v>30.599152688467971</v>
      </c>
      <c r="V218" s="9">
        <f>100-(M$436-Tabell2[[#This Row],[Beftettotal-T]])*100/M$439</f>
        <v>6.9272724303949076</v>
      </c>
      <c r="W218" s="9">
        <f>100-(N$436-Tabell2[[#This Row],[Befvekst10-T]])*100/N$439</f>
        <v>43.653506222551627</v>
      </c>
      <c r="X218" s="9">
        <f>100-(O$436-Tabell2[[#This Row],[Kvinneandel-T]])*100/O$439</f>
        <v>13.408325601137889</v>
      </c>
      <c r="Y218" s="9">
        <f>(P$436-Tabell2[[#This Row],[Eldreandel-T]])*100/P$439</f>
        <v>45.768815803042799</v>
      </c>
      <c r="Z218" s="9">
        <f>100-(Q$436-Tabell2[[#This Row],[Sysselsettingsvekst10-T]])*100/Q$439</f>
        <v>34.160430966795715</v>
      </c>
      <c r="AA218" s="9">
        <f>100-(R$436-Tabell2[[#This Row],[Yrkesaktivandel-T]])*100/R$439</f>
        <v>88.465455248262629</v>
      </c>
      <c r="AB218" s="9">
        <f>100-(S$436-Tabell2[[#This Row],[Inntekt-T]])*100/S$439</f>
        <v>75.229473154784358</v>
      </c>
      <c r="AC218" s="48">
        <f>Tabell2[[#This Row],[NIBR11-I]]*Vekter!$B$3</f>
        <v>20</v>
      </c>
      <c r="AD218" s="48">
        <f>Tabell2[[#This Row],[ReisetidOslo-I]]*Vekter!$C$3</f>
        <v>3.0599152688467974</v>
      </c>
      <c r="AE218" s="48">
        <f>Tabell2[[#This Row],[Beftettotal-I]]*Vekter!$D$3</f>
        <v>0.69272724303949085</v>
      </c>
      <c r="AF218" s="48">
        <f>Tabell2[[#This Row],[Befvekst10-I]]*Vekter!$E$3</f>
        <v>8.7307012445103265</v>
      </c>
      <c r="AG218" s="48">
        <f>Tabell2[[#This Row],[Kvinneandel-I]]*Vekter!$F$3</f>
        <v>0.67041628005689446</v>
      </c>
      <c r="AH218" s="48">
        <f>Tabell2[[#This Row],[Eldreandel-I]]*Vekter!$G$3</f>
        <v>2.2884407901521402</v>
      </c>
      <c r="AI218" s="48">
        <f>Tabell2[[#This Row],[Sysselsettingsvekst10-I]]*Vekter!$H$3</f>
        <v>3.4160430966795716</v>
      </c>
      <c r="AJ218" s="48">
        <f>Tabell2[[#This Row],[Yrkesaktivandel-I]]*Vekter!$J$3</f>
        <v>8.8465455248262632</v>
      </c>
      <c r="AK218" s="48">
        <f>Tabell2[[#This Row],[Inntekt-I]]*Vekter!$L$3</f>
        <v>7.5229473154784365</v>
      </c>
      <c r="AL218" s="37">
        <f>SUM(Tabell2[[#This Row],[NIBR11-v]:[Inntekt-v]])</f>
        <v>55.227736763589917</v>
      </c>
    </row>
    <row r="219" spans="1:38">
      <c r="A219" s="2" t="s">
        <v>216</v>
      </c>
      <c r="B219">
        <f>'Rådata-K'!M218</f>
        <v>1</v>
      </c>
      <c r="C219" s="9">
        <f>'Rådata-K'!L218</f>
        <v>196.37052294670002</v>
      </c>
      <c r="D219" s="51">
        <f>'Rådata-K'!N218</f>
        <v>9.0534061768313059</v>
      </c>
      <c r="E219" s="51">
        <f>'Rådata-K'!O218</f>
        <v>4.5045045045045029E-2</v>
      </c>
      <c r="F219" s="51">
        <f>'Rådata-K'!P218</f>
        <v>0.11617405582922824</v>
      </c>
      <c r="G219" s="51">
        <f>'Rådata-K'!Q218</f>
        <v>0.15886699507389163</v>
      </c>
      <c r="H219" s="51">
        <f>'Rådata-K'!R218</f>
        <v>4.8128342245989275E-2</v>
      </c>
      <c r="I219" s="51">
        <f>'Rådata-K'!S218</f>
        <v>0.89193083573487031</v>
      </c>
      <c r="J219" s="52">
        <f>'Rådata-K'!K218</f>
        <v>371100</v>
      </c>
      <c r="K219" s="26">
        <f>Tabell2[[#This Row],[NIBR11]]</f>
        <v>1</v>
      </c>
      <c r="L219" s="52">
        <f>IF(Tabell2[[#This Row],[ReisetidOslo]]&lt;=C$434,C$434,IF(Tabell2[[#This Row],[ReisetidOslo]]&gt;=C$435,C$435,Tabell2[[#This Row],[ReisetidOslo]]))</f>
        <v>196.37052294670002</v>
      </c>
      <c r="M219" s="51">
        <f>IF(Tabell2[[#This Row],[Beftettotal]]&lt;=D$434,D$434,IF(Tabell2[[#This Row],[Beftettotal]]&gt;=D$435,D$435,Tabell2[[#This Row],[Beftettotal]]))</f>
        <v>9.0534061768313059</v>
      </c>
      <c r="N219" s="51">
        <f>IF(Tabell2[[#This Row],[Befvekst10]]&lt;=E$434,E$434,IF(Tabell2[[#This Row],[Befvekst10]]&gt;=E$435,E$435,Tabell2[[#This Row],[Befvekst10]]))</f>
        <v>4.5045045045045029E-2</v>
      </c>
      <c r="O219" s="51">
        <f>IF(Tabell2[[#This Row],[Kvinneandel]]&lt;=F$434,F$434,IF(Tabell2[[#This Row],[Kvinneandel]]&gt;=F$435,F$435,Tabell2[[#This Row],[Kvinneandel]]))</f>
        <v>0.11617405582922824</v>
      </c>
      <c r="P219" s="51">
        <f>IF(Tabell2[[#This Row],[Eldreandel]]&lt;=G$434,G$434,IF(Tabell2[[#This Row],[Eldreandel]]&gt;=G$435,G$435,Tabell2[[#This Row],[Eldreandel]]))</f>
        <v>0.15886699507389163</v>
      </c>
      <c r="Q219" s="51">
        <f>IF(Tabell2[[#This Row],[Sysselsettingsvekst10]]&lt;=H$434,H$434,IF(Tabell2[[#This Row],[Sysselsettingsvekst10]]&gt;=H$435,H$435,Tabell2[[#This Row],[Sysselsettingsvekst10]]))</f>
        <v>4.8128342245989275E-2</v>
      </c>
      <c r="R219" s="51">
        <f>IF(Tabell2[[#This Row],[Yrkesaktivandel]]&lt;=I$434,I$434,IF(Tabell2[[#This Row],[Yrkesaktivandel]]&gt;=I$435,I$435,Tabell2[[#This Row],[Yrkesaktivandel]]))</f>
        <v>0.89193083573487031</v>
      </c>
      <c r="S219" s="52">
        <f>IF(Tabell2[[#This Row],[Inntekt]]&lt;=J$434,J$434,IF(Tabell2[[#This Row],[Inntekt]]&gt;=J$435,J$435,Tabell2[[#This Row],[Inntekt]]))</f>
        <v>371100</v>
      </c>
      <c r="T219" s="9">
        <f>IF(Tabell2[[#This Row],[NIBR11-T]]&lt;=K$437,100,IF(Tabell2[[#This Row],[NIBR11-T]]&gt;=K$436,0,100*(K$436-Tabell2[[#This Row],[NIBR11-T]])/K$439))</f>
        <v>100</v>
      </c>
      <c r="U219" s="9">
        <f>(L$436-Tabell2[[#This Row],[ReisetidOslo-T]])*100/L$439</f>
        <v>36.708078031767378</v>
      </c>
      <c r="V219" s="9">
        <f>100-(M$436-Tabell2[[#This Row],[Beftettotal-T]])*100/M$439</f>
        <v>6.0757708881247936</v>
      </c>
      <c r="W219" s="9">
        <f>100-(N$436-Tabell2[[#This Row],[Befvekst10-T]])*100/N$439</f>
        <v>50.91819758030416</v>
      </c>
      <c r="X219" s="9">
        <f>100-(O$436-Tabell2[[#This Row],[Kvinneandel-T]])*100/O$439</f>
        <v>68.630775868380027</v>
      </c>
      <c r="Y219" s="9">
        <f>(P$436-Tabell2[[#This Row],[Eldreandel-T]])*100/P$439</f>
        <v>56.042246340598375</v>
      </c>
      <c r="Z219" s="9">
        <f>100-(Q$436-Tabell2[[#This Row],[Sysselsettingsvekst10-T]])*100/Q$439</f>
        <v>37.496121642568106</v>
      </c>
      <c r="AA219" s="9">
        <f>100-(R$436-Tabell2[[#This Row],[Yrkesaktivandel-T]])*100/R$439</f>
        <v>47.632326816743401</v>
      </c>
      <c r="AB219" s="9">
        <f>100-(S$436-Tabell2[[#This Row],[Inntekt-T]])*100/S$439</f>
        <v>63.661511379353705</v>
      </c>
      <c r="AC219" s="48">
        <f>Tabell2[[#This Row],[NIBR11-I]]*Vekter!$B$3</f>
        <v>20</v>
      </c>
      <c r="AD219" s="48">
        <f>Tabell2[[#This Row],[ReisetidOslo-I]]*Vekter!$C$3</f>
        <v>3.6708078031767379</v>
      </c>
      <c r="AE219" s="48">
        <f>Tabell2[[#This Row],[Beftettotal-I]]*Vekter!$D$3</f>
        <v>0.6075770888124794</v>
      </c>
      <c r="AF219" s="48">
        <f>Tabell2[[#This Row],[Befvekst10-I]]*Vekter!$E$3</f>
        <v>10.183639516060833</v>
      </c>
      <c r="AG219" s="48">
        <f>Tabell2[[#This Row],[Kvinneandel-I]]*Vekter!$F$3</f>
        <v>3.4315387934190014</v>
      </c>
      <c r="AH219" s="48">
        <f>Tabell2[[#This Row],[Eldreandel-I]]*Vekter!$G$3</f>
        <v>2.8021123170299189</v>
      </c>
      <c r="AI219" s="48">
        <f>Tabell2[[#This Row],[Sysselsettingsvekst10-I]]*Vekter!$H$3</f>
        <v>3.7496121642568108</v>
      </c>
      <c r="AJ219" s="48">
        <f>Tabell2[[#This Row],[Yrkesaktivandel-I]]*Vekter!$J$3</f>
        <v>4.7632326816743404</v>
      </c>
      <c r="AK219" s="48">
        <f>Tabell2[[#This Row],[Inntekt-I]]*Vekter!$L$3</f>
        <v>6.366151137935371</v>
      </c>
      <c r="AL219" s="37">
        <f>SUM(Tabell2[[#This Row],[NIBR11-v]:[Inntekt-v]])</f>
        <v>55.57467150236549</v>
      </c>
    </row>
    <row r="220" spans="1:38">
      <c r="A220" s="2" t="s">
        <v>217</v>
      </c>
      <c r="B220">
        <f>'Rådata-K'!M219</f>
        <v>1</v>
      </c>
      <c r="C220" s="9">
        <f>'Rådata-K'!L219</f>
        <v>177.61945657640001</v>
      </c>
      <c r="D220" s="51">
        <f>'Rådata-K'!N219</f>
        <v>133.83490971625108</v>
      </c>
      <c r="E220" s="51">
        <f>'Rådata-K'!O219</f>
        <v>0.27835192663062069</v>
      </c>
      <c r="F220" s="51">
        <f>'Rådata-K'!P219</f>
        <v>0.13277652853624586</v>
      </c>
      <c r="G220" s="51">
        <f>'Rådata-K'!Q219</f>
        <v>0.11227112110504336</v>
      </c>
      <c r="H220" s="51">
        <f>'Rådata-K'!R219</f>
        <v>0.21395544346364015</v>
      </c>
      <c r="I220" s="51">
        <f>'Rådata-K'!S219</f>
        <v>0.90387811634349036</v>
      </c>
      <c r="J220" s="52">
        <f>'Rådata-K'!K219</f>
        <v>402000</v>
      </c>
      <c r="K220" s="26">
        <f>Tabell2[[#This Row],[NIBR11]]</f>
        <v>1</v>
      </c>
      <c r="L220" s="52">
        <f>IF(Tabell2[[#This Row],[ReisetidOslo]]&lt;=C$434,C$434,IF(Tabell2[[#This Row],[ReisetidOslo]]&gt;=C$435,C$435,Tabell2[[#This Row],[ReisetidOslo]]))</f>
        <v>177.61945657640001</v>
      </c>
      <c r="M220" s="51">
        <f>IF(Tabell2[[#This Row],[Beftettotal]]&lt;=D$434,D$434,IF(Tabell2[[#This Row],[Beftettotal]]&gt;=D$435,D$435,Tabell2[[#This Row],[Beftettotal]]))</f>
        <v>128.29773514779066</v>
      </c>
      <c r="N220" s="51">
        <f>IF(Tabell2[[#This Row],[Befvekst10]]&lt;=E$434,E$434,IF(Tabell2[[#This Row],[Befvekst10]]&gt;=E$435,E$435,Tabell2[[#This Row],[Befvekst10]]))</f>
        <v>0.16633778614624492</v>
      </c>
      <c r="O220" s="51">
        <f>IF(Tabell2[[#This Row],[Kvinneandel]]&lt;=F$434,F$434,IF(Tabell2[[#This Row],[Kvinneandel]]&gt;=F$435,F$435,Tabell2[[#This Row],[Kvinneandel]]))</f>
        <v>0.12801731869362362</v>
      </c>
      <c r="P220" s="51">
        <f>IF(Tabell2[[#This Row],[Eldreandel]]&lt;=G$434,G$434,IF(Tabell2[[#This Row],[Eldreandel]]&gt;=G$435,G$435,Tabell2[[#This Row],[Eldreandel]]))</f>
        <v>0.1200928231908705</v>
      </c>
      <c r="Q220" s="51">
        <f>IF(Tabell2[[#This Row],[Sysselsettingsvekst10]]&lt;=H$434,H$434,IF(Tabell2[[#This Row],[Sysselsettingsvekst10]]&gt;=H$435,H$435,Tabell2[[#This Row],[Sysselsettingsvekst10]]))</f>
        <v>0.21395544346364015</v>
      </c>
      <c r="R220" s="51">
        <f>IF(Tabell2[[#This Row],[Yrkesaktivandel]]&lt;=I$434,I$434,IF(Tabell2[[#This Row],[Yrkesaktivandel]]&gt;=I$435,I$435,Tabell2[[#This Row],[Yrkesaktivandel]]))</f>
        <v>0.90387811634349036</v>
      </c>
      <c r="S220" s="52">
        <f>IF(Tabell2[[#This Row],[Inntekt]]&lt;=J$434,J$434,IF(Tabell2[[#This Row],[Inntekt]]&gt;=J$435,J$435,Tabell2[[#This Row],[Inntekt]]))</f>
        <v>400000</v>
      </c>
      <c r="T220" s="9">
        <f>IF(Tabell2[[#This Row],[NIBR11-T]]&lt;=K$437,100,IF(Tabell2[[#This Row],[NIBR11-T]]&gt;=K$436,0,100*(K$436-Tabell2[[#This Row],[NIBR11-T]])/K$439))</f>
        <v>100</v>
      </c>
      <c r="U220" s="9">
        <f>(L$436-Tabell2[[#This Row],[ReisetidOslo-T]])*100/L$439</f>
        <v>45.032625044697042</v>
      </c>
      <c r="V220" s="9">
        <f>100-(M$436-Tabell2[[#This Row],[Beftettotal-T]])*100/M$439</f>
        <v>100</v>
      </c>
      <c r="W220" s="9">
        <f>100-(N$436-Tabell2[[#This Row],[Befvekst10-T]])*100/N$439</f>
        <v>100</v>
      </c>
      <c r="X220" s="9">
        <f>100-(O$436-Tabell2[[#This Row],[Kvinneandel-T]])*100/O$439</f>
        <v>100</v>
      </c>
      <c r="Y220" s="9">
        <f>(P$436-Tabell2[[#This Row],[Eldreandel-T]])*100/P$439</f>
        <v>100.00000000000001</v>
      </c>
      <c r="Z220" s="9">
        <f>100-(Q$436-Tabell2[[#This Row],[Sysselsettingsvekst10-T]])*100/Q$439</f>
        <v>90.72183998001627</v>
      </c>
      <c r="AA220" s="9">
        <f>100-(R$436-Tabell2[[#This Row],[Yrkesaktivandel-T]])*100/R$439</f>
        <v>56.538734659538754</v>
      </c>
      <c r="AB220" s="9">
        <f>100-(S$436-Tabell2[[#This Row],[Inntekt-T]])*100/S$439</f>
        <v>100</v>
      </c>
      <c r="AC220" s="48">
        <f>Tabell2[[#This Row],[NIBR11-I]]*Vekter!$B$3</f>
        <v>20</v>
      </c>
      <c r="AD220" s="48">
        <f>Tabell2[[#This Row],[ReisetidOslo-I]]*Vekter!$C$3</f>
        <v>4.5032625044697046</v>
      </c>
      <c r="AE220" s="48">
        <f>Tabell2[[#This Row],[Beftettotal-I]]*Vekter!$D$3</f>
        <v>10</v>
      </c>
      <c r="AF220" s="48">
        <f>Tabell2[[#This Row],[Befvekst10-I]]*Vekter!$E$3</f>
        <v>20</v>
      </c>
      <c r="AG220" s="48">
        <f>Tabell2[[#This Row],[Kvinneandel-I]]*Vekter!$F$3</f>
        <v>5</v>
      </c>
      <c r="AH220" s="48">
        <f>Tabell2[[#This Row],[Eldreandel-I]]*Vekter!$G$3</f>
        <v>5.0000000000000009</v>
      </c>
      <c r="AI220" s="48">
        <f>Tabell2[[#This Row],[Sysselsettingsvekst10-I]]*Vekter!$H$3</f>
        <v>9.072183998001627</v>
      </c>
      <c r="AJ220" s="48">
        <f>Tabell2[[#This Row],[Yrkesaktivandel-I]]*Vekter!$J$3</f>
        <v>5.6538734659538754</v>
      </c>
      <c r="AK220" s="48">
        <f>Tabell2[[#This Row],[Inntekt-I]]*Vekter!$L$3</f>
        <v>10</v>
      </c>
      <c r="AL220" s="37">
        <f>SUM(Tabell2[[#This Row],[NIBR11-v]:[Inntekt-v]])</f>
        <v>89.229319968425202</v>
      </c>
    </row>
    <row r="221" spans="1:38">
      <c r="A221" s="2" t="s">
        <v>218</v>
      </c>
      <c r="B221">
        <f>'Rådata-K'!M220</f>
        <v>5</v>
      </c>
      <c r="C221" s="9">
        <f>'Rådata-K'!L220</f>
        <v>216.4344654484</v>
      </c>
      <c r="D221" s="51">
        <f>'Rådata-K'!N220</f>
        <v>42.020822665983957</v>
      </c>
      <c r="E221" s="51">
        <f>'Rådata-K'!O220</f>
        <v>9.7392467127256577E-2</v>
      </c>
      <c r="F221" s="51">
        <f>'Rådata-K'!P220</f>
        <v>0.12550771730300569</v>
      </c>
      <c r="G221" s="51">
        <f>'Rådata-K'!Q220</f>
        <v>0.13078797725426483</v>
      </c>
      <c r="H221" s="51">
        <f>'Rådata-K'!R220</f>
        <v>0.40287769784172656</v>
      </c>
      <c r="I221" s="51">
        <f>'Rådata-K'!S220</f>
        <v>0.94924946390278775</v>
      </c>
      <c r="J221" s="52">
        <f>'Rådata-K'!K220</f>
        <v>457700</v>
      </c>
      <c r="K221" s="26">
        <f>Tabell2[[#This Row],[NIBR11]]</f>
        <v>5</v>
      </c>
      <c r="L221" s="52">
        <f>IF(Tabell2[[#This Row],[ReisetidOslo]]&lt;=C$434,C$434,IF(Tabell2[[#This Row],[ReisetidOslo]]&gt;=C$435,C$435,Tabell2[[#This Row],[ReisetidOslo]]))</f>
        <v>216.4344654484</v>
      </c>
      <c r="M221" s="51">
        <f>IF(Tabell2[[#This Row],[Beftettotal]]&lt;=D$434,D$434,IF(Tabell2[[#This Row],[Beftettotal]]&gt;=D$435,D$435,Tabell2[[#This Row],[Beftettotal]]))</f>
        <v>42.020822665983957</v>
      </c>
      <c r="N221" s="51">
        <f>IF(Tabell2[[#This Row],[Befvekst10]]&lt;=E$434,E$434,IF(Tabell2[[#This Row],[Befvekst10]]&gt;=E$435,E$435,Tabell2[[#This Row],[Befvekst10]]))</f>
        <v>9.7392467127256577E-2</v>
      </c>
      <c r="O221" s="51">
        <f>IF(Tabell2[[#This Row],[Kvinneandel]]&lt;=F$434,F$434,IF(Tabell2[[#This Row],[Kvinneandel]]&gt;=F$435,F$435,Tabell2[[#This Row],[Kvinneandel]]))</f>
        <v>0.12550771730300569</v>
      </c>
      <c r="P221" s="51">
        <f>IF(Tabell2[[#This Row],[Eldreandel]]&lt;=G$434,G$434,IF(Tabell2[[#This Row],[Eldreandel]]&gt;=G$435,G$435,Tabell2[[#This Row],[Eldreandel]]))</f>
        <v>0.13078797725426483</v>
      </c>
      <c r="Q221" s="51">
        <f>IF(Tabell2[[#This Row],[Sysselsettingsvekst10]]&lt;=H$434,H$434,IF(Tabell2[[#This Row],[Sysselsettingsvekst10]]&gt;=H$435,H$435,Tabell2[[#This Row],[Sysselsettingsvekst10]]))</f>
        <v>0.24286196513786068</v>
      </c>
      <c r="R221" s="51">
        <f>IF(Tabell2[[#This Row],[Yrkesaktivandel]]&lt;=I$434,I$434,IF(Tabell2[[#This Row],[Yrkesaktivandel]]&gt;=I$435,I$435,Tabell2[[#This Row],[Yrkesaktivandel]]))</f>
        <v>0.94924946390278775</v>
      </c>
      <c r="S221" s="52">
        <f>IF(Tabell2[[#This Row],[Inntekt]]&lt;=J$434,J$434,IF(Tabell2[[#This Row],[Inntekt]]&gt;=J$435,J$435,Tabell2[[#This Row],[Inntekt]]))</f>
        <v>400000</v>
      </c>
      <c r="T221" s="9">
        <f>IF(Tabell2[[#This Row],[NIBR11-T]]&lt;=K$437,100,IF(Tabell2[[#This Row],[NIBR11-T]]&gt;=K$436,0,100*(K$436-Tabell2[[#This Row],[NIBR11-T]])/K$439))</f>
        <v>60</v>
      </c>
      <c r="U221" s="9">
        <f>(L$436-Tabell2[[#This Row],[ReisetidOslo-T]])*100/L$439</f>
        <v>27.800678883275811</v>
      </c>
      <c r="V221" s="9">
        <f>100-(M$436-Tabell2[[#This Row],[Beftettotal-T]])*100/M$439</f>
        <v>32.042952776564036</v>
      </c>
      <c r="W221" s="9">
        <f>100-(N$436-Tabell2[[#This Row],[Befvekst10-T]])*100/N$439</f>
        <v>72.10088175821258</v>
      </c>
      <c r="X221" s="9">
        <f>100-(O$436-Tabell2[[#This Row],[Kvinneandel-T]])*100/O$439</f>
        <v>93.352824352148005</v>
      </c>
      <c r="Y221" s="9">
        <f>(P$436-Tabell2[[#This Row],[Eldreandel-T]])*100/P$439</f>
        <v>87.875048651292943</v>
      </c>
      <c r="Z221" s="9">
        <f>100-(Q$436-Tabell2[[#This Row],[Sysselsettingsvekst10-T]])*100/Q$439</f>
        <v>100</v>
      </c>
      <c r="AA221" s="9">
        <f>100-(R$436-Tabell2[[#This Row],[Yrkesaktivandel-T]])*100/R$439</f>
        <v>90.361973518493997</v>
      </c>
      <c r="AB221" s="9">
        <f>100-(S$436-Tabell2[[#This Row],[Inntekt-T]])*100/S$439</f>
        <v>100</v>
      </c>
      <c r="AC221" s="48">
        <f>Tabell2[[#This Row],[NIBR11-I]]*Vekter!$B$3</f>
        <v>12</v>
      </c>
      <c r="AD221" s="48">
        <f>Tabell2[[#This Row],[ReisetidOslo-I]]*Vekter!$C$3</f>
        <v>2.7800678883275811</v>
      </c>
      <c r="AE221" s="48">
        <f>Tabell2[[#This Row],[Beftettotal-I]]*Vekter!$D$3</f>
        <v>3.2042952776564038</v>
      </c>
      <c r="AF221" s="48">
        <f>Tabell2[[#This Row],[Befvekst10-I]]*Vekter!$E$3</f>
        <v>14.420176351642517</v>
      </c>
      <c r="AG221" s="48">
        <f>Tabell2[[#This Row],[Kvinneandel-I]]*Vekter!$F$3</f>
        <v>4.6676412176074003</v>
      </c>
      <c r="AH221" s="48">
        <f>Tabell2[[#This Row],[Eldreandel-I]]*Vekter!$G$3</f>
        <v>4.3937524325646473</v>
      </c>
      <c r="AI221" s="48">
        <f>Tabell2[[#This Row],[Sysselsettingsvekst10-I]]*Vekter!$H$3</f>
        <v>10</v>
      </c>
      <c r="AJ221" s="48">
        <f>Tabell2[[#This Row],[Yrkesaktivandel-I]]*Vekter!$J$3</f>
        <v>9.0361973518494008</v>
      </c>
      <c r="AK221" s="48">
        <f>Tabell2[[#This Row],[Inntekt-I]]*Vekter!$L$3</f>
        <v>10</v>
      </c>
      <c r="AL221" s="37">
        <f>SUM(Tabell2[[#This Row],[NIBR11-v]:[Inntekt-v]])</f>
        <v>70.502130519647949</v>
      </c>
    </row>
    <row r="222" spans="1:38">
      <c r="A222" s="2" t="s">
        <v>219</v>
      </c>
      <c r="B222">
        <f>'Rådata-K'!M221</f>
        <v>1</v>
      </c>
      <c r="C222" s="9">
        <f>'Rådata-K'!L221</f>
        <v>185.0303220815</v>
      </c>
      <c r="D222" s="51">
        <f>'Rådata-K'!N221</f>
        <v>66.656620454088809</v>
      </c>
      <c r="E222" s="51">
        <f>'Rådata-K'!O221</f>
        <v>0.22079116835326595</v>
      </c>
      <c r="F222" s="51">
        <f>'Rådata-K'!P221</f>
        <v>0.12735493594574226</v>
      </c>
      <c r="G222" s="51">
        <f>'Rådata-K'!Q221</f>
        <v>0.11303692539562923</v>
      </c>
      <c r="H222" s="51">
        <f>'Rådata-K'!R221</f>
        <v>8.1977471839799643E-2</v>
      </c>
      <c r="I222" s="51">
        <f>'Rådata-K'!S221</f>
        <v>0.87464387464387461</v>
      </c>
      <c r="J222" s="52">
        <f>'Rådata-K'!K221</f>
        <v>393500</v>
      </c>
      <c r="K222" s="26">
        <f>Tabell2[[#This Row],[NIBR11]]</f>
        <v>1</v>
      </c>
      <c r="L222" s="52">
        <f>IF(Tabell2[[#This Row],[ReisetidOslo]]&lt;=C$434,C$434,IF(Tabell2[[#This Row],[ReisetidOslo]]&gt;=C$435,C$435,Tabell2[[#This Row],[ReisetidOslo]]))</f>
        <v>185.0303220815</v>
      </c>
      <c r="M222" s="51">
        <f>IF(Tabell2[[#This Row],[Beftettotal]]&lt;=D$434,D$434,IF(Tabell2[[#This Row],[Beftettotal]]&gt;=D$435,D$435,Tabell2[[#This Row],[Beftettotal]]))</f>
        <v>66.656620454088809</v>
      </c>
      <c r="N222" s="51">
        <f>IF(Tabell2[[#This Row],[Befvekst10]]&lt;=E$434,E$434,IF(Tabell2[[#This Row],[Befvekst10]]&gt;=E$435,E$435,Tabell2[[#This Row],[Befvekst10]]))</f>
        <v>0.16633778614624492</v>
      </c>
      <c r="O222" s="51">
        <f>IF(Tabell2[[#This Row],[Kvinneandel]]&lt;=F$434,F$434,IF(Tabell2[[#This Row],[Kvinneandel]]&gt;=F$435,F$435,Tabell2[[#This Row],[Kvinneandel]]))</f>
        <v>0.12735493594574226</v>
      </c>
      <c r="P222" s="51">
        <f>IF(Tabell2[[#This Row],[Eldreandel]]&lt;=G$434,G$434,IF(Tabell2[[#This Row],[Eldreandel]]&gt;=G$435,G$435,Tabell2[[#This Row],[Eldreandel]]))</f>
        <v>0.1200928231908705</v>
      </c>
      <c r="Q222" s="51">
        <f>IF(Tabell2[[#This Row],[Sysselsettingsvekst10]]&lt;=H$434,H$434,IF(Tabell2[[#This Row],[Sysselsettingsvekst10]]&gt;=H$435,H$435,Tabell2[[#This Row],[Sysselsettingsvekst10]]))</f>
        <v>8.1977471839799643E-2</v>
      </c>
      <c r="R222" s="51">
        <f>IF(Tabell2[[#This Row],[Yrkesaktivandel]]&lt;=I$434,I$434,IF(Tabell2[[#This Row],[Yrkesaktivandel]]&gt;=I$435,I$435,Tabell2[[#This Row],[Yrkesaktivandel]]))</f>
        <v>0.87464387464387461</v>
      </c>
      <c r="S222" s="52">
        <f>IF(Tabell2[[#This Row],[Inntekt]]&lt;=J$434,J$434,IF(Tabell2[[#This Row],[Inntekt]]&gt;=J$435,J$435,Tabell2[[#This Row],[Inntekt]]))</f>
        <v>393500</v>
      </c>
      <c r="T222" s="9">
        <f>IF(Tabell2[[#This Row],[NIBR11-T]]&lt;=K$437,100,IF(Tabell2[[#This Row],[NIBR11-T]]&gt;=K$436,0,100*(K$436-Tabell2[[#This Row],[NIBR11-T]])/K$439))</f>
        <v>100</v>
      </c>
      <c r="U222" s="9">
        <f>(L$436-Tabell2[[#This Row],[ReisetidOslo-T]])*100/L$439</f>
        <v>41.742566917580689</v>
      </c>
      <c r="V222" s="9">
        <f>100-(M$436-Tabell2[[#This Row],[Beftettotal-T]])*100/M$439</f>
        <v>51.44763504340218</v>
      </c>
      <c r="W222" s="9">
        <f>100-(N$436-Tabell2[[#This Row],[Befvekst10-T]])*100/N$439</f>
        <v>100</v>
      </c>
      <c r="X222" s="9">
        <f>100-(O$436-Tabell2[[#This Row],[Kvinneandel-T]])*100/O$439</f>
        <v>98.245548281996236</v>
      </c>
      <c r="Y222" s="9">
        <f>(P$436-Tabell2[[#This Row],[Eldreandel-T]])*100/P$439</f>
        <v>100.00000000000001</v>
      </c>
      <c r="Z222" s="9">
        <f>100-(Q$436-Tabell2[[#This Row],[Sysselsettingsvekst10-T]])*100/Q$439</f>
        <v>48.3607162986807</v>
      </c>
      <c r="AA222" s="9">
        <f>100-(R$436-Tabell2[[#This Row],[Yrkesaktivandel-T]])*100/R$439</f>
        <v>34.745316719411676</v>
      </c>
      <c r="AB222" s="9">
        <f>100-(S$436-Tabell2[[#This Row],[Inntekt-T]])*100/S$439</f>
        <v>91.82698352822834</v>
      </c>
      <c r="AC222" s="48">
        <f>Tabell2[[#This Row],[NIBR11-I]]*Vekter!$B$3</f>
        <v>20</v>
      </c>
      <c r="AD222" s="48">
        <f>Tabell2[[#This Row],[ReisetidOslo-I]]*Vekter!$C$3</f>
        <v>4.1742566917580692</v>
      </c>
      <c r="AE222" s="48">
        <f>Tabell2[[#This Row],[Beftettotal-I]]*Vekter!$D$3</f>
        <v>5.1447635043402187</v>
      </c>
      <c r="AF222" s="48">
        <f>Tabell2[[#This Row],[Befvekst10-I]]*Vekter!$E$3</f>
        <v>20</v>
      </c>
      <c r="AG222" s="48">
        <f>Tabell2[[#This Row],[Kvinneandel-I]]*Vekter!$F$3</f>
        <v>4.9122774140998118</v>
      </c>
      <c r="AH222" s="48">
        <f>Tabell2[[#This Row],[Eldreandel-I]]*Vekter!$G$3</f>
        <v>5.0000000000000009</v>
      </c>
      <c r="AI222" s="48">
        <f>Tabell2[[#This Row],[Sysselsettingsvekst10-I]]*Vekter!$H$3</f>
        <v>4.8360716298680702</v>
      </c>
      <c r="AJ222" s="48">
        <f>Tabell2[[#This Row],[Yrkesaktivandel-I]]*Vekter!$J$3</f>
        <v>3.4745316719411679</v>
      </c>
      <c r="AK222" s="48">
        <f>Tabell2[[#This Row],[Inntekt-I]]*Vekter!$L$3</f>
        <v>9.1826983528228343</v>
      </c>
      <c r="AL222" s="37">
        <f>SUM(Tabell2[[#This Row],[NIBR11-v]:[Inntekt-v]])</f>
        <v>76.724599264830175</v>
      </c>
    </row>
    <row r="223" spans="1:38">
      <c r="A223" s="2" t="s">
        <v>220</v>
      </c>
      <c r="B223">
        <f>'Rådata-K'!M222</f>
        <v>1</v>
      </c>
      <c r="C223" s="9">
        <f>'Rådata-K'!L222</f>
        <v>169.6017537351</v>
      </c>
      <c r="D223" s="51">
        <f>'Rådata-K'!N222</f>
        <v>161.0424684356222</v>
      </c>
      <c r="E223" s="51">
        <f>'Rådata-K'!O222</f>
        <v>0.21613215724264512</v>
      </c>
      <c r="F223" s="51">
        <f>'Rådata-K'!P222</f>
        <v>0.12921348314606743</v>
      </c>
      <c r="G223" s="51">
        <f>'Rådata-K'!Q222</f>
        <v>9.420593660908938E-2</v>
      </c>
      <c r="H223" s="51">
        <f>'Rådata-K'!R222</f>
        <v>0.69412961348445212</v>
      </c>
      <c r="I223" s="51">
        <f>'Rådata-K'!S222</f>
        <v>0.8977704494945874</v>
      </c>
      <c r="J223" s="52">
        <f>'Rådata-K'!K222</f>
        <v>417200</v>
      </c>
      <c r="K223" s="26">
        <f>Tabell2[[#This Row],[NIBR11]]</f>
        <v>1</v>
      </c>
      <c r="L223" s="52">
        <f>IF(Tabell2[[#This Row],[ReisetidOslo]]&lt;=C$434,C$434,IF(Tabell2[[#This Row],[ReisetidOslo]]&gt;=C$435,C$435,Tabell2[[#This Row],[ReisetidOslo]]))</f>
        <v>169.6017537351</v>
      </c>
      <c r="M223" s="51">
        <f>IF(Tabell2[[#This Row],[Beftettotal]]&lt;=D$434,D$434,IF(Tabell2[[#This Row],[Beftettotal]]&gt;=D$435,D$435,Tabell2[[#This Row],[Beftettotal]]))</f>
        <v>128.29773514779066</v>
      </c>
      <c r="N223" s="51">
        <f>IF(Tabell2[[#This Row],[Befvekst10]]&lt;=E$434,E$434,IF(Tabell2[[#This Row],[Befvekst10]]&gt;=E$435,E$435,Tabell2[[#This Row],[Befvekst10]]))</f>
        <v>0.16633778614624492</v>
      </c>
      <c r="O223" s="51">
        <f>IF(Tabell2[[#This Row],[Kvinneandel]]&lt;=F$434,F$434,IF(Tabell2[[#This Row],[Kvinneandel]]&gt;=F$435,F$435,Tabell2[[#This Row],[Kvinneandel]]))</f>
        <v>0.12801731869362362</v>
      </c>
      <c r="P223" s="51">
        <f>IF(Tabell2[[#This Row],[Eldreandel]]&lt;=G$434,G$434,IF(Tabell2[[#This Row],[Eldreandel]]&gt;=G$435,G$435,Tabell2[[#This Row],[Eldreandel]]))</f>
        <v>0.1200928231908705</v>
      </c>
      <c r="Q223" s="51">
        <f>IF(Tabell2[[#This Row],[Sysselsettingsvekst10]]&lt;=H$434,H$434,IF(Tabell2[[#This Row],[Sysselsettingsvekst10]]&gt;=H$435,H$435,Tabell2[[#This Row],[Sysselsettingsvekst10]]))</f>
        <v>0.24286196513786068</v>
      </c>
      <c r="R223" s="51">
        <f>IF(Tabell2[[#This Row],[Yrkesaktivandel]]&lt;=I$434,I$434,IF(Tabell2[[#This Row],[Yrkesaktivandel]]&gt;=I$435,I$435,Tabell2[[#This Row],[Yrkesaktivandel]]))</f>
        <v>0.8977704494945874</v>
      </c>
      <c r="S223" s="52">
        <f>IF(Tabell2[[#This Row],[Inntekt]]&lt;=J$434,J$434,IF(Tabell2[[#This Row],[Inntekt]]&gt;=J$435,J$435,Tabell2[[#This Row],[Inntekt]]))</f>
        <v>400000</v>
      </c>
      <c r="T223" s="9">
        <f>IF(Tabell2[[#This Row],[NIBR11-T]]&lt;=K$437,100,IF(Tabell2[[#This Row],[NIBR11-T]]&gt;=K$436,0,100*(K$436-Tabell2[[#This Row],[NIBR11-T]])/K$439))</f>
        <v>100</v>
      </c>
      <c r="U223" s="9">
        <f>(L$436-Tabell2[[#This Row],[ReisetidOslo-T]])*100/L$439</f>
        <v>48.5920889663766</v>
      </c>
      <c r="V223" s="9">
        <f>100-(M$436-Tabell2[[#This Row],[Beftettotal-T]])*100/M$439</f>
        <v>100</v>
      </c>
      <c r="W223" s="9">
        <f>100-(N$436-Tabell2[[#This Row],[Befvekst10-T]])*100/N$439</f>
        <v>100</v>
      </c>
      <c r="X223" s="9">
        <f>100-(O$436-Tabell2[[#This Row],[Kvinneandel-T]])*100/O$439</f>
        <v>100</v>
      </c>
      <c r="Y223" s="9">
        <f>(P$436-Tabell2[[#This Row],[Eldreandel-T]])*100/P$439</f>
        <v>100.00000000000001</v>
      </c>
      <c r="Z223" s="9">
        <f>100-(Q$436-Tabell2[[#This Row],[Sysselsettingsvekst10-T]])*100/Q$439</f>
        <v>100</v>
      </c>
      <c r="AA223" s="9">
        <f>100-(R$436-Tabell2[[#This Row],[Yrkesaktivandel-T]])*100/R$439</f>
        <v>51.985617200742119</v>
      </c>
      <c r="AB223" s="9">
        <f>100-(S$436-Tabell2[[#This Row],[Inntekt-T]])*100/S$439</f>
        <v>100</v>
      </c>
      <c r="AC223" s="48">
        <f>Tabell2[[#This Row],[NIBR11-I]]*Vekter!$B$3</f>
        <v>20</v>
      </c>
      <c r="AD223" s="48">
        <f>Tabell2[[#This Row],[ReisetidOslo-I]]*Vekter!$C$3</f>
        <v>4.8592088966376608</v>
      </c>
      <c r="AE223" s="48">
        <f>Tabell2[[#This Row],[Beftettotal-I]]*Vekter!$D$3</f>
        <v>10</v>
      </c>
      <c r="AF223" s="48">
        <f>Tabell2[[#This Row],[Befvekst10-I]]*Vekter!$E$3</f>
        <v>20</v>
      </c>
      <c r="AG223" s="48">
        <f>Tabell2[[#This Row],[Kvinneandel-I]]*Vekter!$F$3</f>
        <v>5</v>
      </c>
      <c r="AH223" s="48">
        <f>Tabell2[[#This Row],[Eldreandel-I]]*Vekter!$G$3</f>
        <v>5.0000000000000009</v>
      </c>
      <c r="AI223" s="48">
        <f>Tabell2[[#This Row],[Sysselsettingsvekst10-I]]*Vekter!$H$3</f>
        <v>10</v>
      </c>
      <c r="AJ223" s="48">
        <f>Tabell2[[#This Row],[Yrkesaktivandel-I]]*Vekter!$J$3</f>
        <v>5.1985617200742125</v>
      </c>
      <c r="AK223" s="48">
        <f>Tabell2[[#This Row],[Inntekt-I]]*Vekter!$L$3</f>
        <v>10</v>
      </c>
      <c r="AL223" s="37">
        <f>SUM(Tabell2[[#This Row],[NIBR11-v]:[Inntekt-v]])</f>
        <v>90.057770616711878</v>
      </c>
    </row>
    <row r="224" spans="1:38">
      <c r="A224" s="2" t="s">
        <v>221</v>
      </c>
      <c r="B224">
        <f>'Rådata-K'!M223</f>
        <v>1</v>
      </c>
      <c r="C224" s="9">
        <f>'Rådata-K'!L223</f>
        <v>168.44934224920001</v>
      </c>
      <c r="D224" s="51">
        <f>'Rådata-K'!N223</f>
        <v>270.45791711996833</v>
      </c>
      <c r="E224" s="51">
        <f>'Rådata-K'!O223</f>
        <v>0.27060682092742305</v>
      </c>
      <c r="F224" s="51">
        <f>'Rådata-K'!P223</f>
        <v>0.13241424705624222</v>
      </c>
      <c r="G224" s="51">
        <f>'Rådata-K'!Q223</f>
        <v>0.10484165874350911</v>
      </c>
      <c r="H224" s="51">
        <f>'Rådata-K'!R223</f>
        <v>0.30341049655416152</v>
      </c>
      <c r="I224" s="51">
        <f>'Rådata-K'!S223</f>
        <v>0.89130850047755494</v>
      </c>
      <c r="J224" s="52">
        <f>'Rådata-K'!K223</f>
        <v>395600</v>
      </c>
      <c r="K224" s="26">
        <f>Tabell2[[#This Row],[NIBR11]]</f>
        <v>1</v>
      </c>
      <c r="L224" s="52">
        <f>IF(Tabell2[[#This Row],[ReisetidOslo]]&lt;=C$434,C$434,IF(Tabell2[[#This Row],[ReisetidOslo]]&gt;=C$435,C$435,Tabell2[[#This Row],[ReisetidOslo]]))</f>
        <v>168.44934224920001</v>
      </c>
      <c r="M224" s="51">
        <f>IF(Tabell2[[#This Row],[Beftettotal]]&lt;=D$434,D$434,IF(Tabell2[[#This Row],[Beftettotal]]&gt;=D$435,D$435,Tabell2[[#This Row],[Beftettotal]]))</f>
        <v>128.29773514779066</v>
      </c>
      <c r="N224" s="51">
        <f>IF(Tabell2[[#This Row],[Befvekst10]]&lt;=E$434,E$434,IF(Tabell2[[#This Row],[Befvekst10]]&gt;=E$435,E$435,Tabell2[[#This Row],[Befvekst10]]))</f>
        <v>0.16633778614624492</v>
      </c>
      <c r="O224" s="51">
        <f>IF(Tabell2[[#This Row],[Kvinneandel]]&lt;=F$434,F$434,IF(Tabell2[[#This Row],[Kvinneandel]]&gt;=F$435,F$435,Tabell2[[#This Row],[Kvinneandel]]))</f>
        <v>0.12801731869362362</v>
      </c>
      <c r="P224" s="51">
        <f>IF(Tabell2[[#This Row],[Eldreandel]]&lt;=G$434,G$434,IF(Tabell2[[#This Row],[Eldreandel]]&gt;=G$435,G$435,Tabell2[[#This Row],[Eldreandel]]))</f>
        <v>0.1200928231908705</v>
      </c>
      <c r="Q224" s="51">
        <f>IF(Tabell2[[#This Row],[Sysselsettingsvekst10]]&lt;=H$434,H$434,IF(Tabell2[[#This Row],[Sysselsettingsvekst10]]&gt;=H$435,H$435,Tabell2[[#This Row],[Sysselsettingsvekst10]]))</f>
        <v>0.24286196513786068</v>
      </c>
      <c r="R224" s="51">
        <f>IF(Tabell2[[#This Row],[Yrkesaktivandel]]&lt;=I$434,I$434,IF(Tabell2[[#This Row],[Yrkesaktivandel]]&gt;=I$435,I$435,Tabell2[[#This Row],[Yrkesaktivandel]]))</f>
        <v>0.89130850047755494</v>
      </c>
      <c r="S224" s="52">
        <f>IF(Tabell2[[#This Row],[Inntekt]]&lt;=J$434,J$434,IF(Tabell2[[#This Row],[Inntekt]]&gt;=J$435,J$435,Tabell2[[#This Row],[Inntekt]]))</f>
        <v>395600</v>
      </c>
      <c r="T224" s="9">
        <f>IF(Tabell2[[#This Row],[NIBR11-T]]&lt;=K$437,100,IF(Tabell2[[#This Row],[NIBR11-T]]&gt;=K$436,0,100*(K$436-Tabell2[[#This Row],[NIBR11-T]])/K$439))</f>
        <v>100</v>
      </c>
      <c r="U224" s="9">
        <f>(L$436-Tabell2[[#This Row],[ReisetidOslo-T]])*100/L$439</f>
        <v>49.103702727597636</v>
      </c>
      <c r="V224" s="9">
        <f>100-(M$436-Tabell2[[#This Row],[Beftettotal-T]])*100/M$439</f>
        <v>100</v>
      </c>
      <c r="W224" s="9">
        <f>100-(N$436-Tabell2[[#This Row],[Befvekst10-T]])*100/N$439</f>
        <v>100</v>
      </c>
      <c r="X224" s="9">
        <f>100-(O$436-Tabell2[[#This Row],[Kvinneandel-T]])*100/O$439</f>
        <v>100</v>
      </c>
      <c r="Y224" s="9">
        <f>(P$436-Tabell2[[#This Row],[Eldreandel-T]])*100/P$439</f>
        <v>100.00000000000001</v>
      </c>
      <c r="Z224" s="9">
        <f>100-(Q$436-Tabell2[[#This Row],[Sysselsettingsvekst10-T]])*100/Q$439</f>
        <v>100</v>
      </c>
      <c r="AA224" s="9">
        <f>100-(R$436-Tabell2[[#This Row],[Yrkesaktivandel-T]])*100/R$439</f>
        <v>47.168390980784011</v>
      </c>
      <c r="AB224" s="9">
        <f>100-(S$436-Tabell2[[#This Row],[Inntekt-T]])*100/S$439</f>
        <v>94.467496542185344</v>
      </c>
      <c r="AC224" s="48">
        <f>Tabell2[[#This Row],[NIBR11-I]]*Vekter!$B$3</f>
        <v>20</v>
      </c>
      <c r="AD224" s="48">
        <f>Tabell2[[#This Row],[ReisetidOslo-I]]*Vekter!$C$3</f>
        <v>4.9103702727597636</v>
      </c>
      <c r="AE224" s="48">
        <f>Tabell2[[#This Row],[Beftettotal-I]]*Vekter!$D$3</f>
        <v>10</v>
      </c>
      <c r="AF224" s="48">
        <f>Tabell2[[#This Row],[Befvekst10-I]]*Vekter!$E$3</f>
        <v>20</v>
      </c>
      <c r="AG224" s="48">
        <f>Tabell2[[#This Row],[Kvinneandel-I]]*Vekter!$F$3</f>
        <v>5</v>
      </c>
      <c r="AH224" s="48">
        <f>Tabell2[[#This Row],[Eldreandel-I]]*Vekter!$G$3</f>
        <v>5.0000000000000009</v>
      </c>
      <c r="AI224" s="48">
        <f>Tabell2[[#This Row],[Sysselsettingsvekst10-I]]*Vekter!$H$3</f>
        <v>10</v>
      </c>
      <c r="AJ224" s="48">
        <f>Tabell2[[#This Row],[Yrkesaktivandel-I]]*Vekter!$J$3</f>
        <v>4.7168390980784016</v>
      </c>
      <c r="AK224" s="48">
        <f>Tabell2[[#This Row],[Inntekt-I]]*Vekter!$L$3</f>
        <v>9.4467496542185341</v>
      </c>
      <c r="AL224" s="37">
        <f>SUM(Tabell2[[#This Row],[NIBR11-v]:[Inntekt-v]])</f>
        <v>89.073959025056695</v>
      </c>
    </row>
    <row r="225" spans="1:38">
      <c r="A225" s="2" t="s">
        <v>222</v>
      </c>
      <c r="B225">
        <f>'Rådata-K'!M224</f>
        <v>1</v>
      </c>
      <c r="C225" s="9">
        <f>'Rådata-K'!L224</f>
        <v>205.93643129629999</v>
      </c>
      <c r="D225" s="51">
        <f>'Rådata-K'!N224</f>
        <v>5.7874577124164741</v>
      </c>
      <c r="E225" s="51">
        <f>'Rådata-K'!O224</f>
        <v>-7.9079798705966597E-3</v>
      </c>
      <c r="F225" s="51">
        <f>'Rådata-K'!P224</f>
        <v>0.11256038647342995</v>
      </c>
      <c r="G225" s="51">
        <f>'Rådata-K'!Q224</f>
        <v>0.19855072463768117</v>
      </c>
      <c r="H225" s="51">
        <f>'Rådata-K'!R224</f>
        <v>-0.16887019230769229</v>
      </c>
      <c r="I225" s="51">
        <f>'Rådata-K'!S224</f>
        <v>0.87672452158433467</v>
      </c>
      <c r="J225" s="52">
        <f>'Rådata-K'!K224</f>
        <v>334900</v>
      </c>
      <c r="K225" s="26">
        <f>Tabell2[[#This Row],[NIBR11]]</f>
        <v>1</v>
      </c>
      <c r="L225" s="52">
        <f>IF(Tabell2[[#This Row],[ReisetidOslo]]&lt;=C$434,C$434,IF(Tabell2[[#This Row],[ReisetidOslo]]&gt;=C$435,C$435,Tabell2[[#This Row],[ReisetidOslo]]))</f>
        <v>205.93643129629999</v>
      </c>
      <c r="M225" s="51">
        <f>IF(Tabell2[[#This Row],[Beftettotal]]&lt;=D$434,D$434,IF(Tabell2[[#This Row],[Beftettotal]]&gt;=D$435,D$435,Tabell2[[#This Row],[Beftettotal]]))</f>
        <v>5.7874577124164741</v>
      </c>
      <c r="N225" s="51">
        <f>IF(Tabell2[[#This Row],[Befvekst10]]&lt;=E$434,E$434,IF(Tabell2[[#This Row],[Befvekst10]]&gt;=E$435,E$435,Tabell2[[#This Row],[Befvekst10]]))</f>
        <v>-7.9079798705966597E-3</v>
      </c>
      <c r="O225" s="51">
        <f>IF(Tabell2[[#This Row],[Kvinneandel]]&lt;=F$434,F$434,IF(Tabell2[[#This Row],[Kvinneandel]]&gt;=F$435,F$435,Tabell2[[#This Row],[Kvinneandel]]))</f>
        <v>0.11256038647342995</v>
      </c>
      <c r="P225" s="51">
        <f>IF(Tabell2[[#This Row],[Eldreandel]]&lt;=G$434,G$434,IF(Tabell2[[#This Row],[Eldreandel]]&gt;=G$435,G$435,Tabell2[[#This Row],[Eldreandel]]))</f>
        <v>0.19855072463768117</v>
      </c>
      <c r="Q225" s="51">
        <f>IF(Tabell2[[#This Row],[Sysselsettingsvekst10]]&lt;=H$434,H$434,IF(Tabell2[[#This Row],[Sysselsettingsvekst10]]&gt;=H$435,H$435,Tabell2[[#This Row],[Sysselsettingsvekst10]]))</f>
        <v>-6.8692498376029434E-2</v>
      </c>
      <c r="R225" s="51">
        <f>IF(Tabell2[[#This Row],[Yrkesaktivandel]]&lt;=I$434,I$434,IF(Tabell2[[#This Row],[Yrkesaktivandel]]&gt;=I$435,I$435,Tabell2[[#This Row],[Yrkesaktivandel]]))</f>
        <v>0.87672452158433467</v>
      </c>
      <c r="S225" s="52">
        <f>IF(Tabell2[[#This Row],[Inntekt]]&lt;=J$434,J$434,IF(Tabell2[[#This Row],[Inntekt]]&gt;=J$435,J$435,Tabell2[[#This Row],[Inntekt]]))</f>
        <v>334900</v>
      </c>
      <c r="T225" s="9">
        <f>IF(Tabell2[[#This Row],[NIBR11-T]]&lt;=K$437,100,IF(Tabell2[[#This Row],[NIBR11-T]]&gt;=K$436,0,100*(K$436-Tabell2[[#This Row],[NIBR11-T]])/K$439))</f>
        <v>100</v>
      </c>
      <c r="U225" s="9">
        <f>(L$436-Tabell2[[#This Row],[ReisetidOslo-T]])*100/L$439</f>
        <v>32.46128735837128</v>
      </c>
      <c r="V225" s="9">
        <f>100-(M$436-Tabell2[[#This Row],[Beftettotal-T]])*100/M$439</f>
        <v>3.5033073212076573</v>
      </c>
      <c r="W225" s="9">
        <f>100-(N$436-Tabell2[[#This Row],[Befvekst10-T]])*100/N$439</f>
        <v>29.490452747113594</v>
      </c>
      <c r="X225" s="9">
        <f>100-(O$436-Tabell2[[#This Row],[Kvinneandel-T]])*100/O$439</f>
        <v>59.059257845218212</v>
      </c>
      <c r="Y225" s="9">
        <f>(P$436-Tabell2[[#This Row],[Eldreandel-T]])*100/P$439</f>
        <v>11.053339453969654</v>
      </c>
      <c r="Z225" s="9">
        <f>100-(Q$436-Tabell2[[#This Row],[Sysselsettingsvekst10-T]])*100/Q$439</f>
        <v>0</v>
      </c>
      <c r="AA225" s="9">
        <f>100-(R$436-Tabell2[[#This Row],[Yrkesaktivandel-T]])*100/R$439</f>
        <v>36.296388535305191</v>
      </c>
      <c r="AB225" s="9">
        <f>100-(S$436-Tabell2[[#This Row],[Inntekt-T]])*100/S$439</f>
        <v>18.144096567333079</v>
      </c>
      <c r="AC225" s="48">
        <f>Tabell2[[#This Row],[NIBR11-I]]*Vekter!$B$3</f>
        <v>20</v>
      </c>
      <c r="AD225" s="48">
        <f>Tabell2[[#This Row],[ReisetidOslo-I]]*Vekter!$C$3</f>
        <v>3.2461287358371282</v>
      </c>
      <c r="AE225" s="48">
        <f>Tabell2[[#This Row],[Beftettotal-I]]*Vekter!$D$3</f>
        <v>0.35033073212076576</v>
      </c>
      <c r="AF225" s="48">
        <f>Tabell2[[#This Row],[Befvekst10-I]]*Vekter!$E$3</f>
        <v>5.8980905494227187</v>
      </c>
      <c r="AG225" s="48">
        <f>Tabell2[[#This Row],[Kvinneandel-I]]*Vekter!$F$3</f>
        <v>2.9529628922609108</v>
      </c>
      <c r="AH225" s="48">
        <f>Tabell2[[#This Row],[Eldreandel-I]]*Vekter!$G$3</f>
        <v>0.55266697269848275</v>
      </c>
      <c r="AI225" s="48">
        <f>Tabell2[[#This Row],[Sysselsettingsvekst10-I]]*Vekter!$H$3</f>
        <v>0</v>
      </c>
      <c r="AJ225" s="48">
        <f>Tabell2[[#This Row],[Yrkesaktivandel-I]]*Vekter!$J$3</f>
        <v>3.6296388535305191</v>
      </c>
      <c r="AK225" s="48">
        <f>Tabell2[[#This Row],[Inntekt-I]]*Vekter!$L$3</f>
        <v>1.8144096567333081</v>
      </c>
      <c r="AL225" s="37">
        <f>SUM(Tabell2[[#This Row],[NIBR11-v]:[Inntekt-v]])</f>
        <v>38.44422839260384</v>
      </c>
    </row>
    <row r="226" spans="1:38">
      <c r="A226" s="2" t="s">
        <v>223</v>
      </c>
      <c r="B226">
        <f>'Rådata-K'!M225</f>
        <v>5</v>
      </c>
      <c r="C226" s="9">
        <f>'Rådata-K'!L225</f>
        <v>230.6496714914</v>
      </c>
      <c r="D226" s="51">
        <f>'Rådata-K'!N225</f>
        <v>0.90293453724604966</v>
      </c>
      <c r="E226" s="51">
        <f>'Rådata-K'!O225</f>
        <v>1.6393442622950838E-2</v>
      </c>
      <c r="F226" s="51">
        <f>'Rådata-K'!P225</f>
        <v>0.11021505376344086</v>
      </c>
      <c r="G226" s="51">
        <f>'Rådata-K'!Q225</f>
        <v>0.14784946236559141</v>
      </c>
      <c r="H226" s="51">
        <f>'Rådata-K'!R225</f>
        <v>5.0691244239631228E-2</v>
      </c>
      <c r="I226" s="51">
        <f>'Rådata-K'!S225</f>
        <v>0.90731707317073174</v>
      </c>
      <c r="J226" s="52">
        <f>'Rådata-K'!K225</f>
        <v>353300</v>
      </c>
      <c r="K226" s="26">
        <f>Tabell2[[#This Row],[NIBR11]]</f>
        <v>5</v>
      </c>
      <c r="L226" s="52">
        <f>IF(Tabell2[[#This Row],[ReisetidOslo]]&lt;=C$434,C$434,IF(Tabell2[[#This Row],[ReisetidOslo]]&gt;=C$435,C$435,Tabell2[[#This Row],[ReisetidOslo]]))</f>
        <v>230.6496714914</v>
      </c>
      <c r="M226" s="51">
        <f>IF(Tabell2[[#This Row],[Beftettotal]]&lt;=D$434,D$434,IF(Tabell2[[#This Row],[Beftettotal]]&gt;=D$435,D$435,Tabell2[[#This Row],[Beftettotal]]))</f>
        <v>1.3397285732306117</v>
      </c>
      <c r="N226" s="51">
        <f>IF(Tabell2[[#This Row],[Befvekst10]]&lt;=E$434,E$434,IF(Tabell2[[#This Row],[Befvekst10]]&gt;=E$435,E$435,Tabell2[[#This Row],[Befvekst10]]))</f>
        <v>1.6393442622950838E-2</v>
      </c>
      <c r="O226" s="51">
        <f>IF(Tabell2[[#This Row],[Kvinneandel]]&lt;=F$434,F$434,IF(Tabell2[[#This Row],[Kvinneandel]]&gt;=F$435,F$435,Tabell2[[#This Row],[Kvinneandel]]))</f>
        <v>0.11021505376344086</v>
      </c>
      <c r="P226" s="51">
        <f>IF(Tabell2[[#This Row],[Eldreandel]]&lt;=G$434,G$434,IF(Tabell2[[#This Row],[Eldreandel]]&gt;=G$435,G$435,Tabell2[[#This Row],[Eldreandel]]))</f>
        <v>0.14784946236559141</v>
      </c>
      <c r="Q226" s="51">
        <f>IF(Tabell2[[#This Row],[Sysselsettingsvekst10]]&lt;=H$434,H$434,IF(Tabell2[[#This Row],[Sysselsettingsvekst10]]&gt;=H$435,H$435,Tabell2[[#This Row],[Sysselsettingsvekst10]]))</f>
        <v>5.0691244239631228E-2</v>
      </c>
      <c r="R226" s="51">
        <f>IF(Tabell2[[#This Row],[Yrkesaktivandel]]&lt;=I$434,I$434,IF(Tabell2[[#This Row],[Yrkesaktivandel]]&gt;=I$435,I$435,Tabell2[[#This Row],[Yrkesaktivandel]]))</f>
        <v>0.90731707317073174</v>
      </c>
      <c r="S226" s="52">
        <f>IF(Tabell2[[#This Row],[Inntekt]]&lt;=J$434,J$434,IF(Tabell2[[#This Row],[Inntekt]]&gt;=J$435,J$435,Tabell2[[#This Row],[Inntekt]]))</f>
        <v>353300</v>
      </c>
      <c r="T226" s="9">
        <f>IF(Tabell2[[#This Row],[NIBR11-T]]&lt;=K$437,100,IF(Tabell2[[#This Row],[NIBR11-T]]&gt;=K$436,0,100*(K$436-Tabell2[[#This Row],[NIBR11-T]])/K$439))</f>
        <v>60</v>
      </c>
      <c r="U226" s="9">
        <f>(L$436-Tabell2[[#This Row],[ReisetidOslo-T]])*100/L$439</f>
        <v>21.489829747203874</v>
      </c>
      <c r="V226" s="9">
        <f>100-(M$436-Tabell2[[#This Row],[Beftettotal-T]])*100/M$439</f>
        <v>0</v>
      </c>
      <c r="W226" s="9">
        <f>100-(N$436-Tabell2[[#This Row],[Befvekst10-T]])*100/N$439</f>
        <v>39.324162551319276</v>
      </c>
      <c r="X226" s="9">
        <f>100-(O$436-Tabell2[[#This Row],[Kvinneandel-T]])*100/O$439</f>
        <v>52.847180288108</v>
      </c>
      <c r="Y226" s="9">
        <f>(P$436-Tabell2[[#This Row],[Eldreandel-T]])*100/P$439</f>
        <v>68.532673994010992</v>
      </c>
      <c r="Z226" s="9">
        <f>100-(Q$436-Tabell2[[#This Row],[Sysselsettingsvekst10-T]])*100/Q$439</f>
        <v>38.31873928852832</v>
      </c>
      <c r="AA226" s="9">
        <f>100-(R$436-Tabell2[[#This Row],[Yrkesaktivandel-T]])*100/R$439</f>
        <v>59.102393542303965</v>
      </c>
      <c r="AB226" s="9">
        <f>100-(S$436-Tabell2[[#This Row],[Inntekt-T]])*100/S$439</f>
        <v>41.280020118194393</v>
      </c>
      <c r="AC226" s="48">
        <f>Tabell2[[#This Row],[NIBR11-I]]*Vekter!$B$3</f>
        <v>12</v>
      </c>
      <c r="AD226" s="48">
        <f>Tabell2[[#This Row],[ReisetidOslo-I]]*Vekter!$C$3</f>
        <v>2.1489829747203877</v>
      </c>
      <c r="AE226" s="48">
        <f>Tabell2[[#This Row],[Beftettotal-I]]*Vekter!$D$3</f>
        <v>0</v>
      </c>
      <c r="AF226" s="48">
        <f>Tabell2[[#This Row],[Befvekst10-I]]*Vekter!$E$3</f>
        <v>7.8648325102638559</v>
      </c>
      <c r="AG226" s="48">
        <f>Tabell2[[#This Row],[Kvinneandel-I]]*Vekter!$F$3</f>
        <v>2.6423590144054003</v>
      </c>
      <c r="AH226" s="48">
        <f>Tabell2[[#This Row],[Eldreandel-I]]*Vekter!$G$3</f>
        <v>3.4266336997005498</v>
      </c>
      <c r="AI226" s="48">
        <f>Tabell2[[#This Row],[Sysselsettingsvekst10-I]]*Vekter!$H$3</f>
        <v>3.8318739288528323</v>
      </c>
      <c r="AJ226" s="48">
        <f>Tabell2[[#This Row],[Yrkesaktivandel-I]]*Vekter!$J$3</f>
        <v>5.9102393542303968</v>
      </c>
      <c r="AK226" s="48">
        <f>Tabell2[[#This Row],[Inntekt-I]]*Vekter!$L$3</f>
        <v>4.1280020118194392</v>
      </c>
      <c r="AL226" s="37">
        <f>SUM(Tabell2[[#This Row],[NIBR11-v]:[Inntekt-v]])</f>
        <v>41.952923493992863</v>
      </c>
    </row>
    <row r="227" spans="1:38">
      <c r="A227" s="2" t="s">
        <v>224</v>
      </c>
      <c r="B227">
        <f>'Rådata-K'!M226</f>
        <v>1</v>
      </c>
      <c r="C227" s="9">
        <f>'Rådata-K'!L226</f>
        <v>190.7207743479</v>
      </c>
      <c r="D227" s="51">
        <f>'Rådata-K'!N226</f>
        <v>30.518971464408907</v>
      </c>
      <c r="E227" s="51">
        <f>'Rådata-K'!O226</f>
        <v>8.5308056872037907E-2</v>
      </c>
      <c r="F227" s="51">
        <f>'Rådata-K'!P226</f>
        <v>0.12098638582070383</v>
      </c>
      <c r="G227" s="51">
        <f>'Rådata-K'!Q226</f>
        <v>0.14397636783971229</v>
      </c>
      <c r="H227" s="51">
        <f>'Rådata-K'!R226</f>
        <v>0.17505470459518602</v>
      </c>
      <c r="I227" s="51">
        <f>'Rådata-K'!S226</f>
        <v>0.90520785746916399</v>
      </c>
      <c r="J227" s="52">
        <f>'Rådata-K'!K226</f>
        <v>359700</v>
      </c>
      <c r="K227" s="26">
        <f>Tabell2[[#This Row],[NIBR11]]</f>
        <v>1</v>
      </c>
      <c r="L227" s="52">
        <f>IF(Tabell2[[#This Row],[ReisetidOslo]]&lt;=C$434,C$434,IF(Tabell2[[#This Row],[ReisetidOslo]]&gt;=C$435,C$435,Tabell2[[#This Row],[ReisetidOslo]]))</f>
        <v>190.7207743479</v>
      </c>
      <c r="M227" s="51">
        <f>IF(Tabell2[[#This Row],[Beftettotal]]&lt;=D$434,D$434,IF(Tabell2[[#This Row],[Beftettotal]]&gt;=D$435,D$435,Tabell2[[#This Row],[Beftettotal]]))</f>
        <v>30.518971464408907</v>
      </c>
      <c r="N227" s="51">
        <f>IF(Tabell2[[#This Row],[Befvekst10]]&lt;=E$434,E$434,IF(Tabell2[[#This Row],[Befvekst10]]&gt;=E$435,E$435,Tabell2[[#This Row],[Befvekst10]]))</f>
        <v>8.5308056872037907E-2</v>
      </c>
      <c r="O227" s="51">
        <f>IF(Tabell2[[#This Row],[Kvinneandel]]&lt;=F$434,F$434,IF(Tabell2[[#This Row],[Kvinneandel]]&gt;=F$435,F$435,Tabell2[[#This Row],[Kvinneandel]]))</f>
        <v>0.12098638582070383</v>
      </c>
      <c r="P227" s="51">
        <f>IF(Tabell2[[#This Row],[Eldreandel]]&lt;=G$434,G$434,IF(Tabell2[[#This Row],[Eldreandel]]&gt;=G$435,G$435,Tabell2[[#This Row],[Eldreandel]]))</f>
        <v>0.14397636783971229</v>
      </c>
      <c r="Q227" s="51">
        <f>IF(Tabell2[[#This Row],[Sysselsettingsvekst10]]&lt;=H$434,H$434,IF(Tabell2[[#This Row],[Sysselsettingsvekst10]]&gt;=H$435,H$435,Tabell2[[#This Row],[Sysselsettingsvekst10]]))</f>
        <v>0.17505470459518602</v>
      </c>
      <c r="R227" s="51">
        <f>IF(Tabell2[[#This Row],[Yrkesaktivandel]]&lt;=I$434,I$434,IF(Tabell2[[#This Row],[Yrkesaktivandel]]&gt;=I$435,I$435,Tabell2[[#This Row],[Yrkesaktivandel]]))</f>
        <v>0.90520785746916399</v>
      </c>
      <c r="S227" s="52">
        <f>IF(Tabell2[[#This Row],[Inntekt]]&lt;=J$434,J$434,IF(Tabell2[[#This Row],[Inntekt]]&gt;=J$435,J$435,Tabell2[[#This Row],[Inntekt]]))</f>
        <v>359700</v>
      </c>
      <c r="T227" s="9">
        <f>IF(Tabell2[[#This Row],[NIBR11-T]]&lt;=K$437,100,IF(Tabell2[[#This Row],[NIBR11-T]]&gt;=K$436,0,100*(K$436-Tabell2[[#This Row],[NIBR11-T]])/K$439))</f>
        <v>100</v>
      </c>
      <c r="U227" s="9">
        <f>(L$436-Tabell2[[#This Row],[ReisetidOslo-T]])*100/L$439</f>
        <v>39.216287266013275</v>
      </c>
      <c r="V227" s="9">
        <f>100-(M$436-Tabell2[[#This Row],[Beftettotal-T]])*100/M$439</f>
        <v>22.983381417572801</v>
      </c>
      <c r="W227" s="9">
        <f>100-(N$436-Tabell2[[#This Row],[Befvekst10-T]])*100/N$439</f>
        <v>67.210855932097246</v>
      </c>
      <c r="X227" s="9">
        <f>100-(O$436-Tabell2[[#This Row],[Kvinneandel-T]])*100/O$439</f>
        <v>81.377183663798093</v>
      </c>
      <c r="Y227" s="9">
        <f>(P$436-Tabell2[[#This Row],[Eldreandel-T]])*100/P$439</f>
        <v>72.923548816091269</v>
      </c>
      <c r="Z227" s="9">
        <f>100-(Q$436-Tabell2[[#This Row],[Sysselsettingsvekst10-T]])*100/Q$439</f>
        <v>78.235824395546942</v>
      </c>
      <c r="AA227" s="9">
        <f>100-(R$436-Tabell2[[#This Row],[Yrkesaktivandel-T]])*100/R$439</f>
        <v>57.530024408106499</v>
      </c>
      <c r="AB227" s="9">
        <f>100-(S$436-Tabell2[[#This Row],[Inntekt-T]])*100/S$439</f>
        <v>49.327297875015716</v>
      </c>
      <c r="AC227" s="48">
        <f>Tabell2[[#This Row],[NIBR11-I]]*Vekter!$B$3</f>
        <v>20</v>
      </c>
      <c r="AD227" s="48">
        <f>Tabell2[[#This Row],[ReisetidOslo-I]]*Vekter!$C$3</f>
        <v>3.9216287266013277</v>
      </c>
      <c r="AE227" s="48">
        <f>Tabell2[[#This Row],[Beftettotal-I]]*Vekter!$D$3</f>
        <v>2.2983381417572804</v>
      </c>
      <c r="AF227" s="48">
        <f>Tabell2[[#This Row],[Befvekst10-I]]*Vekter!$E$3</f>
        <v>13.442171186419451</v>
      </c>
      <c r="AG227" s="48">
        <f>Tabell2[[#This Row],[Kvinneandel-I]]*Vekter!$F$3</f>
        <v>4.0688591831899048</v>
      </c>
      <c r="AH227" s="48">
        <f>Tabell2[[#This Row],[Eldreandel-I]]*Vekter!$G$3</f>
        <v>3.6461774408045637</v>
      </c>
      <c r="AI227" s="48">
        <f>Tabell2[[#This Row],[Sysselsettingsvekst10-I]]*Vekter!$H$3</f>
        <v>7.8235824395546949</v>
      </c>
      <c r="AJ227" s="48">
        <f>Tabell2[[#This Row],[Yrkesaktivandel-I]]*Vekter!$J$3</f>
        <v>5.7530024408106506</v>
      </c>
      <c r="AK227" s="48">
        <f>Tabell2[[#This Row],[Inntekt-I]]*Vekter!$L$3</f>
        <v>4.9327297875015716</v>
      </c>
      <c r="AL227" s="37">
        <f>SUM(Tabell2[[#This Row],[NIBR11-v]:[Inntekt-v]])</f>
        <v>65.886489346639436</v>
      </c>
    </row>
    <row r="228" spans="1:38">
      <c r="A228" s="2" t="s">
        <v>225</v>
      </c>
      <c r="B228">
        <f>'Rådata-K'!M227</f>
        <v>1</v>
      </c>
      <c r="C228" s="9">
        <f>'Rådata-K'!L227</f>
        <v>188.41234132950001</v>
      </c>
      <c r="D228" s="51">
        <f>'Rådata-K'!N227</f>
        <v>81.486282134370271</v>
      </c>
      <c r="E228" s="51">
        <f>'Rådata-K'!O227</f>
        <v>0.30813247789145137</v>
      </c>
      <c r="F228" s="51">
        <f>'Rådata-K'!P227</f>
        <v>0.13229056203605513</v>
      </c>
      <c r="G228" s="51">
        <f>'Rådata-K'!Q227</f>
        <v>9.9416755037115584E-2</v>
      </c>
      <c r="H228" s="51">
        <f>'Rådata-K'!R227</f>
        <v>0.33581164807930608</v>
      </c>
      <c r="I228" s="51">
        <f>'Rådata-K'!S227</f>
        <v>0.87995444191343963</v>
      </c>
      <c r="J228" s="52">
        <f>'Rådata-K'!K227</f>
        <v>388300</v>
      </c>
      <c r="K228" s="26">
        <f>Tabell2[[#This Row],[NIBR11]]</f>
        <v>1</v>
      </c>
      <c r="L228" s="52">
        <f>IF(Tabell2[[#This Row],[ReisetidOslo]]&lt;=C$434,C$434,IF(Tabell2[[#This Row],[ReisetidOslo]]&gt;=C$435,C$435,Tabell2[[#This Row],[ReisetidOslo]]))</f>
        <v>188.41234132950001</v>
      </c>
      <c r="M228" s="51">
        <f>IF(Tabell2[[#This Row],[Beftettotal]]&lt;=D$434,D$434,IF(Tabell2[[#This Row],[Beftettotal]]&gt;=D$435,D$435,Tabell2[[#This Row],[Beftettotal]]))</f>
        <v>81.486282134370271</v>
      </c>
      <c r="N228" s="51">
        <f>IF(Tabell2[[#This Row],[Befvekst10]]&lt;=E$434,E$434,IF(Tabell2[[#This Row],[Befvekst10]]&gt;=E$435,E$435,Tabell2[[#This Row],[Befvekst10]]))</f>
        <v>0.16633778614624492</v>
      </c>
      <c r="O228" s="51">
        <f>IF(Tabell2[[#This Row],[Kvinneandel]]&lt;=F$434,F$434,IF(Tabell2[[#This Row],[Kvinneandel]]&gt;=F$435,F$435,Tabell2[[#This Row],[Kvinneandel]]))</f>
        <v>0.12801731869362362</v>
      </c>
      <c r="P228" s="51">
        <f>IF(Tabell2[[#This Row],[Eldreandel]]&lt;=G$434,G$434,IF(Tabell2[[#This Row],[Eldreandel]]&gt;=G$435,G$435,Tabell2[[#This Row],[Eldreandel]]))</f>
        <v>0.1200928231908705</v>
      </c>
      <c r="Q228" s="51">
        <f>IF(Tabell2[[#This Row],[Sysselsettingsvekst10]]&lt;=H$434,H$434,IF(Tabell2[[#This Row],[Sysselsettingsvekst10]]&gt;=H$435,H$435,Tabell2[[#This Row],[Sysselsettingsvekst10]]))</f>
        <v>0.24286196513786068</v>
      </c>
      <c r="R228" s="51">
        <f>IF(Tabell2[[#This Row],[Yrkesaktivandel]]&lt;=I$434,I$434,IF(Tabell2[[#This Row],[Yrkesaktivandel]]&gt;=I$435,I$435,Tabell2[[#This Row],[Yrkesaktivandel]]))</f>
        <v>0.87995444191343963</v>
      </c>
      <c r="S228" s="52">
        <f>IF(Tabell2[[#This Row],[Inntekt]]&lt;=J$434,J$434,IF(Tabell2[[#This Row],[Inntekt]]&gt;=J$435,J$435,Tabell2[[#This Row],[Inntekt]]))</f>
        <v>388300</v>
      </c>
      <c r="T228" s="9">
        <f>IF(Tabell2[[#This Row],[NIBR11-T]]&lt;=K$437,100,IF(Tabell2[[#This Row],[NIBR11-T]]&gt;=K$436,0,100*(K$436-Tabell2[[#This Row],[NIBR11-T]])/K$439))</f>
        <v>100</v>
      </c>
      <c r="U228" s="9">
        <f>(L$436-Tabell2[[#This Row],[ReisetidOslo-T]])*100/L$439</f>
        <v>40.241117470780054</v>
      </c>
      <c r="V228" s="9">
        <f>100-(M$436-Tabell2[[#This Row],[Beftettotal-T]])*100/M$439</f>
        <v>63.128396328490787</v>
      </c>
      <c r="W228" s="9">
        <f>100-(N$436-Tabell2[[#This Row],[Befvekst10-T]])*100/N$439</f>
        <v>100</v>
      </c>
      <c r="X228" s="9">
        <f>100-(O$436-Tabell2[[#This Row],[Kvinneandel-T]])*100/O$439</f>
        <v>100</v>
      </c>
      <c r="Y228" s="9">
        <f>(P$436-Tabell2[[#This Row],[Eldreandel-T]])*100/P$439</f>
        <v>100.00000000000001</v>
      </c>
      <c r="Z228" s="9">
        <f>100-(Q$436-Tabell2[[#This Row],[Sysselsettingsvekst10-T]])*100/Q$439</f>
        <v>100</v>
      </c>
      <c r="AA228" s="9">
        <f>100-(R$436-Tabell2[[#This Row],[Yrkesaktivandel-T]])*100/R$439</f>
        <v>38.704215780108413</v>
      </c>
      <c r="AB228" s="9">
        <f>100-(S$436-Tabell2[[#This Row],[Inntekt-T]])*100/S$439</f>
        <v>85.288570350811014</v>
      </c>
      <c r="AC228" s="48">
        <f>Tabell2[[#This Row],[NIBR11-I]]*Vekter!$B$3</f>
        <v>20</v>
      </c>
      <c r="AD228" s="48">
        <f>Tabell2[[#This Row],[ReisetidOslo-I]]*Vekter!$C$3</f>
        <v>4.0241117470780052</v>
      </c>
      <c r="AE228" s="48">
        <f>Tabell2[[#This Row],[Beftettotal-I]]*Vekter!$D$3</f>
        <v>6.3128396328490792</v>
      </c>
      <c r="AF228" s="48">
        <f>Tabell2[[#This Row],[Befvekst10-I]]*Vekter!$E$3</f>
        <v>20</v>
      </c>
      <c r="AG228" s="48">
        <f>Tabell2[[#This Row],[Kvinneandel-I]]*Vekter!$F$3</f>
        <v>5</v>
      </c>
      <c r="AH228" s="48">
        <f>Tabell2[[#This Row],[Eldreandel-I]]*Vekter!$G$3</f>
        <v>5.0000000000000009</v>
      </c>
      <c r="AI228" s="48">
        <f>Tabell2[[#This Row],[Sysselsettingsvekst10-I]]*Vekter!$H$3</f>
        <v>10</v>
      </c>
      <c r="AJ228" s="48">
        <f>Tabell2[[#This Row],[Yrkesaktivandel-I]]*Vekter!$J$3</f>
        <v>3.8704215780108413</v>
      </c>
      <c r="AK228" s="48">
        <f>Tabell2[[#This Row],[Inntekt-I]]*Vekter!$L$3</f>
        <v>8.528857035081101</v>
      </c>
      <c r="AL228" s="37">
        <f>SUM(Tabell2[[#This Row],[NIBR11-v]:[Inntekt-v]])</f>
        <v>82.736229993019037</v>
      </c>
    </row>
    <row r="229" spans="1:38">
      <c r="A229" s="2" t="s">
        <v>226</v>
      </c>
      <c r="B229">
        <f>'Rådata-K'!M228</f>
        <v>1</v>
      </c>
      <c r="C229" s="9">
        <f>'Rådata-K'!L228</f>
        <v>201.9975581134</v>
      </c>
      <c r="D229" s="51">
        <f>'Rådata-K'!N228</f>
        <v>70.482469283787822</v>
      </c>
      <c r="E229" s="51">
        <f>'Rådata-K'!O228</f>
        <v>0.19664207580768256</v>
      </c>
      <c r="F229" s="51">
        <f>'Rådata-K'!P228</f>
        <v>0.1209608843537415</v>
      </c>
      <c r="G229" s="51">
        <f>'Rådata-K'!Q228</f>
        <v>0.12733843537414966</v>
      </c>
      <c r="H229" s="51">
        <f>'Rådata-K'!R228</f>
        <v>0.17934782608695654</v>
      </c>
      <c r="I229" s="51">
        <f>'Rådata-K'!S228</f>
        <v>0.86481481481481481</v>
      </c>
      <c r="J229" s="52">
        <f>'Rådata-K'!K228</f>
        <v>393100</v>
      </c>
      <c r="K229" s="26">
        <f>Tabell2[[#This Row],[NIBR11]]</f>
        <v>1</v>
      </c>
      <c r="L229" s="52">
        <f>IF(Tabell2[[#This Row],[ReisetidOslo]]&lt;=C$434,C$434,IF(Tabell2[[#This Row],[ReisetidOslo]]&gt;=C$435,C$435,Tabell2[[#This Row],[ReisetidOslo]]))</f>
        <v>201.9975581134</v>
      </c>
      <c r="M229" s="51">
        <f>IF(Tabell2[[#This Row],[Beftettotal]]&lt;=D$434,D$434,IF(Tabell2[[#This Row],[Beftettotal]]&gt;=D$435,D$435,Tabell2[[#This Row],[Beftettotal]]))</f>
        <v>70.482469283787822</v>
      </c>
      <c r="N229" s="51">
        <f>IF(Tabell2[[#This Row],[Befvekst10]]&lt;=E$434,E$434,IF(Tabell2[[#This Row],[Befvekst10]]&gt;=E$435,E$435,Tabell2[[#This Row],[Befvekst10]]))</f>
        <v>0.16633778614624492</v>
      </c>
      <c r="O229" s="51">
        <f>IF(Tabell2[[#This Row],[Kvinneandel]]&lt;=F$434,F$434,IF(Tabell2[[#This Row],[Kvinneandel]]&gt;=F$435,F$435,Tabell2[[#This Row],[Kvinneandel]]))</f>
        <v>0.1209608843537415</v>
      </c>
      <c r="P229" s="51">
        <f>IF(Tabell2[[#This Row],[Eldreandel]]&lt;=G$434,G$434,IF(Tabell2[[#This Row],[Eldreandel]]&gt;=G$435,G$435,Tabell2[[#This Row],[Eldreandel]]))</f>
        <v>0.12733843537414966</v>
      </c>
      <c r="Q229" s="51">
        <f>IF(Tabell2[[#This Row],[Sysselsettingsvekst10]]&lt;=H$434,H$434,IF(Tabell2[[#This Row],[Sysselsettingsvekst10]]&gt;=H$435,H$435,Tabell2[[#This Row],[Sysselsettingsvekst10]]))</f>
        <v>0.17934782608695654</v>
      </c>
      <c r="R229" s="51">
        <f>IF(Tabell2[[#This Row],[Yrkesaktivandel]]&lt;=I$434,I$434,IF(Tabell2[[#This Row],[Yrkesaktivandel]]&gt;=I$435,I$435,Tabell2[[#This Row],[Yrkesaktivandel]]))</f>
        <v>0.86481481481481481</v>
      </c>
      <c r="S229" s="52">
        <f>IF(Tabell2[[#This Row],[Inntekt]]&lt;=J$434,J$434,IF(Tabell2[[#This Row],[Inntekt]]&gt;=J$435,J$435,Tabell2[[#This Row],[Inntekt]]))</f>
        <v>393100</v>
      </c>
      <c r="T229" s="9">
        <f>IF(Tabell2[[#This Row],[NIBR11-T]]&lt;=K$437,100,IF(Tabell2[[#This Row],[NIBR11-T]]&gt;=K$436,0,100*(K$436-Tabell2[[#This Row],[NIBR11-T]])/K$439))</f>
        <v>100</v>
      </c>
      <c r="U229" s="9">
        <f>(L$436-Tabell2[[#This Row],[ReisetidOslo-T]])*100/L$439</f>
        <v>34.209952439145248</v>
      </c>
      <c r="V229" s="9">
        <f>100-(M$436-Tabell2[[#This Row],[Beftettotal-T]])*100/M$439</f>
        <v>54.461110863418426</v>
      </c>
      <c r="W229" s="9">
        <f>100-(N$436-Tabell2[[#This Row],[Befvekst10-T]])*100/N$439</f>
        <v>100</v>
      </c>
      <c r="X229" s="9">
        <f>100-(O$436-Tabell2[[#This Row],[Kvinneandel-T]])*100/O$439</f>
        <v>81.309637984707294</v>
      </c>
      <c r="Y229" s="9">
        <f>(P$436-Tabell2[[#This Row],[Eldreandel-T]])*100/P$439</f>
        <v>91.785747573796328</v>
      </c>
      <c r="Z229" s="9">
        <f>100-(Q$436-Tabell2[[#This Row],[Sysselsettingsvekst10-T]])*100/Q$439</f>
        <v>79.613792614442048</v>
      </c>
      <c r="AA229" s="9">
        <f>100-(R$436-Tabell2[[#This Row],[Yrkesaktivandel-T]])*100/R$439</f>
        <v>27.417991077986542</v>
      </c>
      <c r="AB229" s="9">
        <f>100-(S$436-Tabell2[[#This Row],[Inntekt-T]])*100/S$439</f>
        <v>91.324028668427005</v>
      </c>
      <c r="AC229" s="48">
        <f>Tabell2[[#This Row],[NIBR11-I]]*Vekter!$B$3</f>
        <v>20</v>
      </c>
      <c r="AD229" s="48">
        <f>Tabell2[[#This Row],[ReisetidOslo-I]]*Vekter!$C$3</f>
        <v>3.420995243914525</v>
      </c>
      <c r="AE229" s="48">
        <f>Tabell2[[#This Row],[Beftettotal-I]]*Vekter!$D$3</f>
        <v>5.4461110863418432</v>
      </c>
      <c r="AF229" s="48">
        <f>Tabell2[[#This Row],[Befvekst10-I]]*Vekter!$E$3</f>
        <v>20</v>
      </c>
      <c r="AG229" s="48">
        <f>Tabell2[[#This Row],[Kvinneandel-I]]*Vekter!$F$3</f>
        <v>4.0654818992353645</v>
      </c>
      <c r="AH229" s="48">
        <f>Tabell2[[#This Row],[Eldreandel-I]]*Vekter!$G$3</f>
        <v>4.589287378689817</v>
      </c>
      <c r="AI229" s="48">
        <f>Tabell2[[#This Row],[Sysselsettingsvekst10-I]]*Vekter!$H$3</f>
        <v>7.9613792614442049</v>
      </c>
      <c r="AJ229" s="48">
        <f>Tabell2[[#This Row],[Yrkesaktivandel-I]]*Vekter!$J$3</f>
        <v>2.7417991077986543</v>
      </c>
      <c r="AK229" s="48">
        <f>Tabell2[[#This Row],[Inntekt-I]]*Vekter!$L$3</f>
        <v>9.1324028668427015</v>
      </c>
      <c r="AL229" s="37">
        <f>SUM(Tabell2[[#This Row],[NIBR11-v]:[Inntekt-v]])</f>
        <v>77.357456844267105</v>
      </c>
    </row>
    <row r="230" spans="1:38">
      <c r="A230" s="2" t="s">
        <v>227</v>
      </c>
      <c r="B230">
        <f>'Rådata-K'!M229</f>
        <v>1</v>
      </c>
      <c r="C230" s="9">
        <f>'Rådata-K'!L229</f>
        <v>209.8803556702</v>
      </c>
      <c r="D230" s="51">
        <f>'Rådata-K'!N229</f>
        <v>45.217157214644651</v>
      </c>
      <c r="E230" s="51">
        <f>'Rådata-K'!O229</f>
        <v>7.716973065412569E-2</v>
      </c>
      <c r="F230" s="51">
        <f>'Rådata-K'!P229</f>
        <v>0.11391149037507442</v>
      </c>
      <c r="G230" s="51">
        <f>'Rådata-K'!Q229</f>
        <v>0.14229013693193093</v>
      </c>
      <c r="H230" s="51">
        <f>'Rådata-K'!R229</f>
        <v>4.1748206131767773E-2</v>
      </c>
      <c r="I230" s="51">
        <f>'Rådata-K'!S229</f>
        <v>0.8918636995827538</v>
      </c>
      <c r="J230" s="52">
        <f>'Rådata-K'!K229</f>
        <v>366400</v>
      </c>
      <c r="K230" s="26">
        <f>Tabell2[[#This Row],[NIBR11]]</f>
        <v>1</v>
      </c>
      <c r="L230" s="52">
        <f>IF(Tabell2[[#This Row],[ReisetidOslo]]&lt;=C$434,C$434,IF(Tabell2[[#This Row],[ReisetidOslo]]&gt;=C$435,C$435,Tabell2[[#This Row],[ReisetidOslo]]))</f>
        <v>209.8803556702</v>
      </c>
      <c r="M230" s="51">
        <f>IF(Tabell2[[#This Row],[Beftettotal]]&lt;=D$434,D$434,IF(Tabell2[[#This Row],[Beftettotal]]&gt;=D$435,D$435,Tabell2[[#This Row],[Beftettotal]]))</f>
        <v>45.217157214644651</v>
      </c>
      <c r="N230" s="51">
        <f>IF(Tabell2[[#This Row],[Befvekst10]]&lt;=E$434,E$434,IF(Tabell2[[#This Row],[Befvekst10]]&gt;=E$435,E$435,Tabell2[[#This Row],[Befvekst10]]))</f>
        <v>7.716973065412569E-2</v>
      </c>
      <c r="O230" s="51">
        <f>IF(Tabell2[[#This Row],[Kvinneandel]]&lt;=F$434,F$434,IF(Tabell2[[#This Row],[Kvinneandel]]&gt;=F$435,F$435,Tabell2[[#This Row],[Kvinneandel]]))</f>
        <v>0.11391149037507442</v>
      </c>
      <c r="P230" s="51">
        <f>IF(Tabell2[[#This Row],[Eldreandel]]&lt;=G$434,G$434,IF(Tabell2[[#This Row],[Eldreandel]]&gt;=G$435,G$435,Tabell2[[#This Row],[Eldreandel]]))</f>
        <v>0.14229013693193093</v>
      </c>
      <c r="Q230" s="51">
        <f>IF(Tabell2[[#This Row],[Sysselsettingsvekst10]]&lt;=H$434,H$434,IF(Tabell2[[#This Row],[Sysselsettingsvekst10]]&gt;=H$435,H$435,Tabell2[[#This Row],[Sysselsettingsvekst10]]))</f>
        <v>4.1748206131767773E-2</v>
      </c>
      <c r="R230" s="51">
        <f>IF(Tabell2[[#This Row],[Yrkesaktivandel]]&lt;=I$434,I$434,IF(Tabell2[[#This Row],[Yrkesaktivandel]]&gt;=I$435,I$435,Tabell2[[#This Row],[Yrkesaktivandel]]))</f>
        <v>0.8918636995827538</v>
      </c>
      <c r="S230" s="52">
        <f>IF(Tabell2[[#This Row],[Inntekt]]&lt;=J$434,J$434,IF(Tabell2[[#This Row],[Inntekt]]&gt;=J$435,J$435,Tabell2[[#This Row],[Inntekt]]))</f>
        <v>366400</v>
      </c>
      <c r="T230" s="9">
        <f>IF(Tabell2[[#This Row],[NIBR11-T]]&lt;=K$437,100,IF(Tabell2[[#This Row],[NIBR11-T]]&gt;=K$436,0,100*(K$436-Tabell2[[#This Row],[NIBR11-T]])/K$439))</f>
        <v>100</v>
      </c>
      <c r="U230" s="9">
        <f>(L$436-Tabell2[[#This Row],[ReisetidOslo-T]])*100/L$439</f>
        <v>30.710379798363288</v>
      </c>
      <c r="V230" s="9">
        <f>100-(M$436-Tabell2[[#This Row],[Beftettotal-T]])*100/M$439</f>
        <v>34.560584105930857</v>
      </c>
      <c r="W230" s="9">
        <f>100-(N$436-Tabell2[[#This Row],[Befvekst10-T]])*100/N$439</f>
        <v>63.917635613815186</v>
      </c>
      <c r="X230" s="9">
        <f>100-(O$436-Tabell2[[#This Row],[Kvinneandel-T]])*100/O$439</f>
        <v>62.637923758579696</v>
      </c>
      <c r="Y230" s="9">
        <f>(P$436-Tabell2[[#This Row],[Eldreandel-T]])*100/P$439</f>
        <v>74.835205964585526</v>
      </c>
      <c r="Z230" s="9">
        <f>100-(Q$436-Tabell2[[#This Row],[Sysselsettingsvekst10-T]])*100/Q$439</f>
        <v>35.448281903004542</v>
      </c>
      <c r="AA230" s="9">
        <f>100-(R$436-Tabell2[[#This Row],[Yrkesaktivandel-T]])*100/R$439</f>
        <v>47.582278444119254</v>
      </c>
      <c r="AB230" s="9">
        <f>100-(S$436-Tabell2[[#This Row],[Inntekt-T]])*100/S$439</f>
        <v>57.751791776688044</v>
      </c>
      <c r="AC230" s="48">
        <f>Tabell2[[#This Row],[NIBR11-I]]*Vekter!$B$3</f>
        <v>20</v>
      </c>
      <c r="AD230" s="48">
        <f>Tabell2[[#This Row],[ReisetidOslo-I]]*Vekter!$C$3</f>
        <v>3.071037979836329</v>
      </c>
      <c r="AE230" s="48">
        <f>Tabell2[[#This Row],[Beftettotal-I]]*Vekter!$D$3</f>
        <v>3.4560584105930858</v>
      </c>
      <c r="AF230" s="48">
        <f>Tabell2[[#This Row],[Befvekst10-I]]*Vekter!$E$3</f>
        <v>12.783527122763038</v>
      </c>
      <c r="AG230" s="48">
        <f>Tabell2[[#This Row],[Kvinneandel-I]]*Vekter!$F$3</f>
        <v>3.1318961879289851</v>
      </c>
      <c r="AH230" s="48">
        <f>Tabell2[[#This Row],[Eldreandel-I]]*Vekter!$G$3</f>
        <v>3.7417602982292766</v>
      </c>
      <c r="AI230" s="48">
        <f>Tabell2[[#This Row],[Sysselsettingsvekst10-I]]*Vekter!$H$3</f>
        <v>3.5448281903004544</v>
      </c>
      <c r="AJ230" s="48">
        <f>Tabell2[[#This Row],[Yrkesaktivandel-I]]*Vekter!$J$3</f>
        <v>4.7582278444119259</v>
      </c>
      <c r="AK230" s="48">
        <f>Tabell2[[#This Row],[Inntekt-I]]*Vekter!$L$3</f>
        <v>5.7751791776688046</v>
      </c>
      <c r="AL230" s="37">
        <f>SUM(Tabell2[[#This Row],[NIBR11-v]:[Inntekt-v]])</f>
        <v>60.262515211731902</v>
      </c>
    </row>
    <row r="231" spans="1:38">
      <c r="A231" s="2" t="s">
        <v>228</v>
      </c>
      <c r="B231">
        <f>'Rådata-K'!M230</f>
        <v>1</v>
      </c>
      <c r="C231" s="9">
        <f>'Rådata-K'!L230</f>
        <v>189.42105585589999</v>
      </c>
      <c r="D231" s="51">
        <f>'Rådata-K'!N230</f>
        <v>31.725546338793212</v>
      </c>
      <c r="E231" s="51">
        <f>'Rådata-K'!O230</f>
        <v>0.17004425809457246</v>
      </c>
      <c r="F231" s="51">
        <f>'Rådata-K'!P230</f>
        <v>0.12110956267834627</v>
      </c>
      <c r="G231" s="51">
        <f>'Rådata-K'!Q230</f>
        <v>0.1319928329683456</v>
      </c>
      <c r="H231" s="51">
        <f>'Rådata-K'!R230</f>
        <v>0.22262118491921012</v>
      </c>
      <c r="I231" s="51">
        <f>'Rådata-K'!S230</f>
        <v>0.89881857527196163</v>
      </c>
      <c r="J231" s="52">
        <f>'Rådata-K'!K230</f>
        <v>400700</v>
      </c>
      <c r="K231" s="26">
        <f>Tabell2[[#This Row],[NIBR11]]</f>
        <v>1</v>
      </c>
      <c r="L231" s="52">
        <f>IF(Tabell2[[#This Row],[ReisetidOslo]]&lt;=C$434,C$434,IF(Tabell2[[#This Row],[ReisetidOslo]]&gt;=C$435,C$435,Tabell2[[#This Row],[ReisetidOslo]]))</f>
        <v>189.42105585589999</v>
      </c>
      <c r="M231" s="51">
        <f>IF(Tabell2[[#This Row],[Beftettotal]]&lt;=D$434,D$434,IF(Tabell2[[#This Row],[Beftettotal]]&gt;=D$435,D$435,Tabell2[[#This Row],[Beftettotal]]))</f>
        <v>31.725546338793212</v>
      </c>
      <c r="N231" s="51">
        <f>IF(Tabell2[[#This Row],[Befvekst10]]&lt;=E$434,E$434,IF(Tabell2[[#This Row],[Befvekst10]]&gt;=E$435,E$435,Tabell2[[#This Row],[Befvekst10]]))</f>
        <v>0.16633778614624492</v>
      </c>
      <c r="O231" s="51">
        <f>IF(Tabell2[[#This Row],[Kvinneandel]]&lt;=F$434,F$434,IF(Tabell2[[#This Row],[Kvinneandel]]&gt;=F$435,F$435,Tabell2[[#This Row],[Kvinneandel]]))</f>
        <v>0.12110956267834627</v>
      </c>
      <c r="P231" s="51">
        <f>IF(Tabell2[[#This Row],[Eldreandel]]&lt;=G$434,G$434,IF(Tabell2[[#This Row],[Eldreandel]]&gt;=G$435,G$435,Tabell2[[#This Row],[Eldreandel]]))</f>
        <v>0.1319928329683456</v>
      </c>
      <c r="Q231" s="51">
        <f>IF(Tabell2[[#This Row],[Sysselsettingsvekst10]]&lt;=H$434,H$434,IF(Tabell2[[#This Row],[Sysselsettingsvekst10]]&gt;=H$435,H$435,Tabell2[[#This Row],[Sysselsettingsvekst10]]))</f>
        <v>0.22262118491921012</v>
      </c>
      <c r="R231" s="51">
        <f>IF(Tabell2[[#This Row],[Yrkesaktivandel]]&lt;=I$434,I$434,IF(Tabell2[[#This Row],[Yrkesaktivandel]]&gt;=I$435,I$435,Tabell2[[#This Row],[Yrkesaktivandel]]))</f>
        <v>0.89881857527196163</v>
      </c>
      <c r="S231" s="52">
        <f>IF(Tabell2[[#This Row],[Inntekt]]&lt;=J$434,J$434,IF(Tabell2[[#This Row],[Inntekt]]&gt;=J$435,J$435,Tabell2[[#This Row],[Inntekt]]))</f>
        <v>400000</v>
      </c>
      <c r="T231" s="9">
        <f>IF(Tabell2[[#This Row],[NIBR11-T]]&lt;=K$437,100,IF(Tabell2[[#This Row],[NIBR11-T]]&gt;=K$436,0,100*(K$436-Tabell2[[#This Row],[NIBR11-T]])/K$439))</f>
        <v>100</v>
      </c>
      <c r="U231" s="9">
        <f>(L$436-Tabell2[[#This Row],[ReisetidOslo-T]])*100/L$439</f>
        <v>39.793298059776205</v>
      </c>
      <c r="V231" s="9">
        <f>100-(M$436-Tabell2[[#This Row],[Beftettotal-T]])*100/M$439</f>
        <v>23.933754621231841</v>
      </c>
      <c r="W231" s="9">
        <f>100-(N$436-Tabell2[[#This Row],[Befvekst10-T]])*100/N$439</f>
        <v>100</v>
      </c>
      <c r="X231" s="9">
        <f>100-(O$436-Tabell2[[#This Row],[Kvinneandel-T]])*100/O$439</f>
        <v>81.703441933960335</v>
      </c>
      <c r="Y231" s="9">
        <f>(P$436-Tabell2[[#This Row],[Eldreandel-T]])*100/P$439</f>
        <v>86.509120042050952</v>
      </c>
      <c r="Z231" s="9">
        <f>100-(Q$436-Tabell2[[#This Row],[Sysselsettingsvekst10-T]])*100/Q$439</f>
        <v>93.503293135215131</v>
      </c>
      <c r="AA231" s="9">
        <f>100-(R$436-Tabell2[[#This Row],[Yrkesaktivandel-T]])*100/R$439</f>
        <v>52.766969539374436</v>
      </c>
      <c r="AB231" s="9">
        <f>100-(S$436-Tabell2[[#This Row],[Inntekt-T]])*100/S$439</f>
        <v>100</v>
      </c>
      <c r="AC231" s="48">
        <f>Tabell2[[#This Row],[NIBR11-I]]*Vekter!$B$3</f>
        <v>20</v>
      </c>
      <c r="AD231" s="48">
        <f>Tabell2[[#This Row],[ReisetidOslo-I]]*Vekter!$C$3</f>
        <v>3.9793298059776205</v>
      </c>
      <c r="AE231" s="48">
        <f>Tabell2[[#This Row],[Beftettotal-I]]*Vekter!$D$3</f>
        <v>2.3933754621231844</v>
      </c>
      <c r="AF231" s="48">
        <f>Tabell2[[#This Row],[Befvekst10-I]]*Vekter!$E$3</f>
        <v>20</v>
      </c>
      <c r="AG231" s="48">
        <f>Tabell2[[#This Row],[Kvinneandel-I]]*Vekter!$F$3</f>
        <v>4.0851720966980167</v>
      </c>
      <c r="AH231" s="48">
        <f>Tabell2[[#This Row],[Eldreandel-I]]*Vekter!$G$3</f>
        <v>4.3254560021025474</v>
      </c>
      <c r="AI231" s="48">
        <f>Tabell2[[#This Row],[Sysselsettingsvekst10-I]]*Vekter!$H$3</f>
        <v>9.3503293135215131</v>
      </c>
      <c r="AJ231" s="48">
        <f>Tabell2[[#This Row],[Yrkesaktivandel-I]]*Vekter!$J$3</f>
        <v>5.276696953937444</v>
      </c>
      <c r="AK231" s="48">
        <f>Tabell2[[#This Row],[Inntekt-I]]*Vekter!$L$3</f>
        <v>10</v>
      </c>
      <c r="AL231" s="37">
        <f>SUM(Tabell2[[#This Row],[NIBR11-v]:[Inntekt-v]])</f>
        <v>79.410359634360319</v>
      </c>
    </row>
    <row r="232" spans="1:38">
      <c r="A232" s="2" t="s">
        <v>229</v>
      </c>
      <c r="B232">
        <f>'Rådata-K'!M231</f>
        <v>1</v>
      </c>
      <c r="C232" s="9">
        <f>'Rådata-K'!L231</f>
        <v>223.17225905230001</v>
      </c>
      <c r="D232" s="51">
        <f>'Rådata-K'!N231</f>
        <v>49.226759339704607</v>
      </c>
      <c r="E232" s="51">
        <f>'Rådata-K'!O231</f>
        <v>0.11843663639952617</v>
      </c>
      <c r="F232" s="51">
        <f>'Rådata-K'!P231</f>
        <v>0.11930815390045887</v>
      </c>
      <c r="G232" s="51">
        <f>'Rådata-K'!Q231</f>
        <v>0.15707730321214261</v>
      </c>
      <c r="H232" s="51">
        <f>'Rådata-K'!R231</f>
        <v>0.19306930693069302</v>
      </c>
      <c r="I232" s="51">
        <f>'Rådata-K'!S231</f>
        <v>0.89871873093349608</v>
      </c>
      <c r="J232" s="52">
        <f>'Rådata-K'!K231</f>
        <v>419800</v>
      </c>
      <c r="K232" s="26">
        <f>Tabell2[[#This Row],[NIBR11]]</f>
        <v>1</v>
      </c>
      <c r="L232" s="52">
        <f>IF(Tabell2[[#This Row],[ReisetidOslo]]&lt;=C$434,C$434,IF(Tabell2[[#This Row],[ReisetidOslo]]&gt;=C$435,C$435,Tabell2[[#This Row],[ReisetidOslo]]))</f>
        <v>223.17225905230001</v>
      </c>
      <c r="M232" s="51">
        <f>IF(Tabell2[[#This Row],[Beftettotal]]&lt;=D$434,D$434,IF(Tabell2[[#This Row],[Beftettotal]]&gt;=D$435,D$435,Tabell2[[#This Row],[Beftettotal]]))</f>
        <v>49.226759339704607</v>
      </c>
      <c r="N232" s="51">
        <f>IF(Tabell2[[#This Row],[Befvekst10]]&lt;=E$434,E$434,IF(Tabell2[[#This Row],[Befvekst10]]&gt;=E$435,E$435,Tabell2[[#This Row],[Befvekst10]]))</f>
        <v>0.11843663639952617</v>
      </c>
      <c r="O232" s="51">
        <f>IF(Tabell2[[#This Row],[Kvinneandel]]&lt;=F$434,F$434,IF(Tabell2[[#This Row],[Kvinneandel]]&gt;=F$435,F$435,Tabell2[[#This Row],[Kvinneandel]]))</f>
        <v>0.11930815390045887</v>
      </c>
      <c r="P232" s="51">
        <f>IF(Tabell2[[#This Row],[Eldreandel]]&lt;=G$434,G$434,IF(Tabell2[[#This Row],[Eldreandel]]&gt;=G$435,G$435,Tabell2[[#This Row],[Eldreandel]]))</f>
        <v>0.15707730321214261</v>
      </c>
      <c r="Q232" s="51">
        <f>IF(Tabell2[[#This Row],[Sysselsettingsvekst10]]&lt;=H$434,H$434,IF(Tabell2[[#This Row],[Sysselsettingsvekst10]]&gt;=H$435,H$435,Tabell2[[#This Row],[Sysselsettingsvekst10]]))</f>
        <v>0.19306930693069302</v>
      </c>
      <c r="R232" s="51">
        <f>IF(Tabell2[[#This Row],[Yrkesaktivandel]]&lt;=I$434,I$434,IF(Tabell2[[#This Row],[Yrkesaktivandel]]&gt;=I$435,I$435,Tabell2[[#This Row],[Yrkesaktivandel]]))</f>
        <v>0.89871873093349608</v>
      </c>
      <c r="S232" s="52">
        <f>IF(Tabell2[[#This Row],[Inntekt]]&lt;=J$434,J$434,IF(Tabell2[[#This Row],[Inntekt]]&gt;=J$435,J$435,Tabell2[[#This Row],[Inntekt]]))</f>
        <v>400000</v>
      </c>
      <c r="T232" s="9">
        <f>IF(Tabell2[[#This Row],[NIBR11-T]]&lt;=K$437,100,IF(Tabell2[[#This Row],[NIBR11-T]]&gt;=K$436,0,100*(K$436-Tabell2[[#This Row],[NIBR11-T]])/K$439))</f>
        <v>100</v>
      </c>
      <c r="U232" s="9">
        <f>(L$436-Tabell2[[#This Row],[ReisetidOslo-T]])*100/L$439</f>
        <v>24.809431425055386</v>
      </c>
      <c r="V232" s="9">
        <f>100-(M$436-Tabell2[[#This Row],[Beftettotal-T]])*100/M$439</f>
        <v>37.718795417877679</v>
      </c>
      <c r="W232" s="9">
        <f>100-(N$436-Tabell2[[#This Row],[Befvekst10-T]])*100/N$439</f>
        <v>80.616525389733681</v>
      </c>
      <c r="X232" s="9">
        <f>100-(O$436-Tabell2[[#This Row],[Kvinneandel-T]])*100/O$439</f>
        <v>76.932054491729303</v>
      </c>
      <c r="Y232" s="9">
        <f>(P$436-Tabell2[[#This Row],[Eldreandel-T]])*100/P$439</f>
        <v>58.07119577173885</v>
      </c>
      <c r="Z232" s="9">
        <f>100-(Q$436-Tabell2[[#This Row],[Sysselsettingsvekst10-T]])*100/Q$439</f>
        <v>84.017992345358337</v>
      </c>
      <c r="AA232" s="9">
        <f>100-(R$436-Tabell2[[#This Row],[Yrkesaktivandel-T]])*100/R$439</f>
        <v>52.692538007354791</v>
      </c>
      <c r="AB232" s="9">
        <f>100-(S$436-Tabell2[[#This Row],[Inntekt-T]])*100/S$439</f>
        <v>100</v>
      </c>
      <c r="AC232" s="48">
        <f>Tabell2[[#This Row],[NIBR11-I]]*Vekter!$B$3</f>
        <v>20</v>
      </c>
      <c r="AD232" s="48">
        <f>Tabell2[[#This Row],[ReisetidOslo-I]]*Vekter!$C$3</f>
        <v>2.4809431425055388</v>
      </c>
      <c r="AE232" s="48">
        <f>Tabell2[[#This Row],[Beftettotal-I]]*Vekter!$D$3</f>
        <v>3.7718795417877682</v>
      </c>
      <c r="AF232" s="48">
        <f>Tabell2[[#This Row],[Befvekst10-I]]*Vekter!$E$3</f>
        <v>16.123305077946736</v>
      </c>
      <c r="AG232" s="48">
        <f>Tabell2[[#This Row],[Kvinneandel-I]]*Vekter!$F$3</f>
        <v>3.8466027245864653</v>
      </c>
      <c r="AH232" s="48">
        <f>Tabell2[[#This Row],[Eldreandel-I]]*Vekter!$G$3</f>
        <v>2.9035597885869429</v>
      </c>
      <c r="AI232" s="48">
        <f>Tabell2[[#This Row],[Sysselsettingsvekst10-I]]*Vekter!$H$3</f>
        <v>8.4017992345358348</v>
      </c>
      <c r="AJ232" s="48">
        <f>Tabell2[[#This Row],[Yrkesaktivandel-I]]*Vekter!$J$3</f>
        <v>5.2692538007354797</v>
      </c>
      <c r="AK232" s="48">
        <f>Tabell2[[#This Row],[Inntekt-I]]*Vekter!$L$3</f>
        <v>10</v>
      </c>
      <c r="AL232" s="37">
        <f>SUM(Tabell2[[#This Row],[NIBR11-v]:[Inntekt-v]])</f>
        <v>72.797343310684766</v>
      </c>
    </row>
    <row r="233" spans="1:38">
      <c r="A233" s="2" t="s">
        <v>230</v>
      </c>
      <c r="B233">
        <f>'Rådata-K'!M232</f>
        <v>11</v>
      </c>
      <c r="C233" s="9">
        <f>'Rådata-K'!L232</f>
        <v>258.81720152700001</v>
      </c>
      <c r="D233" s="51">
        <f>'Rådata-K'!N232</f>
        <v>60.452586206896555</v>
      </c>
      <c r="E233" s="51">
        <f>'Rådata-K'!O232</f>
        <v>-0.14871016691957506</v>
      </c>
      <c r="F233" s="51">
        <f>'Rådata-K'!P232</f>
        <v>7.4866310160427801E-2</v>
      </c>
      <c r="G233" s="51">
        <f>'Rådata-K'!Q232</f>
        <v>0.20855614973262032</v>
      </c>
      <c r="H233" s="51">
        <f>'Rådata-K'!R232</f>
        <v>3.759398496240518E-3</v>
      </c>
      <c r="I233" s="51">
        <f>'Rådata-K'!S232</f>
        <v>0.93992932862190814</v>
      </c>
      <c r="J233" s="52">
        <f>'Rådata-K'!K232</f>
        <v>384700</v>
      </c>
      <c r="K233" s="26">
        <f>Tabell2[[#This Row],[NIBR11]]</f>
        <v>11</v>
      </c>
      <c r="L233" s="52">
        <f>IF(Tabell2[[#This Row],[ReisetidOslo]]&lt;=C$434,C$434,IF(Tabell2[[#This Row],[ReisetidOslo]]&gt;=C$435,C$435,Tabell2[[#This Row],[ReisetidOslo]]))</f>
        <v>258.81720152700001</v>
      </c>
      <c r="M233" s="51">
        <f>IF(Tabell2[[#This Row],[Beftettotal]]&lt;=D$434,D$434,IF(Tabell2[[#This Row],[Beftettotal]]&gt;=D$435,D$435,Tabell2[[#This Row],[Beftettotal]]))</f>
        <v>60.452586206896555</v>
      </c>
      <c r="N233" s="51">
        <f>IF(Tabell2[[#This Row],[Befvekst10]]&lt;=E$434,E$434,IF(Tabell2[[#This Row],[Befvekst10]]&gt;=E$435,E$435,Tabell2[[#This Row],[Befvekst10]]))</f>
        <v>-8.0785862785862778E-2</v>
      </c>
      <c r="O233" s="51">
        <f>IF(Tabell2[[#This Row],[Kvinneandel]]&lt;=F$434,F$434,IF(Tabell2[[#This Row],[Kvinneandel]]&gt;=F$435,F$435,Tabell2[[#This Row],[Kvinneandel]]))</f>
        <v>9.0262917071501733E-2</v>
      </c>
      <c r="P233" s="51">
        <f>IF(Tabell2[[#This Row],[Eldreandel]]&lt;=G$434,G$434,IF(Tabell2[[#This Row],[Eldreandel]]&gt;=G$435,G$435,Tabell2[[#This Row],[Eldreandel]]))</f>
        <v>0.20830063331569054</v>
      </c>
      <c r="Q233" s="51">
        <f>IF(Tabell2[[#This Row],[Sysselsettingsvekst10]]&lt;=H$434,H$434,IF(Tabell2[[#This Row],[Sysselsettingsvekst10]]&gt;=H$435,H$435,Tabell2[[#This Row],[Sysselsettingsvekst10]]))</f>
        <v>3.759398496240518E-3</v>
      </c>
      <c r="R233" s="51">
        <f>IF(Tabell2[[#This Row],[Yrkesaktivandel]]&lt;=I$434,I$434,IF(Tabell2[[#This Row],[Yrkesaktivandel]]&gt;=I$435,I$435,Tabell2[[#This Row],[Yrkesaktivandel]]))</f>
        <v>0.93992932862190814</v>
      </c>
      <c r="S233" s="52">
        <f>IF(Tabell2[[#This Row],[Inntekt]]&lt;=J$434,J$434,IF(Tabell2[[#This Row],[Inntekt]]&gt;=J$435,J$435,Tabell2[[#This Row],[Inntekt]]))</f>
        <v>384700</v>
      </c>
      <c r="T233" s="9">
        <f>IF(Tabell2[[#This Row],[NIBR11-T]]&lt;=K$437,100,IF(Tabell2[[#This Row],[NIBR11-T]]&gt;=K$436,0,100*(K$436-Tabell2[[#This Row],[NIBR11-T]])/K$439))</f>
        <v>0</v>
      </c>
      <c r="U233" s="9">
        <f>(L$436-Tabell2[[#This Row],[ReisetidOslo-T]])*100/L$439</f>
        <v>8.984838116922047</v>
      </c>
      <c r="V233" s="9">
        <f>100-(M$436-Tabell2[[#This Row],[Beftettotal-T]])*100/M$439</f>
        <v>46.560952891891915</v>
      </c>
      <c r="W233" s="9">
        <f>100-(N$436-Tabell2[[#This Row],[Befvekst10-T]])*100/N$439</f>
        <v>0</v>
      </c>
      <c r="X233" s="9">
        <f>100-(O$436-Tabell2[[#This Row],[Kvinneandel-T]])*100/O$439</f>
        <v>0</v>
      </c>
      <c r="Y233" s="9">
        <f>(P$436-Tabell2[[#This Row],[Eldreandel-T]])*100/P$439</f>
        <v>0</v>
      </c>
      <c r="Z233" s="9">
        <f>100-(Q$436-Tabell2[[#This Row],[Sysselsettingsvekst10-T]])*100/Q$439</f>
        <v>23.254969951358049</v>
      </c>
      <c r="AA233" s="9">
        <f>100-(R$436-Tabell2[[#This Row],[Yrkesaktivandel-T]])*100/R$439</f>
        <v>83.414038780805811</v>
      </c>
      <c r="AB233" s="9">
        <f>100-(S$436-Tabell2[[#This Row],[Inntekt-T]])*100/S$439</f>
        <v>80.761976612599014</v>
      </c>
      <c r="AC233" s="48">
        <f>Tabell2[[#This Row],[NIBR11-I]]*Vekter!$B$3</f>
        <v>0</v>
      </c>
      <c r="AD233" s="48">
        <f>Tabell2[[#This Row],[ReisetidOslo-I]]*Vekter!$C$3</f>
        <v>0.8984838116922047</v>
      </c>
      <c r="AE233" s="48">
        <f>Tabell2[[#This Row],[Beftettotal-I]]*Vekter!$D$3</f>
        <v>4.6560952891891914</v>
      </c>
      <c r="AF233" s="48">
        <f>Tabell2[[#This Row],[Befvekst10-I]]*Vekter!$E$3</f>
        <v>0</v>
      </c>
      <c r="AG233" s="48">
        <f>Tabell2[[#This Row],[Kvinneandel-I]]*Vekter!$F$3</f>
        <v>0</v>
      </c>
      <c r="AH233" s="48">
        <f>Tabell2[[#This Row],[Eldreandel-I]]*Vekter!$G$3</f>
        <v>0</v>
      </c>
      <c r="AI233" s="48">
        <f>Tabell2[[#This Row],[Sysselsettingsvekst10-I]]*Vekter!$H$3</f>
        <v>2.3254969951358051</v>
      </c>
      <c r="AJ233" s="48">
        <f>Tabell2[[#This Row],[Yrkesaktivandel-I]]*Vekter!$J$3</f>
        <v>8.3414038780805821</v>
      </c>
      <c r="AK233" s="48">
        <f>Tabell2[[#This Row],[Inntekt-I]]*Vekter!$L$3</f>
        <v>8.0761976612599025</v>
      </c>
      <c r="AL233" s="37">
        <f>SUM(Tabell2[[#This Row],[NIBR11-v]:[Inntekt-v]])</f>
        <v>24.297677635357687</v>
      </c>
    </row>
    <row r="234" spans="1:38">
      <c r="A234" s="2" t="s">
        <v>231</v>
      </c>
      <c r="B234">
        <f>'Rådata-K'!M233</f>
        <v>5</v>
      </c>
      <c r="C234" s="9">
        <f>'Rådata-K'!L233</f>
        <v>229.0801952889</v>
      </c>
      <c r="D234" s="51">
        <f>'Rådata-K'!N233</f>
        <v>3.0445807182548958</v>
      </c>
      <c r="E234" s="51">
        <f>'Rådata-K'!O233</f>
        <v>-1.1098130841121545E-2</v>
      </c>
      <c r="F234" s="51">
        <f>'Rådata-K'!P233</f>
        <v>9.2734790313053747E-2</v>
      </c>
      <c r="G234" s="51">
        <f>'Rådata-K'!Q233</f>
        <v>0.20496160661547549</v>
      </c>
      <c r="H234" s="51">
        <f>'Rådata-K'!R233</f>
        <v>0.12316176470588225</v>
      </c>
      <c r="I234" s="51">
        <f>'Rådata-K'!S233</f>
        <v>0.99550056242969631</v>
      </c>
      <c r="J234" s="52">
        <f>'Rådata-K'!K233</f>
        <v>370900</v>
      </c>
      <c r="K234" s="26">
        <f>Tabell2[[#This Row],[NIBR11]]</f>
        <v>5</v>
      </c>
      <c r="L234" s="52">
        <f>IF(Tabell2[[#This Row],[ReisetidOslo]]&lt;=C$434,C$434,IF(Tabell2[[#This Row],[ReisetidOslo]]&gt;=C$435,C$435,Tabell2[[#This Row],[ReisetidOslo]]))</f>
        <v>229.0801952889</v>
      </c>
      <c r="M234" s="51">
        <f>IF(Tabell2[[#This Row],[Beftettotal]]&lt;=D$434,D$434,IF(Tabell2[[#This Row],[Beftettotal]]&gt;=D$435,D$435,Tabell2[[#This Row],[Beftettotal]]))</f>
        <v>3.0445807182548958</v>
      </c>
      <c r="N234" s="51">
        <f>IF(Tabell2[[#This Row],[Befvekst10]]&lt;=E$434,E$434,IF(Tabell2[[#This Row],[Befvekst10]]&gt;=E$435,E$435,Tabell2[[#This Row],[Befvekst10]]))</f>
        <v>-1.1098130841121545E-2</v>
      </c>
      <c r="O234" s="51">
        <f>IF(Tabell2[[#This Row],[Kvinneandel]]&lt;=F$434,F$434,IF(Tabell2[[#This Row],[Kvinneandel]]&gt;=F$435,F$435,Tabell2[[#This Row],[Kvinneandel]]))</f>
        <v>9.2734790313053747E-2</v>
      </c>
      <c r="P234" s="51">
        <f>IF(Tabell2[[#This Row],[Eldreandel]]&lt;=G$434,G$434,IF(Tabell2[[#This Row],[Eldreandel]]&gt;=G$435,G$435,Tabell2[[#This Row],[Eldreandel]]))</f>
        <v>0.20496160661547549</v>
      </c>
      <c r="Q234" s="51">
        <f>IF(Tabell2[[#This Row],[Sysselsettingsvekst10]]&lt;=H$434,H$434,IF(Tabell2[[#This Row],[Sysselsettingsvekst10]]&gt;=H$435,H$435,Tabell2[[#This Row],[Sysselsettingsvekst10]]))</f>
        <v>0.12316176470588225</v>
      </c>
      <c r="R234" s="51">
        <f>IF(Tabell2[[#This Row],[Yrkesaktivandel]]&lt;=I$434,I$434,IF(Tabell2[[#This Row],[Yrkesaktivandel]]&gt;=I$435,I$435,Tabell2[[#This Row],[Yrkesaktivandel]]))</f>
        <v>0.96217815624658265</v>
      </c>
      <c r="S234" s="52">
        <f>IF(Tabell2[[#This Row],[Inntekt]]&lt;=J$434,J$434,IF(Tabell2[[#This Row],[Inntekt]]&gt;=J$435,J$435,Tabell2[[#This Row],[Inntekt]]))</f>
        <v>370900</v>
      </c>
      <c r="T234" s="9">
        <f>IF(Tabell2[[#This Row],[NIBR11-T]]&lt;=K$437,100,IF(Tabell2[[#This Row],[NIBR11-T]]&gt;=K$436,0,100*(K$436-Tabell2[[#This Row],[NIBR11-T]])/K$439))</f>
        <v>60</v>
      </c>
      <c r="U234" s="9">
        <f>(L$436-Tabell2[[#This Row],[ReisetidOslo-T]])*100/L$439</f>
        <v>22.18659963619961</v>
      </c>
      <c r="V234" s="9">
        <f>100-(M$436-Tabell2[[#This Row],[Beftettotal-T]])*100/M$439</f>
        <v>1.3428472855101461</v>
      </c>
      <c r="W234" s="9">
        <f>100-(N$436-Tabell2[[#This Row],[Befvekst10-T]])*100/N$439</f>
        <v>28.199539884540371</v>
      </c>
      <c r="X234" s="9">
        <f>100-(O$436-Tabell2[[#This Row],[Kvinneandel-T]])*100/O$439</f>
        <v>6.5472451829395197</v>
      </c>
      <c r="Y234" s="9">
        <f>(P$436-Tabell2[[#This Row],[Eldreandel-T]])*100/P$439</f>
        <v>3.7854093594321161</v>
      </c>
      <c r="Z234" s="9">
        <f>100-(Q$436-Tabell2[[#This Row],[Sysselsettingsvekst10-T]])*100/Q$439</f>
        <v>61.579686876595872</v>
      </c>
      <c r="AA234" s="9">
        <f>100-(R$436-Tabell2[[#This Row],[Yrkesaktivandel-T]])*100/R$439</f>
        <v>100</v>
      </c>
      <c r="AB234" s="9">
        <f>100-(S$436-Tabell2[[#This Row],[Inntekt-T]])*100/S$439</f>
        <v>63.410033949453037</v>
      </c>
      <c r="AC234" s="48">
        <f>Tabell2[[#This Row],[NIBR11-I]]*Vekter!$B$3</f>
        <v>12</v>
      </c>
      <c r="AD234" s="48">
        <f>Tabell2[[#This Row],[ReisetidOslo-I]]*Vekter!$C$3</f>
        <v>2.2186599636199609</v>
      </c>
      <c r="AE234" s="48">
        <f>Tabell2[[#This Row],[Beftettotal-I]]*Vekter!$D$3</f>
        <v>0.13428472855101461</v>
      </c>
      <c r="AF234" s="48">
        <f>Tabell2[[#This Row],[Befvekst10-I]]*Vekter!$E$3</f>
        <v>5.6399079769080744</v>
      </c>
      <c r="AG234" s="48">
        <f>Tabell2[[#This Row],[Kvinneandel-I]]*Vekter!$F$3</f>
        <v>0.32736225914697603</v>
      </c>
      <c r="AH234" s="48">
        <f>Tabell2[[#This Row],[Eldreandel-I]]*Vekter!$G$3</f>
        <v>0.18927046797160582</v>
      </c>
      <c r="AI234" s="48">
        <f>Tabell2[[#This Row],[Sysselsettingsvekst10-I]]*Vekter!$H$3</f>
        <v>6.1579686876595874</v>
      </c>
      <c r="AJ234" s="48">
        <f>Tabell2[[#This Row],[Yrkesaktivandel-I]]*Vekter!$J$3</f>
        <v>10</v>
      </c>
      <c r="AK234" s="48">
        <f>Tabell2[[#This Row],[Inntekt-I]]*Vekter!$L$3</f>
        <v>6.3410033949453037</v>
      </c>
      <c r="AL234" s="37">
        <f>SUM(Tabell2[[#This Row],[NIBR11-v]:[Inntekt-v]])</f>
        <v>43.008457478802526</v>
      </c>
    </row>
    <row r="235" spans="1:38">
      <c r="A235" s="2" t="s">
        <v>232</v>
      </c>
      <c r="B235">
        <f>'Rådata-K'!M234</f>
        <v>7</v>
      </c>
      <c r="C235" s="9">
        <f>'Rådata-K'!L234</f>
        <v>167.71914329310999</v>
      </c>
      <c r="D235" s="51">
        <f>'Rådata-K'!N234</f>
        <v>16.989759123034762</v>
      </c>
      <c r="E235" s="51">
        <f>'Rådata-K'!O234</f>
        <v>3.9537551848910057E-2</v>
      </c>
      <c r="F235" s="51">
        <f>'Rådata-K'!P234</f>
        <v>0.1167331691994227</v>
      </c>
      <c r="G235" s="51">
        <f>'Rådata-K'!Q234</f>
        <v>0.12564733848374227</v>
      </c>
      <c r="H235" s="51">
        <f>'Rådata-K'!R234</f>
        <v>0.12765136907057473</v>
      </c>
      <c r="I235" s="51">
        <f>'Rådata-K'!S234</f>
        <v>0.89704368289454328</v>
      </c>
      <c r="J235" s="52">
        <f>'Rådata-K'!K234</f>
        <v>382000</v>
      </c>
      <c r="K235" s="26">
        <f>Tabell2[[#This Row],[NIBR11]]</f>
        <v>7</v>
      </c>
      <c r="L235" s="52">
        <f>IF(Tabell2[[#This Row],[ReisetidOslo]]&lt;=C$434,C$434,IF(Tabell2[[#This Row],[ReisetidOslo]]&gt;=C$435,C$435,Tabell2[[#This Row],[ReisetidOslo]]))</f>
        <v>167.71914329310999</v>
      </c>
      <c r="M235" s="51">
        <f>IF(Tabell2[[#This Row],[Beftettotal]]&lt;=D$434,D$434,IF(Tabell2[[#This Row],[Beftettotal]]&gt;=D$435,D$435,Tabell2[[#This Row],[Beftettotal]]))</f>
        <v>16.989759123034762</v>
      </c>
      <c r="N235" s="51">
        <f>IF(Tabell2[[#This Row],[Befvekst10]]&lt;=E$434,E$434,IF(Tabell2[[#This Row],[Befvekst10]]&gt;=E$435,E$435,Tabell2[[#This Row],[Befvekst10]]))</f>
        <v>3.9537551848910057E-2</v>
      </c>
      <c r="O235" s="51">
        <f>IF(Tabell2[[#This Row],[Kvinneandel]]&lt;=F$434,F$434,IF(Tabell2[[#This Row],[Kvinneandel]]&gt;=F$435,F$435,Tabell2[[#This Row],[Kvinneandel]]))</f>
        <v>0.1167331691994227</v>
      </c>
      <c r="P235" s="51">
        <f>IF(Tabell2[[#This Row],[Eldreandel]]&lt;=G$434,G$434,IF(Tabell2[[#This Row],[Eldreandel]]&gt;=G$435,G$435,Tabell2[[#This Row],[Eldreandel]]))</f>
        <v>0.12564733848374227</v>
      </c>
      <c r="Q235" s="51">
        <f>IF(Tabell2[[#This Row],[Sysselsettingsvekst10]]&lt;=H$434,H$434,IF(Tabell2[[#This Row],[Sysselsettingsvekst10]]&gt;=H$435,H$435,Tabell2[[#This Row],[Sysselsettingsvekst10]]))</f>
        <v>0.12765136907057473</v>
      </c>
      <c r="R235" s="51">
        <f>IF(Tabell2[[#This Row],[Yrkesaktivandel]]&lt;=I$434,I$434,IF(Tabell2[[#This Row],[Yrkesaktivandel]]&gt;=I$435,I$435,Tabell2[[#This Row],[Yrkesaktivandel]]))</f>
        <v>0.89704368289454328</v>
      </c>
      <c r="S235" s="52">
        <f>IF(Tabell2[[#This Row],[Inntekt]]&lt;=J$434,J$434,IF(Tabell2[[#This Row],[Inntekt]]&gt;=J$435,J$435,Tabell2[[#This Row],[Inntekt]]))</f>
        <v>382000</v>
      </c>
      <c r="T235" s="9">
        <f>IF(Tabell2[[#This Row],[NIBR11-T]]&lt;=K$437,100,IF(Tabell2[[#This Row],[NIBR11-T]]&gt;=K$436,0,100*(K$436-Tabell2[[#This Row],[NIBR11-T]])/K$439))</f>
        <v>40</v>
      </c>
      <c r="U235" s="9">
        <f>(L$436-Tabell2[[#This Row],[ReisetidOslo-T]])*100/L$439</f>
        <v>49.427874986322692</v>
      </c>
      <c r="V235" s="9">
        <f>100-(M$436-Tabell2[[#This Row],[Beftettotal-T]])*100/M$439</f>
        <v>12.326934686559667</v>
      </c>
      <c r="W235" s="9">
        <f>100-(N$436-Tabell2[[#This Row],[Befvekst10-T]])*100/N$439</f>
        <v>48.689558913007673</v>
      </c>
      <c r="X235" s="9">
        <f>100-(O$436-Tabell2[[#This Row],[Kvinneandel-T]])*100/O$439</f>
        <v>70.11169821431082</v>
      </c>
      <c r="Y235" s="9">
        <f>(P$436-Tabell2[[#This Row],[Eldreandel-T]])*100/P$439</f>
        <v>93.702921220908053</v>
      </c>
      <c r="Z235" s="9">
        <f>100-(Q$436-Tabell2[[#This Row],[Sysselsettingsvekst10-T]])*100/Q$439</f>
        <v>63.020720432673407</v>
      </c>
      <c r="AA235" s="9">
        <f>100-(R$436-Tabell2[[#This Row],[Yrkesaktivandel-T]])*100/R$439</f>
        <v>51.44383033236938</v>
      </c>
      <c r="AB235" s="9">
        <f>100-(S$436-Tabell2[[#This Row],[Inntekt-T]])*100/S$439</f>
        <v>77.367031308940028</v>
      </c>
      <c r="AC235" s="48">
        <f>Tabell2[[#This Row],[NIBR11-I]]*Vekter!$B$3</f>
        <v>8</v>
      </c>
      <c r="AD235" s="48">
        <f>Tabell2[[#This Row],[ReisetidOslo-I]]*Vekter!$C$3</f>
        <v>4.9427874986322697</v>
      </c>
      <c r="AE235" s="48">
        <f>Tabell2[[#This Row],[Beftettotal-I]]*Vekter!$D$3</f>
        <v>1.2326934686559667</v>
      </c>
      <c r="AF235" s="48">
        <f>Tabell2[[#This Row],[Befvekst10-I]]*Vekter!$E$3</f>
        <v>9.737911782601536</v>
      </c>
      <c r="AG235" s="48">
        <f>Tabell2[[#This Row],[Kvinneandel-I]]*Vekter!$F$3</f>
        <v>3.505584910715541</v>
      </c>
      <c r="AH235" s="48">
        <f>Tabell2[[#This Row],[Eldreandel-I]]*Vekter!$G$3</f>
        <v>4.685146061045403</v>
      </c>
      <c r="AI235" s="48">
        <f>Tabell2[[#This Row],[Sysselsettingsvekst10-I]]*Vekter!$H$3</f>
        <v>6.3020720432673407</v>
      </c>
      <c r="AJ235" s="48">
        <f>Tabell2[[#This Row],[Yrkesaktivandel-I]]*Vekter!$J$3</f>
        <v>5.144383033236938</v>
      </c>
      <c r="AK235" s="48">
        <f>Tabell2[[#This Row],[Inntekt-I]]*Vekter!$L$3</f>
        <v>7.7367031308940035</v>
      </c>
      <c r="AL235" s="37">
        <f>SUM(Tabell2[[#This Row],[NIBR11-v]:[Inntekt-v]])</f>
        <v>51.287281929048987</v>
      </c>
    </row>
    <row r="236" spans="1:38">
      <c r="A236" s="2" t="s">
        <v>233</v>
      </c>
      <c r="B236">
        <f>'Rådata-K'!M235</f>
        <v>11</v>
      </c>
      <c r="C236" s="9">
        <f>'Rådata-K'!L235</f>
        <v>260.20679225499998</v>
      </c>
      <c r="D236" s="51">
        <f>'Rådata-K'!N235</f>
        <v>3.8763583998928355</v>
      </c>
      <c r="E236" s="51">
        <f>'Rådata-K'!O235</f>
        <v>-5.9707554833468679E-2</v>
      </c>
      <c r="F236" s="51">
        <f>'Rådata-K'!P235</f>
        <v>0.10539956803455723</v>
      </c>
      <c r="G236" s="51">
        <f>'Rådata-K'!Q235</f>
        <v>0.18315334773218142</v>
      </c>
      <c r="H236" s="51">
        <f>'Rådata-K'!R235</f>
        <v>0.23214285714285721</v>
      </c>
      <c r="I236" s="51">
        <f>'Rådata-K'!S235</f>
        <v>0.99680000000000002</v>
      </c>
      <c r="J236" s="52">
        <f>'Rådata-K'!K235</f>
        <v>364200</v>
      </c>
      <c r="K236" s="26">
        <f>Tabell2[[#This Row],[NIBR11]]</f>
        <v>11</v>
      </c>
      <c r="L236" s="52">
        <f>IF(Tabell2[[#This Row],[ReisetidOslo]]&lt;=C$434,C$434,IF(Tabell2[[#This Row],[ReisetidOslo]]&gt;=C$435,C$435,Tabell2[[#This Row],[ReisetidOslo]]))</f>
        <v>260.20679225499998</v>
      </c>
      <c r="M236" s="51">
        <f>IF(Tabell2[[#This Row],[Beftettotal]]&lt;=D$434,D$434,IF(Tabell2[[#This Row],[Beftettotal]]&gt;=D$435,D$435,Tabell2[[#This Row],[Beftettotal]]))</f>
        <v>3.8763583998928355</v>
      </c>
      <c r="N236" s="51">
        <f>IF(Tabell2[[#This Row],[Befvekst10]]&lt;=E$434,E$434,IF(Tabell2[[#This Row],[Befvekst10]]&gt;=E$435,E$435,Tabell2[[#This Row],[Befvekst10]]))</f>
        <v>-5.9707554833468679E-2</v>
      </c>
      <c r="O236" s="51">
        <f>IF(Tabell2[[#This Row],[Kvinneandel]]&lt;=F$434,F$434,IF(Tabell2[[#This Row],[Kvinneandel]]&gt;=F$435,F$435,Tabell2[[#This Row],[Kvinneandel]]))</f>
        <v>0.10539956803455723</v>
      </c>
      <c r="P236" s="51">
        <f>IF(Tabell2[[#This Row],[Eldreandel]]&lt;=G$434,G$434,IF(Tabell2[[#This Row],[Eldreandel]]&gt;=G$435,G$435,Tabell2[[#This Row],[Eldreandel]]))</f>
        <v>0.18315334773218142</v>
      </c>
      <c r="Q236" s="51">
        <f>IF(Tabell2[[#This Row],[Sysselsettingsvekst10]]&lt;=H$434,H$434,IF(Tabell2[[#This Row],[Sysselsettingsvekst10]]&gt;=H$435,H$435,Tabell2[[#This Row],[Sysselsettingsvekst10]]))</f>
        <v>0.23214285714285721</v>
      </c>
      <c r="R236" s="51">
        <f>IF(Tabell2[[#This Row],[Yrkesaktivandel]]&lt;=I$434,I$434,IF(Tabell2[[#This Row],[Yrkesaktivandel]]&gt;=I$435,I$435,Tabell2[[#This Row],[Yrkesaktivandel]]))</f>
        <v>0.96217815624658265</v>
      </c>
      <c r="S236" s="52">
        <f>IF(Tabell2[[#This Row],[Inntekt]]&lt;=J$434,J$434,IF(Tabell2[[#This Row],[Inntekt]]&gt;=J$435,J$435,Tabell2[[#This Row],[Inntekt]]))</f>
        <v>364200</v>
      </c>
      <c r="T236" s="9">
        <f>IF(Tabell2[[#This Row],[NIBR11-T]]&lt;=K$437,100,IF(Tabell2[[#This Row],[NIBR11-T]]&gt;=K$436,0,100*(K$436-Tabell2[[#This Row],[NIBR11-T]])/K$439))</f>
        <v>0</v>
      </c>
      <c r="U236" s="9">
        <f>(L$436-Tabell2[[#This Row],[ReisetidOslo-T]])*100/L$439</f>
        <v>8.3679284907959754</v>
      </c>
      <c r="V236" s="9">
        <f>100-(M$436-Tabell2[[#This Row],[Beftettotal-T]])*100/M$439</f>
        <v>1.9980069749854721</v>
      </c>
      <c r="W236" s="9">
        <f>100-(N$436-Tabell2[[#This Row],[Befvekst10-T]])*100/N$439</f>
        <v>8.5294580439709193</v>
      </c>
      <c r="X236" s="9">
        <f>100-(O$436-Tabell2[[#This Row],[Kvinneandel-T]])*100/O$439</f>
        <v>40.092413898003088</v>
      </c>
      <c r="Y236" s="9">
        <f>(P$436-Tabell2[[#This Row],[Eldreandel-T]])*100/P$439</f>
        <v>28.50913717042063</v>
      </c>
      <c r="Z236" s="9">
        <f>100-(Q$436-Tabell2[[#This Row],[Sysselsettingsvekst10-T]])*100/Q$439</f>
        <v>96.559475388634397</v>
      </c>
      <c r="AA236" s="9">
        <f>100-(R$436-Tabell2[[#This Row],[Yrkesaktivandel-T]])*100/R$439</f>
        <v>100</v>
      </c>
      <c r="AB236" s="9">
        <f>100-(S$436-Tabell2[[#This Row],[Inntekt-T]])*100/S$439</f>
        <v>54.985540047780709</v>
      </c>
      <c r="AC236" s="48">
        <f>Tabell2[[#This Row],[NIBR11-I]]*Vekter!$B$3</f>
        <v>0</v>
      </c>
      <c r="AD236" s="48">
        <f>Tabell2[[#This Row],[ReisetidOslo-I]]*Vekter!$C$3</f>
        <v>0.83679284907959761</v>
      </c>
      <c r="AE236" s="48">
        <f>Tabell2[[#This Row],[Beftettotal-I]]*Vekter!$D$3</f>
        <v>0.19980069749854723</v>
      </c>
      <c r="AF236" s="48">
        <f>Tabell2[[#This Row],[Befvekst10-I]]*Vekter!$E$3</f>
        <v>1.705891608794184</v>
      </c>
      <c r="AG236" s="48">
        <f>Tabell2[[#This Row],[Kvinneandel-I]]*Vekter!$F$3</f>
        <v>2.0046206949001544</v>
      </c>
      <c r="AH236" s="48">
        <f>Tabell2[[#This Row],[Eldreandel-I]]*Vekter!$G$3</f>
        <v>1.4254568585210317</v>
      </c>
      <c r="AI236" s="48">
        <f>Tabell2[[#This Row],[Sysselsettingsvekst10-I]]*Vekter!$H$3</f>
        <v>9.6559475388634404</v>
      </c>
      <c r="AJ236" s="48">
        <f>Tabell2[[#This Row],[Yrkesaktivandel-I]]*Vekter!$J$3</f>
        <v>10</v>
      </c>
      <c r="AK236" s="48">
        <f>Tabell2[[#This Row],[Inntekt-I]]*Vekter!$L$3</f>
        <v>5.4985540047780717</v>
      </c>
      <c r="AL236" s="37">
        <f>SUM(Tabell2[[#This Row],[NIBR11-v]:[Inntekt-v]])</f>
        <v>31.327064252435026</v>
      </c>
    </row>
    <row r="237" spans="1:38">
      <c r="A237" s="2" t="s">
        <v>234</v>
      </c>
      <c r="B237">
        <f>'Rådata-K'!M236</f>
        <v>11</v>
      </c>
      <c r="C237" s="9">
        <f>'Rådata-K'!L236</f>
        <v>311.54441855300001</v>
      </c>
      <c r="D237" s="51">
        <f>'Rådata-K'!N236</f>
        <v>3.5708026638626005</v>
      </c>
      <c r="E237" s="51">
        <f>'Rådata-K'!O236</f>
        <v>-9.3437152391546152E-2</v>
      </c>
      <c r="F237" s="51">
        <f>'Rådata-K'!P236</f>
        <v>8.0981595092024544E-2</v>
      </c>
      <c r="G237" s="51">
        <f>'Rådata-K'!Q236</f>
        <v>0.21104294478527608</v>
      </c>
      <c r="H237" s="51">
        <f>'Rådata-K'!R236</f>
        <v>-5.1150895140664954E-2</v>
      </c>
      <c r="I237" s="51">
        <f>'Rådata-K'!S236</f>
        <v>0.95805739514348787</v>
      </c>
      <c r="J237" s="52">
        <f>'Rådata-K'!K236</f>
        <v>360800</v>
      </c>
      <c r="K237" s="26">
        <f>Tabell2[[#This Row],[NIBR11]]</f>
        <v>11</v>
      </c>
      <c r="L237" s="52">
        <f>IF(Tabell2[[#This Row],[ReisetidOslo]]&lt;=C$434,C$434,IF(Tabell2[[#This Row],[ReisetidOslo]]&gt;=C$435,C$435,Tabell2[[#This Row],[ReisetidOslo]]))</f>
        <v>279.05557553043002</v>
      </c>
      <c r="M237" s="51">
        <f>IF(Tabell2[[#This Row],[Beftettotal]]&lt;=D$434,D$434,IF(Tabell2[[#This Row],[Beftettotal]]&gt;=D$435,D$435,Tabell2[[#This Row],[Beftettotal]]))</f>
        <v>3.5708026638626005</v>
      </c>
      <c r="N237" s="51">
        <f>IF(Tabell2[[#This Row],[Befvekst10]]&lt;=E$434,E$434,IF(Tabell2[[#This Row],[Befvekst10]]&gt;=E$435,E$435,Tabell2[[#This Row],[Befvekst10]]))</f>
        <v>-8.0785862785862778E-2</v>
      </c>
      <c r="O237" s="51">
        <f>IF(Tabell2[[#This Row],[Kvinneandel]]&lt;=F$434,F$434,IF(Tabell2[[#This Row],[Kvinneandel]]&gt;=F$435,F$435,Tabell2[[#This Row],[Kvinneandel]]))</f>
        <v>9.0262917071501733E-2</v>
      </c>
      <c r="P237" s="51">
        <f>IF(Tabell2[[#This Row],[Eldreandel]]&lt;=G$434,G$434,IF(Tabell2[[#This Row],[Eldreandel]]&gt;=G$435,G$435,Tabell2[[#This Row],[Eldreandel]]))</f>
        <v>0.20830063331569054</v>
      </c>
      <c r="Q237" s="51">
        <f>IF(Tabell2[[#This Row],[Sysselsettingsvekst10]]&lt;=H$434,H$434,IF(Tabell2[[#This Row],[Sysselsettingsvekst10]]&gt;=H$435,H$435,Tabell2[[#This Row],[Sysselsettingsvekst10]]))</f>
        <v>-5.1150895140664954E-2</v>
      </c>
      <c r="R237" s="51">
        <f>IF(Tabell2[[#This Row],[Yrkesaktivandel]]&lt;=I$434,I$434,IF(Tabell2[[#This Row],[Yrkesaktivandel]]&gt;=I$435,I$435,Tabell2[[#This Row],[Yrkesaktivandel]]))</f>
        <v>0.95805739514348787</v>
      </c>
      <c r="S237" s="52">
        <f>IF(Tabell2[[#This Row],[Inntekt]]&lt;=J$434,J$434,IF(Tabell2[[#This Row],[Inntekt]]&gt;=J$435,J$435,Tabell2[[#This Row],[Inntekt]]))</f>
        <v>360800</v>
      </c>
      <c r="T237" s="9">
        <f>IF(Tabell2[[#This Row],[NIBR11-T]]&lt;=K$437,100,IF(Tabell2[[#This Row],[NIBR11-T]]&gt;=K$436,0,100*(K$436-Tabell2[[#This Row],[NIBR11-T]])/K$439))</f>
        <v>0</v>
      </c>
      <c r="U237" s="9">
        <f>(L$436-Tabell2[[#This Row],[ReisetidOslo-T]])*100/L$439</f>
        <v>0</v>
      </c>
      <c r="V237" s="9">
        <f>100-(M$436-Tabell2[[#This Row],[Beftettotal-T]])*100/M$439</f>
        <v>1.757332326513577</v>
      </c>
      <c r="W237" s="9">
        <f>100-(N$436-Tabell2[[#This Row],[Befvekst10-T]])*100/N$439</f>
        <v>0</v>
      </c>
      <c r="X237" s="9">
        <f>100-(O$436-Tabell2[[#This Row],[Kvinneandel-T]])*100/O$439</f>
        <v>0</v>
      </c>
      <c r="Y237" s="9">
        <f>(P$436-Tabell2[[#This Row],[Eldreandel-T]])*100/P$439</f>
        <v>0</v>
      </c>
      <c r="Z237" s="9">
        <f>100-(Q$436-Tabell2[[#This Row],[Sysselsettingsvekst10-T]])*100/Q$439</f>
        <v>5.6303488762511051</v>
      </c>
      <c r="AA237" s="9">
        <f>100-(R$436-Tabell2[[#This Row],[Yrkesaktivandel-T]])*100/R$439</f>
        <v>96.928072570722975</v>
      </c>
      <c r="AB237" s="9">
        <f>100-(S$436-Tabell2[[#This Row],[Inntekt-T]])*100/S$439</f>
        <v>50.710423739469384</v>
      </c>
      <c r="AC237" s="48">
        <f>Tabell2[[#This Row],[NIBR11-I]]*Vekter!$B$3</f>
        <v>0</v>
      </c>
      <c r="AD237" s="48">
        <f>Tabell2[[#This Row],[ReisetidOslo-I]]*Vekter!$C$3</f>
        <v>0</v>
      </c>
      <c r="AE237" s="48">
        <f>Tabell2[[#This Row],[Beftettotal-I]]*Vekter!$D$3</f>
        <v>0.17573323265135771</v>
      </c>
      <c r="AF237" s="48">
        <f>Tabell2[[#This Row],[Befvekst10-I]]*Vekter!$E$3</f>
        <v>0</v>
      </c>
      <c r="AG237" s="48">
        <f>Tabell2[[#This Row],[Kvinneandel-I]]*Vekter!$F$3</f>
        <v>0</v>
      </c>
      <c r="AH237" s="48">
        <f>Tabell2[[#This Row],[Eldreandel-I]]*Vekter!$G$3</f>
        <v>0</v>
      </c>
      <c r="AI237" s="48">
        <f>Tabell2[[#This Row],[Sysselsettingsvekst10-I]]*Vekter!$H$3</f>
        <v>0.56303488762511056</v>
      </c>
      <c r="AJ237" s="48">
        <f>Tabell2[[#This Row],[Yrkesaktivandel-I]]*Vekter!$J$3</f>
        <v>9.6928072570722978</v>
      </c>
      <c r="AK237" s="48">
        <f>Tabell2[[#This Row],[Inntekt-I]]*Vekter!$L$3</f>
        <v>5.0710423739469386</v>
      </c>
      <c r="AL237" s="37">
        <f>SUM(Tabell2[[#This Row],[NIBR11-v]:[Inntekt-v]])</f>
        <v>15.502617751295706</v>
      </c>
    </row>
    <row r="238" spans="1:38">
      <c r="A238" s="2" t="s">
        <v>235</v>
      </c>
      <c r="B238">
        <f>'Rådata-K'!M237</f>
        <v>11</v>
      </c>
      <c r="C238" s="9">
        <f>'Rådata-K'!L237</f>
        <v>210.9768493549</v>
      </c>
      <c r="D238" s="51">
        <f>'Rådata-K'!N237</f>
        <v>5.3727307840865199</v>
      </c>
      <c r="E238" s="51">
        <f>'Rådata-K'!O237</f>
        <v>-0.1066152858060373</v>
      </c>
      <c r="F238" s="51">
        <f>'Rådata-K'!P237</f>
        <v>7.4047447879223585E-2</v>
      </c>
      <c r="G238" s="51">
        <f>'Rådata-K'!Q237</f>
        <v>0.22070452911574406</v>
      </c>
      <c r="H238" s="51">
        <f>'Rådata-K'!R237</f>
        <v>-3.4246575342465779E-2</v>
      </c>
      <c r="I238" s="51">
        <f>'Rådata-K'!S237</f>
        <v>0.99727520435967298</v>
      </c>
      <c r="J238" s="52">
        <f>'Rådata-K'!K237</f>
        <v>344600</v>
      </c>
      <c r="K238" s="26">
        <f>Tabell2[[#This Row],[NIBR11]]</f>
        <v>11</v>
      </c>
      <c r="L238" s="52">
        <f>IF(Tabell2[[#This Row],[ReisetidOslo]]&lt;=C$434,C$434,IF(Tabell2[[#This Row],[ReisetidOslo]]&gt;=C$435,C$435,Tabell2[[#This Row],[ReisetidOslo]]))</f>
        <v>210.9768493549</v>
      </c>
      <c r="M238" s="51">
        <f>IF(Tabell2[[#This Row],[Beftettotal]]&lt;=D$434,D$434,IF(Tabell2[[#This Row],[Beftettotal]]&gt;=D$435,D$435,Tabell2[[#This Row],[Beftettotal]]))</f>
        <v>5.3727307840865199</v>
      </c>
      <c r="N238" s="51">
        <f>IF(Tabell2[[#This Row],[Befvekst10]]&lt;=E$434,E$434,IF(Tabell2[[#This Row],[Befvekst10]]&gt;=E$435,E$435,Tabell2[[#This Row],[Befvekst10]]))</f>
        <v>-8.0785862785862778E-2</v>
      </c>
      <c r="O238" s="51">
        <f>IF(Tabell2[[#This Row],[Kvinneandel]]&lt;=F$434,F$434,IF(Tabell2[[#This Row],[Kvinneandel]]&gt;=F$435,F$435,Tabell2[[#This Row],[Kvinneandel]]))</f>
        <v>9.0262917071501733E-2</v>
      </c>
      <c r="P238" s="51">
        <f>IF(Tabell2[[#This Row],[Eldreandel]]&lt;=G$434,G$434,IF(Tabell2[[#This Row],[Eldreandel]]&gt;=G$435,G$435,Tabell2[[#This Row],[Eldreandel]]))</f>
        <v>0.20830063331569054</v>
      </c>
      <c r="Q238" s="51">
        <f>IF(Tabell2[[#This Row],[Sysselsettingsvekst10]]&lt;=H$434,H$434,IF(Tabell2[[#This Row],[Sysselsettingsvekst10]]&gt;=H$435,H$435,Tabell2[[#This Row],[Sysselsettingsvekst10]]))</f>
        <v>-3.4246575342465779E-2</v>
      </c>
      <c r="R238" s="51">
        <f>IF(Tabell2[[#This Row],[Yrkesaktivandel]]&lt;=I$434,I$434,IF(Tabell2[[#This Row],[Yrkesaktivandel]]&gt;=I$435,I$435,Tabell2[[#This Row],[Yrkesaktivandel]]))</f>
        <v>0.96217815624658265</v>
      </c>
      <c r="S238" s="52">
        <f>IF(Tabell2[[#This Row],[Inntekt]]&lt;=J$434,J$434,IF(Tabell2[[#This Row],[Inntekt]]&gt;=J$435,J$435,Tabell2[[#This Row],[Inntekt]]))</f>
        <v>344600</v>
      </c>
      <c r="T238" s="9">
        <f>IF(Tabell2[[#This Row],[NIBR11-T]]&lt;=K$437,100,IF(Tabell2[[#This Row],[NIBR11-T]]&gt;=K$436,0,100*(K$436-Tabell2[[#This Row],[NIBR11-T]])/K$439))</f>
        <v>0</v>
      </c>
      <c r="U238" s="9">
        <f>(L$436-Tabell2[[#This Row],[ReisetidOslo-T]])*100/L$439</f>
        <v>30.223590778079981</v>
      </c>
      <c r="V238" s="9">
        <f>100-(M$436-Tabell2[[#This Row],[Beftettotal-T]])*100/M$439</f>
        <v>3.1766426708089455</v>
      </c>
      <c r="W238" s="9">
        <f>100-(N$436-Tabell2[[#This Row],[Befvekst10-T]])*100/N$439</f>
        <v>0</v>
      </c>
      <c r="X238" s="9">
        <f>100-(O$436-Tabell2[[#This Row],[Kvinneandel-T]])*100/O$439</f>
        <v>0</v>
      </c>
      <c r="Y238" s="9">
        <f>(P$436-Tabell2[[#This Row],[Eldreandel-T]])*100/P$439</f>
        <v>0</v>
      </c>
      <c r="Z238" s="9">
        <f>100-(Q$436-Tabell2[[#This Row],[Sysselsettingsvekst10-T]])*100/Q$439</f>
        <v>11.056148143429795</v>
      </c>
      <c r="AA238" s="9">
        <f>100-(R$436-Tabell2[[#This Row],[Yrkesaktivandel-T]])*100/R$439</f>
        <v>100</v>
      </c>
      <c r="AB238" s="9">
        <f>100-(S$436-Tabell2[[#This Row],[Inntekt-T]])*100/S$439</f>
        <v>30.340751917515405</v>
      </c>
      <c r="AC238" s="48">
        <f>Tabell2[[#This Row],[NIBR11-I]]*Vekter!$B$3</f>
        <v>0</v>
      </c>
      <c r="AD238" s="48">
        <f>Tabell2[[#This Row],[ReisetidOslo-I]]*Vekter!$C$3</f>
        <v>3.0223590778079981</v>
      </c>
      <c r="AE238" s="48">
        <f>Tabell2[[#This Row],[Beftettotal-I]]*Vekter!$D$3</f>
        <v>0.31766426708089457</v>
      </c>
      <c r="AF238" s="48">
        <f>Tabell2[[#This Row],[Befvekst10-I]]*Vekter!$E$3</f>
        <v>0</v>
      </c>
      <c r="AG238" s="48">
        <f>Tabell2[[#This Row],[Kvinneandel-I]]*Vekter!$F$3</f>
        <v>0</v>
      </c>
      <c r="AH238" s="48">
        <f>Tabell2[[#This Row],[Eldreandel-I]]*Vekter!$G$3</f>
        <v>0</v>
      </c>
      <c r="AI238" s="48">
        <f>Tabell2[[#This Row],[Sysselsettingsvekst10-I]]*Vekter!$H$3</f>
        <v>1.1056148143429796</v>
      </c>
      <c r="AJ238" s="48">
        <f>Tabell2[[#This Row],[Yrkesaktivandel-I]]*Vekter!$J$3</f>
        <v>10</v>
      </c>
      <c r="AK238" s="48">
        <f>Tabell2[[#This Row],[Inntekt-I]]*Vekter!$L$3</f>
        <v>3.0340751917515405</v>
      </c>
      <c r="AL238" s="37">
        <f>SUM(Tabell2[[#This Row],[NIBR11-v]:[Inntekt-v]])</f>
        <v>17.479713350983413</v>
      </c>
    </row>
    <row r="239" spans="1:38">
      <c r="A239" s="2" t="s">
        <v>236</v>
      </c>
      <c r="B239">
        <f>'Rådata-K'!M238</f>
        <v>9</v>
      </c>
      <c r="C239" s="9">
        <f>'Rådata-K'!L238</f>
        <v>199.5717368473</v>
      </c>
      <c r="D239" s="51">
        <f>'Rådata-K'!N238</f>
        <v>4.6200064059376409</v>
      </c>
      <c r="E239" s="51">
        <f>'Rådata-K'!O238</f>
        <v>-8.0659340659340661E-2</v>
      </c>
      <c r="F239" s="51">
        <f>'Rådata-K'!P238</f>
        <v>9.0365766196509684E-2</v>
      </c>
      <c r="G239" s="51">
        <f>'Rådata-K'!Q238</f>
        <v>0.17953621802534067</v>
      </c>
      <c r="H239" s="51">
        <f>'Rådata-K'!R238</f>
        <v>-0.20297029702970293</v>
      </c>
      <c r="I239" s="51">
        <f>'Rådata-K'!S238</f>
        <v>0.88888888888888884</v>
      </c>
      <c r="J239" s="52">
        <f>'Rådata-K'!K238</f>
        <v>361100</v>
      </c>
      <c r="K239" s="26">
        <f>Tabell2[[#This Row],[NIBR11]]</f>
        <v>9</v>
      </c>
      <c r="L239" s="52">
        <f>IF(Tabell2[[#This Row],[ReisetidOslo]]&lt;=C$434,C$434,IF(Tabell2[[#This Row],[ReisetidOslo]]&gt;=C$435,C$435,Tabell2[[#This Row],[ReisetidOslo]]))</f>
        <v>199.5717368473</v>
      </c>
      <c r="M239" s="51">
        <f>IF(Tabell2[[#This Row],[Beftettotal]]&lt;=D$434,D$434,IF(Tabell2[[#This Row],[Beftettotal]]&gt;=D$435,D$435,Tabell2[[#This Row],[Beftettotal]]))</f>
        <v>4.6200064059376409</v>
      </c>
      <c r="N239" s="51">
        <f>IF(Tabell2[[#This Row],[Befvekst10]]&lt;=E$434,E$434,IF(Tabell2[[#This Row],[Befvekst10]]&gt;=E$435,E$435,Tabell2[[#This Row],[Befvekst10]]))</f>
        <v>-8.0659340659340661E-2</v>
      </c>
      <c r="O239" s="51">
        <f>IF(Tabell2[[#This Row],[Kvinneandel]]&lt;=F$434,F$434,IF(Tabell2[[#This Row],[Kvinneandel]]&gt;=F$435,F$435,Tabell2[[#This Row],[Kvinneandel]]))</f>
        <v>9.0365766196509684E-2</v>
      </c>
      <c r="P239" s="51">
        <f>IF(Tabell2[[#This Row],[Eldreandel]]&lt;=G$434,G$434,IF(Tabell2[[#This Row],[Eldreandel]]&gt;=G$435,G$435,Tabell2[[#This Row],[Eldreandel]]))</f>
        <v>0.17953621802534067</v>
      </c>
      <c r="Q239" s="51">
        <f>IF(Tabell2[[#This Row],[Sysselsettingsvekst10]]&lt;=H$434,H$434,IF(Tabell2[[#This Row],[Sysselsettingsvekst10]]&gt;=H$435,H$435,Tabell2[[#This Row],[Sysselsettingsvekst10]]))</f>
        <v>-6.8692498376029434E-2</v>
      </c>
      <c r="R239" s="51">
        <f>IF(Tabell2[[#This Row],[Yrkesaktivandel]]&lt;=I$434,I$434,IF(Tabell2[[#This Row],[Yrkesaktivandel]]&gt;=I$435,I$435,Tabell2[[#This Row],[Yrkesaktivandel]]))</f>
        <v>0.88888888888888884</v>
      </c>
      <c r="S239" s="52">
        <f>IF(Tabell2[[#This Row],[Inntekt]]&lt;=J$434,J$434,IF(Tabell2[[#This Row],[Inntekt]]&gt;=J$435,J$435,Tabell2[[#This Row],[Inntekt]]))</f>
        <v>361100</v>
      </c>
      <c r="T239" s="9">
        <f>IF(Tabell2[[#This Row],[NIBR11-T]]&lt;=K$437,100,IF(Tabell2[[#This Row],[NIBR11-T]]&gt;=K$436,0,100*(K$436-Tabell2[[#This Row],[NIBR11-T]])/K$439))</f>
        <v>20</v>
      </c>
      <c r="U239" s="9">
        <f>(L$436-Tabell2[[#This Row],[ReisetidOslo-T]])*100/L$439</f>
        <v>35.286897225954775</v>
      </c>
      <c r="V239" s="9">
        <f>100-(M$436-Tabell2[[#This Row],[Beftettotal-T]])*100/M$439</f>
        <v>2.5837502661012337</v>
      </c>
      <c r="W239" s="9">
        <f>100-(N$436-Tabell2[[#This Row],[Befvekst10-T]])*100/N$439</f>
        <v>5.1197903182824689E-2</v>
      </c>
      <c r="X239" s="9">
        <f>100-(O$436-Tabell2[[#This Row],[Kvinneandel-T]])*100/O$439</f>
        <v>0.27241624973255796</v>
      </c>
      <c r="Y239" s="9">
        <f>(P$436-Tabell2[[#This Row],[Eldreandel-T]])*100/P$439</f>
        <v>32.609828142934589</v>
      </c>
      <c r="Z239" s="9">
        <f>100-(Q$436-Tabell2[[#This Row],[Sysselsettingsvekst10-T]])*100/Q$439</f>
        <v>0</v>
      </c>
      <c r="AA239" s="9">
        <f>100-(R$436-Tabell2[[#This Row],[Yrkesaktivandel-T]])*100/R$439</f>
        <v>45.364629243216235</v>
      </c>
      <c r="AB239" s="9">
        <f>100-(S$436-Tabell2[[#This Row],[Inntekt-T]])*100/S$439</f>
        <v>51.087639884320382</v>
      </c>
      <c r="AC239" s="48">
        <f>Tabell2[[#This Row],[NIBR11-I]]*Vekter!$B$3</f>
        <v>4</v>
      </c>
      <c r="AD239" s="48">
        <f>Tabell2[[#This Row],[ReisetidOslo-I]]*Vekter!$C$3</f>
        <v>3.5286897225954776</v>
      </c>
      <c r="AE239" s="48">
        <f>Tabell2[[#This Row],[Beftettotal-I]]*Vekter!$D$3</f>
        <v>0.2583750266101234</v>
      </c>
      <c r="AF239" s="48">
        <f>Tabell2[[#This Row],[Befvekst10-I]]*Vekter!$E$3</f>
        <v>1.0239580636564938E-2</v>
      </c>
      <c r="AG239" s="48">
        <f>Tabell2[[#This Row],[Kvinneandel-I]]*Vekter!$F$3</f>
        <v>1.3620812486627899E-2</v>
      </c>
      <c r="AH239" s="48">
        <f>Tabell2[[#This Row],[Eldreandel-I]]*Vekter!$G$3</f>
        <v>1.6304914071467296</v>
      </c>
      <c r="AI239" s="48">
        <f>Tabell2[[#This Row],[Sysselsettingsvekst10-I]]*Vekter!$H$3</f>
        <v>0</v>
      </c>
      <c r="AJ239" s="48">
        <f>Tabell2[[#This Row],[Yrkesaktivandel-I]]*Vekter!$J$3</f>
        <v>4.5364629243216239</v>
      </c>
      <c r="AK239" s="48">
        <f>Tabell2[[#This Row],[Inntekt-I]]*Vekter!$L$3</f>
        <v>5.1087639884320382</v>
      </c>
      <c r="AL239" s="37">
        <f>SUM(Tabell2[[#This Row],[NIBR11-v]:[Inntekt-v]])</f>
        <v>19.086643462229183</v>
      </c>
    </row>
    <row r="240" spans="1:38">
      <c r="A240" s="2" t="s">
        <v>237</v>
      </c>
      <c r="B240">
        <f>'Rådata-K'!M239</f>
        <v>11</v>
      </c>
      <c r="C240" s="9">
        <f>'Rådata-K'!L239</f>
        <v>220.90600000000001</v>
      </c>
      <c r="D240" s="51">
        <f>'Rådata-K'!N239</f>
        <v>3.2256129024516098</v>
      </c>
      <c r="E240" s="51">
        <f>'Rådata-K'!O239</f>
        <v>-7.278371852362886E-2</v>
      </c>
      <c r="F240" s="51">
        <f>'Rådata-K'!P239</f>
        <v>9.8214285714285712E-2</v>
      </c>
      <c r="G240" s="51">
        <f>'Rådata-K'!Q239</f>
        <v>0.21391369047619047</v>
      </c>
      <c r="H240" s="51">
        <f>'Rådata-K'!R239</f>
        <v>1.1664074650077794E-2</v>
      </c>
      <c r="I240" s="51">
        <f>'Rådata-K'!S239</f>
        <v>1.0326241134751772</v>
      </c>
      <c r="J240" s="52">
        <f>'Rådata-K'!K239</f>
        <v>353900</v>
      </c>
      <c r="K240" s="26">
        <f>Tabell2[[#This Row],[NIBR11]]</f>
        <v>11</v>
      </c>
      <c r="L240" s="52">
        <f>IF(Tabell2[[#This Row],[ReisetidOslo]]&lt;=C$434,C$434,IF(Tabell2[[#This Row],[ReisetidOslo]]&gt;=C$435,C$435,Tabell2[[#This Row],[ReisetidOslo]]))</f>
        <v>220.90600000000001</v>
      </c>
      <c r="M240" s="51">
        <f>IF(Tabell2[[#This Row],[Beftettotal]]&lt;=D$434,D$434,IF(Tabell2[[#This Row],[Beftettotal]]&gt;=D$435,D$435,Tabell2[[#This Row],[Beftettotal]]))</f>
        <v>3.2256129024516098</v>
      </c>
      <c r="N240" s="51">
        <f>IF(Tabell2[[#This Row],[Befvekst10]]&lt;=E$434,E$434,IF(Tabell2[[#This Row],[Befvekst10]]&gt;=E$435,E$435,Tabell2[[#This Row],[Befvekst10]]))</f>
        <v>-7.278371852362886E-2</v>
      </c>
      <c r="O240" s="51">
        <f>IF(Tabell2[[#This Row],[Kvinneandel]]&lt;=F$434,F$434,IF(Tabell2[[#This Row],[Kvinneandel]]&gt;=F$435,F$435,Tabell2[[#This Row],[Kvinneandel]]))</f>
        <v>9.8214285714285712E-2</v>
      </c>
      <c r="P240" s="51">
        <f>IF(Tabell2[[#This Row],[Eldreandel]]&lt;=G$434,G$434,IF(Tabell2[[#This Row],[Eldreandel]]&gt;=G$435,G$435,Tabell2[[#This Row],[Eldreandel]]))</f>
        <v>0.20830063331569054</v>
      </c>
      <c r="Q240" s="51">
        <f>IF(Tabell2[[#This Row],[Sysselsettingsvekst10]]&lt;=H$434,H$434,IF(Tabell2[[#This Row],[Sysselsettingsvekst10]]&gt;=H$435,H$435,Tabell2[[#This Row],[Sysselsettingsvekst10]]))</f>
        <v>1.1664074650077794E-2</v>
      </c>
      <c r="R240" s="51">
        <f>IF(Tabell2[[#This Row],[Yrkesaktivandel]]&lt;=I$434,I$434,IF(Tabell2[[#This Row],[Yrkesaktivandel]]&gt;=I$435,I$435,Tabell2[[#This Row],[Yrkesaktivandel]]))</f>
        <v>0.96217815624658265</v>
      </c>
      <c r="S240" s="52">
        <f>IF(Tabell2[[#This Row],[Inntekt]]&lt;=J$434,J$434,IF(Tabell2[[#This Row],[Inntekt]]&gt;=J$435,J$435,Tabell2[[#This Row],[Inntekt]]))</f>
        <v>353900</v>
      </c>
      <c r="T240" s="9">
        <f>IF(Tabell2[[#This Row],[NIBR11-T]]&lt;=K$437,100,IF(Tabell2[[#This Row],[NIBR11-T]]&gt;=K$436,0,100*(K$436-Tabell2[[#This Row],[NIBR11-T]])/K$439))</f>
        <v>0</v>
      </c>
      <c r="U240" s="9">
        <f>(L$436-Tabell2[[#This Row],[ReisetidOslo-T]])*100/L$439</f>
        <v>25.815538472611369</v>
      </c>
      <c r="V240" s="9">
        <f>100-(M$436-Tabell2[[#This Row],[Beftettotal-T]])*100/M$439</f>
        <v>1.485439461522617</v>
      </c>
      <c r="W240" s="9">
        <f>100-(N$436-Tabell2[[#This Row],[Befvekst10-T]])*100/N$439</f>
        <v>3.2381135099022202</v>
      </c>
      <c r="X240" s="9">
        <f>100-(O$436-Tabell2[[#This Row],[Kvinneandel-T]])*100/O$439</f>
        <v>21.060772522282377</v>
      </c>
      <c r="Y240" s="9">
        <f>(P$436-Tabell2[[#This Row],[Eldreandel-T]])*100/P$439</f>
        <v>0</v>
      </c>
      <c r="Z240" s="9">
        <f>100-(Q$436-Tabell2[[#This Row],[Sysselsettingsvekst10-T]])*100/Q$439</f>
        <v>25.792143087856829</v>
      </c>
      <c r="AA240" s="9">
        <f>100-(R$436-Tabell2[[#This Row],[Yrkesaktivandel-T]])*100/R$439</f>
        <v>100</v>
      </c>
      <c r="AB240" s="9">
        <f>100-(S$436-Tabell2[[#This Row],[Inntekt-T]])*100/S$439</f>
        <v>42.034452407896389</v>
      </c>
      <c r="AC240" s="48">
        <f>Tabell2[[#This Row],[NIBR11-I]]*Vekter!$B$3</f>
        <v>0</v>
      </c>
      <c r="AD240" s="48">
        <f>Tabell2[[#This Row],[ReisetidOslo-I]]*Vekter!$C$3</f>
        <v>2.5815538472611372</v>
      </c>
      <c r="AE240" s="48">
        <f>Tabell2[[#This Row],[Beftettotal-I]]*Vekter!$D$3</f>
        <v>0.14854394615226171</v>
      </c>
      <c r="AF240" s="48">
        <f>Tabell2[[#This Row],[Befvekst10-I]]*Vekter!$E$3</f>
        <v>0.64762270198044414</v>
      </c>
      <c r="AG240" s="48">
        <f>Tabell2[[#This Row],[Kvinneandel-I]]*Vekter!$F$3</f>
        <v>1.0530386261141189</v>
      </c>
      <c r="AH240" s="48">
        <f>Tabell2[[#This Row],[Eldreandel-I]]*Vekter!$G$3</f>
        <v>0</v>
      </c>
      <c r="AI240" s="48">
        <f>Tabell2[[#This Row],[Sysselsettingsvekst10-I]]*Vekter!$H$3</f>
        <v>2.5792143087856831</v>
      </c>
      <c r="AJ240" s="48">
        <f>Tabell2[[#This Row],[Yrkesaktivandel-I]]*Vekter!$J$3</f>
        <v>10</v>
      </c>
      <c r="AK240" s="48">
        <f>Tabell2[[#This Row],[Inntekt-I]]*Vekter!$L$3</f>
        <v>4.2034452407896392</v>
      </c>
      <c r="AL240" s="37">
        <f>SUM(Tabell2[[#This Row],[NIBR11-v]:[Inntekt-v]])</f>
        <v>21.213418671083282</v>
      </c>
    </row>
    <row r="241" spans="1:38">
      <c r="A241" s="2" t="s">
        <v>238</v>
      </c>
      <c r="B241">
        <f>'Rådata-K'!M240</f>
        <v>9</v>
      </c>
      <c r="C241" s="9">
        <f>'Rådata-K'!L240</f>
        <v>210.31716023410002</v>
      </c>
      <c r="D241" s="51">
        <f>'Rådata-K'!N240</f>
        <v>3.039541974073126</v>
      </c>
      <c r="E241" s="51">
        <f>'Rådata-K'!O240</f>
        <v>-0.10670314637482903</v>
      </c>
      <c r="F241" s="51">
        <f>'Rådata-K'!P240</f>
        <v>0.10566615620214395</v>
      </c>
      <c r="G241" s="51">
        <f>'Rådata-K'!Q240</f>
        <v>0.17457886676875958</v>
      </c>
      <c r="H241" s="51">
        <f>'Rådata-K'!R240</f>
        <v>-6.0556464811784005E-2</v>
      </c>
      <c r="I241" s="51">
        <f>'Rådata-K'!S240</f>
        <v>0.96054421768707487</v>
      </c>
      <c r="J241" s="52">
        <f>'Rådata-K'!K240</f>
        <v>340300</v>
      </c>
      <c r="K241" s="26">
        <f>Tabell2[[#This Row],[NIBR11]]</f>
        <v>9</v>
      </c>
      <c r="L241" s="52">
        <f>IF(Tabell2[[#This Row],[ReisetidOslo]]&lt;=C$434,C$434,IF(Tabell2[[#This Row],[ReisetidOslo]]&gt;=C$435,C$435,Tabell2[[#This Row],[ReisetidOslo]]))</f>
        <v>210.31716023410002</v>
      </c>
      <c r="M241" s="51">
        <f>IF(Tabell2[[#This Row],[Beftettotal]]&lt;=D$434,D$434,IF(Tabell2[[#This Row],[Beftettotal]]&gt;=D$435,D$435,Tabell2[[#This Row],[Beftettotal]]))</f>
        <v>3.039541974073126</v>
      </c>
      <c r="N241" s="51">
        <f>IF(Tabell2[[#This Row],[Befvekst10]]&lt;=E$434,E$434,IF(Tabell2[[#This Row],[Befvekst10]]&gt;=E$435,E$435,Tabell2[[#This Row],[Befvekst10]]))</f>
        <v>-8.0785862785862778E-2</v>
      </c>
      <c r="O241" s="51">
        <f>IF(Tabell2[[#This Row],[Kvinneandel]]&lt;=F$434,F$434,IF(Tabell2[[#This Row],[Kvinneandel]]&gt;=F$435,F$435,Tabell2[[#This Row],[Kvinneandel]]))</f>
        <v>0.10566615620214395</v>
      </c>
      <c r="P241" s="51">
        <f>IF(Tabell2[[#This Row],[Eldreandel]]&lt;=G$434,G$434,IF(Tabell2[[#This Row],[Eldreandel]]&gt;=G$435,G$435,Tabell2[[#This Row],[Eldreandel]]))</f>
        <v>0.17457886676875958</v>
      </c>
      <c r="Q241" s="51">
        <f>IF(Tabell2[[#This Row],[Sysselsettingsvekst10]]&lt;=H$434,H$434,IF(Tabell2[[#This Row],[Sysselsettingsvekst10]]&gt;=H$435,H$435,Tabell2[[#This Row],[Sysselsettingsvekst10]]))</f>
        <v>-6.0556464811784005E-2</v>
      </c>
      <c r="R241" s="51">
        <f>IF(Tabell2[[#This Row],[Yrkesaktivandel]]&lt;=I$434,I$434,IF(Tabell2[[#This Row],[Yrkesaktivandel]]&gt;=I$435,I$435,Tabell2[[#This Row],[Yrkesaktivandel]]))</f>
        <v>0.96054421768707487</v>
      </c>
      <c r="S241" s="52">
        <f>IF(Tabell2[[#This Row],[Inntekt]]&lt;=J$434,J$434,IF(Tabell2[[#This Row],[Inntekt]]&gt;=J$435,J$435,Tabell2[[#This Row],[Inntekt]]))</f>
        <v>340300</v>
      </c>
      <c r="T241" s="9">
        <f>IF(Tabell2[[#This Row],[NIBR11-T]]&lt;=K$437,100,IF(Tabell2[[#This Row],[NIBR11-T]]&gt;=K$436,0,100*(K$436-Tabell2[[#This Row],[NIBR11-T]])/K$439))</f>
        <v>20</v>
      </c>
      <c r="U241" s="9">
        <f>(L$436-Tabell2[[#This Row],[ReisetidOslo-T]])*100/L$439</f>
        <v>30.516460153696713</v>
      </c>
      <c r="V241" s="9">
        <f>100-(M$436-Tabell2[[#This Row],[Beftettotal-T]])*100/M$439</f>
        <v>1.3388784580862563</v>
      </c>
      <c r="W241" s="9">
        <f>100-(N$436-Tabell2[[#This Row],[Befvekst10-T]])*100/N$439</f>
        <v>0</v>
      </c>
      <c r="X241" s="9">
        <f>100-(O$436-Tabell2[[#This Row],[Kvinneandel-T]])*100/O$439</f>
        <v>40.798525387346665</v>
      </c>
      <c r="Y241" s="9">
        <f>(P$436-Tabell2[[#This Row],[Eldreandel-T]])*100/P$439</f>
        <v>38.22991013971707</v>
      </c>
      <c r="Z241" s="9">
        <f>100-(Q$436-Tabell2[[#This Row],[Sysselsettingsvekst10-T]])*100/Q$439</f>
        <v>2.6114321947060404</v>
      </c>
      <c r="AA241" s="9">
        <f>100-(R$436-Tabell2[[#This Row],[Yrkesaktivandel-T]])*100/R$439</f>
        <v>98.781938444590807</v>
      </c>
      <c r="AB241" s="9">
        <f>100-(S$436-Tabell2[[#This Row],[Inntekt-T]])*100/S$439</f>
        <v>24.933987174651079</v>
      </c>
      <c r="AC241" s="48">
        <f>Tabell2[[#This Row],[NIBR11-I]]*Vekter!$B$3</f>
        <v>4</v>
      </c>
      <c r="AD241" s="48">
        <f>Tabell2[[#This Row],[ReisetidOslo-I]]*Vekter!$C$3</f>
        <v>3.0516460153696716</v>
      </c>
      <c r="AE241" s="48">
        <f>Tabell2[[#This Row],[Beftettotal-I]]*Vekter!$D$3</f>
        <v>0.13388784580862564</v>
      </c>
      <c r="AF241" s="48">
        <f>Tabell2[[#This Row],[Befvekst10-I]]*Vekter!$E$3</f>
        <v>0</v>
      </c>
      <c r="AG241" s="48">
        <f>Tabell2[[#This Row],[Kvinneandel-I]]*Vekter!$F$3</f>
        <v>2.0399262693673332</v>
      </c>
      <c r="AH241" s="48">
        <f>Tabell2[[#This Row],[Eldreandel-I]]*Vekter!$G$3</f>
        <v>1.9114955069858537</v>
      </c>
      <c r="AI241" s="48">
        <f>Tabell2[[#This Row],[Sysselsettingsvekst10-I]]*Vekter!$H$3</f>
        <v>0.26114321947060404</v>
      </c>
      <c r="AJ241" s="48">
        <f>Tabell2[[#This Row],[Yrkesaktivandel-I]]*Vekter!$J$3</f>
        <v>9.8781938444590818</v>
      </c>
      <c r="AK241" s="48">
        <f>Tabell2[[#This Row],[Inntekt-I]]*Vekter!$L$3</f>
        <v>2.4933987174651082</v>
      </c>
      <c r="AL241" s="37">
        <f>SUM(Tabell2[[#This Row],[NIBR11-v]:[Inntekt-v]])</f>
        <v>23.769691418926282</v>
      </c>
    </row>
    <row r="242" spans="1:38">
      <c r="A242" s="2" t="s">
        <v>239</v>
      </c>
      <c r="B242">
        <f>'Rådata-K'!M241</f>
        <v>8</v>
      </c>
      <c r="C242" s="9">
        <f>'Rådata-K'!L241</f>
        <v>181.30705130249999</v>
      </c>
      <c r="D242" s="51">
        <f>'Rådata-K'!N241</f>
        <v>12.593003886729596</v>
      </c>
      <c r="E242" s="51">
        <f>'Rådata-K'!O241</f>
        <v>3.4671532846715314E-2</v>
      </c>
      <c r="F242" s="51">
        <f>'Rådata-K'!P241</f>
        <v>0.11860670194003527</v>
      </c>
      <c r="G242" s="51">
        <f>'Rådata-K'!Q241</f>
        <v>0.15961199294532627</v>
      </c>
      <c r="H242" s="51">
        <f>'Rådata-K'!R241</f>
        <v>2.0382952439777613E-2</v>
      </c>
      <c r="I242" s="51">
        <f>'Rådata-K'!S241</f>
        <v>0.96394230769230771</v>
      </c>
      <c r="J242" s="52">
        <f>'Rådata-K'!K241</f>
        <v>392000</v>
      </c>
      <c r="K242" s="26">
        <f>Tabell2[[#This Row],[NIBR11]]</f>
        <v>8</v>
      </c>
      <c r="L242" s="52">
        <f>IF(Tabell2[[#This Row],[ReisetidOslo]]&lt;=C$434,C$434,IF(Tabell2[[#This Row],[ReisetidOslo]]&gt;=C$435,C$435,Tabell2[[#This Row],[ReisetidOslo]]))</f>
        <v>181.30705130249999</v>
      </c>
      <c r="M242" s="51">
        <f>IF(Tabell2[[#This Row],[Beftettotal]]&lt;=D$434,D$434,IF(Tabell2[[#This Row],[Beftettotal]]&gt;=D$435,D$435,Tabell2[[#This Row],[Beftettotal]]))</f>
        <v>12.593003886729596</v>
      </c>
      <c r="N242" s="51">
        <f>IF(Tabell2[[#This Row],[Befvekst10]]&lt;=E$434,E$434,IF(Tabell2[[#This Row],[Befvekst10]]&gt;=E$435,E$435,Tabell2[[#This Row],[Befvekst10]]))</f>
        <v>3.4671532846715314E-2</v>
      </c>
      <c r="O242" s="51">
        <f>IF(Tabell2[[#This Row],[Kvinneandel]]&lt;=F$434,F$434,IF(Tabell2[[#This Row],[Kvinneandel]]&gt;=F$435,F$435,Tabell2[[#This Row],[Kvinneandel]]))</f>
        <v>0.11860670194003527</v>
      </c>
      <c r="P242" s="51">
        <f>IF(Tabell2[[#This Row],[Eldreandel]]&lt;=G$434,G$434,IF(Tabell2[[#This Row],[Eldreandel]]&gt;=G$435,G$435,Tabell2[[#This Row],[Eldreandel]]))</f>
        <v>0.15961199294532627</v>
      </c>
      <c r="Q242" s="51">
        <f>IF(Tabell2[[#This Row],[Sysselsettingsvekst10]]&lt;=H$434,H$434,IF(Tabell2[[#This Row],[Sysselsettingsvekst10]]&gt;=H$435,H$435,Tabell2[[#This Row],[Sysselsettingsvekst10]]))</f>
        <v>2.0382952439777613E-2</v>
      </c>
      <c r="R242" s="51">
        <f>IF(Tabell2[[#This Row],[Yrkesaktivandel]]&lt;=I$434,I$434,IF(Tabell2[[#This Row],[Yrkesaktivandel]]&gt;=I$435,I$435,Tabell2[[#This Row],[Yrkesaktivandel]]))</f>
        <v>0.96217815624658265</v>
      </c>
      <c r="S242" s="52">
        <f>IF(Tabell2[[#This Row],[Inntekt]]&lt;=J$434,J$434,IF(Tabell2[[#This Row],[Inntekt]]&gt;=J$435,J$435,Tabell2[[#This Row],[Inntekt]]))</f>
        <v>392000</v>
      </c>
      <c r="T242" s="9">
        <f>IF(Tabell2[[#This Row],[NIBR11-T]]&lt;=K$437,100,IF(Tabell2[[#This Row],[NIBR11-T]]&gt;=K$436,0,100*(K$436-Tabell2[[#This Row],[NIBR11-T]])/K$439))</f>
        <v>30</v>
      </c>
      <c r="U242" s="9">
        <f>(L$436-Tabell2[[#This Row],[ReisetidOslo-T]])*100/L$439</f>
        <v>43.395515183538805</v>
      </c>
      <c r="V242" s="9">
        <f>100-(M$436-Tabell2[[#This Row],[Beftettotal-T]])*100/M$439</f>
        <v>8.8637775726969465</v>
      </c>
      <c r="W242" s="9">
        <f>100-(N$436-Tabell2[[#This Row],[Befvekst10-T]])*100/N$439</f>
        <v>46.720496452485499</v>
      </c>
      <c r="X242" s="9">
        <f>100-(O$436-Tabell2[[#This Row],[Kvinneandel-T]])*100/O$439</f>
        <v>75.074120236951984</v>
      </c>
      <c r="Y242" s="9">
        <f>(P$436-Tabell2[[#This Row],[Eldreandel-T]])*100/P$439</f>
        <v>55.197652341064291</v>
      </c>
      <c r="Z242" s="9">
        <f>100-(Q$436-Tabell2[[#This Row],[Sysselsettingsvekst10-T]])*100/Q$439</f>
        <v>28.590651474276115</v>
      </c>
      <c r="AA242" s="9">
        <f>100-(R$436-Tabell2[[#This Row],[Yrkesaktivandel-T]])*100/R$439</f>
        <v>100</v>
      </c>
      <c r="AB242" s="9">
        <f>100-(S$436-Tabell2[[#This Row],[Inntekt-T]])*100/S$439</f>
        <v>89.940902803973344</v>
      </c>
      <c r="AC242" s="48">
        <f>Tabell2[[#This Row],[NIBR11-I]]*Vekter!$B$3</f>
        <v>6</v>
      </c>
      <c r="AD242" s="48">
        <f>Tabell2[[#This Row],[ReisetidOslo-I]]*Vekter!$C$3</f>
        <v>4.3395515183538809</v>
      </c>
      <c r="AE242" s="48">
        <f>Tabell2[[#This Row],[Beftettotal-I]]*Vekter!$D$3</f>
        <v>0.8863777572696947</v>
      </c>
      <c r="AF242" s="48">
        <f>Tabell2[[#This Row],[Befvekst10-I]]*Vekter!$E$3</f>
        <v>9.3440992904971001</v>
      </c>
      <c r="AG242" s="48">
        <f>Tabell2[[#This Row],[Kvinneandel-I]]*Vekter!$F$3</f>
        <v>3.7537060118475996</v>
      </c>
      <c r="AH242" s="48">
        <f>Tabell2[[#This Row],[Eldreandel-I]]*Vekter!$G$3</f>
        <v>2.7598826170532149</v>
      </c>
      <c r="AI242" s="48">
        <f>Tabell2[[#This Row],[Sysselsettingsvekst10-I]]*Vekter!$H$3</f>
        <v>2.8590651474276116</v>
      </c>
      <c r="AJ242" s="48">
        <f>Tabell2[[#This Row],[Yrkesaktivandel-I]]*Vekter!$J$3</f>
        <v>10</v>
      </c>
      <c r="AK242" s="48">
        <f>Tabell2[[#This Row],[Inntekt-I]]*Vekter!$L$3</f>
        <v>8.9940902803973355</v>
      </c>
      <c r="AL242" s="37">
        <f>SUM(Tabell2[[#This Row],[NIBR11-v]:[Inntekt-v]])</f>
        <v>48.936772622846441</v>
      </c>
    </row>
    <row r="243" spans="1:38">
      <c r="A243" s="2" t="s">
        <v>240</v>
      </c>
      <c r="B243">
        <f>'Rådata-K'!M242</f>
        <v>8</v>
      </c>
      <c r="C243" s="9">
        <f>'Rådata-K'!L242</f>
        <v>163.75476108149999</v>
      </c>
      <c r="D243" s="51">
        <f>'Rådata-K'!N242</f>
        <v>10.220827802582358</v>
      </c>
      <c r="E243" s="51">
        <f>'Rådata-K'!O242</f>
        <v>0.13776119402985065</v>
      </c>
      <c r="F243" s="51">
        <f>'Rådata-K'!P242</f>
        <v>0.14102059556605012</v>
      </c>
      <c r="G243" s="51">
        <f>'Rådata-K'!Q242</f>
        <v>0.13446149809786173</v>
      </c>
      <c r="H243" s="51">
        <f>'Rådata-K'!R242</f>
        <v>0.17360924482665951</v>
      </c>
      <c r="I243" s="51">
        <f>'Rådata-K'!S242</f>
        <v>0.92389146260754462</v>
      </c>
      <c r="J243" s="52">
        <f>'Rådata-K'!K242</f>
        <v>357700</v>
      </c>
      <c r="K243" s="26">
        <f>Tabell2[[#This Row],[NIBR11]]</f>
        <v>8</v>
      </c>
      <c r="L243" s="52">
        <f>IF(Tabell2[[#This Row],[ReisetidOslo]]&lt;=C$434,C$434,IF(Tabell2[[#This Row],[ReisetidOslo]]&gt;=C$435,C$435,Tabell2[[#This Row],[ReisetidOslo]]))</f>
        <v>163.75476108149999</v>
      </c>
      <c r="M243" s="51">
        <f>IF(Tabell2[[#This Row],[Beftettotal]]&lt;=D$434,D$434,IF(Tabell2[[#This Row],[Beftettotal]]&gt;=D$435,D$435,Tabell2[[#This Row],[Beftettotal]]))</f>
        <v>10.220827802582358</v>
      </c>
      <c r="N243" s="51">
        <f>IF(Tabell2[[#This Row],[Befvekst10]]&lt;=E$434,E$434,IF(Tabell2[[#This Row],[Befvekst10]]&gt;=E$435,E$435,Tabell2[[#This Row],[Befvekst10]]))</f>
        <v>0.13776119402985065</v>
      </c>
      <c r="O243" s="51">
        <f>IF(Tabell2[[#This Row],[Kvinneandel]]&lt;=F$434,F$434,IF(Tabell2[[#This Row],[Kvinneandel]]&gt;=F$435,F$435,Tabell2[[#This Row],[Kvinneandel]]))</f>
        <v>0.12801731869362362</v>
      </c>
      <c r="P243" s="51">
        <f>IF(Tabell2[[#This Row],[Eldreandel]]&lt;=G$434,G$434,IF(Tabell2[[#This Row],[Eldreandel]]&gt;=G$435,G$435,Tabell2[[#This Row],[Eldreandel]]))</f>
        <v>0.13446149809786173</v>
      </c>
      <c r="Q243" s="51">
        <f>IF(Tabell2[[#This Row],[Sysselsettingsvekst10]]&lt;=H$434,H$434,IF(Tabell2[[#This Row],[Sysselsettingsvekst10]]&gt;=H$435,H$435,Tabell2[[#This Row],[Sysselsettingsvekst10]]))</f>
        <v>0.17360924482665951</v>
      </c>
      <c r="R243" s="51">
        <f>IF(Tabell2[[#This Row],[Yrkesaktivandel]]&lt;=I$434,I$434,IF(Tabell2[[#This Row],[Yrkesaktivandel]]&gt;=I$435,I$435,Tabell2[[#This Row],[Yrkesaktivandel]]))</f>
        <v>0.92389146260754462</v>
      </c>
      <c r="S243" s="52">
        <f>IF(Tabell2[[#This Row],[Inntekt]]&lt;=J$434,J$434,IF(Tabell2[[#This Row],[Inntekt]]&gt;=J$435,J$435,Tabell2[[#This Row],[Inntekt]]))</f>
        <v>357700</v>
      </c>
      <c r="T243" s="9">
        <f>IF(Tabell2[[#This Row],[NIBR11-T]]&lt;=K$437,100,IF(Tabell2[[#This Row],[NIBR11-T]]&gt;=K$436,0,100*(K$436-Tabell2[[#This Row],[NIBR11-T]])/K$439))</f>
        <v>30</v>
      </c>
      <c r="U243" s="9">
        <f>(L$436-Tabell2[[#This Row],[ReisetidOslo-T]])*100/L$439</f>
        <v>51.187864815490023</v>
      </c>
      <c r="V243" s="9">
        <f>100-(M$436-Tabell2[[#This Row],[Beftettotal-T]])*100/M$439</f>
        <v>6.9953045648492065</v>
      </c>
      <c r="W243" s="9">
        <f>100-(N$436-Tabell2[[#This Row],[Befvekst10-T]])*100/N$439</f>
        <v>88.436318320856003</v>
      </c>
      <c r="X243" s="9">
        <f>100-(O$436-Tabell2[[#This Row],[Kvinneandel-T]])*100/O$439</f>
        <v>100</v>
      </c>
      <c r="Y243" s="9">
        <f>(P$436-Tabell2[[#This Row],[Eldreandel-T]])*100/P$439</f>
        <v>83.710427810577571</v>
      </c>
      <c r="Z243" s="9">
        <f>100-(Q$436-Tabell2[[#This Row],[Sysselsettingsvekst10-T]])*100/Q$439</f>
        <v>77.771873485576407</v>
      </c>
      <c r="AA243" s="9">
        <f>100-(R$436-Tabell2[[#This Row],[Yrkesaktivandel-T]])*100/R$439</f>
        <v>71.4581987590214</v>
      </c>
      <c r="AB243" s="9">
        <f>100-(S$436-Tabell2[[#This Row],[Inntekt-T]])*100/S$439</f>
        <v>46.812523576009056</v>
      </c>
      <c r="AC243" s="48">
        <f>Tabell2[[#This Row],[NIBR11-I]]*Vekter!$B$3</f>
        <v>6</v>
      </c>
      <c r="AD243" s="48">
        <f>Tabell2[[#This Row],[ReisetidOslo-I]]*Vekter!$C$3</f>
        <v>5.1187864815490025</v>
      </c>
      <c r="AE243" s="48">
        <f>Tabell2[[#This Row],[Beftettotal-I]]*Vekter!$D$3</f>
        <v>0.69953045648492074</v>
      </c>
      <c r="AF243" s="48">
        <f>Tabell2[[#This Row],[Befvekst10-I]]*Vekter!$E$3</f>
        <v>17.687263664171201</v>
      </c>
      <c r="AG243" s="48">
        <f>Tabell2[[#This Row],[Kvinneandel-I]]*Vekter!$F$3</f>
        <v>5</v>
      </c>
      <c r="AH243" s="48">
        <f>Tabell2[[#This Row],[Eldreandel-I]]*Vekter!$G$3</f>
        <v>4.1855213905288791</v>
      </c>
      <c r="AI243" s="48">
        <f>Tabell2[[#This Row],[Sysselsettingsvekst10-I]]*Vekter!$H$3</f>
        <v>7.777187348557641</v>
      </c>
      <c r="AJ243" s="48">
        <f>Tabell2[[#This Row],[Yrkesaktivandel-I]]*Vekter!$J$3</f>
        <v>7.1458198759021405</v>
      </c>
      <c r="AK243" s="48">
        <f>Tabell2[[#This Row],[Inntekt-I]]*Vekter!$L$3</f>
        <v>4.681252357600906</v>
      </c>
      <c r="AL243" s="37">
        <f>SUM(Tabell2[[#This Row],[NIBR11-v]:[Inntekt-v]])</f>
        <v>58.295361574794683</v>
      </c>
    </row>
    <row r="244" spans="1:38">
      <c r="A244" s="2" t="s">
        <v>241</v>
      </c>
      <c r="B244">
        <f>'Rådata-K'!M243</f>
        <v>11</v>
      </c>
      <c r="C244" s="9">
        <f>'Rådata-K'!L243</f>
        <v>206.8877959502</v>
      </c>
      <c r="D244" s="51">
        <f>'Rådata-K'!N243</f>
        <v>1.1685665810399219</v>
      </c>
      <c r="E244" s="51">
        <f>'Rådata-K'!O243</f>
        <v>-4.8807542983915653E-2</v>
      </c>
      <c r="F244" s="51">
        <f>'Rådata-K'!P243</f>
        <v>0.10495626822157435</v>
      </c>
      <c r="G244" s="51">
        <f>'Rådata-K'!Q243</f>
        <v>0.17959183673469387</v>
      </c>
      <c r="H244" s="51">
        <f>'Rådata-K'!R243</f>
        <v>2.7577937649880147E-2</v>
      </c>
      <c r="I244" s="51">
        <f>'Rådata-K'!S243</f>
        <v>0.90239043824701193</v>
      </c>
      <c r="J244" s="52">
        <f>'Rådata-K'!K243</f>
        <v>355600</v>
      </c>
      <c r="K244" s="26">
        <f>Tabell2[[#This Row],[NIBR11]]</f>
        <v>11</v>
      </c>
      <c r="L244" s="52">
        <f>IF(Tabell2[[#This Row],[ReisetidOslo]]&lt;=C$434,C$434,IF(Tabell2[[#This Row],[ReisetidOslo]]&gt;=C$435,C$435,Tabell2[[#This Row],[ReisetidOslo]]))</f>
        <v>206.8877959502</v>
      </c>
      <c r="M244" s="51">
        <f>IF(Tabell2[[#This Row],[Beftettotal]]&lt;=D$434,D$434,IF(Tabell2[[#This Row],[Beftettotal]]&gt;=D$435,D$435,Tabell2[[#This Row],[Beftettotal]]))</f>
        <v>1.3397285732306117</v>
      </c>
      <c r="N244" s="51">
        <f>IF(Tabell2[[#This Row],[Befvekst10]]&lt;=E$434,E$434,IF(Tabell2[[#This Row],[Befvekst10]]&gt;=E$435,E$435,Tabell2[[#This Row],[Befvekst10]]))</f>
        <v>-4.8807542983915653E-2</v>
      </c>
      <c r="O244" s="51">
        <f>IF(Tabell2[[#This Row],[Kvinneandel]]&lt;=F$434,F$434,IF(Tabell2[[#This Row],[Kvinneandel]]&gt;=F$435,F$435,Tabell2[[#This Row],[Kvinneandel]]))</f>
        <v>0.10495626822157435</v>
      </c>
      <c r="P244" s="51">
        <f>IF(Tabell2[[#This Row],[Eldreandel]]&lt;=G$434,G$434,IF(Tabell2[[#This Row],[Eldreandel]]&gt;=G$435,G$435,Tabell2[[#This Row],[Eldreandel]]))</f>
        <v>0.17959183673469387</v>
      </c>
      <c r="Q244" s="51">
        <f>IF(Tabell2[[#This Row],[Sysselsettingsvekst10]]&lt;=H$434,H$434,IF(Tabell2[[#This Row],[Sysselsettingsvekst10]]&gt;=H$435,H$435,Tabell2[[#This Row],[Sysselsettingsvekst10]]))</f>
        <v>2.7577937649880147E-2</v>
      </c>
      <c r="R244" s="51">
        <f>IF(Tabell2[[#This Row],[Yrkesaktivandel]]&lt;=I$434,I$434,IF(Tabell2[[#This Row],[Yrkesaktivandel]]&gt;=I$435,I$435,Tabell2[[#This Row],[Yrkesaktivandel]]))</f>
        <v>0.90239043824701193</v>
      </c>
      <c r="S244" s="52">
        <f>IF(Tabell2[[#This Row],[Inntekt]]&lt;=J$434,J$434,IF(Tabell2[[#This Row],[Inntekt]]&gt;=J$435,J$435,Tabell2[[#This Row],[Inntekt]]))</f>
        <v>355600</v>
      </c>
      <c r="T244" s="9">
        <f>IF(Tabell2[[#This Row],[NIBR11-T]]&lt;=K$437,100,IF(Tabell2[[#This Row],[NIBR11-T]]&gt;=K$436,0,100*(K$436-Tabell2[[#This Row],[NIBR11-T]])/K$439))</f>
        <v>0</v>
      </c>
      <c r="U244" s="9">
        <f>(L$436-Tabell2[[#This Row],[ReisetidOslo-T]])*100/L$439</f>
        <v>32.038928457206367</v>
      </c>
      <c r="V244" s="9">
        <f>100-(M$436-Tabell2[[#This Row],[Beftettotal-T]])*100/M$439</f>
        <v>0</v>
      </c>
      <c r="W244" s="9">
        <f>100-(N$436-Tabell2[[#This Row],[Befvekst10-T]])*100/N$439</f>
        <v>12.940210271309368</v>
      </c>
      <c r="X244" s="9">
        <f>100-(O$436-Tabell2[[#This Row],[Kvinneandel-T]])*100/O$439</f>
        <v>38.918246664683359</v>
      </c>
      <c r="Y244" s="9">
        <f>(P$436-Tabell2[[#This Row],[Eldreandel-T]])*100/P$439</f>
        <v>32.546773965221199</v>
      </c>
      <c r="Z244" s="9">
        <f>100-(Q$436-Tabell2[[#This Row],[Sysselsettingsvekst10-T]])*100/Q$439</f>
        <v>30.900034279758444</v>
      </c>
      <c r="AA244" s="9">
        <f>100-(R$436-Tabell2[[#This Row],[Yrkesaktivandel-T]])*100/R$439</f>
        <v>55.429706730917879</v>
      </c>
      <c r="AB244" s="9">
        <f>100-(S$436-Tabell2[[#This Row],[Inntekt-T]])*100/S$439</f>
        <v>44.172010562052058</v>
      </c>
      <c r="AC244" s="48">
        <f>Tabell2[[#This Row],[NIBR11-I]]*Vekter!$B$3</f>
        <v>0</v>
      </c>
      <c r="AD244" s="48">
        <f>Tabell2[[#This Row],[ReisetidOslo-I]]*Vekter!$C$3</f>
        <v>3.2038928457206368</v>
      </c>
      <c r="AE244" s="48">
        <f>Tabell2[[#This Row],[Beftettotal-I]]*Vekter!$D$3</f>
        <v>0</v>
      </c>
      <c r="AF244" s="48">
        <f>Tabell2[[#This Row],[Befvekst10-I]]*Vekter!$E$3</f>
        <v>2.5880420542618738</v>
      </c>
      <c r="AG244" s="48">
        <f>Tabell2[[#This Row],[Kvinneandel-I]]*Vekter!$F$3</f>
        <v>1.9459123332341681</v>
      </c>
      <c r="AH244" s="48">
        <f>Tabell2[[#This Row],[Eldreandel-I]]*Vekter!$G$3</f>
        <v>1.62733869826106</v>
      </c>
      <c r="AI244" s="48">
        <f>Tabell2[[#This Row],[Sysselsettingsvekst10-I]]*Vekter!$H$3</f>
        <v>3.0900034279758444</v>
      </c>
      <c r="AJ244" s="48">
        <f>Tabell2[[#This Row],[Yrkesaktivandel-I]]*Vekter!$J$3</f>
        <v>5.542970673091788</v>
      </c>
      <c r="AK244" s="48">
        <f>Tabell2[[#This Row],[Inntekt-I]]*Vekter!$L$3</f>
        <v>4.4172010562052062</v>
      </c>
      <c r="AL244" s="37">
        <f>SUM(Tabell2[[#This Row],[NIBR11-v]:[Inntekt-v]])</f>
        <v>22.415361088750579</v>
      </c>
    </row>
    <row r="245" spans="1:38">
      <c r="A245" s="2" t="s">
        <v>242</v>
      </c>
      <c r="B245">
        <f>'Rådata-K'!M244</f>
        <v>9</v>
      </c>
      <c r="C245" s="9">
        <f>'Rådata-K'!L244</f>
        <v>179.94548692429998</v>
      </c>
      <c r="D245" s="51">
        <f>'Rådata-K'!N244</f>
        <v>1.6194030406638509</v>
      </c>
      <c r="E245" s="51">
        <f>'Rådata-K'!O244</f>
        <v>2.3052097740894339E-3</v>
      </c>
      <c r="F245" s="51">
        <f>'Rådata-K'!P244</f>
        <v>9.7056117755289786E-2</v>
      </c>
      <c r="G245" s="51">
        <f>'Rådata-K'!Q244</f>
        <v>0.17019319227230911</v>
      </c>
      <c r="H245" s="51">
        <f>'Rådata-K'!R244</f>
        <v>-7.2543617998163445E-2</v>
      </c>
      <c r="I245" s="51">
        <f>'Rådata-K'!S244</f>
        <v>0.92250618301731246</v>
      </c>
      <c r="J245" s="52">
        <f>'Rådata-K'!K244</f>
        <v>358700</v>
      </c>
      <c r="K245" s="26">
        <f>Tabell2[[#This Row],[NIBR11]]</f>
        <v>9</v>
      </c>
      <c r="L245" s="52">
        <f>IF(Tabell2[[#This Row],[ReisetidOslo]]&lt;=C$434,C$434,IF(Tabell2[[#This Row],[ReisetidOslo]]&gt;=C$435,C$435,Tabell2[[#This Row],[ReisetidOslo]]))</f>
        <v>179.94548692429998</v>
      </c>
      <c r="M245" s="51">
        <f>IF(Tabell2[[#This Row],[Beftettotal]]&lt;=D$434,D$434,IF(Tabell2[[#This Row],[Beftettotal]]&gt;=D$435,D$435,Tabell2[[#This Row],[Beftettotal]]))</f>
        <v>1.6194030406638509</v>
      </c>
      <c r="N245" s="51">
        <f>IF(Tabell2[[#This Row],[Befvekst10]]&lt;=E$434,E$434,IF(Tabell2[[#This Row],[Befvekst10]]&gt;=E$435,E$435,Tabell2[[#This Row],[Befvekst10]]))</f>
        <v>2.3052097740894339E-3</v>
      </c>
      <c r="O245" s="51">
        <f>IF(Tabell2[[#This Row],[Kvinneandel]]&lt;=F$434,F$434,IF(Tabell2[[#This Row],[Kvinneandel]]&gt;=F$435,F$435,Tabell2[[#This Row],[Kvinneandel]]))</f>
        <v>9.7056117755289786E-2</v>
      </c>
      <c r="P245" s="51">
        <f>IF(Tabell2[[#This Row],[Eldreandel]]&lt;=G$434,G$434,IF(Tabell2[[#This Row],[Eldreandel]]&gt;=G$435,G$435,Tabell2[[#This Row],[Eldreandel]]))</f>
        <v>0.17019319227230911</v>
      </c>
      <c r="Q245" s="51">
        <f>IF(Tabell2[[#This Row],[Sysselsettingsvekst10]]&lt;=H$434,H$434,IF(Tabell2[[#This Row],[Sysselsettingsvekst10]]&gt;=H$435,H$435,Tabell2[[#This Row],[Sysselsettingsvekst10]]))</f>
        <v>-6.8692498376029434E-2</v>
      </c>
      <c r="R245" s="51">
        <f>IF(Tabell2[[#This Row],[Yrkesaktivandel]]&lt;=I$434,I$434,IF(Tabell2[[#This Row],[Yrkesaktivandel]]&gt;=I$435,I$435,Tabell2[[#This Row],[Yrkesaktivandel]]))</f>
        <v>0.92250618301731246</v>
      </c>
      <c r="S245" s="52">
        <f>IF(Tabell2[[#This Row],[Inntekt]]&lt;=J$434,J$434,IF(Tabell2[[#This Row],[Inntekt]]&gt;=J$435,J$435,Tabell2[[#This Row],[Inntekt]]))</f>
        <v>358700</v>
      </c>
      <c r="T245" s="9">
        <f>IF(Tabell2[[#This Row],[NIBR11-T]]&lt;=K$437,100,IF(Tabell2[[#This Row],[NIBR11-T]]&gt;=K$436,0,100*(K$436-Tabell2[[#This Row],[NIBR11-T]])/K$439))</f>
        <v>20</v>
      </c>
      <c r="U245" s="9">
        <f>(L$436-Tabell2[[#This Row],[ReisetidOslo-T]])*100/L$439</f>
        <v>43.999982495083756</v>
      </c>
      <c r="V245" s="9">
        <f>100-(M$436-Tabell2[[#This Row],[Beftettotal-T]])*100/M$439</f>
        <v>0.22028895615102329</v>
      </c>
      <c r="W245" s="9">
        <f>100-(N$436-Tabell2[[#This Row],[Befvekst10-T]])*100/N$439</f>
        <v>33.623278435314717</v>
      </c>
      <c r="X245" s="9">
        <f>100-(O$436-Tabell2[[#This Row],[Kvinneandel-T]])*100/O$439</f>
        <v>17.993135613113864</v>
      </c>
      <c r="Y245" s="9">
        <f>(P$436-Tabell2[[#This Row],[Eldreandel-T]])*100/P$439</f>
        <v>43.201889934073655</v>
      </c>
      <c r="Z245" s="9">
        <f>100-(Q$436-Tabell2[[#This Row],[Sysselsettingsvekst10-T]])*100/Q$439</f>
        <v>0</v>
      </c>
      <c r="AA245" s="9">
        <f>100-(R$436-Tabell2[[#This Row],[Yrkesaktivandel-T]])*100/R$439</f>
        <v>70.425506432534476</v>
      </c>
      <c r="AB245" s="9">
        <f>100-(S$436-Tabell2[[#This Row],[Inntekt-T]])*100/S$439</f>
        <v>48.069910725512386</v>
      </c>
      <c r="AC245" s="48">
        <f>Tabell2[[#This Row],[NIBR11-I]]*Vekter!$B$3</f>
        <v>4</v>
      </c>
      <c r="AD245" s="48">
        <f>Tabell2[[#This Row],[ReisetidOslo-I]]*Vekter!$C$3</f>
        <v>4.3999982495083758</v>
      </c>
      <c r="AE245" s="48">
        <f>Tabell2[[#This Row],[Beftettotal-I]]*Vekter!$D$3</f>
        <v>2.202889561510233E-2</v>
      </c>
      <c r="AF245" s="48">
        <f>Tabell2[[#This Row],[Befvekst10-I]]*Vekter!$E$3</f>
        <v>6.7246556870629437</v>
      </c>
      <c r="AG245" s="48">
        <f>Tabell2[[#This Row],[Kvinneandel-I]]*Vekter!$F$3</f>
        <v>0.89965678065569321</v>
      </c>
      <c r="AH245" s="48">
        <f>Tabell2[[#This Row],[Eldreandel-I]]*Vekter!$G$3</f>
        <v>2.160094496703683</v>
      </c>
      <c r="AI245" s="48">
        <f>Tabell2[[#This Row],[Sysselsettingsvekst10-I]]*Vekter!$H$3</f>
        <v>0</v>
      </c>
      <c r="AJ245" s="48">
        <f>Tabell2[[#This Row],[Yrkesaktivandel-I]]*Vekter!$J$3</f>
        <v>7.0425506432534482</v>
      </c>
      <c r="AK245" s="48">
        <f>Tabell2[[#This Row],[Inntekt-I]]*Vekter!$L$3</f>
        <v>4.8069910725512388</v>
      </c>
      <c r="AL245" s="37">
        <f>SUM(Tabell2[[#This Row],[NIBR11-v]:[Inntekt-v]])</f>
        <v>30.055975825350483</v>
      </c>
    </row>
    <row r="246" spans="1:38">
      <c r="A246" s="2" t="s">
        <v>243</v>
      </c>
      <c r="B246">
        <f>'Rådata-K'!M245</f>
        <v>9</v>
      </c>
      <c r="C246" s="9">
        <f>'Rådata-K'!L245</f>
        <v>192.52787012959999</v>
      </c>
      <c r="D246" s="51">
        <f>'Rådata-K'!N245</f>
        <v>5.6280336698957543</v>
      </c>
      <c r="E246" s="51">
        <f>'Rådata-K'!O245</f>
        <v>-2.3974427277570598E-2</v>
      </c>
      <c r="F246" s="51">
        <f>'Rådata-K'!P245</f>
        <v>9.934497816593886E-2</v>
      </c>
      <c r="G246" s="51">
        <f>'Rådata-K'!Q245</f>
        <v>0.19068413391557495</v>
      </c>
      <c r="H246" s="51">
        <f>'Rådata-K'!R245</f>
        <v>-0.11935266351989215</v>
      </c>
      <c r="I246" s="51">
        <f>'Rådata-K'!S245</f>
        <v>0.83365261813537672</v>
      </c>
      <c r="J246" s="52">
        <f>'Rådata-K'!K245</f>
        <v>384800</v>
      </c>
      <c r="K246" s="26">
        <f>Tabell2[[#This Row],[NIBR11]]</f>
        <v>9</v>
      </c>
      <c r="L246" s="52">
        <f>IF(Tabell2[[#This Row],[ReisetidOslo]]&lt;=C$434,C$434,IF(Tabell2[[#This Row],[ReisetidOslo]]&gt;=C$435,C$435,Tabell2[[#This Row],[ReisetidOslo]]))</f>
        <v>192.52787012959999</v>
      </c>
      <c r="M246" s="51">
        <f>IF(Tabell2[[#This Row],[Beftettotal]]&lt;=D$434,D$434,IF(Tabell2[[#This Row],[Beftettotal]]&gt;=D$435,D$435,Tabell2[[#This Row],[Beftettotal]]))</f>
        <v>5.6280336698957543</v>
      </c>
      <c r="N246" s="51">
        <f>IF(Tabell2[[#This Row],[Befvekst10]]&lt;=E$434,E$434,IF(Tabell2[[#This Row],[Befvekst10]]&gt;=E$435,E$435,Tabell2[[#This Row],[Befvekst10]]))</f>
        <v>-2.3974427277570598E-2</v>
      </c>
      <c r="O246" s="51">
        <f>IF(Tabell2[[#This Row],[Kvinneandel]]&lt;=F$434,F$434,IF(Tabell2[[#This Row],[Kvinneandel]]&gt;=F$435,F$435,Tabell2[[#This Row],[Kvinneandel]]))</f>
        <v>9.934497816593886E-2</v>
      </c>
      <c r="P246" s="51">
        <f>IF(Tabell2[[#This Row],[Eldreandel]]&lt;=G$434,G$434,IF(Tabell2[[#This Row],[Eldreandel]]&gt;=G$435,G$435,Tabell2[[#This Row],[Eldreandel]]))</f>
        <v>0.19068413391557495</v>
      </c>
      <c r="Q246" s="51">
        <f>IF(Tabell2[[#This Row],[Sysselsettingsvekst10]]&lt;=H$434,H$434,IF(Tabell2[[#This Row],[Sysselsettingsvekst10]]&gt;=H$435,H$435,Tabell2[[#This Row],[Sysselsettingsvekst10]]))</f>
        <v>-6.8692498376029434E-2</v>
      </c>
      <c r="R246" s="51">
        <f>IF(Tabell2[[#This Row],[Yrkesaktivandel]]&lt;=I$434,I$434,IF(Tabell2[[#This Row],[Yrkesaktivandel]]&gt;=I$435,I$435,Tabell2[[#This Row],[Yrkesaktivandel]]))</f>
        <v>0.83365261813537672</v>
      </c>
      <c r="S246" s="52">
        <f>IF(Tabell2[[#This Row],[Inntekt]]&lt;=J$434,J$434,IF(Tabell2[[#This Row],[Inntekt]]&gt;=J$435,J$435,Tabell2[[#This Row],[Inntekt]]))</f>
        <v>384800</v>
      </c>
      <c r="T246" s="9">
        <f>IF(Tabell2[[#This Row],[NIBR11-T]]&lt;=K$437,100,IF(Tabell2[[#This Row],[NIBR11-T]]&gt;=K$436,0,100*(K$436-Tabell2[[#This Row],[NIBR11-T]])/K$439))</f>
        <v>20</v>
      </c>
      <c r="U246" s="9">
        <f>(L$436-Tabell2[[#This Row],[ReisetidOslo-T]])*100/L$439</f>
        <v>38.41402602419636</v>
      </c>
      <c r="V246" s="9">
        <f>100-(M$436-Tabell2[[#This Row],[Beftettotal-T]])*100/M$439</f>
        <v>3.3777350577308454</v>
      </c>
      <c r="W246" s="9">
        <f>100-(N$436-Tabell2[[#This Row],[Befvekst10-T]])*100/N$439</f>
        <v>22.989072779473233</v>
      </c>
      <c r="X246" s="9">
        <f>100-(O$436-Tabell2[[#This Row],[Kvinneandel-T]])*100/O$439</f>
        <v>24.055635115974312</v>
      </c>
      <c r="Y246" s="9">
        <f>(P$436-Tabell2[[#This Row],[Eldreandel-T]])*100/P$439</f>
        <v>19.971586841558636</v>
      </c>
      <c r="Z246" s="9">
        <f>100-(Q$436-Tabell2[[#This Row],[Sysselsettingsvekst10-T]])*100/Q$439</f>
        <v>0</v>
      </c>
      <c r="AA246" s="9">
        <f>100-(R$436-Tabell2[[#This Row],[Yrkesaktivandel-T]])*100/R$439</f>
        <v>4.1873294741878198</v>
      </c>
      <c r="AB246" s="9">
        <f>100-(S$436-Tabell2[[#This Row],[Inntekt-T]])*100/S$439</f>
        <v>80.887715327549358</v>
      </c>
      <c r="AC246" s="48">
        <f>Tabell2[[#This Row],[NIBR11-I]]*Vekter!$B$3</f>
        <v>4</v>
      </c>
      <c r="AD246" s="48">
        <f>Tabell2[[#This Row],[ReisetidOslo-I]]*Vekter!$C$3</f>
        <v>3.8414026024196364</v>
      </c>
      <c r="AE246" s="48">
        <f>Tabell2[[#This Row],[Beftettotal-I]]*Vekter!$D$3</f>
        <v>0.33777350577308457</v>
      </c>
      <c r="AF246" s="48">
        <f>Tabell2[[#This Row],[Befvekst10-I]]*Vekter!$E$3</f>
        <v>4.5978145558946464</v>
      </c>
      <c r="AG246" s="48">
        <f>Tabell2[[#This Row],[Kvinneandel-I]]*Vekter!$F$3</f>
        <v>1.2027817557987157</v>
      </c>
      <c r="AH246" s="48">
        <f>Tabell2[[#This Row],[Eldreandel-I]]*Vekter!$G$3</f>
        <v>0.99857934207793186</v>
      </c>
      <c r="AI246" s="48">
        <f>Tabell2[[#This Row],[Sysselsettingsvekst10-I]]*Vekter!$H$3</f>
        <v>0</v>
      </c>
      <c r="AJ246" s="48">
        <f>Tabell2[[#This Row],[Yrkesaktivandel-I]]*Vekter!$J$3</f>
        <v>0.41873294741878198</v>
      </c>
      <c r="AK246" s="48">
        <f>Tabell2[[#This Row],[Inntekt-I]]*Vekter!$L$3</f>
        <v>8.0887715327549365</v>
      </c>
      <c r="AL246" s="37">
        <f>SUM(Tabell2[[#This Row],[NIBR11-v]:[Inntekt-v]])</f>
        <v>23.485856242137736</v>
      </c>
    </row>
    <row r="247" spans="1:38">
      <c r="A247" s="2" t="s">
        <v>244</v>
      </c>
      <c r="B247">
        <f>'Rådata-K'!M246</f>
        <v>8</v>
      </c>
      <c r="C247" s="9">
        <f>'Rådata-K'!L246</f>
        <v>184.57999999999998</v>
      </c>
      <c r="D247" s="51">
        <f>'Rådata-K'!N246</f>
        <v>1.8804757910451071</v>
      </c>
      <c r="E247" s="51">
        <f>'Rådata-K'!O246</f>
        <v>3.3089727974015437E-2</v>
      </c>
      <c r="F247" s="51">
        <f>'Rådata-K'!P246</f>
        <v>0.11063077225388092</v>
      </c>
      <c r="G247" s="51">
        <f>'Rådata-K'!Q246</f>
        <v>0.16918844566712518</v>
      </c>
      <c r="H247" s="51">
        <f>'Rådata-K'!R246</f>
        <v>9.6143687268885447E-2</v>
      </c>
      <c r="I247" s="51">
        <f>'Rådata-K'!S246</f>
        <v>0.97492836676217765</v>
      </c>
      <c r="J247" s="52">
        <f>'Rådata-K'!K246</f>
        <v>343200</v>
      </c>
      <c r="K247" s="26">
        <f>Tabell2[[#This Row],[NIBR11]]</f>
        <v>8</v>
      </c>
      <c r="L247" s="52">
        <f>IF(Tabell2[[#This Row],[ReisetidOslo]]&lt;=C$434,C$434,IF(Tabell2[[#This Row],[ReisetidOslo]]&gt;=C$435,C$435,Tabell2[[#This Row],[ReisetidOslo]]))</f>
        <v>184.57999999999998</v>
      </c>
      <c r="M247" s="51">
        <f>IF(Tabell2[[#This Row],[Beftettotal]]&lt;=D$434,D$434,IF(Tabell2[[#This Row],[Beftettotal]]&gt;=D$435,D$435,Tabell2[[#This Row],[Beftettotal]]))</f>
        <v>1.8804757910451071</v>
      </c>
      <c r="N247" s="51">
        <f>IF(Tabell2[[#This Row],[Befvekst10]]&lt;=E$434,E$434,IF(Tabell2[[#This Row],[Befvekst10]]&gt;=E$435,E$435,Tabell2[[#This Row],[Befvekst10]]))</f>
        <v>3.3089727974015437E-2</v>
      </c>
      <c r="O247" s="51">
        <f>IF(Tabell2[[#This Row],[Kvinneandel]]&lt;=F$434,F$434,IF(Tabell2[[#This Row],[Kvinneandel]]&gt;=F$435,F$435,Tabell2[[#This Row],[Kvinneandel]]))</f>
        <v>0.11063077225388092</v>
      </c>
      <c r="P247" s="51">
        <f>IF(Tabell2[[#This Row],[Eldreandel]]&lt;=G$434,G$434,IF(Tabell2[[#This Row],[Eldreandel]]&gt;=G$435,G$435,Tabell2[[#This Row],[Eldreandel]]))</f>
        <v>0.16918844566712518</v>
      </c>
      <c r="Q247" s="51">
        <f>IF(Tabell2[[#This Row],[Sysselsettingsvekst10]]&lt;=H$434,H$434,IF(Tabell2[[#This Row],[Sysselsettingsvekst10]]&gt;=H$435,H$435,Tabell2[[#This Row],[Sysselsettingsvekst10]]))</f>
        <v>9.6143687268885447E-2</v>
      </c>
      <c r="R247" s="51">
        <f>IF(Tabell2[[#This Row],[Yrkesaktivandel]]&lt;=I$434,I$434,IF(Tabell2[[#This Row],[Yrkesaktivandel]]&gt;=I$435,I$435,Tabell2[[#This Row],[Yrkesaktivandel]]))</f>
        <v>0.96217815624658265</v>
      </c>
      <c r="S247" s="52">
        <f>IF(Tabell2[[#This Row],[Inntekt]]&lt;=J$434,J$434,IF(Tabell2[[#This Row],[Inntekt]]&gt;=J$435,J$435,Tabell2[[#This Row],[Inntekt]]))</f>
        <v>343200</v>
      </c>
      <c r="T247" s="9">
        <f>IF(Tabell2[[#This Row],[NIBR11-T]]&lt;=K$437,100,IF(Tabell2[[#This Row],[NIBR11-T]]&gt;=K$436,0,100*(K$436-Tabell2[[#This Row],[NIBR11-T]])/K$439))</f>
        <v>30</v>
      </c>
      <c r="U247" s="9">
        <f>(L$436-Tabell2[[#This Row],[ReisetidOslo-T]])*100/L$439</f>
        <v>41.942487672186139</v>
      </c>
      <c r="V247" s="9">
        <f>100-(M$436-Tabell2[[#This Row],[Beftettotal-T]])*100/M$439</f>
        <v>0.42592604626074149</v>
      </c>
      <c r="W247" s="9">
        <f>100-(N$436-Tabell2[[#This Row],[Befvekst10-T]])*100/N$439</f>
        <v>46.08041005058292</v>
      </c>
      <c r="X247" s="9">
        <f>100-(O$436-Tabell2[[#This Row],[Kvinneandel-T]])*100/O$439</f>
        <v>53.948292933465019</v>
      </c>
      <c r="Y247" s="9">
        <f>(P$436-Tabell2[[#This Row],[Eldreandel-T]])*100/P$439</f>
        <v>44.340957556047428</v>
      </c>
      <c r="Z247" s="9">
        <f>100-(Q$436-Tabell2[[#This Row],[Sysselsettingsvekst10-T]])*100/Q$439</f>
        <v>52.907663008835669</v>
      </c>
      <c r="AA247" s="9">
        <f>100-(R$436-Tabell2[[#This Row],[Yrkesaktivandel-T]])*100/R$439</f>
        <v>100</v>
      </c>
      <c r="AB247" s="9">
        <f>100-(S$436-Tabell2[[#This Row],[Inntekt-T]])*100/S$439</f>
        <v>28.58040990821074</v>
      </c>
      <c r="AC247" s="48">
        <f>Tabell2[[#This Row],[NIBR11-I]]*Vekter!$B$3</f>
        <v>6</v>
      </c>
      <c r="AD247" s="48">
        <f>Tabell2[[#This Row],[ReisetidOslo-I]]*Vekter!$C$3</f>
        <v>4.1942487672186139</v>
      </c>
      <c r="AE247" s="48">
        <f>Tabell2[[#This Row],[Beftettotal-I]]*Vekter!$D$3</f>
        <v>4.259260462607415E-2</v>
      </c>
      <c r="AF247" s="48">
        <f>Tabell2[[#This Row],[Befvekst10-I]]*Vekter!$E$3</f>
        <v>9.216082010116585</v>
      </c>
      <c r="AG247" s="48">
        <f>Tabell2[[#This Row],[Kvinneandel-I]]*Vekter!$F$3</f>
        <v>2.6974146466732511</v>
      </c>
      <c r="AH247" s="48">
        <f>Tabell2[[#This Row],[Eldreandel-I]]*Vekter!$G$3</f>
        <v>2.2170478778023717</v>
      </c>
      <c r="AI247" s="48">
        <f>Tabell2[[#This Row],[Sysselsettingsvekst10-I]]*Vekter!$H$3</f>
        <v>5.2907663008835675</v>
      </c>
      <c r="AJ247" s="48">
        <f>Tabell2[[#This Row],[Yrkesaktivandel-I]]*Vekter!$J$3</f>
        <v>10</v>
      </c>
      <c r="AK247" s="48">
        <f>Tabell2[[#This Row],[Inntekt-I]]*Vekter!$L$3</f>
        <v>2.858040990821074</v>
      </c>
      <c r="AL247" s="37">
        <f>SUM(Tabell2[[#This Row],[NIBR11-v]:[Inntekt-v]])</f>
        <v>42.516193198141544</v>
      </c>
    </row>
    <row r="248" spans="1:38">
      <c r="A248" s="2" t="s">
        <v>245</v>
      </c>
      <c r="B248">
        <f>'Rådata-K'!M247</f>
        <v>8</v>
      </c>
      <c r="C248" s="9">
        <f>'Rådata-K'!L247</f>
        <v>216.42007094429999</v>
      </c>
      <c r="D248" s="51">
        <f>'Rådata-K'!N247</f>
        <v>9.231382407946775</v>
      </c>
      <c r="E248" s="51">
        <f>'Rådata-K'!O247</f>
        <v>-7.6380368098159512E-2</v>
      </c>
      <c r="F248" s="51">
        <f>'Rådata-K'!P247</f>
        <v>9.0999667884423777E-2</v>
      </c>
      <c r="G248" s="51">
        <f>'Rådata-K'!Q247</f>
        <v>0.21653935569578214</v>
      </c>
      <c r="H248" s="51">
        <f>'Rådata-K'!R247</f>
        <v>-6.2866722548197806E-2</v>
      </c>
      <c r="I248" s="51">
        <f>'Rådata-K'!S247</f>
        <v>0.93517935808684705</v>
      </c>
      <c r="J248" s="52">
        <f>'Rådata-K'!K247</f>
        <v>345400</v>
      </c>
      <c r="K248" s="26">
        <f>Tabell2[[#This Row],[NIBR11]]</f>
        <v>8</v>
      </c>
      <c r="L248" s="52">
        <f>IF(Tabell2[[#This Row],[ReisetidOslo]]&lt;=C$434,C$434,IF(Tabell2[[#This Row],[ReisetidOslo]]&gt;=C$435,C$435,Tabell2[[#This Row],[ReisetidOslo]]))</f>
        <v>216.42007094429999</v>
      </c>
      <c r="M248" s="51">
        <f>IF(Tabell2[[#This Row],[Beftettotal]]&lt;=D$434,D$434,IF(Tabell2[[#This Row],[Beftettotal]]&gt;=D$435,D$435,Tabell2[[#This Row],[Beftettotal]]))</f>
        <v>9.231382407946775</v>
      </c>
      <c r="N248" s="51">
        <f>IF(Tabell2[[#This Row],[Befvekst10]]&lt;=E$434,E$434,IF(Tabell2[[#This Row],[Befvekst10]]&gt;=E$435,E$435,Tabell2[[#This Row],[Befvekst10]]))</f>
        <v>-7.6380368098159512E-2</v>
      </c>
      <c r="O248" s="51">
        <f>IF(Tabell2[[#This Row],[Kvinneandel]]&lt;=F$434,F$434,IF(Tabell2[[#This Row],[Kvinneandel]]&gt;=F$435,F$435,Tabell2[[#This Row],[Kvinneandel]]))</f>
        <v>9.0999667884423777E-2</v>
      </c>
      <c r="P248" s="51">
        <f>IF(Tabell2[[#This Row],[Eldreandel]]&lt;=G$434,G$434,IF(Tabell2[[#This Row],[Eldreandel]]&gt;=G$435,G$435,Tabell2[[#This Row],[Eldreandel]]))</f>
        <v>0.20830063331569054</v>
      </c>
      <c r="Q248" s="51">
        <f>IF(Tabell2[[#This Row],[Sysselsettingsvekst10]]&lt;=H$434,H$434,IF(Tabell2[[#This Row],[Sysselsettingsvekst10]]&gt;=H$435,H$435,Tabell2[[#This Row],[Sysselsettingsvekst10]]))</f>
        <v>-6.2866722548197806E-2</v>
      </c>
      <c r="R248" s="51">
        <f>IF(Tabell2[[#This Row],[Yrkesaktivandel]]&lt;=I$434,I$434,IF(Tabell2[[#This Row],[Yrkesaktivandel]]&gt;=I$435,I$435,Tabell2[[#This Row],[Yrkesaktivandel]]))</f>
        <v>0.93517935808684705</v>
      </c>
      <c r="S248" s="52">
        <f>IF(Tabell2[[#This Row],[Inntekt]]&lt;=J$434,J$434,IF(Tabell2[[#This Row],[Inntekt]]&gt;=J$435,J$435,Tabell2[[#This Row],[Inntekt]]))</f>
        <v>345400</v>
      </c>
      <c r="T248" s="9">
        <f>IF(Tabell2[[#This Row],[NIBR11-T]]&lt;=K$437,100,IF(Tabell2[[#This Row],[NIBR11-T]]&gt;=K$436,0,100*(K$436-Tabell2[[#This Row],[NIBR11-T]])/K$439))</f>
        <v>30</v>
      </c>
      <c r="U248" s="9">
        <f>(L$436-Tabell2[[#This Row],[ReisetidOslo-T]])*100/L$439</f>
        <v>27.807069331890411</v>
      </c>
      <c r="V248" s="9">
        <f>100-(M$436-Tabell2[[#This Row],[Beftettotal-T]])*100/M$439</f>
        <v>6.2159560059581764</v>
      </c>
      <c r="W248" s="9">
        <f>100-(N$436-Tabell2[[#This Row],[Befvekst10-T]])*100/N$439</f>
        <v>1.7827086589003756</v>
      </c>
      <c r="X248" s="9">
        <f>100-(O$436-Tabell2[[#This Row],[Kvinneandel-T]])*100/O$439</f>
        <v>1.9514302472492346</v>
      </c>
      <c r="Y248" s="9">
        <f>(P$436-Tabell2[[#This Row],[Eldreandel-T]])*100/P$439</f>
        <v>0</v>
      </c>
      <c r="Z248" s="9">
        <f>100-(Q$436-Tabell2[[#This Row],[Sysselsettingsvekst10-T]])*100/Q$439</f>
        <v>1.8699060710365671</v>
      </c>
      <c r="AA248" s="9">
        <f>100-(R$436-Tabell2[[#This Row],[Yrkesaktivandel-T]])*100/R$439</f>
        <v>79.873050985140281</v>
      </c>
      <c r="AB248" s="9">
        <f>100-(S$436-Tabell2[[#This Row],[Inntekt-T]])*100/S$439</f>
        <v>31.346661637118075</v>
      </c>
      <c r="AC248" s="48">
        <f>Tabell2[[#This Row],[NIBR11-I]]*Vekter!$B$3</f>
        <v>6</v>
      </c>
      <c r="AD248" s="48">
        <f>Tabell2[[#This Row],[ReisetidOslo-I]]*Vekter!$C$3</f>
        <v>2.7807069331890411</v>
      </c>
      <c r="AE248" s="48">
        <f>Tabell2[[#This Row],[Beftettotal-I]]*Vekter!$D$3</f>
        <v>0.62159560059581764</v>
      </c>
      <c r="AF248" s="48">
        <f>Tabell2[[#This Row],[Befvekst10-I]]*Vekter!$E$3</f>
        <v>0.35654173178007514</v>
      </c>
      <c r="AG248" s="48">
        <f>Tabell2[[#This Row],[Kvinneandel-I]]*Vekter!$F$3</f>
        <v>9.757151236246174E-2</v>
      </c>
      <c r="AH248" s="48">
        <f>Tabell2[[#This Row],[Eldreandel-I]]*Vekter!$G$3</f>
        <v>0</v>
      </c>
      <c r="AI248" s="48">
        <f>Tabell2[[#This Row],[Sysselsettingsvekst10-I]]*Vekter!$H$3</f>
        <v>0.18699060710365673</v>
      </c>
      <c r="AJ248" s="48">
        <f>Tabell2[[#This Row],[Yrkesaktivandel-I]]*Vekter!$J$3</f>
        <v>7.9873050985140281</v>
      </c>
      <c r="AK248" s="48">
        <f>Tabell2[[#This Row],[Inntekt-I]]*Vekter!$L$3</f>
        <v>3.1346661637118078</v>
      </c>
      <c r="AL248" s="37">
        <f>SUM(Tabell2[[#This Row],[NIBR11-v]:[Inntekt-v]])</f>
        <v>21.165377647256889</v>
      </c>
    </row>
    <row r="249" spans="1:38">
      <c r="A249" s="2" t="s">
        <v>246</v>
      </c>
      <c r="B249">
        <f>'Rådata-K'!M248</f>
        <v>6</v>
      </c>
      <c r="C249" s="9">
        <f>'Rådata-K'!L248</f>
        <v>178.87110704610001</v>
      </c>
      <c r="D249" s="51">
        <f>'Rådata-K'!N248</f>
        <v>6.8497755155938638</v>
      </c>
      <c r="E249" s="51">
        <f>'Rådata-K'!O248</f>
        <v>-1.9587628865979423E-2</v>
      </c>
      <c r="F249" s="51">
        <f>'Rådata-K'!P248</f>
        <v>0.10620399579390116</v>
      </c>
      <c r="G249" s="51">
        <f>'Rådata-K'!Q248</f>
        <v>0.18541885734314756</v>
      </c>
      <c r="H249" s="51">
        <f>'Rådata-K'!R248</f>
        <v>8.8607594936708889E-2</v>
      </c>
      <c r="I249" s="51">
        <f>'Rådata-K'!S248</f>
        <v>0.95162404975812021</v>
      </c>
      <c r="J249" s="52">
        <f>'Rådata-K'!K248</f>
        <v>319700</v>
      </c>
      <c r="K249" s="26">
        <f>Tabell2[[#This Row],[NIBR11]]</f>
        <v>6</v>
      </c>
      <c r="L249" s="52">
        <f>IF(Tabell2[[#This Row],[ReisetidOslo]]&lt;=C$434,C$434,IF(Tabell2[[#This Row],[ReisetidOslo]]&gt;=C$435,C$435,Tabell2[[#This Row],[ReisetidOslo]]))</f>
        <v>178.87110704610001</v>
      </c>
      <c r="M249" s="51">
        <f>IF(Tabell2[[#This Row],[Beftettotal]]&lt;=D$434,D$434,IF(Tabell2[[#This Row],[Beftettotal]]&gt;=D$435,D$435,Tabell2[[#This Row],[Beftettotal]]))</f>
        <v>6.8497755155938638</v>
      </c>
      <c r="N249" s="51">
        <f>IF(Tabell2[[#This Row],[Befvekst10]]&lt;=E$434,E$434,IF(Tabell2[[#This Row],[Befvekst10]]&gt;=E$435,E$435,Tabell2[[#This Row],[Befvekst10]]))</f>
        <v>-1.9587628865979423E-2</v>
      </c>
      <c r="O249" s="51">
        <f>IF(Tabell2[[#This Row],[Kvinneandel]]&lt;=F$434,F$434,IF(Tabell2[[#This Row],[Kvinneandel]]&gt;=F$435,F$435,Tabell2[[#This Row],[Kvinneandel]]))</f>
        <v>0.10620399579390116</v>
      </c>
      <c r="P249" s="51">
        <f>IF(Tabell2[[#This Row],[Eldreandel]]&lt;=G$434,G$434,IF(Tabell2[[#This Row],[Eldreandel]]&gt;=G$435,G$435,Tabell2[[#This Row],[Eldreandel]]))</f>
        <v>0.18541885734314756</v>
      </c>
      <c r="Q249" s="51">
        <f>IF(Tabell2[[#This Row],[Sysselsettingsvekst10]]&lt;=H$434,H$434,IF(Tabell2[[#This Row],[Sysselsettingsvekst10]]&gt;=H$435,H$435,Tabell2[[#This Row],[Sysselsettingsvekst10]]))</f>
        <v>8.8607594936708889E-2</v>
      </c>
      <c r="R249" s="51">
        <f>IF(Tabell2[[#This Row],[Yrkesaktivandel]]&lt;=I$434,I$434,IF(Tabell2[[#This Row],[Yrkesaktivandel]]&gt;=I$435,I$435,Tabell2[[#This Row],[Yrkesaktivandel]]))</f>
        <v>0.95162404975812021</v>
      </c>
      <c r="S249" s="52">
        <f>IF(Tabell2[[#This Row],[Inntekt]]&lt;=J$434,J$434,IF(Tabell2[[#This Row],[Inntekt]]&gt;=J$435,J$435,Tabell2[[#This Row],[Inntekt]]))</f>
        <v>320470</v>
      </c>
      <c r="T249" s="9">
        <f>IF(Tabell2[[#This Row],[NIBR11-T]]&lt;=K$437,100,IF(Tabell2[[#This Row],[NIBR11-T]]&gt;=K$436,0,100*(K$436-Tabell2[[#This Row],[NIBR11-T]])/K$439))</f>
        <v>50</v>
      </c>
      <c r="U249" s="9">
        <f>(L$436-Tabell2[[#This Row],[ReisetidOslo-T]])*100/L$439</f>
        <v>44.476954077883306</v>
      </c>
      <c r="V249" s="9">
        <f>100-(M$436-Tabell2[[#This Row],[Beftettotal-T]])*100/M$439</f>
        <v>4.3400547086625068</v>
      </c>
      <c r="W249" s="9">
        <f>100-(N$436-Tabell2[[#This Row],[Befvekst10-T]])*100/N$439</f>
        <v>24.764215883157476</v>
      </c>
      <c r="X249" s="9">
        <f>100-(O$436-Tabell2[[#This Row],[Kvinneandel-T]])*100/O$439</f>
        <v>42.223099923424243</v>
      </c>
      <c r="Y249" s="9">
        <f>(P$436-Tabell2[[#This Row],[Eldreandel-T]])*100/P$439</f>
        <v>25.940759599590692</v>
      </c>
      <c r="Z249" s="9">
        <f>100-(Q$436-Tabell2[[#This Row],[Sysselsettingsvekst10-T]])*100/Q$439</f>
        <v>50.488794652022492</v>
      </c>
      <c r="AA249" s="9">
        <f>100-(R$436-Tabell2[[#This Row],[Yrkesaktivandel-T]])*100/R$439</f>
        <v>92.132169664223156</v>
      </c>
      <c r="AB249" s="9">
        <f>100-(S$436-Tabell2[[#This Row],[Inntekt-T]])*100/S$439</f>
        <v>0</v>
      </c>
      <c r="AC249" s="48">
        <f>Tabell2[[#This Row],[NIBR11-I]]*Vekter!$B$3</f>
        <v>10</v>
      </c>
      <c r="AD249" s="48">
        <f>Tabell2[[#This Row],[ReisetidOslo-I]]*Vekter!$C$3</f>
        <v>4.4476954077883306</v>
      </c>
      <c r="AE249" s="48">
        <f>Tabell2[[#This Row],[Beftettotal-I]]*Vekter!$D$3</f>
        <v>0.43400547086625069</v>
      </c>
      <c r="AF249" s="48">
        <f>Tabell2[[#This Row],[Befvekst10-I]]*Vekter!$E$3</f>
        <v>4.9528431766314958</v>
      </c>
      <c r="AG249" s="48">
        <f>Tabell2[[#This Row],[Kvinneandel-I]]*Vekter!$F$3</f>
        <v>2.1111549961712122</v>
      </c>
      <c r="AH249" s="48">
        <f>Tabell2[[#This Row],[Eldreandel-I]]*Vekter!$G$3</f>
        <v>1.2970379799795346</v>
      </c>
      <c r="AI249" s="48">
        <f>Tabell2[[#This Row],[Sysselsettingsvekst10-I]]*Vekter!$H$3</f>
        <v>5.0488794652022495</v>
      </c>
      <c r="AJ249" s="48">
        <f>Tabell2[[#This Row],[Yrkesaktivandel-I]]*Vekter!$J$3</f>
        <v>9.2132169664223156</v>
      </c>
      <c r="AK249" s="48">
        <f>Tabell2[[#This Row],[Inntekt-I]]*Vekter!$L$3</f>
        <v>0</v>
      </c>
      <c r="AL249" s="37">
        <f>SUM(Tabell2[[#This Row],[NIBR11-v]:[Inntekt-v]])</f>
        <v>37.504833463061388</v>
      </c>
    </row>
    <row r="250" spans="1:38">
      <c r="A250" s="2" t="s">
        <v>247</v>
      </c>
      <c r="B250">
        <f>'Rådata-K'!M249</f>
        <v>6</v>
      </c>
      <c r="C250" s="9">
        <f>'Rådata-K'!L249</f>
        <v>167.7804442316</v>
      </c>
      <c r="D250" s="51">
        <f>'Rådata-K'!N249</f>
        <v>5.0324842734866451</v>
      </c>
      <c r="E250" s="51">
        <f>'Rådata-K'!O249</f>
        <v>5.4755043227665778E-2</v>
      </c>
      <c r="F250" s="51">
        <f>'Rådata-K'!P249</f>
        <v>0.10928961748633879</v>
      </c>
      <c r="G250" s="51">
        <f>'Rådata-K'!Q249</f>
        <v>0.15300546448087432</v>
      </c>
      <c r="H250" s="51">
        <f>'Rådata-K'!R249</f>
        <v>-4.8710601719197721E-2</v>
      </c>
      <c r="I250" s="51">
        <f>'Rådata-K'!S249</f>
        <v>0.96842105263157896</v>
      </c>
      <c r="J250" s="52">
        <f>'Rådata-K'!K249</f>
        <v>354000</v>
      </c>
      <c r="K250" s="26">
        <f>Tabell2[[#This Row],[NIBR11]]</f>
        <v>6</v>
      </c>
      <c r="L250" s="52">
        <f>IF(Tabell2[[#This Row],[ReisetidOslo]]&lt;=C$434,C$434,IF(Tabell2[[#This Row],[ReisetidOslo]]&gt;=C$435,C$435,Tabell2[[#This Row],[ReisetidOslo]]))</f>
        <v>167.7804442316</v>
      </c>
      <c r="M250" s="51">
        <f>IF(Tabell2[[#This Row],[Beftettotal]]&lt;=D$434,D$434,IF(Tabell2[[#This Row],[Beftettotal]]&gt;=D$435,D$435,Tabell2[[#This Row],[Beftettotal]]))</f>
        <v>5.0324842734866451</v>
      </c>
      <c r="N250" s="51">
        <f>IF(Tabell2[[#This Row],[Befvekst10]]&lt;=E$434,E$434,IF(Tabell2[[#This Row],[Befvekst10]]&gt;=E$435,E$435,Tabell2[[#This Row],[Befvekst10]]))</f>
        <v>5.4755043227665778E-2</v>
      </c>
      <c r="O250" s="51">
        <f>IF(Tabell2[[#This Row],[Kvinneandel]]&lt;=F$434,F$434,IF(Tabell2[[#This Row],[Kvinneandel]]&gt;=F$435,F$435,Tabell2[[#This Row],[Kvinneandel]]))</f>
        <v>0.10928961748633879</v>
      </c>
      <c r="P250" s="51">
        <f>IF(Tabell2[[#This Row],[Eldreandel]]&lt;=G$434,G$434,IF(Tabell2[[#This Row],[Eldreandel]]&gt;=G$435,G$435,Tabell2[[#This Row],[Eldreandel]]))</f>
        <v>0.15300546448087432</v>
      </c>
      <c r="Q250" s="51">
        <f>IF(Tabell2[[#This Row],[Sysselsettingsvekst10]]&lt;=H$434,H$434,IF(Tabell2[[#This Row],[Sysselsettingsvekst10]]&gt;=H$435,H$435,Tabell2[[#This Row],[Sysselsettingsvekst10]]))</f>
        <v>-4.8710601719197721E-2</v>
      </c>
      <c r="R250" s="51">
        <f>IF(Tabell2[[#This Row],[Yrkesaktivandel]]&lt;=I$434,I$434,IF(Tabell2[[#This Row],[Yrkesaktivandel]]&gt;=I$435,I$435,Tabell2[[#This Row],[Yrkesaktivandel]]))</f>
        <v>0.96217815624658265</v>
      </c>
      <c r="S250" s="52">
        <f>IF(Tabell2[[#This Row],[Inntekt]]&lt;=J$434,J$434,IF(Tabell2[[#This Row],[Inntekt]]&gt;=J$435,J$435,Tabell2[[#This Row],[Inntekt]]))</f>
        <v>354000</v>
      </c>
      <c r="T250" s="9">
        <f>IF(Tabell2[[#This Row],[NIBR11-T]]&lt;=K$437,100,IF(Tabell2[[#This Row],[NIBR11-T]]&gt;=K$436,0,100*(K$436-Tabell2[[#This Row],[NIBR11-T]])/K$439))</f>
        <v>50</v>
      </c>
      <c r="U250" s="9">
        <f>(L$436-Tabell2[[#This Row],[ReisetidOslo-T]])*100/L$439</f>
        <v>49.40066039839904</v>
      </c>
      <c r="V250" s="9">
        <f>100-(M$436-Tabell2[[#This Row],[Beftettotal-T]])*100/M$439</f>
        <v>2.9086434167405883</v>
      </c>
      <c r="W250" s="9">
        <f>100-(N$436-Tabell2[[#This Row],[Befvekst10-T]])*100/N$439</f>
        <v>54.847403961231457</v>
      </c>
      <c r="X250" s="9">
        <f>100-(O$436-Tabell2[[#This Row],[Kvinneandel-T]])*100/O$439</f>
        <v>50.395979269576131</v>
      </c>
      <c r="Y250" s="9">
        <f>(P$436-Tabell2[[#This Row],[Eldreandel-T]])*100/P$439</f>
        <v>62.687384208461587</v>
      </c>
      <c r="Z250" s="9">
        <f>100-(Q$436-Tabell2[[#This Row],[Sysselsettingsvekst10-T]])*100/Q$439</f>
        <v>6.4136127056131471</v>
      </c>
      <c r="AA250" s="9">
        <f>100-(R$436-Tabell2[[#This Row],[Yrkesaktivandel-T]])*100/R$439</f>
        <v>100</v>
      </c>
      <c r="AB250" s="9">
        <f>100-(S$436-Tabell2[[#This Row],[Inntekt-T]])*100/S$439</f>
        <v>42.160191122846726</v>
      </c>
      <c r="AC250" s="48">
        <f>Tabell2[[#This Row],[NIBR11-I]]*Vekter!$B$3</f>
        <v>10</v>
      </c>
      <c r="AD250" s="48">
        <f>Tabell2[[#This Row],[ReisetidOslo-I]]*Vekter!$C$3</f>
        <v>4.9400660398399046</v>
      </c>
      <c r="AE250" s="48">
        <f>Tabell2[[#This Row],[Beftettotal-I]]*Vekter!$D$3</f>
        <v>0.29086434167405883</v>
      </c>
      <c r="AF250" s="48">
        <f>Tabell2[[#This Row],[Befvekst10-I]]*Vekter!$E$3</f>
        <v>10.969480792246292</v>
      </c>
      <c r="AG250" s="48">
        <f>Tabell2[[#This Row],[Kvinneandel-I]]*Vekter!$F$3</f>
        <v>2.5197989634788067</v>
      </c>
      <c r="AH250" s="48">
        <f>Tabell2[[#This Row],[Eldreandel-I]]*Vekter!$G$3</f>
        <v>3.1343692104230794</v>
      </c>
      <c r="AI250" s="48">
        <f>Tabell2[[#This Row],[Sysselsettingsvekst10-I]]*Vekter!$H$3</f>
        <v>0.64136127056131476</v>
      </c>
      <c r="AJ250" s="48">
        <f>Tabell2[[#This Row],[Yrkesaktivandel-I]]*Vekter!$J$3</f>
        <v>10</v>
      </c>
      <c r="AK250" s="48">
        <f>Tabell2[[#This Row],[Inntekt-I]]*Vekter!$L$3</f>
        <v>4.2160191122846724</v>
      </c>
      <c r="AL250" s="37">
        <f>SUM(Tabell2[[#This Row],[NIBR11-v]:[Inntekt-v]])</f>
        <v>46.711959730508127</v>
      </c>
    </row>
    <row r="251" spans="1:38">
      <c r="A251" s="2" t="s">
        <v>248</v>
      </c>
      <c r="B251">
        <f>'Rådata-K'!M250</f>
        <v>6</v>
      </c>
      <c r="C251" s="9">
        <f>'Rådata-K'!L250</f>
        <v>193.67538588470001</v>
      </c>
      <c r="D251" s="51">
        <f>'Rådata-K'!N250</f>
        <v>4.5762156038517725</v>
      </c>
      <c r="E251" s="51">
        <f>'Rådata-K'!O250</f>
        <v>5.3534660260809774E-2</v>
      </c>
      <c r="F251" s="51">
        <f>'Rådata-K'!P250</f>
        <v>0.11270358306188925</v>
      </c>
      <c r="G251" s="51">
        <f>'Rådata-K'!Q250</f>
        <v>0.150814332247557</v>
      </c>
      <c r="H251" s="51">
        <f>'Rådata-K'!R250</f>
        <v>7.8593588417787075E-2</v>
      </c>
      <c r="I251" s="51">
        <f>'Rådata-K'!S250</f>
        <v>0.96751329001772002</v>
      </c>
      <c r="J251" s="52">
        <f>'Rådata-K'!K250</f>
        <v>350700</v>
      </c>
      <c r="K251" s="26">
        <f>Tabell2[[#This Row],[NIBR11]]</f>
        <v>6</v>
      </c>
      <c r="L251" s="52">
        <f>IF(Tabell2[[#This Row],[ReisetidOslo]]&lt;=C$434,C$434,IF(Tabell2[[#This Row],[ReisetidOslo]]&gt;=C$435,C$435,Tabell2[[#This Row],[ReisetidOslo]]))</f>
        <v>193.67538588470001</v>
      </c>
      <c r="M251" s="51">
        <f>IF(Tabell2[[#This Row],[Beftettotal]]&lt;=D$434,D$434,IF(Tabell2[[#This Row],[Beftettotal]]&gt;=D$435,D$435,Tabell2[[#This Row],[Beftettotal]]))</f>
        <v>4.5762156038517725</v>
      </c>
      <c r="N251" s="51">
        <f>IF(Tabell2[[#This Row],[Befvekst10]]&lt;=E$434,E$434,IF(Tabell2[[#This Row],[Befvekst10]]&gt;=E$435,E$435,Tabell2[[#This Row],[Befvekst10]]))</f>
        <v>5.3534660260809774E-2</v>
      </c>
      <c r="O251" s="51">
        <f>IF(Tabell2[[#This Row],[Kvinneandel]]&lt;=F$434,F$434,IF(Tabell2[[#This Row],[Kvinneandel]]&gt;=F$435,F$435,Tabell2[[#This Row],[Kvinneandel]]))</f>
        <v>0.11270358306188925</v>
      </c>
      <c r="P251" s="51">
        <f>IF(Tabell2[[#This Row],[Eldreandel]]&lt;=G$434,G$434,IF(Tabell2[[#This Row],[Eldreandel]]&gt;=G$435,G$435,Tabell2[[#This Row],[Eldreandel]]))</f>
        <v>0.150814332247557</v>
      </c>
      <c r="Q251" s="51">
        <f>IF(Tabell2[[#This Row],[Sysselsettingsvekst10]]&lt;=H$434,H$434,IF(Tabell2[[#This Row],[Sysselsettingsvekst10]]&gt;=H$435,H$435,Tabell2[[#This Row],[Sysselsettingsvekst10]]))</f>
        <v>7.8593588417787075E-2</v>
      </c>
      <c r="R251" s="51">
        <f>IF(Tabell2[[#This Row],[Yrkesaktivandel]]&lt;=I$434,I$434,IF(Tabell2[[#This Row],[Yrkesaktivandel]]&gt;=I$435,I$435,Tabell2[[#This Row],[Yrkesaktivandel]]))</f>
        <v>0.96217815624658265</v>
      </c>
      <c r="S251" s="52">
        <f>IF(Tabell2[[#This Row],[Inntekt]]&lt;=J$434,J$434,IF(Tabell2[[#This Row],[Inntekt]]&gt;=J$435,J$435,Tabell2[[#This Row],[Inntekt]]))</f>
        <v>350700</v>
      </c>
      <c r="T251" s="9">
        <f>IF(Tabell2[[#This Row],[NIBR11-T]]&lt;=K$437,100,IF(Tabell2[[#This Row],[NIBR11-T]]&gt;=K$436,0,100*(K$436-Tabell2[[#This Row],[NIBR11-T]])/K$439))</f>
        <v>50</v>
      </c>
      <c r="U251" s="9">
        <f>(L$436-Tabell2[[#This Row],[ReisetidOslo-T]])*100/L$439</f>
        <v>37.904585725561503</v>
      </c>
      <c r="V251" s="9">
        <f>100-(M$436-Tabell2[[#This Row],[Beftettotal-T]])*100/M$439</f>
        <v>2.5492579144431033</v>
      </c>
      <c r="W251" s="9">
        <f>100-(N$436-Tabell2[[#This Row],[Befvekst10-T]])*100/N$439</f>
        <v>54.353569003658748</v>
      </c>
      <c r="X251" s="9">
        <f>100-(O$436-Tabell2[[#This Row],[Kvinneandel-T]])*100/O$439</f>
        <v>59.438542332077624</v>
      </c>
      <c r="Y251" s="9">
        <f>(P$436-Tabell2[[#This Row],[Eldreandel-T]])*100/P$439</f>
        <v>65.171441153324764</v>
      </c>
      <c r="Z251" s="9">
        <f>100-(Q$436-Tabell2[[#This Row],[Sysselsettingsvekst10-T]])*100/Q$439</f>
        <v>47.274587284880937</v>
      </c>
      <c r="AA251" s="9">
        <f>100-(R$436-Tabell2[[#This Row],[Yrkesaktivandel-T]])*100/R$439</f>
        <v>100</v>
      </c>
      <c r="AB251" s="9">
        <f>100-(S$436-Tabell2[[#This Row],[Inntekt-T]])*100/S$439</f>
        <v>38.010813529485731</v>
      </c>
      <c r="AC251" s="48">
        <f>Tabell2[[#This Row],[NIBR11-I]]*Vekter!$B$3</f>
        <v>10</v>
      </c>
      <c r="AD251" s="48">
        <f>Tabell2[[#This Row],[ReisetidOslo-I]]*Vekter!$C$3</f>
        <v>3.7904585725561506</v>
      </c>
      <c r="AE251" s="48">
        <f>Tabell2[[#This Row],[Beftettotal-I]]*Vekter!$D$3</f>
        <v>0.25492579144431032</v>
      </c>
      <c r="AF251" s="48">
        <f>Tabell2[[#This Row],[Befvekst10-I]]*Vekter!$E$3</f>
        <v>10.87071380073175</v>
      </c>
      <c r="AG251" s="48">
        <f>Tabell2[[#This Row],[Kvinneandel-I]]*Vekter!$F$3</f>
        <v>2.9719271166038812</v>
      </c>
      <c r="AH251" s="48">
        <f>Tabell2[[#This Row],[Eldreandel-I]]*Vekter!$G$3</f>
        <v>3.2585720576662385</v>
      </c>
      <c r="AI251" s="48">
        <f>Tabell2[[#This Row],[Sysselsettingsvekst10-I]]*Vekter!$H$3</f>
        <v>4.7274587284880942</v>
      </c>
      <c r="AJ251" s="48">
        <f>Tabell2[[#This Row],[Yrkesaktivandel-I]]*Vekter!$J$3</f>
        <v>10</v>
      </c>
      <c r="AK251" s="48">
        <f>Tabell2[[#This Row],[Inntekt-I]]*Vekter!$L$3</f>
        <v>3.8010813529485734</v>
      </c>
      <c r="AL251" s="37">
        <f>SUM(Tabell2[[#This Row],[NIBR11-v]:[Inntekt-v]])</f>
        <v>49.675137420438993</v>
      </c>
    </row>
    <row r="252" spans="1:38">
      <c r="A252" s="2" t="s">
        <v>249</v>
      </c>
      <c r="B252">
        <f>'Rådata-K'!M251</f>
        <v>6</v>
      </c>
      <c r="C252" s="9">
        <f>'Rådata-K'!L251</f>
        <v>169.29508102310001</v>
      </c>
      <c r="D252" s="51">
        <f>'Rådata-K'!N251</f>
        <v>21.660064203264799</v>
      </c>
      <c r="E252" s="51">
        <f>'Rådata-K'!O251</f>
        <v>0.14238112391930846</v>
      </c>
      <c r="F252" s="51">
        <f>'Rådata-K'!P251</f>
        <v>0.13346472211273158</v>
      </c>
      <c r="G252" s="51">
        <f>'Rådata-K'!Q251</f>
        <v>9.9329917225068981E-2</v>
      </c>
      <c r="H252" s="51">
        <f>'Rådata-K'!R251</f>
        <v>0.19808884297520657</v>
      </c>
      <c r="I252" s="51">
        <f>'Rådata-K'!S251</f>
        <v>0.94315484041150088</v>
      </c>
      <c r="J252" s="52">
        <f>'Rådata-K'!K251</f>
        <v>394800</v>
      </c>
      <c r="K252" s="26">
        <f>Tabell2[[#This Row],[NIBR11]]</f>
        <v>6</v>
      </c>
      <c r="L252" s="52">
        <f>IF(Tabell2[[#This Row],[ReisetidOslo]]&lt;=C$434,C$434,IF(Tabell2[[#This Row],[ReisetidOslo]]&gt;=C$435,C$435,Tabell2[[#This Row],[ReisetidOslo]]))</f>
        <v>169.29508102310001</v>
      </c>
      <c r="M252" s="51">
        <f>IF(Tabell2[[#This Row],[Beftettotal]]&lt;=D$434,D$434,IF(Tabell2[[#This Row],[Beftettotal]]&gt;=D$435,D$435,Tabell2[[#This Row],[Beftettotal]]))</f>
        <v>21.660064203264799</v>
      </c>
      <c r="N252" s="51">
        <f>IF(Tabell2[[#This Row],[Befvekst10]]&lt;=E$434,E$434,IF(Tabell2[[#This Row],[Befvekst10]]&gt;=E$435,E$435,Tabell2[[#This Row],[Befvekst10]]))</f>
        <v>0.14238112391930846</v>
      </c>
      <c r="O252" s="51">
        <f>IF(Tabell2[[#This Row],[Kvinneandel]]&lt;=F$434,F$434,IF(Tabell2[[#This Row],[Kvinneandel]]&gt;=F$435,F$435,Tabell2[[#This Row],[Kvinneandel]]))</f>
        <v>0.12801731869362362</v>
      </c>
      <c r="P252" s="51">
        <f>IF(Tabell2[[#This Row],[Eldreandel]]&lt;=G$434,G$434,IF(Tabell2[[#This Row],[Eldreandel]]&gt;=G$435,G$435,Tabell2[[#This Row],[Eldreandel]]))</f>
        <v>0.1200928231908705</v>
      </c>
      <c r="Q252" s="51">
        <f>IF(Tabell2[[#This Row],[Sysselsettingsvekst10]]&lt;=H$434,H$434,IF(Tabell2[[#This Row],[Sysselsettingsvekst10]]&gt;=H$435,H$435,Tabell2[[#This Row],[Sysselsettingsvekst10]]))</f>
        <v>0.19808884297520657</v>
      </c>
      <c r="R252" s="51">
        <f>IF(Tabell2[[#This Row],[Yrkesaktivandel]]&lt;=I$434,I$434,IF(Tabell2[[#This Row],[Yrkesaktivandel]]&gt;=I$435,I$435,Tabell2[[#This Row],[Yrkesaktivandel]]))</f>
        <v>0.94315484041150088</v>
      </c>
      <c r="S252" s="52">
        <f>IF(Tabell2[[#This Row],[Inntekt]]&lt;=J$434,J$434,IF(Tabell2[[#This Row],[Inntekt]]&gt;=J$435,J$435,Tabell2[[#This Row],[Inntekt]]))</f>
        <v>394800</v>
      </c>
      <c r="T252" s="9">
        <f>IF(Tabell2[[#This Row],[NIBR11-T]]&lt;=K$437,100,IF(Tabell2[[#This Row],[NIBR11-T]]&gt;=K$436,0,100*(K$436-Tabell2[[#This Row],[NIBR11-T]])/K$439))</f>
        <v>50</v>
      </c>
      <c r="U252" s="9">
        <f>(L$436-Tabell2[[#This Row],[ReisetidOslo-T]])*100/L$439</f>
        <v>48.728236498373505</v>
      </c>
      <c r="V252" s="9">
        <f>100-(M$436-Tabell2[[#This Row],[Beftettotal-T]])*100/M$439</f>
        <v>16.005556623244885</v>
      </c>
      <c r="W252" s="9">
        <f>100-(N$436-Tabell2[[#This Row],[Befvekst10-T]])*100/N$439</f>
        <v>90.305799412375109</v>
      </c>
      <c r="X252" s="9">
        <f>100-(O$436-Tabell2[[#This Row],[Kvinneandel-T]])*100/O$439</f>
        <v>100</v>
      </c>
      <c r="Y252" s="9">
        <f>(P$436-Tabell2[[#This Row],[Eldreandel-T]])*100/P$439</f>
        <v>100.00000000000001</v>
      </c>
      <c r="Z252" s="9">
        <f>100-(Q$436-Tabell2[[#This Row],[Sysselsettingsvekst10-T]])*100/Q$439</f>
        <v>85.62911869158377</v>
      </c>
      <c r="AA252" s="9">
        <f>100-(R$436-Tabell2[[#This Row],[Yrkesaktivandel-T]])*100/R$439</f>
        <v>85.818579566357499</v>
      </c>
      <c r="AB252" s="9">
        <f>100-(S$436-Tabell2[[#This Row],[Inntekt-T]])*100/S$439</f>
        <v>93.461586822582674</v>
      </c>
      <c r="AC252" s="48">
        <f>Tabell2[[#This Row],[NIBR11-I]]*Vekter!$B$3</f>
        <v>10</v>
      </c>
      <c r="AD252" s="48">
        <f>Tabell2[[#This Row],[ReisetidOslo-I]]*Vekter!$C$3</f>
        <v>4.8728236498373505</v>
      </c>
      <c r="AE252" s="48">
        <f>Tabell2[[#This Row],[Beftettotal-I]]*Vekter!$D$3</f>
        <v>1.6005556623244885</v>
      </c>
      <c r="AF252" s="48">
        <f>Tabell2[[#This Row],[Befvekst10-I]]*Vekter!$E$3</f>
        <v>18.061159882475021</v>
      </c>
      <c r="AG252" s="48">
        <f>Tabell2[[#This Row],[Kvinneandel-I]]*Vekter!$F$3</f>
        <v>5</v>
      </c>
      <c r="AH252" s="48">
        <f>Tabell2[[#This Row],[Eldreandel-I]]*Vekter!$G$3</f>
        <v>5.0000000000000009</v>
      </c>
      <c r="AI252" s="48">
        <f>Tabell2[[#This Row],[Sysselsettingsvekst10-I]]*Vekter!$H$3</f>
        <v>8.562911869158377</v>
      </c>
      <c r="AJ252" s="48">
        <f>Tabell2[[#This Row],[Yrkesaktivandel-I]]*Vekter!$J$3</f>
        <v>8.5818579566357496</v>
      </c>
      <c r="AK252" s="48">
        <f>Tabell2[[#This Row],[Inntekt-I]]*Vekter!$L$3</f>
        <v>9.3461586822582685</v>
      </c>
      <c r="AL252" s="37">
        <f>SUM(Tabell2[[#This Row],[NIBR11-v]:[Inntekt-v]])</f>
        <v>71.025467702689255</v>
      </c>
    </row>
    <row r="253" spans="1:38">
      <c r="A253" s="2" t="s">
        <v>250</v>
      </c>
      <c r="B253">
        <f>'Rådata-K'!M252</f>
        <v>6</v>
      </c>
      <c r="C253" s="9">
        <f>'Rådata-K'!L252</f>
        <v>179.29323702440001</v>
      </c>
      <c r="D253" s="51">
        <f>'Rådata-K'!N252</f>
        <v>7.5171274608031622</v>
      </c>
      <c r="E253" s="51">
        <f>'Rådata-K'!O252</f>
        <v>2.9673590504450953E-2</v>
      </c>
      <c r="F253" s="51">
        <f>'Rådata-K'!P252</f>
        <v>0.11527377521613832</v>
      </c>
      <c r="G253" s="51">
        <f>'Rådata-K'!Q252</f>
        <v>0.1563400576368876</v>
      </c>
      <c r="H253" s="51">
        <f>'Rådata-K'!R252</f>
        <v>-9.7902097902097918E-2</v>
      </c>
      <c r="I253" s="51">
        <f>'Rådata-K'!S252</f>
        <v>0.96248382923674003</v>
      </c>
      <c r="J253" s="52">
        <f>'Rådata-K'!K252</f>
        <v>361400</v>
      </c>
      <c r="K253" s="26">
        <f>Tabell2[[#This Row],[NIBR11]]</f>
        <v>6</v>
      </c>
      <c r="L253" s="52">
        <f>IF(Tabell2[[#This Row],[ReisetidOslo]]&lt;=C$434,C$434,IF(Tabell2[[#This Row],[ReisetidOslo]]&gt;=C$435,C$435,Tabell2[[#This Row],[ReisetidOslo]]))</f>
        <v>179.29323702440001</v>
      </c>
      <c r="M253" s="51">
        <f>IF(Tabell2[[#This Row],[Beftettotal]]&lt;=D$434,D$434,IF(Tabell2[[#This Row],[Beftettotal]]&gt;=D$435,D$435,Tabell2[[#This Row],[Beftettotal]]))</f>
        <v>7.5171274608031622</v>
      </c>
      <c r="N253" s="51">
        <f>IF(Tabell2[[#This Row],[Befvekst10]]&lt;=E$434,E$434,IF(Tabell2[[#This Row],[Befvekst10]]&gt;=E$435,E$435,Tabell2[[#This Row],[Befvekst10]]))</f>
        <v>2.9673590504450953E-2</v>
      </c>
      <c r="O253" s="51">
        <f>IF(Tabell2[[#This Row],[Kvinneandel]]&lt;=F$434,F$434,IF(Tabell2[[#This Row],[Kvinneandel]]&gt;=F$435,F$435,Tabell2[[#This Row],[Kvinneandel]]))</f>
        <v>0.11527377521613832</v>
      </c>
      <c r="P253" s="51">
        <f>IF(Tabell2[[#This Row],[Eldreandel]]&lt;=G$434,G$434,IF(Tabell2[[#This Row],[Eldreandel]]&gt;=G$435,G$435,Tabell2[[#This Row],[Eldreandel]]))</f>
        <v>0.1563400576368876</v>
      </c>
      <c r="Q253" s="51">
        <f>IF(Tabell2[[#This Row],[Sysselsettingsvekst10]]&lt;=H$434,H$434,IF(Tabell2[[#This Row],[Sysselsettingsvekst10]]&gt;=H$435,H$435,Tabell2[[#This Row],[Sysselsettingsvekst10]]))</f>
        <v>-6.8692498376029434E-2</v>
      </c>
      <c r="R253" s="51">
        <f>IF(Tabell2[[#This Row],[Yrkesaktivandel]]&lt;=I$434,I$434,IF(Tabell2[[#This Row],[Yrkesaktivandel]]&gt;=I$435,I$435,Tabell2[[#This Row],[Yrkesaktivandel]]))</f>
        <v>0.96217815624658265</v>
      </c>
      <c r="S253" s="52">
        <f>IF(Tabell2[[#This Row],[Inntekt]]&lt;=J$434,J$434,IF(Tabell2[[#This Row],[Inntekt]]&gt;=J$435,J$435,Tabell2[[#This Row],[Inntekt]]))</f>
        <v>361400</v>
      </c>
      <c r="T253" s="9">
        <f>IF(Tabell2[[#This Row],[NIBR11-T]]&lt;=K$437,100,IF(Tabell2[[#This Row],[NIBR11-T]]&gt;=K$436,0,100*(K$436-Tabell2[[#This Row],[NIBR11-T]])/K$439))</f>
        <v>50</v>
      </c>
      <c r="U253" s="9">
        <f>(L$436-Tabell2[[#This Row],[ReisetidOslo-T]])*100/L$439</f>
        <v>44.289549224179027</v>
      </c>
      <c r="V253" s="9">
        <f>100-(M$436-Tabell2[[#This Row],[Beftettotal-T]])*100/M$439</f>
        <v>4.8657024903306763</v>
      </c>
      <c r="W253" s="9">
        <f>100-(N$436-Tabell2[[#This Row],[Befvekst10-T]])*100/N$439</f>
        <v>44.698050456781772</v>
      </c>
      <c r="X253" s="9">
        <f>100-(O$436-Tabell2[[#This Row],[Kvinneandel-T]])*100/O$439</f>
        <v>66.246204601430321</v>
      </c>
      <c r="Y253" s="9">
        <f>(P$436-Tabell2[[#This Row],[Eldreandel-T]])*100/P$439</f>
        <v>58.907001098060583</v>
      </c>
      <c r="Z253" s="9">
        <f>100-(Q$436-Tabell2[[#This Row],[Sysselsettingsvekst10-T]])*100/Q$439</f>
        <v>0</v>
      </c>
      <c r="AA253" s="9">
        <f>100-(R$436-Tabell2[[#This Row],[Yrkesaktivandel-T]])*100/R$439</f>
        <v>100</v>
      </c>
      <c r="AB253" s="9">
        <f>100-(S$436-Tabell2[[#This Row],[Inntekt-T]])*100/S$439</f>
        <v>51.464856029171379</v>
      </c>
      <c r="AC253" s="48">
        <f>Tabell2[[#This Row],[NIBR11-I]]*Vekter!$B$3</f>
        <v>10</v>
      </c>
      <c r="AD253" s="48">
        <f>Tabell2[[#This Row],[ReisetidOslo-I]]*Vekter!$C$3</f>
        <v>4.428954922417903</v>
      </c>
      <c r="AE253" s="48">
        <f>Tabell2[[#This Row],[Beftettotal-I]]*Vekter!$D$3</f>
        <v>0.48657024903306767</v>
      </c>
      <c r="AF253" s="48">
        <f>Tabell2[[#This Row],[Befvekst10-I]]*Vekter!$E$3</f>
        <v>8.9396100913563554</v>
      </c>
      <c r="AG253" s="48">
        <f>Tabell2[[#This Row],[Kvinneandel-I]]*Vekter!$F$3</f>
        <v>3.3123102300715161</v>
      </c>
      <c r="AH253" s="48">
        <f>Tabell2[[#This Row],[Eldreandel-I]]*Vekter!$G$3</f>
        <v>2.9453500549030291</v>
      </c>
      <c r="AI253" s="48">
        <f>Tabell2[[#This Row],[Sysselsettingsvekst10-I]]*Vekter!$H$3</f>
        <v>0</v>
      </c>
      <c r="AJ253" s="48">
        <f>Tabell2[[#This Row],[Yrkesaktivandel-I]]*Vekter!$J$3</f>
        <v>10</v>
      </c>
      <c r="AK253" s="48">
        <f>Tabell2[[#This Row],[Inntekt-I]]*Vekter!$L$3</f>
        <v>5.1464856029171386</v>
      </c>
      <c r="AL253" s="37">
        <f>SUM(Tabell2[[#This Row],[NIBR11-v]:[Inntekt-v]])</f>
        <v>45.25928115069901</v>
      </c>
    </row>
    <row r="254" spans="1:38">
      <c r="A254" s="2" t="s">
        <v>251</v>
      </c>
      <c r="B254">
        <f>'Rådata-K'!M253</f>
        <v>11</v>
      </c>
      <c r="C254" s="9">
        <f>'Rådata-K'!L253</f>
        <v>215.2085479863</v>
      </c>
      <c r="D254" s="51">
        <f>'Rådata-K'!N253</f>
        <v>4.745998942663527</v>
      </c>
      <c r="E254" s="51">
        <f>'Rådata-K'!O253</f>
        <v>-2.8290282902828978E-2</v>
      </c>
      <c r="F254" s="51">
        <f>'Rådata-K'!P253</f>
        <v>9.49367088607595E-2</v>
      </c>
      <c r="G254" s="51">
        <f>'Rådata-K'!Q253</f>
        <v>0.20658227848101265</v>
      </c>
      <c r="H254" s="51">
        <f>'Rådata-K'!R253</f>
        <v>-5.9400230680507482E-2</v>
      </c>
      <c r="I254" s="51">
        <f>'Rådata-K'!S253</f>
        <v>0.90621963070942668</v>
      </c>
      <c r="J254" s="52">
        <f>'Rådata-K'!K253</f>
        <v>342900</v>
      </c>
      <c r="K254" s="26">
        <f>Tabell2[[#This Row],[NIBR11]]</f>
        <v>11</v>
      </c>
      <c r="L254" s="52">
        <f>IF(Tabell2[[#This Row],[ReisetidOslo]]&lt;=C$434,C$434,IF(Tabell2[[#This Row],[ReisetidOslo]]&gt;=C$435,C$435,Tabell2[[#This Row],[ReisetidOslo]]))</f>
        <v>215.2085479863</v>
      </c>
      <c r="M254" s="51">
        <f>IF(Tabell2[[#This Row],[Beftettotal]]&lt;=D$434,D$434,IF(Tabell2[[#This Row],[Beftettotal]]&gt;=D$435,D$435,Tabell2[[#This Row],[Beftettotal]]))</f>
        <v>4.745998942663527</v>
      </c>
      <c r="N254" s="51">
        <f>IF(Tabell2[[#This Row],[Befvekst10]]&lt;=E$434,E$434,IF(Tabell2[[#This Row],[Befvekst10]]&gt;=E$435,E$435,Tabell2[[#This Row],[Befvekst10]]))</f>
        <v>-2.8290282902828978E-2</v>
      </c>
      <c r="O254" s="51">
        <f>IF(Tabell2[[#This Row],[Kvinneandel]]&lt;=F$434,F$434,IF(Tabell2[[#This Row],[Kvinneandel]]&gt;=F$435,F$435,Tabell2[[#This Row],[Kvinneandel]]))</f>
        <v>9.49367088607595E-2</v>
      </c>
      <c r="P254" s="51">
        <f>IF(Tabell2[[#This Row],[Eldreandel]]&lt;=G$434,G$434,IF(Tabell2[[#This Row],[Eldreandel]]&gt;=G$435,G$435,Tabell2[[#This Row],[Eldreandel]]))</f>
        <v>0.20658227848101265</v>
      </c>
      <c r="Q254" s="51">
        <f>IF(Tabell2[[#This Row],[Sysselsettingsvekst10]]&lt;=H$434,H$434,IF(Tabell2[[#This Row],[Sysselsettingsvekst10]]&gt;=H$435,H$435,Tabell2[[#This Row],[Sysselsettingsvekst10]]))</f>
        <v>-5.9400230680507482E-2</v>
      </c>
      <c r="R254" s="51">
        <f>IF(Tabell2[[#This Row],[Yrkesaktivandel]]&lt;=I$434,I$434,IF(Tabell2[[#This Row],[Yrkesaktivandel]]&gt;=I$435,I$435,Tabell2[[#This Row],[Yrkesaktivandel]]))</f>
        <v>0.90621963070942668</v>
      </c>
      <c r="S254" s="52">
        <f>IF(Tabell2[[#This Row],[Inntekt]]&lt;=J$434,J$434,IF(Tabell2[[#This Row],[Inntekt]]&gt;=J$435,J$435,Tabell2[[#This Row],[Inntekt]]))</f>
        <v>342900</v>
      </c>
      <c r="T254" s="9">
        <f>IF(Tabell2[[#This Row],[NIBR11-T]]&lt;=K$437,100,IF(Tabell2[[#This Row],[NIBR11-T]]&gt;=K$436,0,100*(K$436-Tabell2[[#This Row],[NIBR11-T]])/K$439))</f>
        <v>0</v>
      </c>
      <c r="U254" s="9">
        <f>(L$436-Tabell2[[#This Row],[ReisetidOslo-T]])*100/L$439</f>
        <v>28.344925666135424</v>
      </c>
      <c r="V254" s="9">
        <f>100-(M$436-Tabell2[[#This Row],[Beftettotal-T]])*100/M$439</f>
        <v>2.682989802169331</v>
      </c>
      <c r="W254" s="9">
        <f>100-(N$436-Tabell2[[#This Row],[Befvekst10-T]])*100/N$439</f>
        <v>21.242637080620284</v>
      </c>
      <c r="X254" s="9">
        <f>100-(O$436-Tabell2[[#This Row],[Kvinneandel-T]])*100/O$439</f>
        <v>12.379461965884261</v>
      </c>
      <c r="Y254" s="9">
        <f>(P$436-Tabell2[[#This Row],[Eldreandel-T]])*100/P$439</f>
        <v>1.9480756094571432</v>
      </c>
      <c r="Z254" s="9">
        <f>100-(Q$436-Tabell2[[#This Row],[Sysselsettingsvekst10-T]])*100/Q$439</f>
        <v>2.9825500141190133</v>
      </c>
      <c r="AA254" s="9">
        <f>100-(R$436-Tabell2[[#This Row],[Yrkesaktivandel-T]])*100/R$439</f>
        <v>58.284276812264849</v>
      </c>
      <c r="AB254" s="9">
        <f>100-(S$436-Tabell2[[#This Row],[Inntekt-T]])*100/S$439</f>
        <v>28.203193763359735</v>
      </c>
      <c r="AC254" s="48">
        <f>Tabell2[[#This Row],[NIBR11-I]]*Vekter!$B$3</f>
        <v>0</v>
      </c>
      <c r="AD254" s="48">
        <f>Tabell2[[#This Row],[ReisetidOslo-I]]*Vekter!$C$3</f>
        <v>2.8344925666135428</v>
      </c>
      <c r="AE254" s="48">
        <f>Tabell2[[#This Row],[Beftettotal-I]]*Vekter!$D$3</f>
        <v>0.2682989802169331</v>
      </c>
      <c r="AF254" s="48">
        <f>Tabell2[[#This Row],[Befvekst10-I]]*Vekter!$E$3</f>
        <v>4.2485274161240572</v>
      </c>
      <c r="AG254" s="48">
        <f>Tabell2[[#This Row],[Kvinneandel-I]]*Vekter!$F$3</f>
        <v>0.6189730982942131</v>
      </c>
      <c r="AH254" s="48">
        <f>Tabell2[[#This Row],[Eldreandel-I]]*Vekter!$G$3</f>
        <v>9.7403780472857165E-2</v>
      </c>
      <c r="AI254" s="48">
        <f>Tabell2[[#This Row],[Sysselsettingsvekst10-I]]*Vekter!$H$3</f>
        <v>0.29825500141190137</v>
      </c>
      <c r="AJ254" s="48">
        <f>Tabell2[[#This Row],[Yrkesaktivandel-I]]*Vekter!$J$3</f>
        <v>5.8284276812264855</v>
      </c>
      <c r="AK254" s="48">
        <f>Tabell2[[#This Row],[Inntekt-I]]*Vekter!$L$3</f>
        <v>2.8203193763359735</v>
      </c>
      <c r="AL254" s="37">
        <f>SUM(Tabell2[[#This Row],[NIBR11-v]:[Inntekt-v]])</f>
        <v>17.014697900695964</v>
      </c>
    </row>
    <row r="255" spans="1:38">
      <c r="A255" s="2" t="s">
        <v>252</v>
      </c>
      <c r="B255">
        <f>'Rådata-K'!M254</f>
        <v>9</v>
      </c>
      <c r="C255" s="9">
        <f>'Rådata-K'!L254</f>
        <v>219.7428749115</v>
      </c>
      <c r="D255" s="51">
        <f>'Rådata-K'!N254</f>
        <v>34.478659572059321</v>
      </c>
      <c r="E255" s="51">
        <f>'Rådata-K'!O254</f>
        <v>-3.1329516539440161E-2</v>
      </c>
      <c r="F255" s="51">
        <f>'Rådata-K'!P254</f>
        <v>0.10244623214578887</v>
      </c>
      <c r="G255" s="51">
        <f>'Rådata-K'!Q254</f>
        <v>0.16614677392874733</v>
      </c>
      <c r="H255" s="51">
        <f>'Rådata-K'!R254</f>
        <v>-4.9454078355812503E-2</v>
      </c>
      <c r="I255" s="51">
        <f>'Rådata-K'!S254</f>
        <v>0.88836524300441821</v>
      </c>
      <c r="J255" s="52">
        <f>'Rådata-K'!K254</f>
        <v>370200</v>
      </c>
      <c r="K255" s="26">
        <f>Tabell2[[#This Row],[NIBR11]]</f>
        <v>9</v>
      </c>
      <c r="L255" s="52">
        <f>IF(Tabell2[[#This Row],[ReisetidOslo]]&lt;=C$434,C$434,IF(Tabell2[[#This Row],[ReisetidOslo]]&gt;=C$435,C$435,Tabell2[[#This Row],[ReisetidOslo]]))</f>
        <v>219.7428749115</v>
      </c>
      <c r="M255" s="51">
        <f>IF(Tabell2[[#This Row],[Beftettotal]]&lt;=D$434,D$434,IF(Tabell2[[#This Row],[Beftettotal]]&gt;=D$435,D$435,Tabell2[[#This Row],[Beftettotal]]))</f>
        <v>34.478659572059321</v>
      </c>
      <c r="N255" s="51">
        <f>IF(Tabell2[[#This Row],[Befvekst10]]&lt;=E$434,E$434,IF(Tabell2[[#This Row],[Befvekst10]]&gt;=E$435,E$435,Tabell2[[#This Row],[Befvekst10]]))</f>
        <v>-3.1329516539440161E-2</v>
      </c>
      <c r="O255" s="51">
        <f>IF(Tabell2[[#This Row],[Kvinneandel]]&lt;=F$434,F$434,IF(Tabell2[[#This Row],[Kvinneandel]]&gt;=F$435,F$435,Tabell2[[#This Row],[Kvinneandel]]))</f>
        <v>0.10244623214578887</v>
      </c>
      <c r="P255" s="51">
        <f>IF(Tabell2[[#This Row],[Eldreandel]]&lt;=G$434,G$434,IF(Tabell2[[#This Row],[Eldreandel]]&gt;=G$435,G$435,Tabell2[[#This Row],[Eldreandel]]))</f>
        <v>0.16614677392874733</v>
      </c>
      <c r="Q255" s="51">
        <f>IF(Tabell2[[#This Row],[Sysselsettingsvekst10]]&lt;=H$434,H$434,IF(Tabell2[[#This Row],[Sysselsettingsvekst10]]&gt;=H$435,H$435,Tabell2[[#This Row],[Sysselsettingsvekst10]]))</f>
        <v>-4.9454078355812503E-2</v>
      </c>
      <c r="R255" s="51">
        <f>IF(Tabell2[[#This Row],[Yrkesaktivandel]]&lt;=I$434,I$434,IF(Tabell2[[#This Row],[Yrkesaktivandel]]&gt;=I$435,I$435,Tabell2[[#This Row],[Yrkesaktivandel]]))</f>
        <v>0.88836524300441821</v>
      </c>
      <c r="S255" s="52">
        <f>IF(Tabell2[[#This Row],[Inntekt]]&lt;=J$434,J$434,IF(Tabell2[[#This Row],[Inntekt]]&gt;=J$435,J$435,Tabell2[[#This Row],[Inntekt]]))</f>
        <v>370200</v>
      </c>
      <c r="T255" s="9">
        <f>IF(Tabell2[[#This Row],[NIBR11-T]]&lt;=K$437,100,IF(Tabell2[[#This Row],[NIBR11-T]]&gt;=K$436,0,100*(K$436-Tabell2[[#This Row],[NIBR11-T]])/K$439))</f>
        <v>20</v>
      </c>
      <c r="U255" s="9">
        <f>(L$436-Tabell2[[#This Row],[ReisetidOslo-T]])*100/L$439</f>
        <v>26.331908544047543</v>
      </c>
      <c r="V255" s="9">
        <f>100-(M$436-Tabell2[[#This Row],[Beftettotal-T]])*100/M$439</f>
        <v>26.102277353706583</v>
      </c>
      <c r="W255" s="9">
        <f>100-(N$436-Tabell2[[#This Row],[Befvekst10-T]])*100/N$439</f>
        <v>20.012793781630251</v>
      </c>
      <c r="X255" s="9">
        <f>100-(O$436-Tabell2[[#This Row],[Kvinneandel-T]])*100/O$439</f>
        <v>32.269919667190308</v>
      </c>
      <c r="Y255" s="9">
        <f>(P$436-Tabell2[[#This Row],[Eldreandel-T]])*100/P$439</f>
        <v>47.789259621446952</v>
      </c>
      <c r="Z255" s="9">
        <f>100-(Q$436-Tabell2[[#This Row],[Sysselsettingsvekst10-T]])*100/Q$439</f>
        <v>6.1749781412966911</v>
      </c>
      <c r="AA255" s="9">
        <f>100-(R$436-Tabell2[[#This Row],[Yrkesaktivandel-T]])*100/R$439</f>
        <v>44.974263940426603</v>
      </c>
      <c r="AB255" s="9">
        <f>100-(S$436-Tabell2[[#This Row],[Inntekt-T]])*100/S$439</f>
        <v>62.529862944800705</v>
      </c>
      <c r="AC255" s="48">
        <f>Tabell2[[#This Row],[NIBR11-I]]*Vekter!$B$3</f>
        <v>4</v>
      </c>
      <c r="AD255" s="48">
        <f>Tabell2[[#This Row],[ReisetidOslo-I]]*Vekter!$C$3</f>
        <v>2.6331908544047544</v>
      </c>
      <c r="AE255" s="48">
        <f>Tabell2[[#This Row],[Beftettotal-I]]*Vekter!$D$3</f>
        <v>2.6102277353706587</v>
      </c>
      <c r="AF255" s="48">
        <f>Tabell2[[#This Row],[Befvekst10-I]]*Vekter!$E$3</f>
        <v>4.0025587563260503</v>
      </c>
      <c r="AG255" s="48">
        <f>Tabell2[[#This Row],[Kvinneandel-I]]*Vekter!$F$3</f>
        <v>1.6134959833595155</v>
      </c>
      <c r="AH255" s="48">
        <f>Tabell2[[#This Row],[Eldreandel-I]]*Vekter!$G$3</f>
        <v>2.3894629810723478</v>
      </c>
      <c r="AI255" s="48">
        <f>Tabell2[[#This Row],[Sysselsettingsvekst10-I]]*Vekter!$H$3</f>
        <v>0.6174978141296692</v>
      </c>
      <c r="AJ255" s="48">
        <f>Tabell2[[#This Row],[Yrkesaktivandel-I]]*Vekter!$J$3</f>
        <v>4.4974263940426606</v>
      </c>
      <c r="AK255" s="48">
        <f>Tabell2[[#This Row],[Inntekt-I]]*Vekter!$L$3</f>
        <v>6.2529862944800705</v>
      </c>
      <c r="AL255" s="37">
        <f>SUM(Tabell2[[#This Row],[NIBR11-v]:[Inntekt-v]])</f>
        <v>28.616846813185727</v>
      </c>
    </row>
    <row r="256" spans="1:38">
      <c r="A256" s="2" t="s">
        <v>253</v>
      </c>
      <c r="B256">
        <f>'Rådata-K'!M255</f>
        <v>9</v>
      </c>
      <c r="C256" s="9">
        <f>'Rådata-K'!L255</f>
        <v>225.99359593779999</v>
      </c>
      <c r="D256" s="51">
        <f>'Rådata-K'!N255</f>
        <v>12.303201839731116</v>
      </c>
      <c r="E256" s="51">
        <f>'Rådata-K'!O255</f>
        <v>-8.7868852459016433E-2</v>
      </c>
      <c r="F256" s="51">
        <f>'Rådata-K'!P255</f>
        <v>9.8490294751977001E-2</v>
      </c>
      <c r="G256" s="51">
        <f>'Rådata-K'!Q255</f>
        <v>0.17972681524083392</v>
      </c>
      <c r="H256" s="51">
        <f>'Rådata-K'!R255</f>
        <v>7.3127753303964704E-2</v>
      </c>
      <c r="I256" s="51">
        <f>'Rådata-K'!S255</f>
        <v>0.94688524590163936</v>
      </c>
      <c r="J256" s="52">
        <f>'Rådata-K'!K255</f>
        <v>357800</v>
      </c>
      <c r="K256" s="26">
        <f>Tabell2[[#This Row],[NIBR11]]</f>
        <v>9</v>
      </c>
      <c r="L256" s="52">
        <f>IF(Tabell2[[#This Row],[ReisetidOslo]]&lt;=C$434,C$434,IF(Tabell2[[#This Row],[ReisetidOslo]]&gt;=C$435,C$435,Tabell2[[#This Row],[ReisetidOslo]]))</f>
        <v>225.99359593779999</v>
      </c>
      <c r="M256" s="51">
        <f>IF(Tabell2[[#This Row],[Beftettotal]]&lt;=D$434,D$434,IF(Tabell2[[#This Row],[Beftettotal]]&gt;=D$435,D$435,Tabell2[[#This Row],[Beftettotal]]))</f>
        <v>12.303201839731116</v>
      </c>
      <c r="N256" s="51">
        <f>IF(Tabell2[[#This Row],[Befvekst10]]&lt;=E$434,E$434,IF(Tabell2[[#This Row],[Befvekst10]]&gt;=E$435,E$435,Tabell2[[#This Row],[Befvekst10]]))</f>
        <v>-8.0785862785862778E-2</v>
      </c>
      <c r="O256" s="51">
        <f>IF(Tabell2[[#This Row],[Kvinneandel]]&lt;=F$434,F$434,IF(Tabell2[[#This Row],[Kvinneandel]]&gt;=F$435,F$435,Tabell2[[#This Row],[Kvinneandel]]))</f>
        <v>9.8490294751977001E-2</v>
      </c>
      <c r="P256" s="51">
        <f>IF(Tabell2[[#This Row],[Eldreandel]]&lt;=G$434,G$434,IF(Tabell2[[#This Row],[Eldreandel]]&gt;=G$435,G$435,Tabell2[[#This Row],[Eldreandel]]))</f>
        <v>0.17972681524083392</v>
      </c>
      <c r="Q256" s="51">
        <f>IF(Tabell2[[#This Row],[Sysselsettingsvekst10]]&lt;=H$434,H$434,IF(Tabell2[[#This Row],[Sysselsettingsvekst10]]&gt;=H$435,H$435,Tabell2[[#This Row],[Sysselsettingsvekst10]]))</f>
        <v>7.3127753303964704E-2</v>
      </c>
      <c r="R256" s="51">
        <f>IF(Tabell2[[#This Row],[Yrkesaktivandel]]&lt;=I$434,I$434,IF(Tabell2[[#This Row],[Yrkesaktivandel]]&gt;=I$435,I$435,Tabell2[[#This Row],[Yrkesaktivandel]]))</f>
        <v>0.94688524590163936</v>
      </c>
      <c r="S256" s="52">
        <f>IF(Tabell2[[#This Row],[Inntekt]]&lt;=J$434,J$434,IF(Tabell2[[#This Row],[Inntekt]]&gt;=J$435,J$435,Tabell2[[#This Row],[Inntekt]]))</f>
        <v>357800</v>
      </c>
      <c r="T256" s="9">
        <f>IF(Tabell2[[#This Row],[NIBR11-T]]&lt;=K$437,100,IF(Tabell2[[#This Row],[NIBR11-T]]&gt;=K$436,0,100*(K$436-Tabell2[[#This Row],[NIBR11-T]])/K$439))</f>
        <v>20</v>
      </c>
      <c r="U256" s="9">
        <f>(L$436-Tabell2[[#This Row],[ReisetidOslo-T]])*100/L$439</f>
        <v>23.556897244926972</v>
      </c>
      <c r="V256" s="9">
        <f>100-(M$436-Tabell2[[#This Row],[Beftettotal-T]])*100/M$439</f>
        <v>8.6355115067609916</v>
      </c>
      <c r="W256" s="9">
        <f>100-(N$436-Tabell2[[#This Row],[Befvekst10-T]])*100/N$439</f>
        <v>0</v>
      </c>
      <c r="X256" s="9">
        <f>100-(O$436-Tabell2[[#This Row],[Kvinneandel-T]])*100/O$439</f>
        <v>21.79183704941704</v>
      </c>
      <c r="Y256" s="9">
        <f>(P$436-Tabell2[[#This Row],[Eldreandel-T]])*100/P$439</f>
        <v>32.39375066042647</v>
      </c>
      <c r="Z256" s="9">
        <f>100-(Q$436-Tabell2[[#This Row],[Sysselsettingsvekst10-T]])*100/Q$439</f>
        <v>45.520211805173297</v>
      </c>
      <c r="AA256" s="9">
        <f>100-(R$436-Tabell2[[#This Row],[Yrkesaktivandel-T]])*100/R$439</f>
        <v>88.599506356526334</v>
      </c>
      <c r="AB256" s="9">
        <f>100-(S$436-Tabell2[[#This Row],[Inntekt-T]])*100/S$439</f>
        <v>46.938262290959386</v>
      </c>
      <c r="AC256" s="48">
        <f>Tabell2[[#This Row],[NIBR11-I]]*Vekter!$B$3</f>
        <v>4</v>
      </c>
      <c r="AD256" s="48">
        <f>Tabell2[[#This Row],[ReisetidOslo-I]]*Vekter!$C$3</f>
        <v>2.3556897244926973</v>
      </c>
      <c r="AE256" s="48">
        <f>Tabell2[[#This Row],[Beftettotal-I]]*Vekter!$D$3</f>
        <v>0.86355115067609922</v>
      </c>
      <c r="AF256" s="48">
        <f>Tabell2[[#This Row],[Befvekst10-I]]*Vekter!$E$3</f>
        <v>0</v>
      </c>
      <c r="AG256" s="48">
        <f>Tabell2[[#This Row],[Kvinneandel-I]]*Vekter!$F$3</f>
        <v>1.0895918524708521</v>
      </c>
      <c r="AH256" s="48">
        <f>Tabell2[[#This Row],[Eldreandel-I]]*Vekter!$G$3</f>
        <v>1.6196875330213236</v>
      </c>
      <c r="AI256" s="48">
        <f>Tabell2[[#This Row],[Sysselsettingsvekst10-I]]*Vekter!$H$3</f>
        <v>4.5520211805173298</v>
      </c>
      <c r="AJ256" s="48">
        <f>Tabell2[[#This Row],[Yrkesaktivandel-I]]*Vekter!$J$3</f>
        <v>8.8599506356526341</v>
      </c>
      <c r="AK256" s="48">
        <f>Tabell2[[#This Row],[Inntekt-I]]*Vekter!$L$3</f>
        <v>4.6938262290959392</v>
      </c>
      <c r="AL256" s="37">
        <f>SUM(Tabell2[[#This Row],[NIBR11-v]:[Inntekt-v]])</f>
        <v>28.034318305926877</v>
      </c>
    </row>
    <row r="257" spans="1:38">
      <c r="A257" s="2" t="s">
        <v>254</v>
      </c>
      <c r="B257">
        <f>'Rådata-K'!M256</f>
        <v>8</v>
      </c>
      <c r="C257" s="9">
        <f>'Rådata-K'!L256</f>
        <v>174.667456805</v>
      </c>
      <c r="D257" s="51">
        <f>'Rådata-K'!N256</f>
        <v>12.629470184561614</v>
      </c>
      <c r="E257" s="51">
        <f>'Rådata-K'!O256</f>
        <v>2.5436926803945381E-2</v>
      </c>
      <c r="F257" s="51">
        <f>'Rådata-K'!P256</f>
        <v>0.11322983462706716</v>
      </c>
      <c r="G257" s="51">
        <f>'Rådata-K'!Q256</f>
        <v>0.14748565642929462</v>
      </c>
      <c r="H257" s="51">
        <f>'Rådata-K'!R256</f>
        <v>7.1030122722201661E-2</v>
      </c>
      <c r="I257" s="51">
        <f>'Rådata-K'!S256</f>
        <v>0.95124167171411267</v>
      </c>
      <c r="J257" s="52">
        <f>'Rådata-K'!K256</f>
        <v>354700</v>
      </c>
      <c r="K257" s="26">
        <f>Tabell2[[#This Row],[NIBR11]]</f>
        <v>8</v>
      </c>
      <c r="L257" s="52">
        <f>IF(Tabell2[[#This Row],[ReisetidOslo]]&lt;=C$434,C$434,IF(Tabell2[[#This Row],[ReisetidOslo]]&gt;=C$435,C$435,Tabell2[[#This Row],[ReisetidOslo]]))</f>
        <v>174.667456805</v>
      </c>
      <c r="M257" s="51">
        <f>IF(Tabell2[[#This Row],[Beftettotal]]&lt;=D$434,D$434,IF(Tabell2[[#This Row],[Beftettotal]]&gt;=D$435,D$435,Tabell2[[#This Row],[Beftettotal]]))</f>
        <v>12.629470184561614</v>
      </c>
      <c r="N257" s="51">
        <f>IF(Tabell2[[#This Row],[Befvekst10]]&lt;=E$434,E$434,IF(Tabell2[[#This Row],[Befvekst10]]&gt;=E$435,E$435,Tabell2[[#This Row],[Befvekst10]]))</f>
        <v>2.5436926803945381E-2</v>
      </c>
      <c r="O257" s="51">
        <f>IF(Tabell2[[#This Row],[Kvinneandel]]&lt;=F$434,F$434,IF(Tabell2[[#This Row],[Kvinneandel]]&gt;=F$435,F$435,Tabell2[[#This Row],[Kvinneandel]]))</f>
        <v>0.11322983462706716</v>
      </c>
      <c r="P257" s="51">
        <f>IF(Tabell2[[#This Row],[Eldreandel]]&lt;=G$434,G$434,IF(Tabell2[[#This Row],[Eldreandel]]&gt;=G$435,G$435,Tabell2[[#This Row],[Eldreandel]]))</f>
        <v>0.14748565642929462</v>
      </c>
      <c r="Q257" s="51">
        <f>IF(Tabell2[[#This Row],[Sysselsettingsvekst10]]&lt;=H$434,H$434,IF(Tabell2[[#This Row],[Sysselsettingsvekst10]]&gt;=H$435,H$435,Tabell2[[#This Row],[Sysselsettingsvekst10]]))</f>
        <v>7.1030122722201661E-2</v>
      </c>
      <c r="R257" s="51">
        <f>IF(Tabell2[[#This Row],[Yrkesaktivandel]]&lt;=I$434,I$434,IF(Tabell2[[#This Row],[Yrkesaktivandel]]&gt;=I$435,I$435,Tabell2[[#This Row],[Yrkesaktivandel]]))</f>
        <v>0.95124167171411267</v>
      </c>
      <c r="S257" s="52">
        <f>IF(Tabell2[[#This Row],[Inntekt]]&lt;=J$434,J$434,IF(Tabell2[[#This Row],[Inntekt]]&gt;=J$435,J$435,Tabell2[[#This Row],[Inntekt]]))</f>
        <v>354700</v>
      </c>
      <c r="T257" s="9">
        <f>IF(Tabell2[[#This Row],[NIBR11-T]]&lt;=K$437,100,IF(Tabell2[[#This Row],[NIBR11-T]]&gt;=K$436,0,100*(K$436-Tabell2[[#This Row],[NIBR11-T]])/K$439))</f>
        <v>30</v>
      </c>
      <c r="U257" s="9">
        <f>(L$436-Tabell2[[#This Row],[ReisetidOslo-T]])*100/L$439</f>
        <v>46.34316709035371</v>
      </c>
      <c r="V257" s="9">
        <f>100-(M$436-Tabell2[[#This Row],[Beftettotal-T]])*100/M$439</f>
        <v>8.8925006905340354</v>
      </c>
      <c r="W257" s="9">
        <f>100-(N$436-Tabell2[[#This Row],[Befvekst10-T]])*100/N$439</f>
        <v>42.983660223870665</v>
      </c>
      <c r="X257" s="9">
        <f>100-(O$436-Tabell2[[#This Row],[Kvinneandel-T]])*100/O$439</f>
        <v>60.832423687806909</v>
      </c>
      <c r="Y257" s="9">
        <f>(P$436-Tabell2[[#This Row],[Eldreandel-T]])*100/P$439</f>
        <v>68.945115858038648</v>
      </c>
      <c r="Z257" s="9">
        <f>100-(Q$436-Tabell2[[#This Row],[Sysselsettingsvekst10-T]])*100/Q$439</f>
        <v>44.846932867646693</v>
      </c>
      <c r="AA257" s="9">
        <f>100-(R$436-Tabell2[[#This Row],[Yrkesaktivandel-T]])*100/R$439</f>
        <v>91.847116109223848</v>
      </c>
      <c r="AB257" s="9">
        <f>100-(S$436-Tabell2[[#This Row],[Inntekt-T]])*100/S$439</f>
        <v>43.040362127499058</v>
      </c>
      <c r="AC257" s="48">
        <f>Tabell2[[#This Row],[NIBR11-I]]*Vekter!$B$3</f>
        <v>6</v>
      </c>
      <c r="AD257" s="48">
        <f>Tabell2[[#This Row],[ReisetidOslo-I]]*Vekter!$C$3</f>
        <v>4.634316709035371</v>
      </c>
      <c r="AE257" s="48">
        <f>Tabell2[[#This Row],[Beftettotal-I]]*Vekter!$D$3</f>
        <v>0.88925006905340354</v>
      </c>
      <c r="AF257" s="48">
        <f>Tabell2[[#This Row],[Befvekst10-I]]*Vekter!$E$3</f>
        <v>8.596732044774134</v>
      </c>
      <c r="AG257" s="48">
        <f>Tabell2[[#This Row],[Kvinneandel-I]]*Vekter!$F$3</f>
        <v>3.0416211843903458</v>
      </c>
      <c r="AH257" s="48">
        <f>Tabell2[[#This Row],[Eldreandel-I]]*Vekter!$G$3</f>
        <v>3.4472557929019327</v>
      </c>
      <c r="AI257" s="48">
        <f>Tabell2[[#This Row],[Sysselsettingsvekst10-I]]*Vekter!$H$3</f>
        <v>4.4846932867646698</v>
      </c>
      <c r="AJ257" s="48">
        <f>Tabell2[[#This Row],[Yrkesaktivandel-I]]*Vekter!$J$3</f>
        <v>9.1847116109223848</v>
      </c>
      <c r="AK257" s="48">
        <f>Tabell2[[#This Row],[Inntekt-I]]*Vekter!$L$3</f>
        <v>4.3040362127499057</v>
      </c>
      <c r="AL257" s="37">
        <f>SUM(Tabell2[[#This Row],[NIBR11-v]:[Inntekt-v]])</f>
        <v>44.582616910592151</v>
      </c>
    </row>
    <row r="258" spans="1:38">
      <c r="A258" s="2" t="s">
        <v>255</v>
      </c>
      <c r="B258">
        <f>'Rådata-K'!M257</f>
        <v>8</v>
      </c>
      <c r="C258" s="9">
        <f>'Rådata-K'!L257</f>
        <v>201.13440440639999</v>
      </c>
      <c r="D258" s="51">
        <f>'Rådata-K'!N257</f>
        <v>6.3830897703549061</v>
      </c>
      <c r="E258" s="51">
        <f>'Rådata-K'!O257</f>
        <v>1.6625103906899419E-2</v>
      </c>
      <c r="F258" s="51">
        <f>'Rådata-K'!P257</f>
        <v>0.10874897792313983</v>
      </c>
      <c r="G258" s="51">
        <f>'Rådata-K'!Q257</f>
        <v>0.17743254292722813</v>
      </c>
      <c r="H258" s="51">
        <f>'Rådata-K'!R257</f>
        <v>1.2145748987854255E-2</v>
      </c>
      <c r="I258" s="51">
        <f>'Rådata-K'!S257</f>
        <v>1.0382262996941896</v>
      </c>
      <c r="J258" s="52">
        <f>'Rådata-K'!K257</f>
        <v>335300</v>
      </c>
      <c r="K258" s="26">
        <f>Tabell2[[#This Row],[NIBR11]]</f>
        <v>8</v>
      </c>
      <c r="L258" s="52">
        <f>IF(Tabell2[[#This Row],[ReisetidOslo]]&lt;=C$434,C$434,IF(Tabell2[[#This Row],[ReisetidOslo]]&gt;=C$435,C$435,Tabell2[[#This Row],[ReisetidOslo]]))</f>
        <v>201.13440440639999</v>
      </c>
      <c r="M258" s="51">
        <f>IF(Tabell2[[#This Row],[Beftettotal]]&lt;=D$434,D$434,IF(Tabell2[[#This Row],[Beftettotal]]&gt;=D$435,D$435,Tabell2[[#This Row],[Beftettotal]]))</f>
        <v>6.3830897703549061</v>
      </c>
      <c r="N258" s="51">
        <f>IF(Tabell2[[#This Row],[Befvekst10]]&lt;=E$434,E$434,IF(Tabell2[[#This Row],[Befvekst10]]&gt;=E$435,E$435,Tabell2[[#This Row],[Befvekst10]]))</f>
        <v>1.6625103906899419E-2</v>
      </c>
      <c r="O258" s="51">
        <f>IF(Tabell2[[#This Row],[Kvinneandel]]&lt;=F$434,F$434,IF(Tabell2[[#This Row],[Kvinneandel]]&gt;=F$435,F$435,Tabell2[[#This Row],[Kvinneandel]]))</f>
        <v>0.10874897792313983</v>
      </c>
      <c r="P258" s="51">
        <f>IF(Tabell2[[#This Row],[Eldreandel]]&lt;=G$434,G$434,IF(Tabell2[[#This Row],[Eldreandel]]&gt;=G$435,G$435,Tabell2[[#This Row],[Eldreandel]]))</f>
        <v>0.17743254292722813</v>
      </c>
      <c r="Q258" s="51">
        <f>IF(Tabell2[[#This Row],[Sysselsettingsvekst10]]&lt;=H$434,H$434,IF(Tabell2[[#This Row],[Sysselsettingsvekst10]]&gt;=H$435,H$435,Tabell2[[#This Row],[Sysselsettingsvekst10]]))</f>
        <v>1.2145748987854255E-2</v>
      </c>
      <c r="R258" s="51">
        <f>IF(Tabell2[[#This Row],[Yrkesaktivandel]]&lt;=I$434,I$434,IF(Tabell2[[#This Row],[Yrkesaktivandel]]&gt;=I$435,I$435,Tabell2[[#This Row],[Yrkesaktivandel]]))</f>
        <v>0.96217815624658265</v>
      </c>
      <c r="S258" s="52">
        <f>IF(Tabell2[[#This Row],[Inntekt]]&lt;=J$434,J$434,IF(Tabell2[[#This Row],[Inntekt]]&gt;=J$435,J$435,Tabell2[[#This Row],[Inntekt]]))</f>
        <v>335300</v>
      </c>
      <c r="T258" s="9">
        <f>IF(Tabell2[[#This Row],[NIBR11-T]]&lt;=K$437,100,IF(Tabell2[[#This Row],[NIBR11-T]]&gt;=K$436,0,100*(K$436-Tabell2[[#This Row],[NIBR11-T]])/K$439))</f>
        <v>30</v>
      </c>
      <c r="U258" s="9">
        <f>(L$436-Tabell2[[#This Row],[ReisetidOslo-T]])*100/L$439</f>
        <v>34.593150038226177</v>
      </c>
      <c r="V258" s="9">
        <f>100-(M$436-Tabell2[[#This Row],[Beftettotal-T]])*100/M$439</f>
        <v>3.9724640715451187</v>
      </c>
      <c r="W258" s="9">
        <f>100-(N$436-Tabell2[[#This Row],[Befvekst10-T]])*100/N$439</f>
        <v>39.417905616764315</v>
      </c>
      <c r="X258" s="9">
        <f>100-(O$436-Tabell2[[#This Row],[Kvinneandel-T]])*100/O$439</f>
        <v>48.963988455339027</v>
      </c>
      <c r="Y258" s="9">
        <f>(P$436-Tabell2[[#This Row],[Eldreandel-T]])*100/P$439</f>
        <v>34.994736117790445</v>
      </c>
      <c r="Z258" s="9">
        <f>100-(Q$436-Tabell2[[#This Row],[Sysselsettingsvekst10-T]])*100/Q$439</f>
        <v>25.946746662571783</v>
      </c>
      <c r="AA258" s="9">
        <f>100-(R$436-Tabell2[[#This Row],[Yrkesaktivandel-T]])*100/R$439</f>
        <v>100</v>
      </c>
      <c r="AB258" s="9">
        <f>100-(S$436-Tabell2[[#This Row],[Inntekt-T]])*100/S$439</f>
        <v>18.647051427134414</v>
      </c>
      <c r="AC258" s="48">
        <f>Tabell2[[#This Row],[NIBR11-I]]*Vekter!$B$3</f>
        <v>6</v>
      </c>
      <c r="AD258" s="48">
        <f>Tabell2[[#This Row],[ReisetidOslo-I]]*Vekter!$C$3</f>
        <v>3.4593150038226179</v>
      </c>
      <c r="AE258" s="48">
        <f>Tabell2[[#This Row],[Beftettotal-I]]*Vekter!$D$3</f>
        <v>0.39724640715451187</v>
      </c>
      <c r="AF258" s="48">
        <f>Tabell2[[#This Row],[Befvekst10-I]]*Vekter!$E$3</f>
        <v>7.8835811233528634</v>
      </c>
      <c r="AG258" s="48">
        <f>Tabell2[[#This Row],[Kvinneandel-I]]*Vekter!$F$3</f>
        <v>2.4481994227669515</v>
      </c>
      <c r="AH258" s="48">
        <f>Tabell2[[#This Row],[Eldreandel-I]]*Vekter!$G$3</f>
        <v>1.7497368058895224</v>
      </c>
      <c r="AI258" s="48">
        <f>Tabell2[[#This Row],[Sysselsettingsvekst10-I]]*Vekter!$H$3</f>
        <v>2.5946746662571787</v>
      </c>
      <c r="AJ258" s="48">
        <f>Tabell2[[#This Row],[Yrkesaktivandel-I]]*Vekter!$J$3</f>
        <v>10</v>
      </c>
      <c r="AK258" s="48">
        <f>Tabell2[[#This Row],[Inntekt-I]]*Vekter!$L$3</f>
        <v>1.8647051427134416</v>
      </c>
      <c r="AL258" s="37">
        <f>SUM(Tabell2[[#This Row],[NIBR11-v]:[Inntekt-v]])</f>
        <v>36.397458571957081</v>
      </c>
    </row>
    <row r="259" spans="1:38">
      <c r="A259" s="2" t="s">
        <v>256</v>
      </c>
      <c r="B259">
        <f>'Rådata-K'!M258</f>
        <v>9</v>
      </c>
      <c r="C259" s="9">
        <f>'Rådata-K'!L258</f>
        <v>165.96171553433999</v>
      </c>
      <c r="D259" s="51">
        <f>'Rådata-K'!N258</f>
        <v>5.5227934044616873</v>
      </c>
      <c r="E259" s="51">
        <f>'Rådata-K'!O258</f>
        <v>-8.1867270510364021E-3</v>
      </c>
      <c r="F259" s="51">
        <f>'Rådata-K'!P258</f>
        <v>0.10607657182999648</v>
      </c>
      <c r="G259" s="51">
        <f>'Rådata-K'!Q258</f>
        <v>0.17597471022128555</v>
      </c>
      <c r="H259" s="51">
        <f>'Rådata-K'!R258</f>
        <v>1.6333938294010864E-2</v>
      </c>
      <c r="I259" s="51">
        <f>'Rådata-K'!S258</f>
        <v>0.99417287147944322</v>
      </c>
      <c r="J259" s="52">
        <f>'Rådata-K'!K258</f>
        <v>355100</v>
      </c>
      <c r="K259" s="26">
        <f>Tabell2[[#This Row],[NIBR11]]</f>
        <v>9</v>
      </c>
      <c r="L259" s="52">
        <f>IF(Tabell2[[#This Row],[ReisetidOslo]]&lt;=C$434,C$434,IF(Tabell2[[#This Row],[ReisetidOslo]]&gt;=C$435,C$435,Tabell2[[#This Row],[ReisetidOslo]]))</f>
        <v>165.96171553433999</v>
      </c>
      <c r="M259" s="51">
        <f>IF(Tabell2[[#This Row],[Beftettotal]]&lt;=D$434,D$434,IF(Tabell2[[#This Row],[Beftettotal]]&gt;=D$435,D$435,Tabell2[[#This Row],[Beftettotal]]))</f>
        <v>5.5227934044616873</v>
      </c>
      <c r="N259" s="51">
        <f>IF(Tabell2[[#This Row],[Befvekst10]]&lt;=E$434,E$434,IF(Tabell2[[#This Row],[Befvekst10]]&gt;=E$435,E$435,Tabell2[[#This Row],[Befvekst10]]))</f>
        <v>-8.1867270510364021E-3</v>
      </c>
      <c r="O259" s="51">
        <f>IF(Tabell2[[#This Row],[Kvinneandel]]&lt;=F$434,F$434,IF(Tabell2[[#This Row],[Kvinneandel]]&gt;=F$435,F$435,Tabell2[[#This Row],[Kvinneandel]]))</f>
        <v>0.10607657182999648</v>
      </c>
      <c r="P259" s="51">
        <f>IF(Tabell2[[#This Row],[Eldreandel]]&lt;=G$434,G$434,IF(Tabell2[[#This Row],[Eldreandel]]&gt;=G$435,G$435,Tabell2[[#This Row],[Eldreandel]]))</f>
        <v>0.17597471022128555</v>
      </c>
      <c r="Q259" s="51">
        <f>IF(Tabell2[[#This Row],[Sysselsettingsvekst10]]&lt;=H$434,H$434,IF(Tabell2[[#This Row],[Sysselsettingsvekst10]]&gt;=H$435,H$435,Tabell2[[#This Row],[Sysselsettingsvekst10]]))</f>
        <v>1.6333938294010864E-2</v>
      </c>
      <c r="R259" s="51">
        <f>IF(Tabell2[[#This Row],[Yrkesaktivandel]]&lt;=I$434,I$434,IF(Tabell2[[#This Row],[Yrkesaktivandel]]&gt;=I$435,I$435,Tabell2[[#This Row],[Yrkesaktivandel]]))</f>
        <v>0.96217815624658265</v>
      </c>
      <c r="S259" s="52">
        <f>IF(Tabell2[[#This Row],[Inntekt]]&lt;=J$434,J$434,IF(Tabell2[[#This Row],[Inntekt]]&gt;=J$435,J$435,Tabell2[[#This Row],[Inntekt]]))</f>
        <v>355100</v>
      </c>
      <c r="T259" s="9">
        <f>IF(Tabell2[[#This Row],[NIBR11-T]]&lt;=K$437,100,IF(Tabell2[[#This Row],[NIBR11-T]]&gt;=K$436,0,100*(K$436-Tabell2[[#This Row],[NIBR11-T]])/K$439))</f>
        <v>20</v>
      </c>
      <c r="U259" s="9">
        <f>(L$436-Tabell2[[#This Row],[ReisetidOslo-T]])*100/L$439</f>
        <v>50.208086079963785</v>
      </c>
      <c r="V259" s="9">
        <f>100-(M$436-Tabell2[[#This Row],[Beftettotal-T]])*100/M$439</f>
        <v>3.2948412976021615</v>
      </c>
      <c r="W259" s="9">
        <f>100-(N$436-Tabell2[[#This Row],[Befvekst10-T]])*100/N$439</f>
        <v>29.377656103957705</v>
      </c>
      <c r="X259" s="9">
        <f>100-(O$436-Tabell2[[#This Row],[Kvinneandel-T]])*100/O$439</f>
        <v>41.885592352306986</v>
      </c>
      <c r="Y259" s="9">
        <f>(P$436-Tabell2[[#This Row],[Eldreandel-T]])*100/P$439</f>
        <v>36.647461317384042</v>
      </c>
      <c r="Z259" s="9">
        <f>100-(Q$436-Tabell2[[#This Row],[Sysselsettingsvekst10-T]])*100/Q$439</f>
        <v>27.291034675306307</v>
      </c>
      <c r="AA259" s="9">
        <f>100-(R$436-Tabell2[[#This Row],[Yrkesaktivandel-T]])*100/R$439</f>
        <v>100</v>
      </c>
      <c r="AB259" s="9">
        <f>100-(S$436-Tabell2[[#This Row],[Inntekt-T]])*100/S$439</f>
        <v>43.543316987300386</v>
      </c>
      <c r="AC259" s="48">
        <f>Tabell2[[#This Row],[NIBR11-I]]*Vekter!$B$3</f>
        <v>4</v>
      </c>
      <c r="AD259" s="48">
        <f>Tabell2[[#This Row],[ReisetidOslo-I]]*Vekter!$C$3</f>
        <v>5.0208086079963792</v>
      </c>
      <c r="AE259" s="48">
        <f>Tabell2[[#This Row],[Beftettotal-I]]*Vekter!$D$3</f>
        <v>0.32948412976021618</v>
      </c>
      <c r="AF259" s="48">
        <f>Tabell2[[#This Row],[Befvekst10-I]]*Vekter!$E$3</f>
        <v>5.8755312207915411</v>
      </c>
      <c r="AG259" s="48">
        <f>Tabell2[[#This Row],[Kvinneandel-I]]*Vekter!$F$3</f>
        <v>2.0942796176153493</v>
      </c>
      <c r="AH259" s="48">
        <f>Tabell2[[#This Row],[Eldreandel-I]]*Vekter!$G$3</f>
        <v>1.8323730658692021</v>
      </c>
      <c r="AI259" s="48">
        <f>Tabell2[[#This Row],[Sysselsettingsvekst10-I]]*Vekter!$H$3</f>
        <v>2.7291034675306309</v>
      </c>
      <c r="AJ259" s="48">
        <f>Tabell2[[#This Row],[Yrkesaktivandel-I]]*Vekter!$J$3</f>
        <v>10</v>
      </c>
      <c r="AK259" s="48">
        <f>Tabell2[[#This Row],[Inntekt-I]]*Vekter!$L$3</f>
        <v>4.3543316987300384</v>
      </c>
      <c r="AL259" s="37">
        <f>SUM(Tabell2[[#This Row],[NIBR11-v]:[Inntekt-v]])</f>
        <v>36.235911808293359</v>
      </c>
    </row>
    <row r="260" spans="1:38">
      <c r="A260" s="2" t="s">
        <v>257</v>
      </c>
      <c r="B260">
        <f>'Rådata-K'!M259</f>
        <v>8</v>
      </c>
      <c r="C260" s="9">
        <f>'Rådata-K'!L259</f>
        <v>202.31840518939998</v>
      </c>
      <c r="D260" s="51">
        <f>'Rådata-K'!N259</f>
        <v>5.1801131289074132</v>
      </c>
      <c r="E260" s="51">
        <f>'Rådata-K'!O259</f>
        <v>4.0700218818380707E-2</v>
      </c>
      <c r="F260" s="51">
        <f>'Rådata-K'!P259</f>
        <v>0.10414914493972525</v>
      </c>
      <c r="G260" s="51">
        <f>'Rådata-K'!Q259</f>
        <v>0.1553125876086347</v>
      </c>
      <c r="H260" s="51">
        <f>'Rådata-K'!R259</f>
        <v>3.9376538146021378E-2</v>
      </c>
      <c r="I260" s="51">
        <f>'Rådata-K'!S259</f>
        <v>0.96101609657947684</v>
      </c>
      <c r="J260" s="52">
        <f>'Rådata-K'!K259</f>
        <v>347100</v>
      </c>
      <c r="K260" s="26">
        <f>Tabell2[[#This Row],[NIBR11]]</f>
        <v>8</v>
      </c>
      <c r="L260" s="52">
        <f>IF(Tabell2[[#This Row],[ReisetidOslo]]&lt;=C$434,C$434,IF(Tabell2[[#This Row],[ReisetidOslo]]&gt;=C$435,C$435,Tabell2[[#This Row],[ReisetidOslo]]))</f>
        <v>202.31840518939998</v>
      </c>
      <c r="M260" s="51">
        <f>IF(Tabell2[[#This Row],[Beftettotal]]&lt;=D$434,D$434,IF(Tabell2[[#This Row],[Beftettotal]]&gt;=D$435,D$435,Tabell2[[#This Row],[Beftettotal]]))</f>
        <v>5.1801131289074132</v>
      </c>
      <c r="N260" s="51">
        <f>IF(Tabell2[[#This Row],[Befvekst10]]&lt;=E$434,E$434,IF(Tabell2[[#This Row],[Befvekst10]]&gt;=E$435,E$435,Tabell2[[#This Row],[Befvekst10]]))</f>
        <v>4.0700218818380707E-2</v>
      </c>
      <c r="O260" s="51">
        <f>IF(Tabell2[[#This Row],[Kvinneandel]]&lt;=F$434,F$434,IF(Tabell2[[#This Row],[Kvinneandel]]&gt;=F$435,F$435,Tabell2[[#This Row],[Kvinneandel]]))</f>
        <v>0.10414914493972525</v>
      </c>
      <c r="P260" s="51">
        <f>IF(Tabell2[[#This Row],[Eldreandel]]&lt;=G$434,G$434,IF(Tabell2[[#This Row],[Eldreandel]]&gt;=G$435,G$435,Tabell2[[#This Row],[Eldreandel]]))</f>
        <v>0.1553125876086347</v>
      </c>
      <c r="Q260" s="51">
        <f>IF(Tabell2[[#This Row],[Sysselsettingsvekst10]]&lt;=H$434,H$434,IF(Tabell2[[#This Row],[Sysselsettingsvekst10]]&gt;=H$435,H$435,Tabell2[[#This Row],[Sysselsettingsvekst10]]))</f>
        <v>3.9376538146021378E-2</v>
      </c>
      <c r="R260" s="51">
        <f>IF(Tabell2[[#This Row],[Yrkesaktivandel]]&lt;=I$434,I$434,IF(Tabell2[[#This Row],[Yrkesaktivandel]]&gt;=I$435,I$435,Tabell2[[#This Row],[Yrkesaktivandel]]))</f>
        <v>0.96101609657947684</v>
      </c>
      <c r="S260" s="52">
        <f>IF(Tabell2[[#This Row],[Inntekt]]&lt;=J$434,J$434,IF(Tabell2[[#This Row],[Inntekt]]&gt;=J$435,J$435,Tabell2[[#This Row],[Inntekt]]))</f>
        <v>347100</v>
      </c>
      <c r="T260" s="9">
        <f>IF(Tabell2[[#This Row],[NIBR11-T]]&lt;=K$437,100,IF(Tabell2[[#This Row],[NIBR11-T]]&gt;=K$436,0,100*(K$436-Tabell2[[#This Row],[NIBR11-T]])/K$439))</f>
        <v>30</v>
      </c>
      <c r="U260" s="9">
        <f>(L$436-Tabell2[[#This Row],[ReisetidOslo-T]])*100/L$439</f>
        <v>34.067512189861439</v>
      </c>
      <c r="V260" s="9">
        <f>100-(M$436-Tabell2[[#This Row],[Beftettotal-T]])*100/M$439</f>
        <v>3.0249250593119683</v>
      </c>
      <c r="W260" s="9">
        <f>100-(N$436-Tabell2[[#This Row],[Befvekst10-T]])*100/N$439</f>
        <v>49.16003876165626</v>
      </c>
      <c r="X260" s="9">
        <f>100-(O$436-Tabell2[[#This Row],[Kvinneandel-T]])*100/O$439</f>
        <v>36.780421014769829</v>
      </c>
      <c r="Y260" s="9">
        <f>(P$436-Tabell2[[#This Row],[Eldreandel-T]])*100/P$439</f>
        <v>60.071829957091289</v>
      </c>
      <c r="Z260" s="9">
        <f>100-(Q$436-Tabell2[[#This Row],[Sysselsettingsvekst10-T]])*100/Q$439</f>
        <v>34.687044859889397</v>
      </c>
      <c r="AA260" s="9">
        <f>100-(R$436-Tabell2[[#This Row],[Yrkesaktivandel-T]])*100/R$439</f>
        <v>99.133712710703392</v>
      </c>
      <c r="AB260" s="9">
        <f>100-(S$436-Tabell2[[#This Row],[Inntekt-T]])*100/S$439</f>
        <v>33.48421979127373</v>
      </c>
      <c r="AC260" s="48">
        <f>Tabell2[[#This Row],[NIBR11-I]]*Vekter!$B$3</f>
        <v>6</v>
      </c>
      <c r="AD260" s="48">
        <f>Tabell2[[#This Row],[ReisetidOslo-I]]*Vekter!$C$3</f>
        <v>3.4067512189861442</v>
      </c>
      <c r="AE260" s="48">
        <f>Tabell2[[#This Row],[Beftettotal-I]]*Vekter!$D$3</f>
        <v>0.30249250593119686</v>
      </c>
      <c r="AF260" s="48">
        <f>Tabell2[[#This Row],[Befvekst10-I]]*Vekter!$E$3</f>
        <v>9.8320077523312523</v>
      </c>
      <c r="AG260" s="48">
        <f>Tabell2[[#This Row],[Kvinneandel-I]]*Vekter!$F$3</f>
        <v>1.8390210507384914</v>
      </c>
      <c r="AH260" s="48">
        <f>Tabell2[[#This Row],[Eldreandel-I]]*Vekter!$G$3</f>
        <v>3.0035914978545648</v>
      </c>
      <c r="AI260" s="48">
        <f>Tabell2[[#This Row],[Sysselsettingsvekst10-I]]*Vekter!$H$3</f>
        <v>3.46870448598894</v>
      </c>
      <c r="AJ260" s="48">
        <f>Tabell2[[#This Row],[Yrkesaktivandel-I]]*Vekter!$J$3</f>
        <v>9.9133712710703392</v>
      </c>
      <c r="AK260" s="48">
        <f>Tabell2[[#This Row],[Inntekt-I]]*Vekter!$L$3</f>
        <v>3.348421979127373</v>
      </c>
      <c r="AL260" s="37">
        <f>SUM(Tabell2[[#This Row],[NIBR11-v]:[Inntekt-v]])</f>
        <v>41.114361762028302</v>
      </c>
    </row>
    <row r="261" spans="1:38">
      <c r="A261" s="2" t="s">
        <v>258</v>
      </c>
      <c r="B261">
        <f>'Rådata-K'!M260</f>
        <v>4</v>
      </c>
      <c r="C261" s="9">
        <f>'Rådata-K'!L260</f>
        <v>156.37562192599</v>
      </c>
      <c r="D261" s="51">
        <f>'Rådata-K'!N260</f>
        <v>71.824849721502233</v>
      </c>
      <c r="E261" s="51">
        <f>'Rådata-K'!O260</f>
        <v>8.3482384260222142E-2</v>
      </c>
      <c r="F261" s="51">
        <f>'Rådata-K'!P260</f>
        <v>0.11916461916461916</v>
      </c>
      <c r="G261" s="51">
        <f>'Rådata-K'!Q260</f>
        <v>0.14738175675675674</v>
      </c>
      <c r="H261" s="51">
        <f>'Rådata-K'!R260</f>
        <v>0.15786645169958358</v>
      </c>
      <c r="I261" s="51">
        <f>'Rådata-K'!S260</f>
        <v>0.90289161366467774</v>
      </c>
      <c r="J261" s="52">
        <f>'Rådata-K'!K260</f>
        <v>392500</v>
      </c>
      <c r="K261" s="26">
        <f>Tabell2[[#This Row],[NIBR11]]</f>
        <v>4</v>
      </c>
      <c r="L261" s="52">
        <f>IF(Tabell2[[#This Row],[ReisetidOslo]]&lt;=C$434,C$434,IF(Tabell2[[#This Row],[ReisetidOslo]]&gt;=C$435,C$435,Tabell2[[#This Row],[ReisetidOslo]]))</f>
        <v>156.37562192599</v>
      </c>
      <c r="M261" s="51">
        <f>IF(Tabell2[[#This Row],[Beftettotal]]&lt;=D$434,D$434,IF(Tabell2[[#This Row],[Beftettotal]]&gt;=D$435,D$435,Tabell2[[#This Row],[Beftettotal]]))</f>
        <v>71.824849721502233</v>
      </c>
      <c r="N261" s="51">
        <f>IF(Tabell2[[#This Row],[Befvekst10]]&lt;=E$434,E$434,IF(Tabell2[[#This Row],[Befvekst10]]&gt;=E$435,E$435,Tabell2[[#This Row],[Befvekst10]]))</f>
        <v>8.3482384260222142E-2</v>
      </c>
      <c r="O261" s="51">
        <f>IF(Tabell2[[#This Row],[Kvinneandel]]&lt;=F$434,F$434,IF(Tabell2[[#This Row],[Kvinneandel]]&gt;=F$435,F$435,Tabell2[[#This Row],[Kvinneandel]]))</f>
        <v>0.11916461916461916</v>
      </c>
      <c r="P261" s="51">
        <f>IF(Tabell2[[#This Row],[Eldreandel]]&lt;=G$434,G$434,IF(Tabell2[[#This Row],[Eldreandel]]&gt;=G$435,G$435,Tabell2[[#This Row],[Eldreandel]]))</f>
        <v>0.14738175675675674</v>
      </c>
      <c r="Q261" s="51">
        <f>IF(Tabell2[[#This Row],[Sysselsettingsvekst10]]&lt;=H$434,H$434,IF(Tabell2[[#This Row],[Sysselsettingsvekst10]]&gt;=H$435,H$435,Tabell2[[#This Row],[Sysselsettingsvekst10]]))</f>
        <v>0.15786645169958358</v>
      </c>
      <c r="R261" s="51">
        <f>IF(Tabell2[[#This Row],[Yrkesaktivandel]]&lt;=I$434,I$434,IF(Tabell2[[#This Row],[Yrkesaktivandel]]&gt;=I$435,I$435,Tabell2[[#This Row],[Yrkesaktivandel]]))</f>
        <v>0.90289161366467774</v>
      </c>
      <c r="S261" s="52">
        <f>IF(Tabell2[[#This Row],[Inntekt]]&lt;=J$434,J$434,IF(Tabell2[[#This Row],[Inntekt]]&gt;=J$435,J$435,Tabell2[[#This Row],[Inntekt]]))</f>
        <v>392500</v>
      </c>
      <c r="T261" s="9">
        <f>IF(Tabell2[[#This Row],[NIBR11-T]]&lt;=K$437,100,IF(Tabell2[[#This Row],[NIBR11-T]]&gt;=K$436,0,100*(K$436-Tabell2[[#This Row],[NIBR11-T]])/K$439))</f>
        <v>70</v>
      </c>
      <c r="U261" s="9">
        <f>(L$436-Tabell2[[#This Row],[ReisetidOslo-T]])*100/L$439</f>
        <v>54.463838010928619</v>
      </c>
      <c r="V261" s="9">
        <f>100-(M$436-Tabell2[[#This Row],[Beftettotal-T]])*100/M$439</f>
        <v>55.518452951509623</v>
      </c>
      <c r="W261" s="9">
        <f>100-(N$436-Tabell2[[#This Row],[Befvekst10-T]])*100/N$439</f>
        <v>66.472087052750808</v>
      </c>
      <c r="X261" s="9">
        <f>100-(O$436-Tabell2[[#This Row],[Kvinneandel-T]])*100/O$439</f>
        <v>76.551874354651972</v>
      </c>
      <c r="Y261" s="9">
        <f>(P$436-Tabell2[[#This Row],[Eldreandel-T]])*100/P$439</f>
        <v>69.062905509987672</v>
      </c>
      <c r="Z261" s="9">
        <f>100-(Q$436-Tabell2[[#This Row],[Sysselsettingsvekst10-T]])*100/Q$439</f>
        <v>72.718890790506123</v>
      </c>
      <c r="AA261" s="9">
        <f>100-(R$436-Tabell2[[#This Row],[Yrkesaktivandel-T]])*100/R$439</f>
        <v>55.803320845856675</v>
      </c>
      <c r="AB261" s="9">
        <f>100-(S$436-Tabell2[[#This Row],[Inntekt-T]])*100/S$439</f>
        <v>90.569596378725009</v>
      </c>
      <c r="AC261" s="48">
        <f>Tabell2[[#This Row],[NIBR11-I]]*Vekter!$B$3</f>
        <v>14</v>
      </c>
      <c r="AD261" s="48">
        <f>Tabell2[[#This Row],[ReisetidOslo-I]]*Vekter!$C$3</f>
        <v>5.4463838010928622</v>
      </c>
      <c r="AE261" s="48">
        <f>Tabell2[[#This Row],[Beftettotal-I]]*Vekter!$D$3</f>
        <v>5.5518452951509625</v>
      </c>
      <c r="AF261" s="48">
        <f>Tabell2[[#This Row],[Befvekst10-I]]*Vekter!$E$3</f>
        <v>13.294417410550162</v>
      </c>
      <c r="AG261" s="48">
        <f>Tabell2[[#This Row],[Kvinneandel-I]]*Vekter!$F$3</f>
        <v>3.8275937177325989</v>
      </c>
      <c r="AH261" s="48">
        <f>Tabell2[[#This Row],[Eldreandel-I]]*Vekter!$G$3</f>
        <v>3.4531452754993839</v>
      </c>
      <c r="AI261" s="48">
        <f>Tabell2[[#This Row],[Sysselsettingsvekst10-I]]*Vekter!$H$3</f>
        <v>7.271889079050613</v>
      </c>
      <c r="AJ261" s="48">
        <f>Tabell2[[#This Row],[Yrkesaktivandel-I]]*Vekter!$J$3</f>
        <v>5.5803320845856677</v>
      </c>
      <c r="AK261" s="48">
        <f>Tabell2[[#This Row],[Inntekt-I]]*Vekter!$L$3</f>
        <v>9.0569596378725006</v>
      </c>
      <c r="AL261" s="37">
        <f>SUM(Tabell2[[#This Row],[NIBR11-v]:[Inntekt-v]])</f>
        <v>67.482566301534746</v>
      </c>
    </row>
    <row r="262" spans="1:38">
      <c r="A262" s="2" t="s">
        <v>259</v>
      </c>
      <c r="B262">
        <f>'Rådata-K'!M261</f>
        <v>4</v>
      </c>
      <c r="C262" s="9">
        <f>'Rådata-K'!L261</f>
        <v>164.21314231069999</v>
      </c>
      <c r="D262" s="51">
        <f>'Rådata-K'!N261</f>
        <v>463.87142567430539</v>
      </c>
      <c r="E262" s="51">
        <f>'Rådata-K'!O261</f>
        <v>0.14364640883977908</v>
      </c>
      <c r="F262" s="51">
        <f>'Rådata-K'!P261</f>
        <v>0.13340765514678557</v>
      </c>
      <c r="G262" s="51">
        <f>'Rådata-K'!Q261</f>
        <v>0.13137473495529761</v>
      </c>
      <c r="H262" s="51">
        <f>'Rådata-K'!R261</f>
        <v>0.21581140922115138</v>
      </c>
      <c r="I262" s="51">
        <f>'Rådata-K'!S261</f>
        <v>0.88524054858138013</v>
      </c>
      <c r="J262" s="52">
        <f>'Rådata-K'!K261</f>
        <v>399100</v>
      </c>
      <c r="K262" s="26">
        <f>Tabell2[[#This Row],[NIBR11]]</f>
        <v>4</v>
      </c>
      <c r="L262" s="52">
        <f>IF(Tabell2[[#This Row],[ReisetidOslo]]&lt;=C$434,C$434,IF(Tabell2[[#This Row],[ReisetidOslo]]&gt;=C$435,C$435,Tabell2[[#This Row],[ReisetidOslo]]))</f>
        <v>164.21314231069999</v>
      </c>
      <c r="M262" s="51">
        <f>IF(Tabell2[[#This Row],[Beftettotal]]&lt;=D$434,D$434,IF(Tabell2[[#This Row],[Beftettotal]]&gt;=D$435,D$435,Tabell2[[#This Row],[Beftettotal]]))</f>
        <v>128.29773514779066</v>
      </c>
      <c r="N262" s="51">
        <f>IF(Tabell2[[#This Row],[Befvekst10]]&lt;=E$434,E$434,IF(Tabell2[[#This Row],[Befvekst10]]&gt;=E$435,E$435,Tabell2[[#This Row],[Befvekst10]]))</f>
        <v>0.14364640883977908</v>
      </c>
      <c r="O262" s="51">
        <f>IF(Tabell2[[#This Row],[Kvinneandel]]&lt;=F$434,F$434,IF(Tabell2[[#This Row],[Kvinneandel]]&gt;=F$435,F$435,Tabell2[[#This Row],[Kvinneandel]]))</f>
        <v>0.12801731869362362</v>
      </c>
      <c r="P262" s="51">
        <f>IF(Tabell2[[#This Row],[Eldreandel]]&lt;=G$434,G$434,IF(Tabell2[[#This Row],[Eldreandel]]&gt;=G$435,G$435,Tabell2[[#This Row],[Eldreandel]]))</f>
        <v>0.13137473495529761</v>
      </c>
      <c r="Q262" s="51">
        <f>IF(Tabell2[[#This Row],[Sysselsettingsvekst10]]&lt;=H$434,H$434,IF(Tabell2[[#This Row],[Sysselsettingsvekst10]]&gt;=H$435,H$435,Tabell2[[#This Row],[Sysselsettingsvekst10]]))</f>
        <v>0.21581140922115138</v>
      </c>
      <c r="R262" s="51">
        <f>IF(Tabell2[[#This Row],[Yrkesaktivandel]]&lt;=I$434,I$434,IF(Tabell2[[#This Row],[Yrkesaktivandel]]&gt;=I$435,I$435,Tabell2[[#This Row],[Yrkesaktivandel]]))</f>
        <v>0.88524054858138013</v>
      </c>
      <c r="S262" s="52">
        <f>IF(Tabell2[[#This Row],[Inntekt]]&lt;=J$434,J$434,IF(Tabell2[[#This Row],[Inntekt]]&gt;=J$435,J$435,Tabell2[[#This Row],[Inntekt]]))</f>
        <v>399100</v>
      </c>
      <c r="T262" s="9">
        <f>IF(Tabell2[[#This Row],[NIBR11-T]]&lt;=K$437,100,IF(Tabell2[[#This Row],[NIBR11-T]]&gt;=K$436,0,100*(K$436-Tabell2[[#This Row],[NIBR11-T]])/K$439))</f>
        <v>70</v>
      </c>
      <c r="U262" s="9">
        <f>(L$436-Tabell2[[#This Row],[ReisetidOslo-T]])*100/L$439</f>
        <v>50.984366197493351</v>
      </c>
      <c r="V262" s="9">
        <f>100-(M$436-Tabell2[[#This Row],[Beftettotal-T]])*100/M$439</f>
        <v>100</v>
      </c>
      <c r="W262" s="9">
        <f>100-(N$436-Tabell2[[#This Row],[Befvekst10-T]])*100/N$439</f>
        <v>90.817804202664618</v>
      </c>
      <c r="X262" s="9">
        <f>100-(O$436-Tabell2[[#This Row],[Kvinneandel-T]])*100/O$439</f>
        <v>100</v>
      </c>
      <c r="Y262" s="9">
        <f>(P$436-Tabell2[[#This Row],[Eldreandel-T]])*100/P$439</f>
        <v>87.209849390363004</v>
      </c>
      <c r="Z262" s="9">
        <f>100-(Q$436-Tabell2[[#This Row],[Sysselsettingsvekst10-T]])*100/Q$439</f>
        <v>91.317551476676783</v>
      </c>
      <c r="AA262" s="9">
        <f>100-(R$436-Tabell2[[#This Row],[Yrkesaktivandel-T]])*100/R$439</f>
        <v>42.644880055728521</v>
      </c>
      <c r="AB262" s="9">
        <f>100-(S$436-Tabell2[[#This Row],[Inntekt-T]])*100/S$439</f>
        <v>98.868351565447</v>
      </c>
      <c r="AC262" s="48">
        <f>Tabell2[[#This Row],[NIBR11-I]]*Vekter!$B$3</f>
        <v>14</v>
      </c>
      <c r="AD262" s="48">
        <f>Tabell2[[#This Row],[ReisetidOslo-I]]*Vekter!$C$3</f>
        <v>5.0984366197493358</v>
      </c>
      <c r="AE262" s="48">
        <f>Tabell2[[#This Row],[Beftettotal-I]]*Vekter!$D$3</f>
        <v>10</v>
      </c>
      <c r="AF262" s="48">
        <f>Tabell2[[#This Row],[Befvekst10-I]]*Vekter!$E$3</f>
        <v>18.163560840532924</v>
      </c>
      <c r="AG262" s="48">
        <f>Tabell2[[#This Row],[Kvinneandel-I]]*Vekter!$F$3</f>
        <v>5</v>
      </c>
      <c r="AH262" s="48">
        <f>Tabell2[[#This Row],[Eldreandel-I]]*Vekter!$G$3</f>
        <v>4.3604924695181504</v>
      </c>
      <c r="AI262" s="48">
        <f>Tabell2[[#This Row],[Sysselsettingsvekst10-I]]*Vekter!$H$3</f>
        <v>9.131755147667679</v>
      </c>
      <c r="AJ262" s="48">
        <f>Tabell2[[#This Row],[Yrkesaktivandel-I]]*Vekter!$J$3</f>
        <v>4.2644880055728525</v>
      </c>
      <c r="AK262" s="48">
        <f>Tabell2[[#This Row],[Inntekt-I]]*Vekter!$L$3</f>
        <v>9.8868351565447004</v>
      </c>
      <c r="AL262" s="37">
        <f>SUM(Tabell2[[#This Row],[NIBR11-v]:[Inntekt-v]])</f>
        <v>79.905568239585648</v>
      </c>
    </row>
    <row r="263" spans="1:38">
      <c r="A263" s="2" t="s">
        <v>260</v>
      </c>
      <c r="B263">
        <f>'Rådata-K'!M262</f>
        <v>5</v>
      </c>
      <c r="C263" s="9">
        <f>'Rådata-K'!L262</f>
        <v>163.25430925117001</v>
      </c>
      <c r="D263" s="51">
        <f>'Rådata-K'!N262</f>
        <v>279.21483346686512</v>
      </c>
      <c r="E263" s="51">
        <f>'Rådata-K'!O262</f>
        <v>9.0084454175789697E-2</v>
      </c>
      <c r="F263" s="51">
        <f>'Rådata-K'!P262</f>
        <v>0.12084443533510965</v>
      </c>
      <c r="G263" s="51">
        <f>'Rådata-K'!Q262</f>
        <v>0.14310309489649517</v>
      </c>
      <c r="H263" s="51">
        <f>'Rådata-K'!R262</f>
        <v>0.22459196956042859</v>
      </c>
      <c r="I263" s="51">
        <f>'Rådata-K'!S262</f>
        <v>0.84144999312147473</v>
      </c>
      <c r="J263" s="52">
        <f>'Rådata-K'!K262</f>
        <v>381000</v>
      </c>
      <c r="K263" s="26">
        <f>Tabell2[[#This Row],[NIBR11]]</f>
        <v>5</v>
      </c>
      <c r="L263" s="52">
        <f>IF(Tabell2[[#This Row],[ReisetidOslo]]&lt;=C$434,C$434,IF(Tabell2[[#This Row],[ReisetidOslo]]&gt;=C$435,C$435,Tabell2[[#This Row],[ReisetidOslo]]))</f>
        <v>163.25430925117001</v>
      </c>
      <c r="M263" s="51">
        <f>IF(Tabell2[[#This Row],[Beftettotal]]&lt;=D$434,D$434,IF(Tabell2[[#This Row],[Beftettotal]]&gt;=D$435,D$435,Tabell2[[#This Row],[Beftettotal]]))</f>
        <v>128.29773514779066</v>
      </c>
      <c r="N263" s="51">
        <f>IF(Tabell2[[#This Row],[Befvekst10]]&lt;=E$434,E$434,IF(Tabell2[[#This Row],[Befvekst10]]&gt;=E$435,E$435,Tabell2[[#This Row],[Befvekst10]]))</f>
        <v>9.0084454175789697E-2</v>
      </c>
      <c r="O263" s="51">
        <f>IF(Tabell2[[#This Row],[Kvinneandel]]&lt;=F$434,F$434,IF(Tabell2[[#This Row],[Kvinneandel]]&gt;=F$435,F$435,Tabell2[[#This Row],[Kvinneandel]]))</f>
        <v>0.12084443533510965</v>
      </c>
      <c r="P263" s="51">
        <f>IF(Tabell2[[#This Row],[Eldreandel]]&lt;=G$434,G$434,IF(Tabell2[[#This Row],[Eldreandel]]&gt;=G$435,G$435,Tabell2[[#This Row],[Eldreandel]]))</f>
        <v>0.14310309489649517</v>
      </c>
      <c r="Q263" s="51">
        <f>IF(Tabell2[[#This Row],[Sysselsettingsvekst10]]&lt;=H$434,H$434,IF(Tabell2[[#This Row],[Sysselsettingsvekst10]]&gt;=H$435,H$435,Tabell2[[#This Row],[Sysselsettingsvekst10]]))</f>
        <v>0.22459196956042859</v>
      </c>
      <c r="R263" s="51">
        <f>IF(Tabell2[[#This Row],[Yrkesaktivandel]]&lt;=I$434,I$434,IF(Tabell2[[#This Row],[Yrkesaktivandel]]&gt;=I$435,I$435,Tabell2[[#This Row],[Yrkesaktivandel]]))</f>
        <v>0.84144999312147473</v>
      </c>
      <c r="S263" s="52">
        <f>IF(Tabell2[[#This Row],[Inntekt]]&lt;=J$434,J$434,IF(Tabell2[[#This Row],[Inntekt]]&gt;=J$435,J$435,Tabell2[[#This Row],[Inntekt]]))</f>
        <v>381000</v>
      </c>
      <c r="T263" s="9">
        <f>IF(Tabell2[[#This Row],[NIBR11-T]]&lt;=K$437,100,IF(Tabell2[[#This Row],[NIBR11-T]]&gt;=K$436,0,100*(K$436-Tabell2[[#This Row],[NIBR11-T]])/K$439))</f>
        <v>60</v>
      </c>
      <c r="U263" s="9">
        <f>(L$436-Tabell2[[#This Row],[ReisetidOslo-T]])*100/L$439</f>
        <v>51.410040701757865</v>
      </c>
      <c r="V263" s="9">
        <f>100-(M$436-Tabell2[[#This Row],[Beftettotal-T]])*100/M$439</f>
        <v>100</v>
      </c>
      <c r="W263" s="9">
        <f>100-(N$436-Tabell2[[#This Row],[Befvekst10-T]])*100/N$439</f>
        <v>69.143652459014831</v>
      </c>
      <c r="X263" s="9">
        <f>100-(O$436-Tabell2[[#This Row],[Kvinneandel-T]])*100/O$439</f>
        <v>81.001199726839062</v>
      </c>
      <c r="Y263" s="9">
        <f>(P$436-Tabell2[[#This Row],[Eldreandel-T]])*100/P$439</f>
        <v>73.913566527653771</v>
      </c>
      <c r="Z263" s="9">
        <f>100-(Q$436-Tabell2[[#This Row],[Sysselsettingsvekst10-T]])*100/Q$439</f>
        <v>94.135858183069317</v>
      </c>
      <c r="AA263" s="9">
        <f>100-(R$436-Tabell2[[#This Row],[Yrkesaktivandel-T]])*100/R$439</f>
        <v>10.000083355543339</v>
      </c>
      <c r="AB263" s="9">
        <f>100-(S$436-Tabell2[[#This Row],[Inntekt-T]])*100/S$439</f>
        <v>76.109644159436698</v>
      </c>
      <c r="AC263" s="48">
        <f>Tabell2[[#This Row],[NIBR11-I]]*Vekter!$B$3</f>
        <v>12</v>
      </c>
      <c r="AD263" s="48">
        <f>Tabell2[[#This Row],[ReisetidOslo-I]]*Vekter!$C$3</f>
        <v>5.1410040701757866</v>
      </c>
      <c r="AE263" s="48">
        <f>Tabell2[[#This Row],[Beftettotal-I]]*Vekter!$D$3</f>
        <v>10</v>
      </c>
      <c r="AF263" s="48">
        <f>Tabell2[[#This Row],[Befvekst10-I]]*Vekter!$E$3</f>
        <v>13.828730491802967</v>
      </c>
      <c r="AG263" s="48">
        <f>Tabell2[[#This Row],[Kvinneandel-I]]*Vekter!$F$3</f>
        <v>4.0500599863419531</v>
      </c>
      <c r="AH263" s="48">
        <f>Tabell2[[#This Row],[Eldreandel-I]]*Vekter!$G$3</f>
        <v>3.6956783263826889</v>
      </c>
      <c r="AI263" s="48">
        <f>Tabell2[[#This Row],[Sysselsettingsvekst10-I]]*Vekter!$H$3</f>
        <v>9.4135858183069328</v>
      </c>
      <c r="AJ263" s="48">
        <f>Tabell2[[#This Row],[Yrkesaktivandel-I]]*Vekter!$J$3</f>
        <v>1.0000083355543339</v>
      </c>
      <c r="AK263" s="48">
        <f>Tabell2[[#This Row],[Inntekt-I]]*Vekter!$L$3</f>
        <v>7.6109644159436698</v>
      </c>
      <c r="AL263" s="37">
        <f>SUM(Tabell2[[#This Row],[NIBR11-v]:[Inntekt-v]])</f>
        <v>66.740031444508332</v>
      </c>
    </row>
    <row r="264" spans="1:38">
      <c r="A264" s="2" t="s">
        <v>261</v>
      </c>
      <c r="B264">
        <f>'Rådata-K'!M263</f>
        <v>11</v>
      </c>
      <c r="C264" s="9">
        <f>'Rådata-K'!L263</f>
        <v>222.10938798839999</v>
      </c>
      <c r="D264" s="51">
        <f>'Rådata-K'!N263</f>
        <v>8.5719477687495136</v>
      </c>
      <c r="E264" s="51">
        <f>'Rådata-K'!O263</f>
        <v>-0.12040490143846561</v>
      </c>
      <c r="F264" s="51">
        <f>'Rådata-K'!P263</f>
        <v>8.5705632949727439E-2</v>
      </c>
      <c r="G264" s="51">
        <f>'Rådata-K'!Q263</f>
        <v>0.20654149000605693</v>
      </c>
      <c r="H264" s="51">
        <f>'Rådata-K'!R263</f>
        <v>-8.1602373887240676E-3</v>
      </c>
      <c r="I264" s="51">
        <f>'Rådata-K'!S263</f>
        <v>0.92312040700960996</v>
      </c>
      <c r="J264" s="52">
        <f>'Rådata-K'!K263</f>
        <v>362900</v>
      </c>
      <c r="K264" s="26">
        <f>Tabell2[[#This Row],[NIBR11]]</f>
        <v>11</v>
      </c>
      <c r="L264" s="52">
        <f>IF(Tabell2[[#This Row],[ReisetidOslo]]&lt;=C$434,C$434,IF(Tabell2[[#This Row],[ReisetidOslo]]&gt;=C$435,C$435,Tabell2[[#This Row],[ReisetidOslo]]))</f>
        <v>222.10938798839999</v>
      </c>
      <c r="M264" s="51">
        <f>IF(Tabell2[[#This Row],[Beftettotal]]&lt;=D$434,D$434,IF(Tabell2[[#This Row],[Beftettotal]]&gt;=D$435,D$435,Tabell2[[#This Row],[Beftettotal]]))</f>
        <v>8.5719477687495136</v>
      </c>
      <c r="N264" s="51">
        <f>IF(Tabell2[[#This Row],[Befvekst10]]&lt;=E$434,E$434,IF(Tabell2[[#This Row],[Befvekst10]]&gt;=E$435,E$435,Tabell2[[#This Row],[Befvekst10]]))</f>
        <v>-8.0785862785862778E-2</v>
      </c>
      <c r="O264" s="51">
        <f>IF(Tabell2[[#This Row],[Kvinneandel]]&lt;=F$434,F$434,IF(Tabell2[[#This Row],[Kvinneandel]]&gt;=F$435,F$435,Tabell2[[#This Row],[Kvinneandel]]))</f>
        <v>9.0262917071501733E-2</v>
      </c>
      <c r="P264" s="51">
        <f>IF(Tabell2[[#This Row],[Eldreandel]]&lt;=G$434,G$434,IF(Tabell2[[#This Row],[Eldreandel]]&gt;=G$435,G$435,Tabell2[[#This Row],[Eldreandel]]))</f>
        <v>0.20654149000605693</v>
      </c>
      <c r="Q264" s="51">
        <f>IF(Tabell2[[#This Row],[Sysselsettingsvekst10]]&lt;=H$434,H$434,IF(Tabell2[[#This Row],[Sysselsettingsvekst10]]&gt;=H$435,H$435,Tabell2[[#This Row],[Sysselsettingsvekst10]]))</f>
        <v>-8.1602373887240676E-3</v>
      </c>
      <c r="R264" s="51">
        <f>IF(Tabell2[[#This Row],[Yrkesaktivandel]]&lt;=I$434,I$434,IF(Tabell2[[#This Row],[Yrkesaktivandel]]&gt;=I$435,I$435,Tabell2[[#This Row],[Yrkesaktivandel]]))</f>
        <v>0.92312040700960996</v>
      </c>
      <c r="S264" s="52">
        <f>IF(Tabell2[[#This Row],[Inntekt]]&lt;=J$434,J$434,IF(Tabell2[[#This Row],[Inntekt]]&gt;=J$435,J$435,Tabell2[[#This Row],[Inntekt]]))</f>
        <v>362900</v>
      </c>
      <c r="T264" s="9">
        <f>IF(Tabell2[[#This Row],[NIBR11-T]]&lt;=K$437,100,IF(Tabell2[[#This Row],[NIBR11-T]]&gt;=K$436,0,100*(K$436-Tabell2[[#This Row],[NIBR11-T]])/K$439))</f>
        <v>0</v>
      </c>
      <c r="U264" s="9">
        <f>(L$436-Tabell2[[#This Row],[ReisetidOslo-T]])*100/L$439</f>
        <v>25.281293662934967</v>
      </c>
      <c r="V264" s="9">
        <f>100-(M$436-Tabell2[[#This Row],[Beftettotal-T]])*100/M$439</f>
        <v>5.6965443855417988</v>
      </c>
      <c r="W264" s="9">
        <f>100-(N$436-Tabell2[[#This Row],[Befvekst10-T]])*100/N$439</f>
        <v>0</v>
      </c>
      <c r="X264" s="9">
        <f>100-(O$436-Tabell2[[#This Row],[Kvinneandel-T]])*100/O$439</f>
        <v>0</v>
      </c>
      <c r="Y264" s="9">
        <f>(P$436-Tabell2[[#This Row],[Eldreandel-T]])*100/P$439</f>
        <v>1.9943169512362997</v>
      </c>
      <c r="Z264" s="9">
        <f>100-(Q$436-Tabell2[[#This Row],[Sysselsettingsvekst10-T]])*100/Q$439</f>
        <v>19.429110501126431</v>
      </c>
      <c r="AA264" s="9">
        <f>100-(R$436-Tabell2[[#This Row],[Yrkesaktivandel-T]])*100/R$439</f>
        <v>70.883395517209067</v>
      </c>
      <c r="AB264" s="9">
        <f>100-(S$436-Tabell2[[#This Row],[Inntekt-T]])*100/S$439</f>
        <v>53.350936753426382</v>
      </c>
      <c r="AC264" s="48">
        <f>Tabell2[[#This Row],[NIBR11-I]]*Vekter!$B$3</f>
        <v>0</v>
      </c>
      <c r="AD264" s="48">
        <f>Tabell2[[#This Row],[ReisetidOslo-I]]*Vekter!$C$3</f>
        <v>2.5281293662934967</v>
      </c>
      <c r="AE264" s="48">
        <f>Tabell2[[#This Row],[Beftettotal-I]]*Vekter!$D$3</f>
        <v>0.56965443855417985</v>
      </c>
      <c r="AF264" s="48">
        <f>Tabell2[[#This Row],[Befvekst10-I]]*Vekter!$E$3</f>
        <v>0</v>
      </c>
      <c r="AG264" s="48">
        <f>Tabell2[[#This Row],[Kvinneandel-I]]*Vekter!$F$3</f>
        <v>0</v>
      </c>
      <c r="AH264" s="48">
        <f>Tabell2[[#This Row],[Eldreandel-I]]*Vekter!$G$3</f>
        <v>9.9715847561814994E-2</v>
      </c>
      <c r="AI264" s="48">
        <f>Tabell2[[#This Row],[Sysselsettingsvekst10-I]]*Vekter!$H$3</f>
        <v>1.9429110501126432</v>
      </c>
      <c r="AJ264" s="48">
        <f>Tabell2[[#This Row],[Yrkesaktivandel-I]]*Vekter!$J$3</f>
        <v>7.0883395517209067</v>
      </c>
      <c r="AK264" s="48">
        <f>Tabell2[[#This Row],[Inntekt-I]]*Vekter!$L$3</f>
        <v>5.3350936753426383</v>
      </c>
      <c r="AL264" s="37">
        <f>SUM(Tabell2[[#This Row],[NIBR11-v]:[Inntekt-v]])</f>
        <v>17.56384392958568</v>
      </c>
    </row>
    <row r="265" spans="1:38">
      <c r="A265" s="2" t="s">
        <v>262</v>
      </c>
      <c r="B265">
        <f>'Rådata-K'!M264</f>
        <v>6</v>
      </c>
      <c r="C265" s="9">
        <f>'Rådata-K'!L264</f>
        <v>196.13497547899999</v>
      </c>
      <c r="D265" s="51">
        <f>'Rådata-K'!N264</f>
        <v>28.280227443407359</v>
      </c>
      <c r="E265" s="51">
        <f>'Rådata-K'!O264</f>
        <v>1.1900191938579718E-2</v>
      </c>
      <c r="F265" s="51">
        <f>'Rådata-K'!P264</f>
        <v>9.2185128983308037E-2</v>
      </c>
      <c r="G265" s="51">
        <f>'Rådata-K'!Q264</f>
        <v>0.18512898330804248</v>
      </c>
      <c r="H265" s="51">
        <f>'Rådata-K'!R264</f>
        <v>0.22857142857142865</v>
      </c>
      <c r="I265" s="51">
        <f>'Rådata-K'!S264</f>
        <v>0.91176470588235292</v>
      </c>
      <c r="J265" s="52">
        <f>'Rådata-K'!K264</f>
        <v>356000</v>
      </c>
      <c r="K265" s="26">
        <f>Tabell2[[#This Row],[NIBR11]]</f>
        <v>6</v>
      </c>
      <c r="L265" s="52">
        <f>IF(Tabell2[[#This Row],[ReisetidOslo]]&lt;=C$434,C$434,IF(Tabell2[[#This Row],[ReisetidOslo]]&gt;=C$435,C$435,Tabell2[[#This Row],[ReisetidOslo]]))</f>
        <v>196.13497547899999</v>
      </c>
      <c r="M265" s="51">
        <f>IF(Tabell2[[#This Row],[Beftettotal]]&lt;=D$434,D$434,IF(Tabell2[[#This Row],[Beftettotal]]&gt;=D$435,D$435,Tabell2[[#This Row],[Beftettotal]]))</f>
        <v>28.280227443407359</v>
      </c>
      <c r="N265" s="51">
        <f>IF(Tabell2[[#This Row],[Befvekst10]]&lt;=E$434,E$434,IF(Tabell2[[#This Row],[Befvekst10]]&gt;=E$435,E$435,Tabell2[[#This Row],[Befvekst10]]))</f>
        <v>1.1900191938579718E-2</v>
      </c>
      <c r="O265" s="51">
        <f>IF(Tabell2[[#This Row],[Kvinneandel]]&lt;=F$434,F$434,IF(Tabell2[[#This Row],[Kvinneandel]]&gt;=F$435,F$435,Tabell2[[#This Row],[Kvinneandel]]))</f>
        <v>9.2185128983308037E-2</v>
      </c>
      <c r="P265" s="51">
        <f>IF(Tabell2[[#This Row],[Eldreandel]]&lt;=G$434,G$434,IF(Tabell2[[#This Row],[Eldreandel]]&gt;=G$435,G$435,Tabell2[[#This Row],[Eldreandel]]))</f>
        <v>0.18512898330804248</v>
      </c>
      <c r="Q265" s="51">
        <f>IF(Tabell2[[#This Row],[Sysselsettingsvekst10]]&lt;=H$434,H$434,IF(Tabell2[[#This Row],[Sysselsettingsvekst10]]&gt;=H$435,H$435,Tabell2[[#This Row],[Sysselsettingsvekst10]]))</f>
        <v>0.22857142857142865</v>
      </c>
      <c r="R265" s="51">
        <f>IF(Tabell2[[#This Row],[Yrkesaktivandel]]&lt;=I$434,I$434,IF(Tabell2[[#This Row],[Yrkesaktivandel]]&gt;=I$435,I$435,Tabell2[[#This Row],[Yrkesaktivandel]]))</f>
        <v>0.91176470588235292</v>
      </c>
      <c r="S265" s="52">
        <f>IF(Tabell2[[#This Row],[Inntekt]]&lt;=J$434,J$434,IF(Tabell2[[#This Row],[Inntekt]]&gt;=J$435,J$435,Tabell2[[#This Row],[Inntekt]]))</f>
        <v>356000</v>
      </c>
      <c r="T265" s="9">
        <f>IF(Tabell2[[#This Row],[NIBR11-T]]&lt;=K$437,100,IF(Tabell2[[#This Row],[NIBR11-T]]&gt;=K$436,0,100*(K$436-Tabell2[[#This Row],[NIBR11-T]])/K$439))</f>
        <v>50</v>
      </c>
      <c r="U265" s="9">
        <f>(L$436-Tabell2[[#This Row],[ReisetidOslo-T]])*100/L$439</f>
        <v>36.812649469461782</v>
      </c>
      <c r="V265" s="9">
        <f>100-(M$436-Tabell2[[#This Row],[Beftettotal-T]])*100/M$439</f>
        <v>21.220007778205854</v>
      </c>
      <c r="W265" s="9">
        <f>100-(N$436-Tabell2[[#This Row],[Befvekst10-T]])*100/N$439</f>
        <v>37.505942925723851</v>
      </c>
      <c r="X265" s="9">
        <f>100-(O$436-Tabell2[[#This Row],[Kvinneandel-T]])*100/O$439</f>
        <v>5.0913584356214585</v>
      </c>
      <c r="Y265" s="9">
        <f>(P$436-Tabell2[[#This Row],[Eldreandel-T]])*100/P$439</f>
        <v>26.269385868279247</v>
      </c>
      <c r="Z265" s="9">
        <f>100-(Q$436-Tabell2[[#This Row],[Sysselsettingsvekst10-T]])*100/Q$439</f>
        <v>95.413149789203743</v>
      </c>
      <c r="AA265" s="9">
        <f>100-(R$436-Tabell2[[#This Row],[Yrkesaktivandel-T]])*100/R$439</f>
        <v>62.417995825561242</v>
      </c>
      <c r="AB265" s="9">
        <f>100-(S$436-Tabell2[[#This Row],[Inntekt-T]])*100/S$439</f>
        <v>44.674965421853386</v>
      </c>
      <c r="AC265" s="48">
        <f>Tabell2[[#This Row],[NIBR11-I]]*Vekter!$B$3</f>
        <v>10</v>
      </c>
      <c r="AD265" s="48">
        <f>Tabell2[[#This Row],[ReisetidOslo-I]]*Vekter!$C$3</f>
        <v>3.6812649469461785</v>
      </c>
      <c r="AE265" s="48">
        <f>Tabell2[[#This Row],[Beftettotal-I]]*Vekter!$D$3</f>
        <v>2.1220007778205856</v>
      </c>
      <c r="AF265" s="48">
        <f>Tabell2[[#This Row],[Befvekst10-I]]*Vekter!$E$3</f>
        <v>7.5011885851447708</v>
      </c>
      <c r="AG265" s="48">
        <f>Tabell2[[#This Row],[Kvinneandel-I]]*Vekter!$F$3</f>
        <v>0.25456792178107296</v>
      </c>
      <c r="AH265" s="48">
        <f>Tabell2[[#This Row],[Eldreandel-I]]*Vekter!$G$3</f>
        <v>1.3134692934139625</v>
      </c>
      <c r="AI265" s="48">
        <f>Tabell2[[#This Row],[Sysselsettingsvekst10-I]]*Vekter!$H$3</f>
        <v>9.5413149789203739</v>
      </c>
      <c r="AJ265" s="48">
        <f>Tabell2[[#This Row],[Yrkesaktivandel-I]]*Vekter!$J$3</f>
        <v>6.2417995825561245</v>
      </c>
      <c r="AK265" s="48">
        <f>Tabell2[[#This Row],[Inntekt-I]]*Vekter!$L$3</f>
        <v>4.467496542185339</v>
      </c>
      <c r="AL265" s="37">
        <f>SUM(Tabell2[[#This Row],[NIBR11-v]:[Inntekt-v]])</f>
        <v>45.123102628768407</v>
      </c>
    </row>
    <row r="266" spans="1:38">
      <c r="A266" s="2" t="s">
        <v>263</v>
      </c>
      <c r="B266">
        <f>'Rådata-K'!M265</f>
        <v>6</v>
      </c>
      <c r="C266" s="9">
        <f>'Rådata-K'!L265</f>
        <v>196.72895152569998</v>
      </c>
      <c r="D266" s="51">
        <f>'Rådata-K'!N265</f>
        <v>74.027278052045844</v>
      </c>
      <c r="E266" s="51">
        <f>'Rådata-K'!O265</f>
        <v>5.8886894075403928E-2</v>
      </c>
      <c r="F266" s="51">
        <f>'Rådata-K'!P265</f>
        <v>0.11438905843788855</v>
      </c>
      <c r="G266" s="51">
        <f>'Rådata-K'!Q265</f>
        <v>0.1515768056968464</v>
      </c>
      <c r="H266" s="51">
        <f>'Rådata-K'!R265</f>
        <v>0.1811846689895471</v>
      </c>
      <c r="I266" s="51">
        <f>'Rådata-K'!S265</f>
        <v>0.89339189458973844</v>
      </c>
      <c r="J266" s="52">
        <f>'Rådata-K'!K265</f>
        <v>404500</v>
      </c>
      <c r="K266" s="26">
        <f>Tabell2[[#This Row],[NIBR11]]</f>
        <v>6</v>
      </c>
      <c r="L266" s="52">
        <f>IF(Tabell2[[#This Row],[ReisetidOslo]]&lt;=C$434,C$434,IF(Tabell2[[#This Row],[ReisetidOslo]]&gt;=C$435,C$435,Tabell2[[#This Row],[ReisetidOslo]]))</f>
        <v>196.72895152569998</v>
      </c>
      <c r="M266" s="51">
        <f>IF(Tabell2[[#This Row],[Beftettotal]]&lt;=D$434,D$434,IF(Tabell2[[#This Row],[Beftettotal]]&gt;=D$435,D$435,Tabell2[[#This Row],[Beftettotal]]))</f>
        <v>74.027278052045844</v>
      </c>
      <c r="N266" s="51">
        <f>IF(Tabell2[[#This Row],[Befvekst10]]&lt;=E$434,E$434,IF(Tabell2[[#This Row],[Befvekst10]]&gt;=E$435,E$435,Tabell2[[#This Row],[Befvekst10]]))</f>
        <v>5.8886894075403928E-2</v>
      </c>
      <c r="O266" s="51">
        <f>IF(Tabell2[[#This Row],[Kvinneandel]]&lt;=F$434,F$434,IF(Tabell2[[#This Row],[Kvinneandel]]&gt;=F$435,F$435,Tabell2[[#This Row],[Kvinneandel]]))</f>
        <v>0.11438905843788855</v>
      </c>
      <c r="P266" s="51">
        <f>IF(Tabell2[[#This Row],[Eldreandel]]&lt;=G$434,G$434,IF(Tabell2[[#This Row],[Eldreandel]]&gt;=G$435,G$435,Tabell2[[#This Row],[Eldreandel]]))</f>
        <v>0.1515768056968464</v>
      </c>
      <c r="Q266" s="51">
        <f>IF(Tabell2[[#This Row],[Sysselsettingsvekst10]]&lt;=H$434,H$434,IF(Tabell2[[#This Row],[Sysselsettingsvekst10]]&gt;=H$435,H$435,Tabell2[[#This Row],[Sysselsettingsvekst10]]))</f>
        <v>0.1811846689895471</v>
      </c>
      <c r="R266" s="51">
        <f>IF(Tabell2[[#This Row],[Yrkesaktivandel]]&lt;=I$434,I$434,IF(Tabell2[[#This Row],[Yrkesaktivandel]]&gt;=I$435,I$435,Tabell2[[#This Row],[Yrkesaktivandel]]))</f>
        <v>0.89339189458973844</v>
      </c>
      <c r="S266" s="52">
        <f>IF(Tabell2[[#This Row],[Inntekt]]&lt;=J$434,J$434,IF(Tabell2[[#This Row],[Inntekt]]&gt;=J$435,J$435,Tabell2[[#This Row],[Inntekt]]))</f>
        <v>400000</v>
      </c>
      <c r="T266" s="9">
        <f>IF(Tabell2[[#This Row],[NIBR11-T]]&lt;=K$437,100,IF(Tabell2[[#This Row],[NIBR11-T]]&gt;=K$436,0,100*(K$436-Tabell2[[#This Row],[NIBR11-T]])/K$439))</f>
        <v>50</v>
      </c>
      <c r="U266" s="9">
        <f>(L$436-Tabell2[[#This Row],[ReisetidOslo-T]])*100/L$439</f>
        <v>36.548953451984076</v>
      </c>
      <c r="V266" s="9">
        <f>100-(M$436-Tabell2[[#This Row],[Beftettotal-T]])*100/M$439</f>
        <v>57.253222100748097</v>
      </c>
      <c r="W266" s="9">
        <f>100-(N$436-Tabell2[[#This Row],[Befvekst10-T]])*100/N$439</f>
        <v>56.519381072929612</v>
      </c>
      <c r="X266" s="9">
        <f>100-(O$436-Tabell2[[#This Row],[Kvinneandel-T]])*100/O$439</f>
        <v>63.90285722936818</v>
      </c>
      <c r="Y266" s="9">
        <f>(P$436-Tabell2[[#This Row],[Eldreandel-T]])*100/P$439</f>
        <v>64.307035327797024</v>
      </c>
      <c r="Z266" s="9">
        <f>100-(Q$436-Tabell2[[#This Row],[Sysselsettingsvekst10-T]])*100/Q$439</f>
        <v>80.203366226026219</v>
      </c>
      <c r="AA266" s="9">
        <f>100-(R$436-Tabell2[[#This Row],[Yrkesaktivandel-T]])*100/R$439</f>
        <v>48.721510746548681</v>
      </c>
      <c r="AB266" s="9">
        <f>100-(S$436-Tabell2[[#This Row],[Inntekt-T]])*100/S$439</f>
        <v>100</v>
      </c>
      <c r="AC266" s="48">
        <f>Tabell2[[#This Row],[NIBR11-I]]*Vekter!$B$3</f>
        <v>10</v>
      </c>
      <c r="AD266" s="48">
        <f>Tabell2[[#This Row],[ReisetidOslo-I]]*Vekter!$C$3</f>
        <v>3.6548953451984079</v>
      </c>
      <c r="AE266" s="48">
        <f>Tabell2[[#This Row],[Beftettotal-I]]*Vekter!$D$3</f>
        <v>5.7253222100748102</v>
      </c>
      <c r="AF266" s="48">
        <f>Tabell2[[#This Row],[Befvekst10-I]]*Vekter!$E$3</f>
        <v>11.303876214585923</v>
      </c>
      <c r="AG266" s="48">
        <f>Tabell2[[#This Row],[Kvinneandel-I]]*Vekter!$F$3</f>
        <v>3.1951428614684092</v>
      </c>
      <c r="AH266" s="48">
        <f>Tabell2[[#This Row],[Eldreandel-I]]*Vekter!$G$3</f>
        <v>3.2153517663898512</v>
      </c>
      <c r="AI266" s="48">
        <f>Tabell2[[#This Row],[Sysselsettingsvekst10-I]]*Vekter!$H$3</f>
        <v>8.0203366226026223</v>
      </c>
      <c r="AJ266" s="48">
        <f>Tabell2[[#This Row],[Yrkesaktivandel-I]]*Vekter!$J$3</f>
        <v>4.8721510746548686</v>
      </c>
      <c r="AK266" s="48">
        <f>Tabell2[[#This Row],[Inntekt-I]]*Vekter!$L$3</f>
        <v>10</v>
      </c>
      <c r="AL266" s="37">
        <f>SUM(Tabell2[[#This Row],[NIBR11-v]:[Inntekt-v]])</f>
        <v>59.987076094974888</v>
      </c>
    </row>
    <row r="267" spans="1:38">
      <c r="A267" s="2" t="s">
        <v>264</v>
      </c>
      <c r="B267">
        <f>'Rådata-K'!M266</f>
        <v>5</v>
      </c>
      <c r="C267" s="9">
        <f>'Rådata-K'!L266</f>
        <v>184.39490742629999</v>
      </c>
      <c r="D267" s="51">
        <f>'Rådata-K'!N266</f>
        <v>83.268162173286697</v>
      </c>
      <c r="E267" s="51">
        <f>'Rådata-K'!O266</f>
        <v>0.19686436917615735</v>
      </c>
      <c r="F267" s="51">
        <f>'Rådata-K'!P266</f>
        <v>0.11641127039050915</v>
      </c>
      <c r="G267" s="51">
        <f>'Rådata-K'!Q266</f>
        <v>0.11950074147305981</v>
      </c>
      <c r="H267" s="51">
        <f>'Rådata-K'!R266</f>
        <v>0.50083240843507215</v>
      </c>
      <c r="I267" s="51">
        <f>'Rådata-K'!S266</f>
        <v>0.91538623447695222</v>
      </c>
      <c r="J267" s="52">
        <f>'Rådata-K'!K266</f>
        <v>409300</v>
      </c>
      <c r="K267" s="26">
        <f>Tabell2[[#This Row],[NIBR11]]</f>
        <v>5</v>
      </c>
      <c r="L267" s="52">
        <f>IF(Tabell2[[#This Row],[ReisetidOslo]]&lt;=C$434,C$434,IF(Tabell2[[#This Row],[ReisetidOslo]]&gt;=C$435,C$435,Tabell2[[#This Row],[ReisetidOslo]]))</f>
        <v>184.39490742629999</v>
      </c>
      <c r="M267" s="51">
        <f>IF(Tabell2[[#This Row],[Beftettotal]]&lt;=D$434,D$434,IF(Tabell2[[#This Row],[Beftettotal]]&gt;=D$435,D$435,Tabell2[[#This Row],[Beftettotal]]))</f>
        <v>83.268162173286697</v>
      </c>
      <c r="N267" s="51">
        <f>IF(Tabell2[[#This Row],[Befvekst10]]&lt;=E$434,E$434,IF(Tabell2[[#This Row],[Befvekst10]]&gt;=E$435,E$435,Tabell2[[#This Row],[Befvekst10]]))</f>
        <v>0.16633778614624492</v>
      </c>
      <c r="O267" s="51">
        <f>IF(Tabell2[[#This Row],[Kvinneandel]]&lt;=F$434,F$434,IF(Tabell2[[#This Row],[Kvinneandel]]&gt;=F$435,F$435,Tabell2[[#This Row],[Kvinneandel]]))</f>
        <v>0.11641127039050915</v>
      </c>
      <c r="P267" s="51">
        <f>IF(Tabell2[[#This Row],[Eldreandel]]&lt;=G$434,G$434,IF(Tabell2[[#This Row],[Eldreandel]]&gt;=G$435,G$435,Tabell2[[#This Row],[Eldreandel]]))</f>
        <v>0.1200928231908705</v>
      </c>
      <c r="Q267" s="51">
        <f>IF(Tabell2[[#This Row],[Sysselsettingsvekst10]]&lt;=H$434,H$434,IF(Tabell2[[#This Row],[Sysselsettingsvekst10]]&gt;=H$435,H$435,Tabell2[[#This Row],[Sysselsettingsvekst10]]))</f>
        <v>0.24286196513786068</v>
      </c>
      <c r="R267" s="51">
        <f>IF(Tabell2[[#This Row],[Yrkesaktivandel]]&lt;=I$434,I$434,IF(Tabell2[[#This Row],[Yrkesaktivandel]]&gt;=I$435,I$435,Tabell2[[#This Row],[Yrkesaktivandel]]))</f>
        <v>0.91538623447695222</v>
      </c>
      <c r="S267" s="52">
        <f>IF(Tabell2[[#This Row],[Inntekt]]&lt;=J$434,J$434,IF(Tabell2[[#This Row],[Inntekt]]&gt;=J$435,J$435,Tabell2[[#This Row],[Inntekt]]))</f>
        <v>400000</v>
      </c>
      <c r="T267" s="9">
        <f>IF(Tabell2[[#This Row],[NIBR11-T]]&lt;=K$437,100,IF(Tabell2[[#This Row],[NIBR11-T]]&gt;=K$436,0,100*(K$436-Tabell2[[#This Row],[NIBR11-T]])/K$439))</f>
        <v>60</v>
      </c>
      <c r="U267" s="9">
        <f>(L$436-Tabell2[[#This Row],[ReisetidOslo-T]])*100/L$439</f>
        <v>42.024659629827447</v>
      </c>
      <c r="V267" s="9">
        <f>100-(M$436-Tabell2[[#This Row],[Beftettotal-T]])*100/M$439</f>
        <v>64.531915560552733</v>
      </c>
      <c r="W267" s="9">
        <f>100-(N$436-Tabell2[[#This Row],[Befvekst10-T]])*100/N$439</f>
        <v>100</v>
      </c>
      <c r="X267" s="9">
        <f>100-(O$436-Tabell2[[#This Row],[Kvinneandel-T]])*100/O$439</f>
        <v>69.259085551725448</v>
      </c>
      <c r="Y267" s="9">
        <f>(P$436-Tabell2[[#This Row],[Eldreandel-T]])*100/P$439</f>
        <v>100.00000000000001</v>
      </c>
      <c r="Z267" s="9">
        <f>100-(Q$436-Tabell2[[#This Row],[Sysselsettingsvekst10-T]])*100/Q$439</f>
        <v>100</v>
      </c>
      <c r="AA267" s="9">
        <f>100-(R$436-Tabell2[[#This Row],[Yrkesaktivandel-T]])*100/R$439</f>
        <v>65.117757531549358</v>
      </c>
      <c r="AB267" s="9">
        <f>100-(S$436-Tabell2[[#This Row],[Inntekt-T]])*100/S$439</f>
        <v>100</v>
      </c>
      <c r="AC267" s="48">
        <f>Tabell2[[#This Row],[NIBR11-I]]*Vekter!$B$3</f>
        <v>12</v>
      </c>
      <c r="AD267" s="48">
        <f>Tabell2[[#This Row],[ReisetidOslo-I]]*Vekter!$C$3</f>
        <v>4.2024659629827452</v>
      </c>
      <c r="AE267" s="48">
        <f>Tabell2[[#This Row],[Beftettotal-I]]*Vekter!$D$3</f>
        <v>6.4531915560552733</v>
      </c>
      <c r="AF267" s="48">
        <f>Tabell2[[#This Row],[Befvekst10-I]]*Vekter!$E$3</f>
        <v>20</v>
      </c>
      <c r="AG267" s="48">
        <f>Tabell2[[#This Row],[Kvinneandel-I]]*Vekter!$F$3</f>
        <v>3.4629542775862725</v>
      </c>
      <c r="AH267" s="48">
        <f>Tabell2[[#This Row],[Eldreandel-I]]*Vekter!$G$3</f>
        <v>5.0000000000000009</v>
      </c>
      <c r="AI267" s="48">
        <f>Tabell2[[#This Row],[Sysselsettingsvekst10-I]]*Vekter!$H$3</f>
        <v>10</v>
      </c>
      <c r="AJ267" s="48">
        <f>Tabell2[[#This Row],[Yrkesaktivandel-I]]*Vekter!$J$3</f>
        <v>6.5117757531549358</v>
      </c>
      <c r="AK267" s="48">
        <f>Tabell2[[#This Row],[Inntekt-I]]*Vekter!$L$3</f>
        <v>10</v>
      </c>
      <c r="AL267" s="37">
        <f>SUM(Tabell2[[#This Row],[NIBR11-v]:[Inntekt-v]])</f>
        <v>77.630387549779215</v>
      </c>
    </row>
    <row r="268" spans="1:38">
      <c r="A268" s="2" t="s">
        <v>265</v>
      </c>
      <c r="B268">
        <f>'Rådata-K'!M267</f>
        <v>5</v>
      </c>
      <c r="C268" s="9">
        <f>'Rådata-K'!L267</f>
        <v>192.1349900772</v>
      </c>
      <c r="D268" s="51">
        <f>'Rådata-K'!N267</f>
        <v>61.045592705167174</v>
      </c>
      <c r="E268" s="51">
        <f>'Rådata-K'!O267</f>
        <v>7.5160599571734377E-2</v>
      </c>
      <c r="F268" s="51">
        <f>'Rådata-K'!P267</f>
        <v>0.12188807010555666</v>
      </c>
      <c r="G268" s="51">
        <f>'Rådata-K'!Q267</f>
        <v>0.1441943835889265</v>
      </c>
      <c r="H268" s="51">
        <f>'Rådata-K'!R267</f>
        <v>9.5238095238095344E-2</v>
      </c>
      <c r="I268" s="51">
        <f>'Rådata-K'!S267</f>
        <v>0.88371290545203585</v>
      </c>
      <c r="J268" s="52">
        <f>'Rådata-K'!K267</f>
        <v>371500</v>
      </c>
      <c r="K268" s="26">
        <f>Tabell2[[#This Row],[NIBR11]]</f>
        <v>5</v>
      </c>
      <c r="L268" s="52">
        <f>IF(Tabell2[[#This Row],[ReisetidOslo]]&lt;=C$434,C$434,IF(Tabell2[[#This Row],[ReisetidOslo]]&gt;=C$435,C$435,Tabell2[[#This Row],[ReisetidOslo]]))</f>
        <v>192.1349900772</v>
      </c>
      <c r="M268" s="51">
        <f>IF(Tabell2[[#This Row],[Beftettotal]]&lt;=D$434,D$434,IF(Tabell2[[#This Row],[Beftettotal]]&gt;=D$435,D$435,Tabell2[[#This Row],[Beftettotal]]))</f>
        <v>61.045592705167174</v>
      </c>
      <c r="N268" s="51">
        <f>IF(Tabell2[[#This Row],[Befvekst10]]&lt;=E$434,E$434,IF(Tabell2[[#This Row],[Befvekst10]]&gt;=E$435,E$435,Tabell2[[#This Row],[Befvekst10]]))</f>
        <v>7.5160599571734377E-2</v>
      </c>
      <c r="O268" s="51">
        <f>IF(Tabell2[[#This Row],[Kvinneandel]]&lt;=F$434,F$434,IF(Tabell2[[#This Row],[Kvinneandel]]&gt;=F$435,F$435,Tabell2[[#This Row],[Kvinneandel]]))</f>
        <v>0.12188807010555666</v>
      </c>
      <c r="P268" s="51">
        <f>IF(Tabell2[[#This Row],[Eldreandel]]&lt;=G$434,G$434,IF(Tabell2[[#This Row],[Eldreandel]]&gt;=G$435,G$435,Tabell2[[#This Row],[Eldreandel]]))</f>
        <v>0.1441943835889265</v>
      </c>
      <c r="Q268" s="51">
        <f>IF(Tabell2[[#This Row],[Sysselsettingsvekst10]]&lt;=H$434,H$434,IF(Tabell2[[#This Row],[Sysselsettingsvekst10]]&gt;=H$435,H$435,Tabell2[[#This Row],[Sysselsettingsvekst10]]))</f>
        <v>9.5238095238095344E-2</v>
      </c>
      <c r="R268" s="51">
        <f>IF(Tabell2[[#This Row],[Yrkesaktivandel]]&lt;=I$434,I$434,IF(Tabell2[[#This Row],[Yrkesaktivandel]]&gt;=I$435,I$435,Tabell2[[#This Row],[Yrkesaktivandel]]))</f>
        <v>0.88371290545203585</v>
      </c>
      <c r="S268" s="52">
        <f>IF(Tabell2[[#This Row],[Inntekt]]&lt;=J$434,J$434,IF(Tabell2[[#This Row],[Inntekt]]&gt;=J$435,J$435,Tabell2[[#This Row],[Inntekt]]))</f>
        <v>371500</v>
      </c>
      <c r="T268" s="9">
        <f>IF(Tabell2[[#This Row],[NIBR11-T]]&lt;=K$437,100,IF(Tabell2[[#This Row],[NIBR11-T]]&gt;=K$436,0,100*(K$436-Tabell2[[#This Row],[NIBR11-T]])/K$439))</f>
        <v>60</v>
      </c>
      <c r="U268" s="9">
        <f>(L$436-Tabell2[[#This Row],[ReisetidOslo-T]])*100/L$439</f>
        <v>38.588445355985733</v>
      </c>
      <c r="V268" s="9">
        <f>100-(M$436-Tabell2[[#This Row],[Beftettotal-T]])*100/M$439</f>
        <v>47.028041588596004</v>
      </c>
      <c r="W268" s="9">
        <f>100-(N$436-Tabell2[[#This Row],[Befvekst10-T]])*100/N$439</f>
        <v>63.104629213548215</v>
      </c>
      <c r="X268" s="9">
        <f>100-(O$436-Tabell2[[#This Row],[Kvinneandel-T]])*100/O$439</f>
        <v>83.765472833038956</v>
      </c>
      <c r="Y268" s="9">
        <f>(P$436-Tabell2[[#This Row],[Eldreandel-T]])*100/P$439</f>
        <v>72.676387313152134</v>
      </c>
      <c r="Z268" s="9">
        <f>100-(Q$436-Tabell2[[#This Row],[Sysselsettingsvekst10-T]])*100/Q$439</f>
        <v>52.616994077125845</v>
      </c>
      <c r="AA268" s="9">
        <f>100-(R$436-Tabell2[[#This Row],[Yrkesaktivandel-T]])*100/R$439</f>
        <v>41.506059164690974</v>
      </c>
      <c r="AB268" s="9">
        <f>100-(S$436-Tabell2[[#This Row],[Inntekt-T]])*100/S$439</f>
        <v>64.164466239155033</v>
      </c>
      <c r="AC268" s="48">
        <f>Tabell2[[#This Row],[NIBR11-I]]*Vekter!$B$3</f>
        <v>12</v>
      </c>
      <c r="AD268" s="48">
        <f>Tabell2[[#This Row],[ReisetidOslo-I]]*Vekter!$C$3</f>
        <v>3.8588445355985734</v>
      </c>
      <c r="AE268" s="48">
        <f>Tabell2[[#This Row],[Beftettotal-I]]*Vekter!$D$3</f>
        <v>4.7028041588596006</v>
      </c>
      <c r="AF268" s="48">
        <f>Tabell2[[#This Row],[Befvekst10-I]]*Vekter!$E$3</f>
        <v>12.620925842709644</v>
      </c>
      <c r="AG268" s="48">
        <f>Tabell2[[#This Row],[Kvinneandel-I]]*Vekter!$F$3</f>
        <v>4.1882736416519482</v>
      </c>
      <c r="AH268" s="48">
        <f>Tabell2[[#This Row],[Eldreandel-I]]*Vekter!$G$3</f>
        <v>3.6338193656576068</v>
      </c>
      <c r="AI268" s="48">
        <f>Tabell2[[#This Row],[Sysselsettingsvekst10-I]]*Vekter!$H$3</f>
        <v>5.2616994077125847</v>
      </c>
      <c r="AJ268" s="48">
        <f>Tabell2[[#This Row],[Yrkesaktivandel-I]]*Vekter!$J$3</f>
        <v>4.1506059164690976</v>
      </c>
      <c r="AK268" s="48">
        <f>Tabell2[[#This Row],[Inntekt-I]]*Vekter!$L$3</f>
        <v>6.4164466239155038</v>
      </c>
      <c r="AL268" s="37">
        <f>SUM(Tabell2[[#This Row],[NIBR11-v]:[Inntekt-v]])</f>
        <v>56.833419492574556</v>
      </c>
    </row>
    <row r="269" spans="1:38">
      <c r="A269" s="2" t="s">
        <v>266</v>
      </c>
      <c r="B269">
        <f>'Rådata-K'!M268</f>
        <v>6</v>
      </c>
      <c r="C269" s="9">
        <f>'Rådata-K'!L268</f>
        <v>166.68273346682</v>
      </c>
      <c r="D269" s="51">
        <f>'Rådata-K'!N268</f>
        <v>16.280472204963267</v>
      </c>
      <c r="E269" s="51">
        <f>'Rådata-K'!O268</f>
        <v>6.3507222155902987E-2</v>
      </c>
      <c r="F269" s="51">
        <f>'Rådata-K'!P268</f>
        <v>0.1242563699629588</v>
      </c>
      <c r="G269" s="51">
        <f>'Rådata-K'!Q268</f>
        <v>0.15164440453474015</v>
      </c>
      <c r="H269" s="51">
        <f>'Rådata-K'!R268</f>
        <v>0.18309100700053849</v>
      </c>
      <c r="I269" s="51">
        <f>'Rådata-K'!S268</f>
        <v>0.87617924528301883</v>
      </c>
      <c r="J269" s="52">
        <f>'Rådata-K'!K268</f>
        <v>351400</v>
      </c>
      <c r="K269" s="26">
        <f>Tabell2[[#This Row],[NIBR11]]</f>
        <v>6</v>
      </c>
      <c r="L269" s="52">
        <f>IF(Tabell2[[#This Row],[ReisetidOslo]]&lt;=C$434,C$434,IF(Tabell2[[#This Row],[ReisetidOslo]]&gt;=C$435,C$435,Tabell2[[#This Row],[ReisetidOslo]]))</f>
        <v>166.68273346682</v>
      </c>
      <c r="M269" s="51">
        <f>IF(Tabell2[[#This Row],[Beftettotal]]&lt;=D$434,D$434,IF(Tabell2[[#This Row],[Beftettotal]]&gt;=D$435,D$435,Tabell2[[#This Row],[Beftettotal]]))</f>
        <v>16.280472204963267</v>
      </c>
      <c r="N269" s="51">
        <f>IF(Tabell2[[#This Row],[Befvekst10]]&lt;=E$434,E$434,IF(Tabell2[[#This Row],[Befvekst10]]&gt;=E$435,E$435,Tabell2[[#This Row],[Befvekst10]]))</f>
        <v>6.3507222155902987E-2</v>
      </c>
      <c r="O269" s="51">
        <f>IF(Tabell2[[#This Row],[Kvinneandel]]&lt;=F$434,F$434,IF(Tabell2[[#This Row],[Kvinneandel]]&gt;=F$435,F$435,Tabell2[[#This Row],[Kvinneandel]]))</f>
        <v>0.1242563699629588</v>
      </c>
      <c r="P269" s="51">
        <f>IF(Tabell2[[#This Row],[Eldreandel]]&lt;=G$434,G$434,IF(Tabell2[[#This Row],[Eldreandel]]&gt;=G$435,G$435,Tabell2[[#This Row],[Eldreandel]]))</f>
        <v>0.15164440453474015</v>
      </c>
      <c r="Q269" s="51">
        <f>IF(Tabell2[[#This Row],[Sysselsettingsvekst10]]&lt;=H$434,H$434,IF(Tabell2[[#This Row],[Sysselsettingsvekst10]]&gt;=H$435,H$435,Tabell2[[#This Row],[Sysselsettingsvekst10]]))</f>
        <v>0.18309100700053849</v>
      </c>
      <c r="R269" s="51">
        <f>IF(Tabell2[[#This Row],[Yrkesaktivandel]]&lt;=I$434,I$434,IF(Tabell2[[#This Row],[Yrkesaktivandel]]&gt;=I$435,I$435,Tabell2[[#This Row],[Yrkesaktivandel]]))</f>
        <v>0.87617924528301883</v>
      </c>
      <c r="S269" s="52">
        <f>IF(Tabell2[[#This Row],[Inntekt]]&lt;=J$434,J$434,IF(Tabell2[[#This Row],[Inntekt]]&gt;=J$435,J$435,Tabell2[[#This Row],[Inntekt]]))</f>
        <v>351400</v>
      </c>
      <c r="T269" s="9">
        <f>IF(Tabell2[[#This Row],[NIBR11-T]]&lt;=K$437,100,IF(Tabell2[[#This Row],[NIBR11-T]]&gt;=K$436,0,100*(K$436-Tabell2[[#This Row],[NIBR11-T]])/K$439))</f>
        <v>50</v>
      </c>
      <c r="U269" s="9">
        <f>(L$436-Tabell2[[#This Row],[ReisetidOslo-T]])*100/L$439</f>
        <v>49.887989742104196</v>
      </c>
      <c r="V269" s="9">
        <f>100-(M$436-Tabell2[[#This Row],[Beftettotal-T]])*100/M$439</f>
        <v>11.768256319429724</v>
      </c>
      <c r="W269" s="9">
        <f>100-(N$436-Tabell2[[#This Row],[Befvekst10-T]])*100/N$439</f>
        <v>58.389023294734301</v>
      </c>
      <c r="X269" s="9">
        <f>100-(O$436-Tabell2[[#This Row],[Kvinneandel-T]])*100/O$439</f>
        <v>90.03838342265999</v>
      </c>
      <c r="Y269" s="9">
        <f>(P$436-Tabell2[[#This Row],[Eldreandel-T]])*100/P$439</f>
        <v>64.230399440568789</v>
      </c>
      <c r="Z269" s="9">
        <f>100-(Q$436-Tabell2[[#This Row],[Sysselsettingsvekst10-T]])*100/Q$439</f>
        <v>80.815245763713023</v>
      </c>
      <c r="AA269" s="9">
        <f>100-(R$436-Tabell2[[#This Row],[Yrkesaktivandel-T]])*100/R$439</f>
        <v>35.889898281529284</v>
      </c>
      <c r="AB269" s="9">
        <f>100-(S$436-Tabell2[[#This Row],[Inntekt-T]])*100/S$439</f>
        <v>38.890984534138063</v>
      </c>
      <c r="AC269" s="48">
        <f>Tabell2[[#This Row],[NIBR11-I]]*Vekter!$B$3</f>
        <v>10</v>
      </c>
      <c r="AD269" s="48">
        <f>Tabell2[[#This Row],[ReisetidOslo-I]]*Vekter!$C$3</f>
        <v>4.98879897421042</v>
      </c>
      <c r="AE269" s="48">
        <f>Tabell2[[#This Row],[Beftettotal-I]]*Vekter!$D$3</f>
        <v>1.1768256319429724</v>
      </c>
      <c r="AF269" s="48">
        <f>Tabell2[[#This Row],[Befvekst10-I]]*Vekter!$E$3</f>
        <v>11.677804658946862</v>
      </c>
      <c r="AG269" s="48">
        <f>Tabell2[[#This Row],[Kvinneandel-I]]*Vekter!$F$3</f>
        <v>4.5019191711329993</v>
      </c>
      <c r="AH269" s="48">
        <f>Tabell2[[#This Row],[Eldreandel-I]]*Vekter!$G$3</f>
        <v>3.2115199720284395</v>
      </c>
      <c r="AI269" s="48">
        <f>Tabell2[[#This Row],[Sysselsettingsvekst10-I]]*Vekter!$H$3</f>
        <v>8.0815245763713026</v>
      </c>
      <c r="AJ269" s="48">
        <f>Tabell2[[#This Row],[Yrkesaktivandel-I]]*Vekter!$J$3</f>
        <v>3.5889898281529287</v>
      </c>
      <c r="AK269" s="48">
        <f>Tabell2[[#This Row],[Inntekt-I]]*Vekter!$L$3</f>
        <v>3.8890984534138067</v>
      </c>
      <c r="AL269" s="37">
        <f>SUM(Tabell2[[#This Row],[NIBR11-v]:[Inntekt-v]])</f>
        <v>51.116481266199727</v>
      </c>
    </row>
    <row r="270" spans="1:38">
      <c r="A270" s="2" t="s">
        <v>267</v>
      </c>
      <c r="B270">
        <f>'Rådata-K'!M269</f>
        <v>6</v>
      </c>
      <c r="C270" s="9">
        <f>'Rådata-K'!L269</f>
        <v>164.22849042957</v>
      </c>
      <c r="D270" s="51">
        <f>'Rådata-K'!N269</f>
        <v>13.097472744676356</v>
      </c>
      <c r="E270" s="51">
        <f>'Rådata-K'!O269</f>
        <v>2.6200448037401403E-2</v>
      </c>
      <c r="F270" s="51">
        <f>'Rådata-K'!P269</f>
        <v>0.11370539104024298</v>
      </c>
      <c r="G270" s="51">
        <f>'Rådata-K'!Q269</f>
        <v>0.16173120728929385</v>
      </c>
      <c r="H270" s="51">
        <f>'Rådata-K'!R269</f>
        <v>0.10527555346208195</v>
      </c>
      <c r="I270" s="51">
        <f>'Rådata-K'!S269</f>
        <v>0.90253378378378379</v>
      </c>
      <c r="J270" s="52">
        <f>'Rådata-K'!K269</f>
        <v>360100</v>
      </c>
      <c r="K270" s="26">
        <f>Tabell2[[#This Row],[NIBR11]]</f>
        <v>6</v>
      </c>
      <c r="L270" s="52">
        <f>IF(Tabell2[[#This Row],[ReisetidOslo]]&lt;=C$434,C$434,IF(Tabell2[[#This Row],[ReisetidOslo]]&gt;=C$435,C$435,Tabell2[[#This Row],[ReisetidOslo]]))</f>
        <v>164.22849042957</v>
      </c>
      <c r="M270" s="51">
        <f>IF(Tabell2[[#This Row],[Beftettotal]]&lt;=D$434,D$434,IF(Tabell2[[#This Row],[Beftettotal]]&gt;=D$435,D$435,Tabell2[[#This Row],[Beftettotal]]))</f>
        <v>13.097472744676356</v>
      </c>
      <c r="N270" s="51">
        <f>IF(Tabell2[[#This Row],[Befvekst10]]&lt;=E$434,E$434,IF(Tabell2[[#This Row],[Befvekst10]]&gt;=E$435,E$435,Tabell2[[#This Row],[Befvekst10]]))</f>
        <v>2.6200448037401403E-2</v>
      </c>
      <c r="O270" s="51">
        <f>IF(Tabell2[[#This Row],[Kvinneandel]]&lt;=F$434,F$434,IF(Tabell2[[#This Row],[Kvinneandel]]&gt;=F$435,F$435,Tabell2[[#This Row],[Kvinneandel]]))</f>
        <v>0.11370539104024298</v>
      </c>
      <c r="P270" s="51">
        <f>IF(Tabell2[[#This Row],[Eldreandel]]&lt;=G$434,G$434,IF(Tabell2[[#This Row],[Eldreandel]]&gt;=G$435,G$435,Tabell2[[#This Row],[Eldreandel]]))</f>
        <v>0.16173120728929385</v>
      </c>
      <c r="Q270" s="51">
        <f>IF(Tabell2[[#This Row],[Sysselsettingsvekst10]]&lt;=H$434,H$434,IF(Tabell2[[#This Row],[Sysselsettingsvekst10]]&gt;=H$435,H$435,Tabell2[[#This Row],[Sysselsettingsvekst10]]))</f>
        <v>0.10527555346208195</v>
      </c>
      <c r="R270" s="51">
        <f>IF(Tabell2[[#This Row],[Yrkesaktivandel]]&lt;=I$434,I$434,IF(Tabell2[[#This Row],[Yrkesaktivandel]]&gt;=I$435,I$435,Tabell2[[#This Row],[Yrkesaktivandel]]))</f>
        <v>0.90253378378378379</v>
      </c>
      <c r="S270" s="52">
        <f>IF(Tabell2[[#This Row],[Inntekt]]&lt;=J$434,J$434,IF(Tabell2[[#This Row],[Inntekt]]&gt;=J$435,J$435,Tabell2[[#This Row],[Inntekt]]))</f>
        <v>360100</v>
      </c>
      <c r="T270" s="9">
        <f>IF(Tabell2[[#This Row],[NIBR11-T]]&lt;=K$437,100,IF(Tabell2[[#This Row],[NIBR11-T]]&gt;=K$436,0,100*(K$436-Tabell2[[#This Row],[NIBR11-T]])/K$439))</f>
        <v>50</v>
      </c>
      <c r="U270" s="9">
        <f>(L$436-Tabell2[[#This Row],[ReisetidOslo-T]])*100/L$439</f>
        <v>50.977552391037214</v>
      </c>
      <c r="V270" s="9">
        <f>100-(M$436-Tabell2[[#This Row],[Beftettotal-T]])*100/M$439</f>
        <v>9.2611285327173505</v>
      </c>
      <c r="W270" s="9">
        <f>100-(N$436-Tabell2[[#This Row],[Befvekst10-T]])*100/N$439</f>
        <v>43.292623464238559</v>
      </c>
      <c r="X270" s="9">
        <f>100-(O$436-Tabell2[[#This Row],[Kvinneandel-T]])*100/O$439</f>
        <v>62.092028906651549</v>
      </c>
      <c r="Y270" s="9">
        <f>(P$436-Tabell2[[#This Row],[Eldreandel-T]])*100/P$439</f>
        <v>52.795127733584799</v>
      </c>
      <c r="Z270" s="9">
        <f>100-(Q$436-Tabell2[[#This Row],[Sysselsettingsvekst10-T]])*100/Q$439</f>
        <v>55.838728765429906</v>
      </c>
      <c r="AA270" s="9">
        <f>100-(R$436-Tabell2[[#This Row],[Yrkesaktivandel-T]])*100/R$439</f>
        <v>55.536567350899759</v>
      </c>
      <c r="AB270" s="9">
        <f>100-(S$436-Tabell2[[#This Row],[Inntekt-T]])*100/S$439</f>
        <v>49.830252734817051</v>
      </c>
      <c r="AC270" s="48">
        <f>Tabell2[[#This Row],[NIBR11-I]]*Vekter!$B$3</f>
        <v>10</v>
      </c>
      <c r="AD270" s="48">
        <f>Tabell2[[#This Row],[ReisetidOslo-I]]*Vekter!$C$3</f>
        <v>5.097755239103722</v>
      </c>
      <c r="AE270" s="48">
        <f>Tabell2[[#This Row],[Beftettotal-I]]*Vekter!$D$3</f>
        <v>0.92611285327173509</v>
      </c>
      <c r="AF270" s="48">
        <f>Tabell2[[#This Row],[Befvekst10-I]]*Vekter!$E$3</f>
        <v>8.6585246928477115</v>
      </c>
      <c r="AG270" s="48">
        <f>Tabell2[[#This Row],[Kvinneandel-I]]*Vekter!$F$3</f>
        <v>3.1046014453325776</v>
      </c>
      <c r="AH270" s="48">
        <f>Tabell2[[#This Row],[Eldreandel-I]]*Vekter!$G$3</f>
        <v>2.63975638667924</v>
      </c>
      <c r="AI270" s="48">
        <f>Tabell2[[#This Row],[Sysselsettingsvekst10-I]]*Vekter!$H$3</f>
        <v>5.5838728765429906</v>
      </c>
      <c r="AJ270" s="48">
        <f>Tabell2[[#This Row],[Yrkesaktivandel-I]]*Vekter!$J$3</f>
        <v>5.5536567350899766</v>
      </c>
      <c r="AK270" s="48">
        <f>Tabell2[[#This Row],[Inntekt-I]]*Vekter!$L$3</f>
        <v>4.9830252734817053</v>
      </c>
      <c r="AL270" s="37">
        <f>SUM(Tabell2[[#This Row],[NIBR11-v]:[Inntekt-v]])</f>
        <v>46.547305502349666</v>
      </c>
    </row>
    <row r="271" spans="1:38">
      <c r="A271" s="2" t="s">
        <v>268</v>
      </c>
      <c r="B271">
        <f>'Rådata-K'!M270</f>
        <v>4</v>
      </c>
      <c r="C271" s="9">
        <f>'Rådata-K'!L270</f>
        <v>194.3731327381</v>
      </c>
      <c r="D271" s="51">
        <f>'Rådata-K'!N270</f>
        <v>17.384406165004535</v>
      </c>
      <c r="E271" s="51">
        <f>'Rådata-K'!O270</f>
        <v>9.9378881987577605E-2</v>
      </c>
      <c r="F271" s="51">
        <f>'Rådata-K'!P270</f>
        <v>0.12038244241634072</v>
      </c>
      <c r="G271" s="51">
        <f>'Rådata-K'!Q270</f>
        <v>0.15993046501521077</v>
      </c>
      <c r="H271" s="51">
        <f>'Rådata-K'!R270</f>
        <v>0.31184210526315792</v>
      </c>
      <c r="I271" s="51">
        <f>'Rådata-K'!S270</f>
        <v>0.91855203619909498</v>
      </c>
      <c r="J271" s="52">
        <f>'Rådata-K'!K270</f>
        <v>357800</v>
      </c>
      <c r="K271" s="26">
        <f>Tabell2[[#This Row],[NIBR11]]</f>
        <v>4</v>
      </c>
      <c r="L271" s="52">
        <f>IF(Tabell2[[#This Row],[ReisetidOslo]]&lt;=C$434,C$434,IF(Tabell2[[#This Row],[ReisetidOslo]]&gt;=C$435,C$435,Tabell2[[#This Row],[ReisetidOslo]]))</f>
        <v>194.3731327381</v>
      </c>
      <c r="M271" s="51">
        <f>IF(Tabell2[[#This Row],[Beftettotal]]&lt;=D$434,D$434,IF(Tabell2[[#This Row],[Beftettotal]]&gt;=D$435,D$435,Tabell2[[#This Row],[Beftettotal]]))</f>
        <v>17.384406165004535</v>
      </c>
      <c r="N271" s="51">
        <f>IF(Tabell2[[#This Row],[Befvekst10]]&lt;=E$434,E$434,IF(Tabell2[[#This Row],[Befvekst10]]&gt;=E$435,E$435,Tabell2[[#This Row],[Befvekst10]]))</f>
        <v>9.9378881987577605E-2</v>
      </c>
      <c r="O271" s="51">
        <f>IF(Tabell2[[#This Row],[Kvinneandel]]&lt;=F$434,F$434,IF(Tabell2[[#This Row],[Kvinneandel]]&gt;=F$435,F$435,Tabell2[[#This Row],[Kvinneandel]]))</f>
        <v>0.12038244241634072</v>
      </c>
      <c r="P271" s="51">
        <f>IF(Tabell2[[#This Row],[Eldreandel]]&lt;=G$434,G$434,IF(Tabell2[[#This Row],[Eldreandel]]&gt;=G$435,G$435,Tabell2[[#This Row],[Eldreandel]]))</f>
        <v>0.15993046501521077</v>
      </c>
      <c r="Q271" s="51">
        <f>IF(Tabell2[[#This Row],[Sysselsettingsvekst10]]&lt;=H$434,H$434,IF(Tabell2[[#This Row],[Sysselsettingsvekst10]]&gt;=H$435,H$435,Tabell2[[#This Row],[Sysselsettingsvekst10]]))</f>
        <v>0.24286196513786068</v>
      </c>
      <c r="R271" s="51">
        <f>IF(Tabell2[[#This Row],[Yrkesaktivandel]]&lt;=I$434,I$434,IF(Tabell2[[#This Row],[Yrkesaktivandel]]&gt;=I$435,I$435,Tabell2[[#This Row],[Yrkesaktivandel]]))</f>
        <v>0.91855203619909498</v>
      </c>
      <c r="S271" s="52">
        <f>IF(Tabell2[[#This Row],[Inntekt]]&lt;=J$434,J$434,IF(Tabell2[[#This Row],[Inntekt]]&gt;=J$435,J$435,Tabell2[[#This Row],[Inntekt]]))</f>
        <v>357800</v>
      </c>
      <c r="T271" s="9">
        <f>IF(Tabell2[[#This Row],[NIBR11-T]]&lt;=K$437,100,IF(Tabell2[[#This Row],[NIBR11-T]]&gt;=K$436,0,100*(K$436-Tabell2[[#This Row],[NIBR11-T]])/K$439))</f>
        <v>70</v>
      </c>
      <c r="U271" s="9">
        <f>(L$436-Tabell2[[#This Row],[ReisetidOslo-T]])*100/L$439</f>
        <v>37.594820597032495</v>
      </c>
      <c r="V271" s="9">
        <f>100-(M$436-Tabell2[[#This Row],[Beftettotal-T]])*100/M$439</f>
        <v>12.637783173092885</v>
      </c>
      <c r="W271" s="9">
        <f>100-(N$436-Tabell2[[#This Row],[Befvekst10-T]])*100/N$439</f>
        <v>72.904695909106238</v>
      </c>
      <c r="X271" s="9">
        <f>100-(O$436-Tabell2[[#This Row],[Kvinneandel-T]])*100/O$439</f>
        <v>79.777520105604566</v>
      </c>
      <c r="Y271" s="9">
        <f>(P$436-Tabell2[[#This Row],[Eldreandel-T]])*100/P$439</f>
        <v>54.836604867565242</v>
      </c>
      <c r="Z271" s="9">
        <f>100-(Q$436-Tabell2[[#This Row],[Sysselsettingsvekst10-T]])*100/Q$439</f>
        <v>100</v>
      </c>
      <c r="AA271" s="9">
        <f>100-(R$436-Tabell2[[#This Row],[Yrkesaktivandel-T]])*100/R$439</f>
        <v>67.477785910432814</v>
      </c>
      <c r="AB271" s="9">
        <f>100-(S$436-Tabell2[[#This Row],[Inntekt-T]])*100/S$439</f>
        <v>46.938262290959386</v>
      </c>
      <c r="AC271" s="48">
        <f>Tabell2[[#This Row],[NIBR11-I]]*Vekter!$B$3</f>
        <v>14</v>
      </c>
      <c r="AD271" s="48">
        <f>Tabell2[[#This Row],[ReisetidOslo-I]]*Vekter!$C$3</f>
        <v>3.7594820597032497</v>
      </c>
      <c r="AE271" s="48">
        <f>Tabell2[[#This Row],[Beftettotal-I]]*Vekter!$D$3</f>
        <v>1.2637783173092885</v>
      </c>
      <c r="AF271" s="48">
        <f>Tabell2[[#This Row],[Befvekst10-I]]*Vekter!$E$3</f>
        <v>14.580939181821249</v>
      </c>
      <c r="AG271" s="48">
        <f>Tabell2[[#This Row],[Kvinneandel-I]]*Vekter!$F$3</f>
        <v>3.9888760052802286</v>
      </c>
      <c r="AH271" s="48">
        <f>Tabell2[[#This Row],[Eldreandel-I]]*Vekter!$G$3</f>
        <v>2.7418302433782622</v>
      </c>
      <c r="AI271" s="48">
        <f>Tabell2[[#This Row],[Sysselsettingsvekst10-I]]*Vekter!$H$3</f>
        <v>10</v>
      </c>
      <c r="AJ271" s="48">
        <f>Tabell2[[#This Row],[Yrkesaktivandel-I]]*Vekter!$J$3</f>
        <v>6.7477785910432821</v>
      </c>
      <c r="AK271" s="48">
        <f>Tabell2[[#This Row],[Inntekt-I]]*Vekter!$L$3</f>
        <v>4.6938262290959392</v>
      </c>
      <c r="AL271" s="37">
        <f>SUM(Tabell2[[#This Row],[NIBR11-v]:[Inntekt-v]])</f>
        <v>61.776510627631488</v>
      </c>
    </row>
    <row r="272" spans="1:38">
      <c r="A272" s="2" t="s">
        <v>269</v>
      </c>
      <c r="B272">
        <f>'Rådata-K'!M271</f>
        <v>9</v>
      </c>
      <c r="C272" s="9">
        <f>'Rådata-K'!L271</f>
        <v>235.66948088730001</v>
      </c>
      <c r="D272" s="51">
        <f>'Rådata-K'!N271</f>
        <v>1.7858656944208919</v>
      </c>
      <c r="E272" s="51">
        <f>'Rådata-K'!O271</f>
        <v>-8.6720867208672114E-2</v>
      </c>
      <c r="F272" s="51">
        <f>'Rådata-K'!P271</f>
        <v>8.961424332344213E-2</v>
      </c>
      <c r="G272" s="51">
        <f>'Rådata-K'!Q271</f>
        <v>0.19703264094955489</v>
      </c>
      <c r="H272" s="51">
        <f>'Rådata-K'!R271</f>
        <v>-3.5377358490565891E-3</v>
      </c>
      <c r="I272" s="51">
        <f>'Rådata-K'!S271</f>
        <v>1.0101925254813138</v>
      </c>
      <c r="J272" s="52">
        <f>'Rådata-K'!K271</f>
        <v>347900</v>
      </c>
      <c r="K272" s="26">
        <f>Tabell2[[#This Row],[NIBR11]]</f>
        <v>9</v>
      </c>
      <c r="L272" s="52">
        <f>IF(Tabell2[[#This Row],[ReisetidOslo]]&lt;=C$434,C$434,IF(Tabell2[[#This Row],[ReisetidOslo]]&gt;=C$435,C$435,Tabell2[[#This Row],[ReisetidOslo]]))</f>
        <v>235.66948088730001</v>
      </c>
      <c r="M272" s="51">
        <f>IF(Tabell2[[#This Row],[Beftettotal]]&lt;=D$434,D$434,IF(Tabell2[[#This Row],[Beftettotal]]&gt;=D$435,D$435,Tabell2[[#This Row],[Beftettotal]]))</f>
        <v>1.7858656944208919</v>
      </c>
      <c r="N272" s="51">
        <f>IF(Tabell2[[#This Row],[Befvekst10]]&lt;=E$434,E$434,IF(Tabell2[[#This Row],[Befvekst10]]&gt;=E$435,E$435,Tabell2[[#This Row],[Befvekst10]]))</f>
        <v>-8.0785862785862778E-2</v>
      </c>
      <c r="O272" s="51">
        <f>IF(Tabell2[[#This Row],[Kvinneandel]]&lt;=F$434,F$434,IF(Tabell2[[#This Row],[Kvinneandel]]&gt;=F$435,F$435,Tabell2[[#This Row],[Kvinneandel]]))</f>
        <v>9.0262917071501733E-2</v>
      </c>
      <c r="P272" s="51">
        <f>IF(Tabell2[[#This Row],[Eldreandel]]&lt;=G$434,G$434,IF(Tabell2[[#This Row],[Eldreandel]]&gt;=G$435,G$435,Tabell2[[#This Row],[Eldreandel]]))</f>
        <v>0.19703264094955489</v>
      </c>
      <c r="Q272" s="51">
        <f>IF(Tabell2[[#This Row],[Sysselsettingsvekst10]]&lt;=H$434,H$434,IF(Tabell2[[#This Row],[Sysselsettingsvekst10]]&gt;=H$435,H$435,Tabell2[[#This Row],[Sysselsettingsvekst10]]))</f>
        <v>-3.5377358490565891E-3</v>
      </c>
      <c r="R272" s="51">
        <f>IF(Tabell2[[#This Row],[Yrkesaktivandel]]&lt;=I$434,I$434,IF(Tabell2[[#This Row],[Yrkesaktivandel]]&gt;=I$435,I$435,Tabell2[[#This Row],[Yrkesaktivandel]]))</f>
        <v>0.96217815624658265</v>
      </c>
      <c r="S272" s="52">
        <f>IF(Tabell2[[#This Row],[Inntekt]]&lt;=J$434,J$434,IF(Tabell2[[#This Row],[Inntekt]]&gt;=J$435,J$435,Tabell2[[#This Row],[Inntekt]]))</f>
        <v>347900</v>
      </c>
      <c r="T272" s="9">
        <f>IF(Tabell2[[#This Row],[NIBR11-T]]&lt;=K$437,100,IF(Tabell2[[#This Row],[NIBR11-T]]&gt;=K$436,0,100*(K$436-Tabell2[[#This Row],[NIBR11-T]])/K$439))</f>
        <v>20</v>
      </c>
      <c r="U272" s="9">
        <f>(L$436-Tabell2[[#This Row],[ReisetidOslo-T]])*100/L$439</f>
        <v>19.261282394915501</v>
      </c>
      <c r="V272" s="9">
        <f>100-(M$436-Tabell2[[#This Row],[Beftettotal-T]])*100/M$439</f>
        <v>0.35140526637701441</v>
      </c>
      <c r="W272" s="9">
        <f>100-(N$436-Tabell2[[#This Row],[Befvekst10-T]])*100/N$439</f>
        <v>0</v>
      </c>
      <c r="X272" s="9">
        <f>100-(O$436-Tabell2[[#This Row],[Kvinneandel-T]])*100/O$439</f>
        <v>0</v>
      </c>
      <c r="Y272" s="9">
        <f>(P$436-Tabell2[[#This Row],[Eldreandel-T]])*100/P$439</f>
        <v>12.77437037626337</v>
      </c>
      <c r="Z272" s="9">
        <f>100-(Q$436-Tabell2[[#This Row],[Sysselsettingsvekst10-T]])*100/Q$439</f>
        <v>20.912800218658404</v>
      </c>
      <c r="AA272" s="9">
        <f>100-(R$436-Tabell2[[#This Row],[Yrkesaktivandel-T]])*100/R$439</f>
        <v>100</v>
      </c>
      <c r="AB272" s="9">
        <f>100-(S$436-Tabell2[[#This Row],[Inntekt-T]])*100/S$439</f>
        <v>34.4901295108764</v>
      </c>
      <c r="AC272" s="48">
        <f>Tabell2[[#This Row],[NIBR11-I]]*Vekter!$B$3</f>
        <v>4</v>
      </c>
      <c r="AD272" s="48">
        <f>Tabell2[[#This Row],[ReisetidOslo-I]]*Vekter!$C$3</f>
        <v>1.9261282394915502</v>
      </c>
      <c r="AE272" s="48">
        <f>Tabell2[[#This Row],[Beftettotal-I]]*Vekter!$D$3</f>
        <v>3.5140526637701446E-2</v>
      </c>
      <c r="AF272" s="48">
        <f>Tabell2[[#This Row],[Befvekst10-I]]*Vekter!$E$3</f>
        <v>0</v>
      </c>
      <c r="AG272" s="48">
        <f>Tabell2[[#This Row],[Kvinneandel-I]]*Vekter!$F$3</f>
        <v>0</v>
      </c>
      <c r="AH272" s="48">
        <f>Tabell2[[#This Row],[Eldreandel-I]]*Vekter!$G$3</f>
        <v>0.63871851881316855</v>
      </c>
      <c r="AI272" s="48">
        <f>Tabell2[[#This Row],[Sysselsettingsvekst10-I]]*Vekter!$H$3</f>
        <v>2.0912800218658405</v>
      </c>
      <c r="AJ272" s="48">
        <f>Tabell2[[#This Row],[Yrkesaktivandel-I]]*Vekter!$J$3</f>
        <v>10</v>
      </c>
      <c r="AK272" s="48">
        <f>Tabell2[[#This Row],[Inntekt-I]]*Vekter!$L$3</f>
        <v>3.4490129510876404</v>
      </c>
      <c r="AL272" s="37">
        <f>SUM(Tabell2[[#This Row],[NIBR11-v]:[Inntekt-v]])</f>
        <v>22.140280257895903</v>
      </c>
    </row>
    <row r="273" spans="1:38">
      <c r="A273" s="2" t="s">
        <v>270</v>
      </c>
      <c r="B273">
        <f>'Rådata-K'!M272</f>
        <v>5</v>
      </c>
      <c r="C273" s="9">
        <f>'Rådata-K'!L272</f>
        <v>227.09592204469999</v>
      </c>
      <c r="D273" s="51">
        <f>'Rådata-K'!N272</f>
        <v>5.3310543153129224</v>
      </c>
      <c r="E273" s="51">
        <f>'Rådata-K'!O272</f>
        <v>-1.0079348059189308E-2</v>
      </c>
      <c r="F273" s="51">
        <f>'Rådata-K'!P272</f>
        <v>0.1076689774696707</v>
      </c>
      <c r="G273" s="51">
        <f>'Rådata-K'!Q272</f>
        <v>0.18457538994800693</v>
      </c>
      <c r="H273" s="51">
        <f>'Rådata-K'!R272</f>
        <v>4.8999591670069176E-3</v>
      </c>
      <c r="I273" s="51">
        <f>'Rådata-K'!S272</f>
        <v>0.9779874213836478</v>
      </c>
      <c r="J273" s="52">
        <f>'Rådata-K'!K272</f>
        <v>356300</v>
      </c>
      <c r="K273" s="26">
        <f>Tabell2[[#This Row],[NIBR11]]</f>
        <v>5</v>
      </c>
      <c r="L273" s="52">
        <f>IF(Tabell2[[#This Row],[ReisetidOslo]]&lt;=C$434,C$434,IF(Tabell2[[#This Row],[ReisetidOslo]]&gt;=C$435,C$435,Tabell2[[#This Row],[ReisetidOslo]]))</f>
        <v>227.09592204469999</v>
      </c>
      <c r="M273" s="51">
        <f>IF(Tabell2[[#This Row],[Beftettotal]]&lt;=D$434,D$434,IF(Tabell2[[#This Row],[Beftettotal]]&gt;=D$435,D$435,Tabell2[[#This Row],[Beftettotal]]))</f>
        <v>5.3310543153129224</v>
      </c>
      <c r="N273" s="51">
        <f>IF(Tabell2[[#This Row],[Befvekst10]]&lt;=E$434,E$434,IF(Tabell2[[#This Row],[Befvekst10]]&gt;=E$435,E$435,Tabell2[[#This Row],[Befvekst10]]))</f>
        <v>-1.0079348059189308E-2</v>
      </c>
      <c r="O273" s="51">
        <f>IF(Tabell2[[#This Row],[Kvinneandel]]&lt;=F$434,F$434,IF(Tabell2[[#This Row],[Kvinneandel]]&gt;=F$435,F$435,Tabell2[[#This Row],[Kvinneandel]]))</f>
        <v>0.1076689774696707</v>
      </c>
      <c r="P273" s="51">
        <f>IF(Tabell2[[#This Row],[Eldreandel]]&lt;=G$434,G$434,IF(Tabell2[[#This Row],[Eldreandel]]&gt;=G$435,G$435,Tabell2[[#This Row],[Eldreandel]]))</f>
        <v>0.18457538994800693</v>
      </c>
      <c r="Q273" s="51">
        <f>IF(Tabell2[[#This Row],[Sysselsettingsvekst10]]&lt;=H$434,H$434,IF(Tabell2[[#This Row],[Sysselsettingsvekst10]]&gt;=H$435,H$435,Tabell2[[#This Row],[Sysselsettingsvekst10]]))</f>
        <v>4.8999591670069176E-3</v>
      </c>
      <c r="R273" s="51">
        <f>IF(Tabell2[[#This Row],[Yrkesaktivandel]]&lt;=I$434,I$434,IF(Tabell2[[#This Row],[Yrkesaktivandel]]&gt;=I$435,I$435,Tabell2[[#This Row],[Yrkesaktivandel]]))</f>
        <v>0.96217815624658265</v>
      </c>
      <c r="S273" s="52">
        <f>IF(Tabell2[[#This Row],[Inntekt]]&lt;=J$434,J$434,IF(Tabell2[[#This Row],[Inntekt]]&gt;=J$435,J$435,Tabell2[[#This Row],[Inntekt]]))</f>
        <v>356300</v>
      </c>
      <c r="T273" s="9">
        <f>IF(Tabell2[[#This Row],[NIBR11-T]]&lt;=K$437,100,IF(Tabell2[[#This Row],[NIBR11-T]]&gt;=K$436,0,100*(K$436-Tabell2[[#This Row],[NIBR11-T]])/K$439))</f>
        <v>60</v>
      </c>
      <c r="U273" s="9">
        <f>(L$436-Tabell2[[#This Row],[ReisetidOslo-T]])*100/L$439</f>
        <v>23.067518917356054</v>
      </c>
      <c r="V273" s="9">
        <f>100-(M$436-Tabell2[[#This Row],[Beftettotal-T]])*100/M$439</f>
        <v>3.1438156991999335</v>
      </c>
      <c r="W273" s="9">
        <f>100-(N$436-Tabell2[[#This Row],[Befvekst10-T]])*100/N$439</f>
        <v>28.61179617257055</v>
      </c>
      <c r="X273" s="9">
        <f>100-(O$436-Tabell2[[#This Row],[Kvinneandel-T]])*100/O$439</f>
        <v>46.103393645020795</v>
      </c>
      <c r="Y273" s="9">
        <f>(P$436-Tabell2[[#This Row],[Eldreandel-T]])*100/P$439</f>
        <v>26.896987164867578</v>
      </c>
      <c r="Z273" s="9">
        <f>100-(Q$436-Tabell2[[#This Row],[Sysselsettingsvekst10-T]])*100/Q$439</f>
        <v>23.621057041846981</v>
      </c>
      <c r="AA273" s="9">
        <f>100-(R$436-Tabell2[[#This Row],[Yrkesaktivandel-T]])*100/R$439</f>
        <v>100</v>
      </c>
      <c r="AB273" s="9">
        <f>100-(S$436-Tabell2[[#This Row],[Inntekt-T]])*100/S$439</f>
        <v>45.052181566704391</v>
      </c>
      <c r="AC273" s="48">
        <f>Tabell2[[#This Row],[NIBR11-I]]*Vekter!$B$3</f>
        <v>12</v>
      </c>
      <c r="AD273" s="48">
        <f>Tabell2[[#This Row],[ReisetidOslo-I]]*Vekter!$C$3</f>
        <v>2.3067518917356056</v>
      </c>
      <c r="AE273" s="48">
        <f>Tabell2[[#This Row],[Beftettotal-I]]*Vekter!$D$3</f>
        <v>0.31438156991999339</v>
      </c>
      <c r="AF273" s="48">
        <f>Tabell2[[#This Row],[Befvekst10-I]]*Vekter!$E$3</f>
        <v>5.7223592345141103</v>
      </c>
      <c r="AG273" s="48">
        <f>Tabell2[[#This Row],[Kvinneandel-I]]*Vekter!$F$3</f>
        <v>2.3051696822510399</v>
      </c>
      <c r="AH273" s="48">
        <f>Tabell2[[#This Row],[Eldreandel-I]]*Vekter!$G$3</f>
        <v>1.3448493582433789</v>
      </c>
      <c r="AI273" s="48">
        <f>Tabell2[[#This Row],[Sysselsettingsvekst10-I]]*Vekter!$H$3</f>
        <v>2.3621057041846982</v>
      </c>
      <c r="AJ273" s="48">
        <f>Tabell2[[#This Row],[Yrkesaktivandel-I]]*Vekter!$J$3</f>
        <v>10</v>
      </c>
      <c r="AK273" s="48">
        <f>Tabell2[[#This Row],[Inntekt-I]]*Vekter!$L$3</f>
        <v>4.5052181566704395</v>
      </c>
      <c r="AL273" s="37">
        <f>SUM(Tabell2[[#This Row],[NIBR11-v]:[Inntekt-v]])</f>
        <v>40.860835597519269</v>
      </c>
    </row>
    <row r="274" spans="1:38">
      <c r="A274" s="2" t="s">
        <v>271</v>
      </c>
      <c r="B274">
        <f>'Rådata-K'!M273</f>
        <v>4</v>
      </c>
      <c r="C274" s="9">
        <f>'Rådata-K'!L273</f>
        <v>213.5395451352</v>
      </c>
      <c r="D274" s="51">
        <f>'Rådata-K'!N273</f>
        <v>4.1890962075525158</v>
      </c>
      <c r="E274" s="51">
        <f>'Rådata-K'!O273</f>
        <v>7.1428571428571397E-2</v>
      </c>
      <c r="F274" s="51">
        <f>'Rådata-K'!P273</f>
        <v>8.7922705314009655E-2</v>
      </c>
      <c r="G274" s="51">
        <f>'Rådata-K'!Q273</f>
        <v>0.16135265700483092</v>
      </c>
      <c r="H274" s="51">
        <f>'Rådata-K'!R273</f>
        <v>-0.16721854304635764</v>
      </c>
      <c r="I274" s="51">
        <f>'Rådata-K'!S273</f>
        <v>0.89824561403508774</v>
      </c>
      <c r="J274" s="52">
        <f>'Rådata-K'!K273</f>
        <v>343700</v>
      </c>
      <c r="K274" s="26">
        <f>Tabell2[[#This Row],[NIBR11]]</f>
        <v>4</v>
      </c>
      <c r="L274" s="52">
        <f>IF(Tabell2[[#This Row],[ReisetidOslo]]&lt;=C$434,C$434,IF(Tabell2[[#This Row],[ReisetidOslo]]&gt;=C$435,C$435,Tabell2[[#This Row],[ReisetidOslo]]))</f>
        <v>213.5395451352</v>
      </c>
      <c r="M274" s="51">
        <f>IF(Tabell2[[#This Row],[Beftettotal]]&lt;=D$434,D$434,IF(Tabell2[[#This Row],[Beftettotal]]&gt;=D$435,D$435,Tabell2[[#This Row],[Beftettotal]]))</f>
        <v>4.1890962075525158</v>
      </c>
      <c r="N274" s="51">
        <f>IF(Tabell2[[#This Row],[Befvekst10]]&lt;=E$434,E$434,IF(Tabell2[[#This Row],[Befvekst10]]&gt;=E$435,E$435,Tabell2[[#This Row],[Befvekst10]]))</f>
        <v>7.1428571428571397E-2</v>
      </c>
      <c r="O274" s="51">
        <f>IF(Tabell2[[#This Row],[Kvinneandel]]&lt;=F$434,F$434,IF(Tabell2[[#This Row],[Kvinneandel]]&gt;=F$435,F$435,Tabell2[[#This Row],[Kvinneandel]]))</f>
        <v>9.0262917071501733E-2</v>
      </c>
      <c r="P274" s="51">
        <f>IF(Tabell2[[#This Row],[Eldreandel]]&lt;=G$434,G$434,IF(Tabell2[[#This Row],[Eldreandel]]&gt;=G$435,G$435,Tabell2[[#This Row],[Eldreandel]]))</f>
        <v>0.16135265700483092</v>
      </c>
      <c r="Q274" s="51">
        <f>IF(Tabell2[[#This Row],[Sysselsettingsvekst10]]&lt;=H$434,H$434,IF(Tabell2[[#This Row],[Sysselsettingsvekst10]]&gt;=H$435,H$435,Tabell2[[#This Row],[Sysselsettingsvekst10]]))</f>
        <v>-6.8692498376029434E-2</v>
      </c>
      <c r="R274" s="51">
        <f>IF(Tabell2[[#This Row],[Yrkesaktivandel]]&lt;=I$434,I$434,IF(Tabell2[[#This Row],[Yrkesaktivandel]]&gt;=I$435,I$435,Tabell2[[#This Row],[Yrkesaktivandel]]))</f>
        <v>0.89824561403508774</v>
      </c>
      <c r="S274" s="52">
        <f>IF(Tabell2[[#This Row],[Inntekt]]&lt;=J$434,J$434,IF(Tabell2[[#This Row],[Inntekt]]&gt;=J$435,J$435,Tabell2[[#This Row],[Inntekt]]))</f>
        <v>343700</v>
      </c>
      <c r="T274" s="9">
        <f>IF(Tabell2[[#This Row],[NIBR11-T]]&lt;=K$437,100,IF(Tabell2[[#This Row],[NIBR11-T]]&gt;=K$436,0,100*(K$436-Tabell2[[#This Row],[NIBR11-T]])/K$439))</f>
        <v>70</v>
      </c>
      <c r="U274" s="9">
        <f>(L$436-Tabell2[[#This Row],[ReisetidOslo-T]])*100/L$439</f>
        <v>29.085880469682063</v>
      </c>
      <c r="V274" s="9">
        <f>100-(M$436-Tabell2[[#This Row],[Beftettotal-T]])*100/M$439</f>
        <v>2.2443386685096698</v>
      </c>
      <c r="W274" s="9">
        <f>100-(N$436-Tabell2[[#This Row],[Befvekst10-T]])*100/N$439</f>
        <v>61.594442649336266</v>
      </c>
      <c r="X274" s="9">
        <f>100-(O$436-Tabell2[[#This Row],[Kvinneandel-T]])*100/O$439</f>
        <v>0</v>
      </c>
      <c r="Y274" s="9">
        <f>(P$436-Tabell2[[#This Row],[Eldreandel-T]])*100/P$439</f>
        <v>53.224285065489148</v>
      </c>
      <c r="Z274" s="9">
        <f>100-(Q$436-Tabell2[[#This Row],[Sysselsettingsvekst10-T]])*100/Q$439</f>
        <v>0</v>
      </c>
      <c r="AA274" s="9">
        <f>100-(R$436-Tabell2[[#This Row],[Yrkesaktivandel-T]])*100/R$439</f>
        <v>52.3398408377995</v>
      </c>
      <c r="AB274" s="9">
        <f>100-(S$436-Tabell2[[#This Row],[Inntekt-T]])*100/S$439</f>
        <v>29.209103482962405</v>
      </c>
      <c r="AC274" s="48">
        <f>Tabell2[[#This Row],[NIBR11-I]]*Vekter!$B$3</f>
        <v>14</v>
      </c>
      <c r="AD274" s="48">
        <f>Tabell2[[#This Row],[ReisetidOslo-I]]*Vekter!$C$3</f>
        <v>2.9085880469682066</v>
      </c>
      <c r="AE274" s="48">
        <f>Tabell2[[#This Row],[Beftettotal-I]]*Vekter!$D$3</f>
        <v>0.224433866850967</v>
      </c>
      <c r="AF274" s="48">
        <f>Tabell2[[#This Row],[Befvekst10-I]]*Vekter!$E$3</f>
        <v>12.318888529867253</v>
      </c>
      <c r="AG274" s="48">
        <f>Tabell2[[#This Row],[Kvinneandel-I]]*Vekter!$F$3</f>
        <v>0</v>
      </c>
      <c r="AH274" s="48">
        <f>Tabell2[[#This Row],[Eldreandel-I]]*Vekter!$G$3</f>
        <v>2.6612142532744576</v>
      </c>
      <c r="AI274" s="48">
        <f>Tabell2[[#This Row],[Sysselsettingsvekst10-I]]*Vekter!$H$3</f>
        <v>0</v>
      </c>
      <c r="AJ274" s="48">
        <f>Tabell2[[#This Row],[Yrkesaktivandel-I]]*Vekter!$J$3</f>
        <v>5.2339840837799505</v>
      </c>
      <c r="AK274" s="48">
        <f>Tabell2[[#This Row],[Inntekt-I]]*Vekter!$L$3</f>
        <v>2.9209103482962409</v>
      </c>
      <c r="AL274" s="37">
        <f>SUM(Tabell2[[#This Row],[NIBR11-v]:[Inntekt-v]])</f>
        <v>40.268019129037071</v>
      </c>
    </row>
    <row r="275" spans="1:38">
      <c r="A275" s="2" t="s">
        <v>272</v>
      </c>
      <c r="B275">
        <f>'Rådata-K'!M274</f>
        <v>4</v>
      </c>
      <c r="C275" s="9">
        <f>'Rådata-K'!L274</f>
        <v>199.1282133032</v>
      </c>
      <c r="D275" s="51">
        <f>'Rådata-K'!N274</f>
        <v>22.884717863698267</v>
      </c>
      <c r="E275" s="51">
        <f>'Rådata-K'!O274</f>
        <v>3.8420204191295104E-2</v>
      </c>
      <c r="F275" s="51">
        <f>'Rådata-K'!P274</f>
        <v>0.11526520051746443</v>
      </c>
      <c r="G275" s="51">
        <f>'Rådata-K'!Q274</f>
        <v>0.14566623544631307</v>
      </c>
      <c r="H275" s="51">
        <f>'Rådata-K'!R274</f>
        <v>2.5423728813559254E-2</v>
      </c>
      <c r="I275" s="51">
        <f>'Rådata-K'!S274</f>
        <v>0.93241097754592883</v>
      </c>
      <c r="J275" s="52">
        <f>'Rådata-K'!K274</f>
        <v>367300</v>
      </c>
      <c r="K275" s="26">
        <f>Tabell2[[#This Row],[NIBR11]]</f>
        <v>4</v>
      </c>
      <c r="L275" s="52">
        <f>IF(Tabell2[[#This Row],[ReisetidOslo]]&lt;=C$434,C$434,IF(Tabell2[[#This Row],[ReisetidOslo]]&gt;=C$435,C$435,Tabell2[[#This Row],[ReisetidOslo]]))</f>
        <v>199.1282133032</v>
      </c>
      <c r="M275" s="51">
        <f>IF(Tabell2[[#This Row],[Beftettotal]]&lt;=D$434,D$434,IF(Tabell2[[#This Row],[Beftettotal]]&gt;=D$435,D$435,Tabell2[[#This Row],[Beftettotal]]))</f>
        <v>22.884717863698267</v>
      </c>
      <c r="N275" s="51">
        <f>IF(Tabell2[[#This Row],[Befvekst10]]&lt;=E$434,E$434,IF(Tabell2[[#This Row],[Befvekst10]]&gt;=E$435,E$435,Tabell2[[#This Row],[Befvekst10]]))</f>
        <v>3.8420204191295104E-2</v>
      </c>
      <c r="O275" s="51">
        <f>IF(Tabell2[[#This Row],[Kvinneandel]]&lt;=F$434,F$434,IF(Tabell2[[#This Row],[Kvinneandel]]&gt;=F$435,F$435,Tabell2[[#This Row],[Kvinneandel]]))</f>
        <v>0.11526520051746443</v>
      </c>
      <c r="P275" s="51">
        <f>IF(Tabell2[[#This Row],[Eldreandel]]&lt;=G$434,G$434,IF(Tabell2[[#This Row],[Eldreandel]]&gt;=G$435,G$435,Tabell2[[#This Row],[Eldreandel]]))</f>
        <v>0.14566623544631307</v>
      </c>
      <c r="Q275" s="51">
        <f>IF(Tabell2[[#This Row],[Sysselsettingsvekst10]]&lt;=H$434,H$434,IF(Tabell2[[#This Row],[Sysselsettingsvekst10]]&gt;=H$435,H$435,Tabell2[[#This Row],[Sysselsettingsvekst10]]))</f>
        <v>2.5423728813559254E-2</v>
      </c>
      <c r="R275" s="51">
        <f>IF(Tabell2[[#This Row],[Yrkesaktivandel]]&lt;=I$434,I$434,IF(Tabell2[[#This Row],[Yrkesaktivandel]]&gt;=I$435,I$435,Tabell2[[#This Row],[Yrkesaktivandel]]))</f>
        <v>0.93241097754592883</v>
      </c>
      <c r="S275" s="52">
        <f>IF(Tabell2[[#This Row],[Inntekt]]&lt;=J$434,J$434,IF(Tabell2[[#This Row],[Inntekt]]&gt;=J$435,J$435,Tabell2[[#This Row],[Inntekt]]))</f>
        <v>367300</v>
      </c>
      <c r="T275" s="9">
        <f>IF(Tabell2[[#This Row],[NIBR11-T]]&lt;=K$437,100,IF(Tabell2[[#This Row],[NIBR11-T]]&gt;=K$436,0,100*(K$436-Tabell2[[#This Row],[NIBR11-T]])/K$439))</f>
        <v>70</v>
      </c>
      <c r="U275" s="9">
        <f>(L$436-Tabell2[[#This Row],[ReisetidOslo-T]])*100/L$439</f>
        <v>35.483799765857775</v>
      </c>
      <c r="V275" s="9">
        <f>100-(M$436-Tabell2[[#This Row],[Beftettotal-T]])*100/M$439</f>
        <v>16.970169800054862</v>
      </c>
      <c r="W275" s="9">
        <f>100-(N$436-Tabell2[[#This Row],[Befvekst10-T]])*100/N$439</f>
        <v>48.237417783478655</v>
      </c>
      <c r="X275" s="9">
        <f>100-(O$436-Tabell2[[#This Row],[Kvinneandel-T]])*100/O$439</f>
        <v>66.223492816034494</v>
      </c>
      <c r="Y275" s="9">
        <f>(P$436-Tabell2[[#This Row],[Eldreandel-T]])*100/P$439</f>
        <v>71.007768791386553</v>
      </c>
      <c r="Z275" s="9">
        <f>100-(Q$436-Tabell2[[#This Row],[Sysselsettingsvekst10-T]])*100/Q$439</f>
        <v>30.20859535379202</v>
      </c>
      <c r="AA275" s="9">
        <f>100-(R$436-Tabell2[[#This Row],[Yrkesaktivandel-T]])*100/R$439</f>
        <v>77.809290455092437</v>
      </c>
      <c r="AB275" s="9">
        <f>100-(S$436-Tabell2[[#This Row],[Inntekt-T]])*100/S$439</f>
        <v>58.883440211241044</v>
      </c>
      <c r="AC275" s="48">
        <f>Tabell2[[#This Row],[NIBR11-I]]*Vekter!$B$3</f>
        <v>14</v>
      </c>
      <c r="AD275" s="48">
        <f>Tabell2[[#This Row],[ReisetidOslo-I]]*Vekter!$C$3</f>
        <v>3.5483799765857778</v>
      </c>
      <c r="AE275" s="48">
        <f>Tabell2[[#This Row],[Beftettotal-I]]*Vekter!$D$3</f>
        <v>1.6970169800054862</v>
      </c>
      <c r="AF275" s="48">
        <f>Tabell2[[#This Row],[Befvekst10-I]]*Vekter!$E$3</f>
        <v>9.6474835566957324</v>
      </c>
      <c r="AG275" s="48">
        <f>Tabell2[[#This Row],[Kvinneandel-I]]*Vekter!$F$3</f>
        <v>3.3111746408017249</v>
      </c>
      <c r="AH275" s="48">
        <f>Tabell2[[#This Row],[Eldreandel-I]]*Vekter!$G$3</f>
        <v>3.5503884395693279</v>
      </c>
      <c r="AI275" s="48">
        <f>Tabell2[[#This Row],[Sysselsettingsvekst10-I]]*Vekter!$H$3</f>
        <v>3.020859535379202</v>
      </c>
      <c r="AJ275" s="48">
        <f>Tabell2[[#This Row],[Yrkesaktivandel-I]]*Vekter!$J$3</f>
        <v>7.7809290455092439</v>
      </c>
      <c r="AK275" s="48">
        <f>Tabell2[[#This Row],[Inntekt-I]]*Vekter!$L$3</f>
        <v>5.8883440211241052</v>
      </c>
      <c r="AL275" s="37">
        <f>SUM(Tabell2[[#This Row],[NIBR11-v]:[Inntekt-v]])</f>
        <v>52.444576195670599</v>
      </c>
    </row>
    <row r="276" spans="1:38">
      <c r="A276" s="2" t="s">
        <v>273</v>
      </c>
      <c r="B276">
        <f>'Rådata-K'!M275</f>
        <v>4</v>
      </c>
      <c r="C276" s="9">
        <f>'Rådata-K'!L275</f>
        <v>186.05373095760001</v>
      </c>
      <c r="D276" s="51">
        <f>'Rådata-K'!N275</f>
        <v>36.549196034324751</v>
      </c>
      <c r="E276" s="51">
        <f>'Rådata-K'!O275</f>
        <v>0.23299606520517147</v>
      </c>
      <c r="F276" s="51">
        <f>'Rådata-K'!P275</f>
        <v>0.12833371324367449</v>
      </c>
      <c r="G276" s="51">
        <f>'Rådata-K'!Q275</f>
        <v>0.11579667198541144</v>
      </c>
      <c r="H276" s="51">
        <f>'Rådata-K'!R275</f>
        <v>0.38759689922480622</v>
      </c>
      <c r="I276" s="51">
        <f>'Rådata-K'!S275</f>
        <v>0.90923441199684296</v>
      </c>
      <c r="J276" s="52">
        <f>'Rådata-K'!K275</f>
        <v>380500</v>
      </c>
      <c r="K276" s="26">
        <f>Tabell2[[#This Row],[NIBR11]]</f>
        <v>4</v>
      </c>
      <c r="L276" s="52">
        <f>IF(Tabell2[[#This Row],[ReisetidOslo]]&lt;=C$434,C$434,IF(Tabell2[[#This Row],[ReisetidOslo]]&gt;=C$435,C$435,Tabell2[[#This Row],[ReisetidOslo]]))</f>
        <v>186.05373095760001</v>
      </c>
      <c r="M276" s="51">
        <f>IF(Tabell2[[#This Row],[Beftettotal]]&lt;=D$434,D$434,IF(Tabell2[[#This Row],[Beftettotal]]&gt;=D$435,D$435,Tabell2[[#This Row],[Beftettotal]]))</f>
        <v>36.549196034324751</v>
      </c>
      <c r="N276" s="51">
        <f>IF(Tabell2[[#This Row],[Befvekst10]]&lt;=E$434,E$434,IF(Tabell2[[#This Row],[Befvekst10]]&gt;=E$435,E$435,Tabell2[[#This Row],[Befvekst10]]))</f>
        <v>0.16633778614624492</v>
      </c>
      <c r="O276" s="51">
        <f>IF(Tabell2[[#This Row],[Kvinneandel]]&lt;=F$434,F$434,IF(Tabell2[[#This Row],[Kvinneandel]]&gt;=F$435,F$435,Tabell2[[#This Row],[Kvinneandel]]))</f>
        <v>0.12801731869362362</v>
      </c>
      <c r="P276" s="51">
        <f>IF(Tabell2[[#This Row],[Eldreandel]]&lt;=G$434,G$434,IF(Tabell2[[#This Row],[Eldreandel]]&gt;=G$435,G$435,Tabell2[[#This Row],[Eldreandel]]))</f>
        <v>0.1200928231908705</v>
      </c>
      <c r="Q276" s="51">
        <f>IF(Tabell2[[#This Row],[Sysselsettingsvekst10]]&lt;=H$434,H$434,IF(Tabell2[[#This Row],[Sysselsettingsvekst10]]&gt;=H$435,H$435,Tabell2[[#This Row],[Sysselsettingsvekst10]]))</f>
        <v>0.24286196513786068</v>
      </c>
      <c r="R276" s="51">
        <f>IF(Tabell2[[#This Row],[Yrkesaktivandel]]&lt;=I$434,I$434,IF(Tabell2[[#This Row],[Yrkesaktivandel]]&gt;=I$435,I$435,Tabell2[[#This Row],[Yrkesaktivandel]]))</f>
        <v>0.90923441199684296</v>
      </c>
      <c r="S276" s="52">
        <f>IF(Tabell2[[#This Row],[Inntekt]]&lt;=J$434,J$434,IF(Tabell2[[#This Row],[Inntekt]]&gt;=J$435,J$435,Tabell2[[#This Row],[Inntekt]]))</f>
        <v>380500</v>
      </c>
      <c r="T276" s="9">
        <f>IF(Tabell2[[#This Row],[NIBR11-T]]&lt;=K$437,100,IF(Tabell2[[#This Row],[NIBR11-T]]&gt;=K$436,0,100*(K$436-Tabell2[[#This Row],[NIBR11-T]])/K$439))</f>
        <v>70</v>
      </c>
      <c r="U276" s="9">
        <f>(L$436-Tabell2[[#This Row],[ReisetidOslo-T]])*100/L$439</f>
        <v>41.288223941330664</v>
      </c>
      <c r="V276" s="9">
        <f>100-(M$436-Tabell2[[#This Row],[Beftettotal-T]])*100/M$439</f>
        <v>27.733160287465822</v>
      </c>
      <c r="W276" s="9">
        <f>100-(N$436-Tabell2[[#This Row],[Befvekst10-T]])*100/N$439</f>
        <v>100</v>
      </c>
      <c r="X276" s="9">
        <f>100-(O$436-Tabell2[[#This Row],[Kvinneandel-T]])*100/O$439</f>
        <v>100</v>
      </c>
      <c r="Y276" s="9">
        <f>(P$436-Tabell2[[#This Row],[Eldreandel-T]])*100/P$439</f>
        <v>100.00000000000001</v>
      </c>
      <c r="Z276" s="9">
        <f>100-(Q$436-Tabell2[[#This Row],[Sysselsettingsvekst10-T]])*100/Q$439</f>
        <v>100</v>
      </c>
      <c r="AA276" s="9">
        <f>100-(R$436-Tabell2[[#This Row],[Yrkesaktivandel-T]])*100/R$439</f>
        <v>60.531723120940647</v>
      </c>
      <c r="AB276" s="9">
        <f>100-(S$436-Tabell2[[#This Row],[Inntekt-T]])*100/S$439</f>
        <v>75.480950584685019</v>
      </c>
      <c r="AC276" s="48">
        <f>Tabell2[[#This Row],[NIBR11-I]]*Vekter!$B$3</f>
        <v>14</v>
      </c>
      <c r="AD276" s="48">
        <f>Tabell2[[#This Row],[ReisetidOslo-I]]*Vekter!$C$3</f>
        <v>4.1288223941330662</v>
      </c>
      <c r="AE276" s="48">
        <f>Tabell2[[#This Row],[Beftettotal-I]]*Vekter!$D$3</f>
        <v>2.7733160287465823</v>
      </c>
      <c r="AF276" s="48">
        <f>Tabell2[[#This Row],[Befvekst10-I]]*Vekter!$E$3</f>
        <v>20</v>
      </c>
      <c r="AG276" s="48">
        <f>Tabell2[[#This Row],[Kvinneandel-I]]*Vekter!$F$3</f>
        <v>5</v>
      </c>
      <c r="AH276" s="48">
        <f>Tabell2[[#This Row],[Eldreandel-I]]*Vekter!$G$3</f>
        <v>5.0000000000000009</v>
      </c>
      <c r="AI276" s="48">
        <f>Tabell2[[#This Row],[Sysselsettingsvekst10-I]]*Vekter!$H$3</f>
        <v>10</v>
      </c>
      <c r="AJ276" s="48">
        <f>Tabell2[[#This Row],[Yrkesaktivandel-I]]*Vekter!$J$3</f>
        <v>6.0531723120940653</v>
      </c>
      <c r="AK276" s="48">
        <f>Tabell2[[#This Row],[Inntekt-I]]*Vekter!$L$3</f>
        <v>7.548095058468502</v>
      </c>
      <c r="AL276" s="37">
        <f>SUM(Tabell2[[#This Row],[NIBR11-v]:[Inntekt-v]])</f>
        <v>74.503405793442212</v>
      </c>
    </row>
    <row r="277" spans="1:38">
      <c r="A277" s="2" t="s">
        <v>274</v>
      </c>
      <c r="B277">
        <f>'Rådata-K'!M276</f>
        <v>4</v>
      </c>
      <c r="C277" s="9">
        <f>'Rådata-K'!L276</f>
        <v>188.77297840750001</v>
      </c>
      <c r="D277" s="51">
        <f>'Rådata-K'!N276</f>
        <v>147.88034188034189</v>
      </c>
      <c r="E277" s="51">
        <f>'Rådata-K'!O276</f>
        <v>0.17828929447017172</v>
      </c>
      <c r="F277" s="51">
        <f>'Rådata-K'!P276</f>
        <v>0.12645936885909143</v>
      </c>
      <c r="G277" s="51">
        <f>'Rådata-K'!Q276</f>
        <v>0.13177667321696915</v>
      </c>
      <c r="H277" s="51">
        <f>'Rådata-K'!R276</f>
        <v>9.0801886792452935E-2</v>
      </c>
      <c r="I277" s="51">
        <f>'Rådata-K'!S276</f>
        <v>0.9167681688997158</v>
      </c>
      <c r="J277" s="52">
        <f>'Rådata-K'!K276</f>
        <v>370900</v>
      </c>
      <c r="K277" s="26">
        <f>Tabell2[[#This Row],[NIBR11]]</f>
        <v>4</v>
      </c>
      <c r="L277" s="52">
        <f>IF(Tabell2[[#This Row],[ReisetidOslo]]&lt;=C$434,C$434,IF(Tabell2[[#This Row],[ReisetidOslo]]&gt;=C$435,C$435,Tabell2[[#This Row],[ReisetidOslo]]))</f>
        <v>188.77297840750001</v>
      </c>
      <c r="M277" s="51">
        <f>IF(Tabell2[[#This Row],[Beftettotal]]&lt;=D$434,D$434,IF(Tabell2[[#This Row],[Beftettotal]]&gt;=D$435,D$435,Tabell2[[#This Row],[Beftettotal]]))</f>
        <v>128.29773514779066</v>
      </c>
      <c r="N277" s="51">
        <f>IF(Tabell2[[#This Row],[Befvekst10]]&lt;=E$434,E$434,IF(Tabell2[[#This Row],[Befvekst10]]&gt;=E$435,E$435,Tabell2[[#This Row],[Befvekst10]]))</f>
        <v>0.16633778614624492</v>
      </c>
      <c r="O277" s="51">
        <f>IF(Tabell2[[#This Row],[Kvinneandel]]&lt;=F$434,F$434,IF(Tabell2[[#This Row],[Kvinneandel]]&gt;=F$435,F$435,Tabell2[[#This Row],[Kvinneandel]]))</f>
        <v>0.12645936885909143</v>
      </c>
      <c r="P277" s="51">
        <f>IF(Tabell2[[#This Row],[Eldreandel]]&lt;=G$434,G$434,IF(Tabell2[[#This Row],[Eldreandel]]&gt;=G$435,G$435,Tabell2[[#This Row],[Eldreandel]]))</f>
        <v>0.13177667321696915</v>
      </c>
      <c r="Q277" s="51">
        <f>IF(Tabell2[[#This Row],[Sysselsettingsvekst10]]&lt;=H$434,H$434,IF(Tabell2[[#This Row],[Sysselsettingsvekst10]]&gt;=H$435,H$435,Tabell2[[#This Row],[Sysselsettingsvekst10]]))</f>
        <v>9.0801886792452935E-2</v>
      </c>
      <c r="R277" s="51">
        <f>IF(Tabell2[[#This Row],[Yrkesaktivandel]]&lt;=I$434,I$434,IF(Tabell2[[#This Row],[Yrkesaktivandel]]&gt;=I$435,I$435,Tabell2[[#This Row],[Yrkesaktivandel]]))</f>
        <v>0.9167681688997158</v>
      </c>
      <c r="S277" s="52">
        <f>IF(Tabell2[[#This Row],[Inntekt]]&lt;=J$434,J$434,IF(Tabell2[[#This Row],[Inntekt]]&gt;=J$435,J$435,Tabell2[[#This Row],[Inntekt]]))</f>
        <v>370900</v>
      </c>
      <c r="T277" s="9">
        <f>IF(Tabell2[[#This Row],[NIBR11-T]]&lt;=K$437,100,IF(Tabell2[[#This Row],[NIBR11-T]]&gt;=K$436,0,100*(K$436-Tabell2[[#This Row],[NIBR11-T]])/K$439))</f>
        <v>70</v>
      </c>
      <c r="U277" s="9">
        <f>(L$436-Tabell2[[#This Row],[ReisetidOslo-T]])*100/L$439</f>
        <v>40.081012426558587</v>
      </c>
      <c r="V277" s="9">
        <f>100-(M$436-Tabell2[[#This Row],[Beftettotal-T]])*100/M$439</f>
        <v>100</v>
      </c>
      <c r="W277" s="9">
        <f>100-(N$436-Tabell2[[#This Row],[Befvekst10-T]])*100/N$439</f>
        <v>100</v>
      </c>
      <c r="X277" s="9">
        <f>100-(O$436-Tabell2[[#This Row],[Kvinneandel-T]])*100/O$439</f>
        <v>95.87346172209142</v>
      </c>
      <c r="Y277" s="9">
        <f>(P$436-Tabell2[[#This Row],[Eldreandel-T]])*100/P$439</f>
        <v>86.754177425371736</v>
      </c>
      <c r="Z277" s="9">
        <f>100-(Q$436-Tabell2[[#This Row],[Sysselsettingsvekst10-T]])*100/Q$439</f>
        <v>51.193099071543742</v>
      </c>
      <c r="AA277" s="9">
        <f>100-(R$436-Tabell2[[#This Row],[Yrkesaktivandel-T]])*100/R$439</f>
        <v>66.147956116844995</v>
      </c>
      <c r="AB277" s="9">
        <f>100-(S$436-Tabell2[[#This Row],[Inntekt-T]])*100/S$439</f>
        <v>63.410033949453037</v>
      </c>
      <c r="AC277" s="48">
        <f>Tabell2[[#This Row],[NIBR11-I]]*Vekter!$B$3</f>
        <v>14</v>
      </c>
      <c r="AD277" s="48">
        <f>Tabell2[[#This Row],[ReisetidOslo-I]]*Vekter!$C$3</f>
        <v>4.0081012426558589</v>
      </c>
      <c r="AE277" s="48">
        <f>Tabell2[[#This Row],[Beftettotal-I]]*Vekter!$D$3</f>
        <v>10</v>
      </c>
      <c r="AF277" s="48">
        <f>Tabell2[[#This Row],[Befvekst10-I]]*Vekter!$E$3</f>
        <v>20</v>
      </c>
      <c r="AG277" s="48">
        <f>Tabell2[[#This Row],[Kvinneandel-I]]*Vekter!$F$3</f>
        <v>4.7936730861045715</v>
      </c>
      <c r="AH277" s="48">
        <f>Tabell2[[#This Row],[Eldreandel-I]]*Vekter!$G$3</f>
        <v>4.3377088712685872</v>
      </c>
      <c r="AI277" s="48">
        <f>Tabell2[[#This Row],[Sysselsettingsvekst10-I]]*Vekter!$H$3</f>
        <v>5.1193099071543742</v>
      </c>
      <c r="AJ277" s="48">
        <f>Tabell2[[#This Row],[Yrkesaktivandel-I]]*Vekter!$J$3</f>
        <v>6.6147956116844995</v>
      </c>
      <c r="AK277" s="48">
        <f>Tabell2[[#This Row],[Inntekt-I]]*Vekter!$L$3</f>
        <v>6.3410033949453037</v>
      </c>
      <c r="AL277" s="37">
        <f>SUM(Tabell2[[#This Row],[NIBR11-v]:[Inntekt-v]])</f>
        <v>75.214592113813197</v>
      </c>
    </row>
    <row r="278" spans="1:38">
      <c r="A278" s="2" t="s">
        <v>275</v>
      </c>
      <c r="B278">
        <f>'Rådata-K'!M277</f>
        <v>4</v>
      </c>
      <c r="C278" s="9">
        <f>'Rådata-K'!L277</f>
        <v>157.29413837288001</v>
      </c>
      <c r="D278" s="51">
        <f>'Rådata-K'!N277</f>
        <v>190.94497902788061</v>
      </c>
      <c r="E278" s="51">
        <f>'Rådata-K'!O277</f>
        <v>0.17649741562785048</v>
      </c>
      <c r="F278" s="51">
        <f>'Rådata-K'!P277</f>
        <v>0.12585605375371495</v>
      </c>
      <c r="G278" s="51">
        <f>'Rådata-K'!Q277</f>
        <v>0.12908644527716759</v>
      </c>
      <c r="H278" s="51">
        <f>'Rådata-K'!R277</f>
        <v>0.10636404094348029</v>
      </c>
      <c r="I278" s="51">
        <f>'Rådata-K'!S277</f>
        <v>0.92502278942570648</v>
      </c>
      <c r="J278" s="52">
        <f>'Rådata-K'!K277</f>
        <v>391400</v>
      </c>
      <c r="K278" s="26">
        <f>Tabell2[[#This Row],[NIBR11]]</f>
        <v>4</v>
      </c>
      <c r="L278" s="52">
        <f>IF(Tabell2[[#This Row],[ReisetidOslo]]&lt;=C$434,C$434,IF(Tabell2[[#This Row],[ReisetidOslo]]&gt;=C$435,C$435,Tabell2[[#This Row],[ReisetidOslo]]))</f>
        <v>157.29413837288001</v>
      </c>
      <c r="M278" s="51">
        <f>IF(Tabell2[[#This Row],[Beftettotal]]&lt;=D$434,D$434,IF(Tabell2[[#This Row],[Beftettotal]]&gt;=D$435,D$435,Tabell2[[#This Row],[Beftettotal]]))</f>
        <v>128.29773514779066</v>
      </c>
      <c r="N278" s="51">
        <f>IF(Tabell2[[#This Row],[Befvekst10]]&lt;=E$434,E$434,IF(Tabell2[[#This Row],[Befvekst10]]&gt;=E$435,E$435,Tabell2[[#This Row],[Befvekst10]]))</f>
        <v>0.16633778614624492</v>
      </c>
      <c r="O278" s="51">
        <f>IF(Tabell2[[#This Row],[Kvinneandel]]&lt;=F$434,F$434,IF(Tabell2[[#This Row],[Kvinneandel]]&gt;=F$435,F$435,Tabell2[[#This Row],[Kvinneandel]]))</f>
        <v>0.12585605375371495</v>
      </c>
      <c r="P278" s="51">
        <f>IF(Tabell2[[#This Row],[Eldreandel]]&lt;=G$434,G$434,IF(Tabell2[[#This Row],[Eldreandel]]&gt;=G$435,G$435,Tabell2[[#This Row],[Eldreandel]]))</f>
        <v>0.12908644527716759</v>
      </c>
      <c r="Q278" s="51">
        <f>IF(Tabell2[[#This Row],[Sysselsettingsvekst10]]&lt;=H$434,H$434,IF(Tabell2[[#This Row],[Sysselsettingsvekst10]]&gt;=H$435,H$435,Tabell2[[#This Row],[Sysselsettingsvekst10]]))</f>
        <v>0.10636404094348029</v>
      </c>
      <c r="R278" s="51">
        <f>IF(Tabell2[[#This Row],[Yrkesaktivandel]]&lt;=I$434,I$434,IF(Tabell2[[#This Row],[Yrkesaktivandel]]&gt;=I$435,I$435,Tabell2[[#This Row],[Yrkesaktivandel]]))</f>
        <v>0.92502278942570648</v>
      </c>
      <c r="S278" s="52">
        <f>IF(Tabell2[[#This Row],[Inntekt]]&lt;=J$434,J$434,IF(Tabell2[[#This Row],[Inntekt]]&gt;=J$435,J$435,Tabell2[[#This Row],[Inntekt]]))</f>
        <v>391400</v>
      </c>
      <c r="T278" s="9">
        <f>IF(Tabell2[[#This Row],[NIBR11-T]]&lt;=K$437,100,IF(Tabell2[[#This Row],[NIBR11-T]]&gt;=K$436,0,100*(K$436-Tabell2[[#This Row],[NIBR11-T]])/K$439))</f>
        <v>70</v>
      </c>
      <c r="U278" s="9">
        <f>(L$436-Tabell2[[#This Row],[ReisetidOslo-T]])*100/L$439</f>
        <v>54.056062090707044</v>
      </c>
      <c r="V278" s="9">
        <f>100-(M$436-Tabell2[[#This Row],[Beftettotal-T]])*100/M$439</f>
        <v>100</v>
      </c>
      <c r="W278" s="9">
        <f>100-(N$436-Tabell2[[#This Row],[Befvekst10-T]])*100/N$439</f>
        <v>100</v>
      </c>
      <c r="X278" s="9">
        <f>100-(O$436-Tabell2[[#This Row],[Kvinneandel-T]])*100/O$439</f>
        <v>94.275462338032924</v>
      </c>
      <c r="Y278" s="9">
        <f>(P$436-Tabell2[[#This Row],[Eldreandel-T]])*100/P$439</f>
        <v>89.804052414893306</v>
      </c>
      <c r="Z278" s="9">
        <f>100-(Q$436-Tabell2[[#This Row],[Sysselsettingsvekst10-T]])*100/Q$439</f>
        <v>56.188101863514184</v>
      </c>
      <c r="AA278" s="9">
        <f>100-(R$436-Tabell2[[#This Row],[Yrkesaktivandel-T]])*100/R$439</f>
        <v>72.30157545503468</v>
      </c>
      <c r="AB278" s="9">
        <f>100-(S$436-Tabell2[[#This Row],[Inntekt-T]])*100/S$439</f>
        <v>89.186470514271349</v>
      </c>
      <c r="AC278" s="48">
        <f>Tabell2[[#This Row],[NIBR11-I]]*Vekter!$B$3</f>
        <v>14</v>
      </c>
      <c r="AD278" s="48">
        <f>Tabell2[[#This Row],[ReisetidOslo-I]]*Vekter!$C$3</f>
        <v>5.4056062090707044</v>
      </c>
      <c r="AE278" s="48">
        <f>Tabell2[[#This Row],[Beftettotal-I]]*Vekter!$D$3</f>
        <v>10</v>
      </c>
      <c r="AF278" s="48">
        <f>Tabell2[[#This Row],[Befvekst10-I]]*Vekter!$E$3</f>
        <v>20</v>
      </c>
      <c r="AG278" s="48">
        <f>Tabell2[[#This Row],[Kvinneandel-I]]*Vekter!$F$3</f>
        <v>4.7137731169016464</v>
      </c>
      <c r="AH278" s="48">
        <f>Tabell2[[#This Row],[Eldreandel-I]]*Vekter!$G$3</f>
        <v>4.4902026207446655</v>
      </c>
      <c r="AI278" s="48">
        <f>Tabell2[[#This Row],[Sysselsettingsvekst10-I]]*Vekter!$H$3</f>
        <v>5.6188101863514186</v>
      </c>
      <c r="AJ278" s="48">
        <f>Tabell2[[#This Row],[Yrkesaktivandel-I]]*Vekter!$J$3</f>
        <v>7.2301575455034683</v>
      </c>
      <c r="AK278" s="48">
        <f>Tabell2[[#This Row],[Inntekt-I]]*Vekter!$L$3</f>
        <v>8.9186470514271345</v>
      </c>
      <c r="AL278" s="37">
        <f>SUM(Tabell2[[#This Row],[NIBR11-v]:[Inntekt-v]])</f>
        <v>80.377196729999042</v>
      </c>
    </row>
    <row r="279" spans="1:38">
      <c r="A279" s="2" t="s">
        <v>276</v>
      </c>
      <c r="B279">
        <f>'Rådata-K'!M278</f>
        <v>4</v>
      </c>
      <c r="C279" s="9">
        <f>'Rådata-K'!L278</f>
        <v>191.7233183299</v>
      </c>
      <c r="D279" s="51">
        <f>'Rådata-K'!N278</f>
        <v>34.787270708076434</v>
      </c>
      <c r="E279" s="51">
        <f>'Rådata-K'!O278</f>
        <v>3.4506320464639639E-2</v>
      </c>
      <c r="F279" s="51">
        <f>'Rådata-K'!P278</f>
        <v>0.10766182298546896</v>
      </c>
      <c r="G279" s="51">
        <f>'Rådata-K'!Q278</f>
        <v>0.16094231616028182</v>
      </c>
      <c r="H279" s="51">
        <f>'Rådata-K'!R278</f>
        <v>9.5297337646180535E-2</v>
      </c>
      <c r="I279" s="51">
        <f>'Rådata-K'!S278</f>
        <v>0.92036270451409419</v>
      </c>
      <c r="J279" s="52">
        <f>'Rådata-K'!K278</f>
        <v>383600</v>
      </c>
      <c r="K279" s="26">
        <f>Tabell2[[#This Row],[NIBR11]]</f>
        <v>4</v>
      </c>
      <c r="L279" s="52">
        <f>IF(Tabell2[[#This Row],[ReisetidOslo]]&lt;=C$434,C$434,IF(Tabell2[[#This Row],[ReisetidOslo]]&gt;=C$435,C$435,Tabell2[[#This Row],[ReisetidOslo]]))</f>
        <v>191.7233183299</v>
      </c>
      <c r="M279" s="51">
        <f>IF(Tabell2[[#This Row],[Beftettotal]]&lt;=D$434,D$434,IF(Tabell2[[#This Row],[Beftettotal]]&gt;=D$435,D$435,Tabell2[[#This Row],[Beftettotal]]))</f>
        <v>34.787270708076434</v>
      </c>
      <c r="N279" s="51">
        <f>IF(Tabell2[[#This Row],[Befvekst10]]&lt;=E$434,E$434,IF(Tabell2[[#This Row],[Befvekst10]]&gt;=E$435,E$435,Tabell2[[#This Row],[Befvekst10]]))</f>
        <v>3.4506320464639639E-2</v>
      </c>
      <c r="O279" s="51">
        <f>IF(Tabell2[[#This Row],[Kvinneandel]]&lt;=F$434,F$434,IF(Tabell2[[#This Row],[Kvinneandel]]&gt;=F$435,F$435,Tabell2[[#This Row],[Kvinneandel]]))</f>
        <v>0.10766182298546896</v>
      </c>
      <c r="P279" s="51">
        <f>IF(Tabell2[[#This Row],[Eldreandel]]&lt;=G$434,G$434,IF(Tabell2[[#This Row],[Eldreandel]]&gt;=G$435,G$435,Tabell2[[#This Row],[Eldreandel]]))</f>
        <v>0.16094231616028182</v>
      </c>
      <c r="Q279" s="51">
        <f>IF(Tabell2[[#This Row],[Sysselsettingsvekst10]]&lt;=H$434,H$434,IF(Tabell2[[#This Row],[Sysselsettingsvekst10]]&gt;=H$435,H$435,Tabell2[[#This Row],[Sysselsettingsvekst10]]))</f>
        <v>9.5297337646180535E-2</v>
      </c>
      <c r="R279" s="51">
        <f>IF(Tabell2[[#This Row],[Yrkesaktivandel]]&lt;=I$434,I$434,IF(Tabell2[[#This Row],[Yrkesaktivandel]]&gt;=I$435,I$435,Tabell2[[#This Row],[Yrkesaktivandel]]))</f>
        <v>0.92036270451409419</v>
      </c>
      <c r="S279" s="52">
        <f>IF(Tabell2[[#This Row],[Inntekt]]&lt;=J$434,J$434,IF(Tabell2[[#This Row],[Inntekt]]&gt;=J$435,J$435,Tabell2[[#This Row],[Inntekt]]))</f>
        <v>383600</v>
      </c>
      <c r="T279" s="9">
        <f>IF(Tabell2[[#This Row],[NIBR11-T]]&lt;=K$437,100,IF(Tabell2[[#This Row],[NIBR11-T]]&gt;=K$436,0,100*(K$436-Tabell2[[#This Row],[NIBR11-T]])/K$439))</f>
        <v>70</v>
      </c>
      <c r="U279" s="9">
        <f>(L$436-Tabell2[[#This Row],[ReisetidOslo-T]])*100/L$439</f>
        <v>38.77120727184785</v>
      </c>
      <c r="V279" s="9">
        <f>100-(M$436-Tabell2[[#This Row],[Beftettotal-T]])*100/M$439</f>
        <v>26.345358624706122</v>
      </c>
      <c r="W279" s="9">
        <f>100-(N$436-Tabell2[[#This Row],[Befvekst10-T]])*100/N$439</f>
        <v>46.65364231578527</v>
      </c>
      <c r="X279" s="9">
        <f>100-(O$436-Tabell2[[#This Row],[Kvinneandel-T]])*100/O$439</f>
        <v>46.084443578553447</v>
      </c>
      <c r="Y279" s="9">
        <f>(P$436-Tabell2[[#This Row],[Eldreandel-T]])*100/P$439</f>
        <v>53.689482924917293</v>
      </c>
      <c r="Z279" s="9">
        <f>100-(Q$436-Tabell2[[#This Row],[Sysselsettingsvekst10-T]])*100/Q$439</f>
        <v>52.636009182034641</v>
      </c>
      <c r="AA279" s="9">
        <f>100-(R$436-Tabell2[[#This Row],[Yrkesaktivandel-T]])*100/R$439</f>
        <v>68.827595210950506</v>
      </c>
      <c r="AB279" s="9">
        <f>100-(S$436-Tabell2[[#This Row],[Inntekt-T]])*100/S$439</f>
        <v>79.378850748145354</v>
      </c>
      <c r="AC279" s="48">
        <f>Tabell2[[#This Row],[NIBR11-I]]*Vekter!$B$3</f>
        <v>14</v>
      </c>
      <c r="AD279" s="48">
        <f>Tabell2[[#This Row],[ReisetidOslo-I]]*Vekter!$C$3</f>
        <v>3.877120727184785</v>
      </c>
      <c r="AE279" s="48">
        <f>Tabell2[[#This Row],[Beftettotal-I]]*Vekter!$D$3</f>
        <v>2.6345358624706123</v>
      </c>
      <c r="AF279" s="48">
        <f>Tabell2[[#This Row],[Befvekst10-I]]*Vekter!$E$3</f>
        <v>9.3307284631570546</v>
      </c>
      <c r="AG279" s="48">
        <f>Tabell2[[#This Row],[Kvinneandel-I]]*Vekter!$F$3</f>
        <v>2.3042221789276724</v>
      </c>
      <c r="AH279" s="48">
        <f>Tabell2[[#This Row],[Eldreandel-I]]*Vekter!$G$3</f>
        <v>2.684474146245865</v>
      </c>
      <c r="AI279" s="48">
        <f>Tabell2[[#This Row],[Sysselsettingsvekst10-I]]*Vekter!$H$3</f>
        <v>5.2636009182034647</v>
      </c>
      <c r="AJ279" s="48">
        <f>Tabell2[[#This Row],[Yrkesaktivandel-I]]*Vekter!$J$3</f>
        <v>6.8827595210950507</v>
      </c>
      <c r="AK279" s="48">
        <f>Tabell2[[#This Row],[Inntekt-I]]*Vekter!$L$3</f>
        <v>7.9378850748145355</v>
      </c>
      <c r="AL279" s="37">
        <f>SUM(Tabell2[[#This Row],[NIBR11-v]:[Inntekt-v]])</f>
        <v>54.915326892099053</v>
      </c>
    </row>
    <row r="280" spans="1:38">
      <c r="A280" s="2" t="s">
        <v>277</v>
      </c>
      <c r="B280">
        <f>'Rådata-K'!M279</f>
        <v>4</v>
      </c>
      <c r="C280" s="9">
        <f>'Rådata-K'!L279</f>
        <v>205.1225935901</v>
      </c>
      <c r="D280" s="51">
        <f>'Rådata-K'!N279</f>
        <v>18.793681459173815</v>
      </c>
      <c r="E280" s="51">
        <f>'Rådata-K'!O279</f>
        <v>3.5373297855689545E-2</v>
      </c>
      <c r="F280" s="51">
        <f>'Rådata-K'!P279</f>
        <v>0.10778533635676493</v>
      </c>
      <c r="G280" s="51">
        <f>'Rådata-K'!Q279</f>
        <v>0.15661375661375662</v>
      </c>
      <c r="H280" s="51">
        <f>'Rådata-K'!R279</f>
        <v>6.8181818181818121E-2</v>
      </c>
      <c r="I280" s="51">
        <f>'Rådata-K'!S279</f>
        <v>0.88112617309697605</v>
      </c>
      <c r="J280" s="52">
        <f>'Rådata-K'!K279</f>
        <v>350100</v>
      </c>
      <c r="K280" s="26">
        <f>Tabell2[[#This Row],[NIBR11]]</f>
        <v>4</v>
      </c>
      <c r="L280" s="52">
        <f>IF(Tabell2[[#This Row],[ReisetidOslo]]&lt;=C$434,C$434,IF(Tabell2[[#This Row],[ReisetidOslo]]&gt;=C$435,C$435,Tabell2[[#This Row],[ReisetidOslo]]))</f>
        <v>205.1225935901</v>
      </c>
      <c r="M280" s="51">
        <f>IF(Tabell2[[#This Row],[Beftettotal]]&lt;=D$434,D$434,IF(Tabell2[[#This Row],[Beftettotal]]&gt;=D$435,D$435,Tabell2[[#This Row],[Beftettotal]]))</f>
        <v>18.793681459173815</v>
      </c>
      <c r="N280" s="51">
        <f>IF(Tabell2[[#This Row],[Befvekst10]]&lt;=E$434,E$434,IF(Tabell2[[#This Row],[Befvekst10]]&gt;=E$435,E$435,Tabell2[[#This Row],[Befvekst10]]))</f>
        <v>3.5373297855689545E-2</v>
      </c>
      <c r="O280" s="51">
        <f>IF(Tabell2[[#This Row],[Kvinneandel]]&lt;=F$434,F$434,IF(Tabell2[[#This Row],[Kvinneandel]]&gt;=F$435,F$435,Tabell2[[#This Row],[Kvinneandel]]))</f>
        <v>0.10778533635676493</v>
      </c>
      <c r="P280" s="51">
        <f>IF(Tabell2[[#This Row],[Eldreandel]]&lt;=G$434,G$434,IF(Tabell2[[#This Row],[Eldreandel]]&gt;=G$435,G$435,Tabell2[[#This Row],[Eldreandel]]))</f>
        <v>0.15661375661375662</v>
      </c>
      <c r="Q280" s="51">
        <f>IF(Tabell2[[#This Row],[Sysselsettingsvekst10]]&lt;=H$434,H$434,IF(Tabell2[[#This Row],[Sysselsettingsvekst10]]&gt;=H$435,H$435,Tabell2[[#This Row],[Sysselsettingsvekst10]]))</f>
        <v>6.8181818181818121E-2</v>
      </c>
      <c r="R280" s="51">
        <f>IF(Tabell2[[#This Row],[Yrkesaktivandel]]&lt;=I$434,I$434,IF(Tabell2[[#This Row],[Yrkesaktivandel]]&gt;=I$435,I$435,Tabell2[[#This Row],[Yrkesaktivandel]]))</f>
        <v>0.88112617309697605</v>
      </c>
      <c r="S280" s="52">
        <f>IF(Tabell2[[#This Row],[Inntekt]]&lt;=J$434,J$434,IF(Tabell2[[#This Row],[Inntekt]]&gt;=J$435,J$435,Tabell2[[#This Row],[Inntekt]]))</f>
        <v>350100</v>
      </c>
      <c r="T280" s="9">
        <f>IF(Tabell2[[#This Row],[NIBR11-T]]&lt;=K$437,100,IF(Tabell2[[#This Row],[NIBR11-T]]&gt;=K$436,0,100*(K$436-Tabell2[[#This Row],[NIBR11-T]])/K$439))</f>
        <v>70</v>
      </c>
      <c r="U280" s="9">
        <f>(L$436-Tabell2[[#This Row],[ReisetidOslo-T]])*100/L$439</f>
        <v>32.82259108970932</v>
      </c>
      <c r="V280" s="9">
        <f>100-(M$436-Tabell2[[#This Row],[Beftettotal-T]])*100/M$439</f>
        <v>13.74781579899242</v>
      </c>
      <c r="W280" s="9">
        <f>100-(N$436-Tabell2[[#This Row],[Befvekst10-T]])*100/N$439</f>
        <v>47.004469682893337</v>
      </c>
      <c r="X280" s="9">
        <f>100-(O$436-Tabell2[[#This Row],[Kvinneandel-T]])*100/O$439</f>
        <v>46.411593171684864</v>
      </c>
      <c r="Y280" s="9">
        <f>(P$436-Tabell2[[#This Row],[Eldreandel-T]])*100/P$439</f>
        <v>58.596712273883092</v>
      </c>
      <c r="Z280" s="9">
        <f>100-(Q$436-Tabell2[[#This Row],[Sysselsettingsvekst10-T]])*100/Q$439</f>
        <v>43.932709232954139</v>
      </c>
      <c r="AA280" s="9">
        <f>100-(R$436-Tabell2[[#This Row],[Yrkesaktivandel-T]])*100/R$439</f>
        <v>39.577712950265024</v>
      </c>
      <c r="AB280" s="9">
        <f>100-(S$436-Tabell2[[#This Row],[Inntekt-T]])*100/S$439</f>
        <v>37.256381239783728</v>
      </c>
      <c r="AC280" s="48">
        <f>Tabell2[[#This Row],[NIBR11-I]]*Vekter!$B$3</f>
        <v>14</v>
      </c>
      <c r="AD280" s="48">
        <f>Tabell2[[#This Row],[ReisetidOslo-I]]*Vekter!$C$3</f>
        <v>3.2822591089709321</v>
      </c>
      <c r="AE280" s="48">
        <f>Tabell2[[#This Row],[Beftettotal-I]]*Vekter!$D$3</f>
        <v>1.374781579899242</v>
      </c>
      <c r="AF280" s="48">
        <f>Tabell2[[#This Row],[Befvekst10-I]]*Vekter!$E$3</f>
        <v>9.400893936578667</v>
      </c>
      <c r="AG280" s="48">
        <f>Tabell2[[#This Row],[Kvinneandel-I]]*Vekter!$F$3</f>
        <v>2.3205796585842431</v>
      </c>
      <c r="AH280" s="48">
        <f>Tabell2[[#This Row],[Eldreandel-I]]*Vekter!$G$3</f>
        <v>2.9298356136941548</v>
      </c>
      <c r="AI280" s="48">
        <f>Tabell2[[#This Row],[Sysselsettingsvekst10-I]]*Vekter!$H$3</f>
        <v>4.3932709232954137</v>
      </c>
      <c r="AJ280" s="48">
        <f>Tabell2[[#This Row],[Yrkesaktivandel-I]]*Vekter!$J$3</f>
        <v>3.9577712950265025</v>
      </c>
      <c r="AK280" s="48">
        <f>Tabell2[[#This Row],[Inntekt-I]]*Vekter!$L$3</f>
        <v>3.7256381239783729</v>
      </c>
      <c r="AL280" s="37">
        <f>SUM(Tabell2[[#This Row],[NIBR11-v]:[Inntekt-v]])</f>
        <v>45.385030240027525</v>
      </c>
    </row>
    <row r="281" spans="1:38">
      <c r="A281" s="2" t="s">
        <v>278</v>
      </c>
      <c r="B281">
        <f>'Rådata-K'!M280</f>
        <v>5</v>
      </c>
      <c r="C281" s="9">
        <f>'Rådata-K'!L280</f>
        <v>204.25833785169999</v>
      </c>
      <c r="D281" s="51">
        <f>'Rådata-K'!N280</f>
        <v>4.9615881342617865</v>
      </c>
      <c r="E281" s="51">
        <f>'Rådata-K'!O280</f>
        <v>1.6225797654758622E-2</v>
      </c>
      <c r="F281" s="51">
        <f>'Rådata-K'!P280</f>
        <v>0.10116731517509728</v>
      </c>
      <c r="G281" s="51">
        <f>'Rådata-K'!Q280</f>
        <v>0.17979337179659197</v>
      </c>
      <c r="H281" s="51">
        <f>'Rådata-K'!R280</f>
        <v>9.867406722170835E-2</v>
      </c>
      <c r="I281" s="51">
        <f>'Rådata-K'!S280</f>
        <v>0.93897398492584483</v>
      </c>
      <c r="J281" s="52">
        <f>'Rådata-K'!K280</f>
        <v>362000</v>
      </c>
      <c r="K281" s="26">
        <f>Tabell2[[#This Row],[NIBR11]]</f>
        <v>5</v>
      </c>
      <c r="L281" s="52">
        <f>IF(Tabell2[[#This Row],[ReisetidOslo]]&lt;=C$434,C$434,IF(Tabell2[[#This Row],[ReisetidOslo]]&gt;=C$435,C$435,Tabell2[[#This Row],[ReisetidOslo]]))</f>
        <v>204.25833785169999</v>
      </c>
      <c r="M281" s="51">
        <f>IF(Tabell2[[#This Row],[Beftettotal]]&lt;=D$434,D$434,IF(Tabell2[[#This Row],[Beftettotal]]&gt;=D$435,D$435,Tabell2[[#This Row],[Beftettotal]]))</f>
        <v>4.9615881342617865</v>
      </c>
      <c r="N281" s="51">
        <f>IF(Tabell2[[#This Row],[Befvekst10]]&lt;=E$434,E$434,IF(Tabell2[[#This Row],[Befvekst10]]&gt;=E$435,E$435,Tabell2[[#This Row],[Befvekst10]]))</f>
        <v>1.6225797654758622E-2</v>
      </c>
      <c r="O281" s="51">
        <f>IF(Tabell2[[#This Row],[Kvinneandel]]&lt;=F$434,F$434,IF(Tabell2[[#This Row],[Kvinneandel]]&gt;=F$435,F$435,Tabell2[[#This Row],[Kvinneandel]]))</f>
        <v>0.10116731517509728</v>
      </c>
      <c r="P281" s="51">
        <f>IF(Tabell2[[#This Row],[Eldreandel]]&lt;=G$434,G$434,IF(Tabell2[[#This Row],[Eldreandel]]&gt;=G$435,G$435,Tabell2[[#This Row],[Eldreandel]]))</f>
        <v>0.17979337179659197</v>
      </c>
      <c r="Q281" s="51">
        <f>IF(Tabell2[[#This Row],[Sysselsettingsvekst10]]&lt;=H$434,H$434,IF(Tabell2[[#This Row],[Sysselsettingsvekst10]]&gt;=H$435,H$435,Tabell2[[#This Row],[Sysselsettingsvekst10]]))</f>
        <v>9.867406722170835E-2</v>
      </c>
      <c r="R281" s="51">
        <f>IF(Tabell2[[#This Row],[Yrkesaktivandel]]&lt;=I$434,I$434,IF(Tabell2[[#This Row],[Yrkesaktivandel]]&gt;=I$435,I$435,Tabell2[[#This Row],[Yrkesaktivandel]]))</f>
        <v>0.93897398492584483</v>
      </c>
      <c r="S281" s="52">
        <f>IF(Tabell2[[#This Row],[Inntekt]]&lt;=J$434,J$434,IF(Tabell2[[#This Row],[Inntekt]]&gt;=J$435,J$435,Tabell2[[#This Row],[Inntekt]]))</f>
        <v>362000</v>
      </c>
      <c r="T281" s="9">
        <f>IF(Tabell2[[#This Row],[NIBR11-T]]&lt;=K$437,100,IF(Tabell2[[#This Row],[NIBR11-T]]&gt;=K$436,0,100*(K$436-Tabell2[[#This Row],[NIBR11-T]])/K$439))</f>
        <v>60</v>
      </c>
      <c r="U281" s="9">
        <f>(L$436-Tabell2[[#This Row],[ReisetidOslo-T]])*100/L$439</f>
        <v>33.206277936282511</v>
      </c>
      <c r="V281" s="9">
        <f>100-(M$436-Tabell2[[#This Row],[Beftettotal-T]])*100/M$439</f>
        <v>2.8528012204603357</v>
      </c>
      <c r="W281" s="9">
        <f>100-(N$436-Tabell2[[#This Row],[Befvekst10-T]])*100/N$439</f>
        <v>39.256324054713772</v>
      </c>
      <c r="X281" s="9">
        <f>100-(O$436-Tabell2[[#This Row],[Kvinneandel-T]])*100/O$439</f>
        <v>28.882455118044291</v>
      </c>
      <c r="Y281" s="9">
        <f>(P$436-Tabell2[[#This Row],[Eldreandel-T]])*100/P$439</f>
        <v>32.31829639434293</v>
      </c>
      <c r="Z281" s="9">
        <f>100-(Q$436-Tabell2[[#This Row],[Sysselsettingsvekst10-T]])*100/Q$439</f>
        <v>53.719842017373644</v>
      </c>
      <c r="AA281" s="9">
        <f>100-(R$436-Tabell2[[#This Row],[Yrkesaktivandel-T]])*100/R$439</f>
        <v>82.701853232820582</v>
      </c>
      <c r="AB281" s="9">
        <f>100-(S$436-Tabell2[[#This Row],[Inntekt-T]])*100/S$439</f>
        <v>52.219288318873382</v>
      </c>
      <c r="AC281" s="48">
        <f>Tabell2[[#This Row],[NIBR11-I]]*Vekter!$B$3</f>
        <v>12</v>
      </c>
      <c r="AD281" s="48">
        <f>Tabell2[[#This Row],[ReisetidOslo-I]]*Vekter!$C$3</f>
        <v>3.3206277936282511</v>
      </c>
      <c r="AE281" s="48">
        <f>Tabell2[[#This Row],[Beftettotal-I]]*Vekter!$D$3</f>
        <v>0.28528012204603359</v>
      </c>
      <c r="AF281" s="48">
        <f>Tabell2[[#This Row],[Befvekst10-I]]*Vekter!$E$3</f>
        <v>7.8512648109427552</v>
      </c>
      <c r="AG281" s="48">
        <f>Tabell2[[#This Row],[Kvinneandel-I]]*Vekter!$F$3</f>
        <v>1.4441227559022147</v>
      </c>
      <c r="AH281" s="48">
        <f>Tabell2[[#This Row],[Eldreandel-I]]*Vekter!$G$3</f>
        <v>1.6159148197171467</v>
      </c>
      <c r="AI281" s="48">
        <f>Tabell2[[#This Row],[Sysselsettingsvekst10-I]]*Vekter!$H$3</f>
        <v>5.3719842017373649</v>
      </c>
      <c r="AJ281" s="48">
        <f>Tabell2[[#This Row],[Yrkesaktivandel-I]]*Vekter!$J$3</f>
        <v>8.2701853232820586</v>
      </c>
      <c r="AK281" s="48">
        <f>Tabell2[[#This Row],[Inntekt-I]]*Vekter!$L$3</f>
        <v>5.2219288318873387</v>
      </c>
      <c r="AL281" s="37">
        <f>SUM(Tabell2[[#This Row],[NIBR11-v]:[Inntekt-v]])</f>
        <v>45.381308659143166</v>
      </c>
    </row>
    <row r="282" spans="1:38">
      <c r="A282" s="2" t="s">
        <v>279</v>
      </c>
      <c r="B282">
        <f>'Rådata-K'!M281</f>
        <v>4</v>
      </c>
      <c r="C282" s="9">
        <f>'Rådata-K'!L281</f>
        <v>192.0717023416</v>
      </c>
      <c r="D282" s="51">
        <f>'Rådata-K'!N281</f>
        <v>2.868805445090242</v>
      </c>
      <c r="E282" s="51">
        <f>'Rådata-K'!O281</f>
        <v>-6.2480474851608903E-2</v>
      </c>
      <c r="F282" s="51">
        <f>'Rådata-K'!P281</f>
        <v>0.10063312229256914</v>
      </c>
      <c r="G282" s="51">
        <f>'Rådata-K'!Q281</f>
        <v>0.17760746417860712</v>
      </c>
      <c r="H282" s="51">
        <f>'Rådata-K'!R281</f>
        <v>-0.28937160589604349</v>
      </c>
      <c r="I282" s="51">
        <f>'Rådata-K'!S281</f>
        <v>0.92539964476021319</v>
      </c>
      <c r="J282" s="52">
        <f>'Rådata-K'!K281</f>
        <v>350700</v>
      </c>
      <c r="K282" s="26">
        <f>Tabell2[[#This Row],[NIBR11]]</f>
        <v>4</v>
      </c>
      <c r="L282" s="52">
        <f>IF(Tabell2[[#This Row],[ReisetidOslo]]&lt;=C$434,C$434,IF(Tabell2[[#This Row],[ReisetidOslo]]&gt;=C$435,C$435,Tabell2[[#This Row],[ReisetidOslo]]))</f>
        <v>192.0717023416</v>
      </c>
      <c r="M282" s="51">
        <f>IF(Tabell2[[#This Row],[Beftettotal]]&lt;=D$434,D$434,IF(Tabell2[[#This Row],[Beftettotal]]&gt;=D$435,D$435,Tabell2[[#This Row],[Beftettotal]]))</f>
        <v>2.868805445090242</v>
      </c>
      <c r="N282" s="51">
        <f>IF(Tabell2[[#This Row],[Befvekst10]]&lt;=E$434,E$434,IF(Tabell2[[#This Row],[Befvekst10]]&gt;=E$435,E$435,Tabell2[[#This Row],[Befvekst10]]))</f>
        <v>-6.2480474851608903E-2</v>
      </c>
      <c r="O282" s="51">
        <f>IF(Tabell2[[#This Row],[Kvinneandel]]&lt;=F$434,F$434,IF(Tabell2[[#This Row],[Kvinneandel]]&gt;=F$435,F$435,Tabell2[[#This Row],[Kvinneandel]]))</f>
        <v>0.10063312229256914</v>
      </c>
      <c r="P282" s="51">
        <f>IF(Tabell2[[#This Row],[Eldreandel]]&lt;=G$434,G$434,IF(Tabell2[[#This Row],[Eldreandel]]&gt;=G$435,G$435,Tabell2[[#This Row],[Eldreandel]]))</f>
        <v>0.17760746417860712</v>
      </c>
      <c r="Q282" s="51">
        <f>IF(Tabell2[[#This Row],[Sysselsettingsvekst10]]&lt;=H$434,H$434,IF(Tabell2[[#This Row],[Sysselsettingsvekst10]]&gt;=H$435,H$435,Tabell2[[#This Row],[Sysselsettingsvekst10]]))</f>
        <v>-6.8692498376029434E-2</v>
      </c>
      <c r="R282" s="51">
        <f>IF(Tabell2[[#This Row],[Yrkesaktivandel]]&lt;=I$434,I$434,IF(Tabell2[[#This Row],[Yrkesaktivandel]]&gt;=I$435,I$435,Tabell2[[#This Row],[Yrkesaktivandel]]))</f>
        <v>0.92539964476021319</v>
      </c>
      <c r="S282" s="52">
        <f>IF(Tabell2[[#This Row],[Inntekt]]&lt;=J$434,J$434,IF(Tabell2[[#This Row],[Inntekt]]&gt;=J$435,J$435,Tabell2[[#This Row],[Inntekt]]))</f>
        <v>350700</v>
      </c>
      <c r="T282" s="9">
        <f>IF(Tabell2[[#This Row],[NIBR11-T]]&lt;=K$437,100,IF(Tabell2[[#This Row],[NIBR11-T]]&gt;=K$436,0,100*(K$436-Tabell2[[#This Row],[NIBR11-T]])/K$439))</f>
        <v>70</v>
      </c>
      <c r="U282" s="9">
        <f>(L$436-Tabell2[[#This Row],[ReisetidOslo-T]])*100/L$439</f>
        <v>38.616541983662252</v>
      </c>
      <c r="V282" s="9">
        <f>100-(M$436-Tabell2[[#This Row],[Beftettotal-T]])*100/M$439</f>
        <v>1.2043957786637378</v>
      </c>
      <c r="W282" s="9">
        <f>100-(N$436-Tabell2[[#This Row],[Befvekst10-T]])*100/N$439</f>
        <v>7.4073800760698987</v>
      </c>
      <c r="X282" s="9">
        <f>100-(O$436-Tabell2[[#This Row],[Kvinneandel-T]])*100/O$439</f>
        <v>27.467539612629082</v>
      </c>
      <c r="Y282" s="9">
        <f>(P$436-Tabell2[[#This Row],[Eldreandel-T]])*100/P$439</f>
        <v>34.796430263545261</v>
      </c>
      <c r="Z282" s="9">
        <f>100-(Q$436-Tabell2[[#This Row],[Sysselsettingsvekst10-T]])*100/Q$439</f>
        <v>0</v>
      </c>
      <c r="AA282" s="9">
        <f>100-(R$436-Tabell2[[#This Row],[Yrkesaktivandel-T]])*100/R$439</f>
        <v>72.582511964086635</v>
      </c>
      <c r="AB282" s="9">
        <f>100-(S$436-Tabell2[[#This Row],[Inntekt-T]])*100/S$439</f>
        <v>38.010813529485731</v>
      </c>
      <c r="AC282" s="48">
        <f>Tabell2[[#This Row],[NIBR11-I]]*Vekter!$B$3</f>
        <v>14</v>
      </c>
      <c r="AD282" s="48">
        <f>Tabell2[[#This Row],[ReisetidOslo-I]]*Vekter!$C$3</f>
        <v>3.8616541983662254</v>
      </c>
      <c r="AE282" s="48">
        <f>Tabell2[[#This Row],[Beftettotal-I]]*Vekter!$D$3</f>
        <v>0.12043957786637378</v>
      </c>
      <c r="AF282" s="48">
        <f>Tabell2[[#This Row],[Befvekst10-I]]*Vekter!$E$3</f>
        <v>1.4814760152139799</v>
      </c>
      <c r="AG282" s="48">
        <f>Tabell2[[#This Row],[Kvinneandel-I]]*Vekter!$F$3</f>
        <v>1.3733769806314542</v>
      </c>
      <c r="AH282" s="48">
        <f>Tabell2[[#This Row],[Eldreandel-I]]*Vekter!$G$3</f>
        <v>1.7398215131772632</v>
      </c>
      <c r="AI282" s="48">
        <f>Tabell2[[#This Row],[Sysselsettingsvekst10-I]]*Vekter!$H$3</f>
        <v>0</v>
      </c>
      <c r="AJ282" s="48">
        <f>Tabell2[[#This Row],[Yrkesaktivandel-I]]*Vekter!$J$3</f>
        <v>7.258251196408664</v>
      </c>
      <c r="AK282" s="48">
        <f>Tabell2[[#This Row],[Inntekt-I]]*Vekter!$L$3</f>
        <v>3.8010813529485734</v>
      </c>
      <c r="AL282" s="37">
        <f>SUM(Tabell2[[#This Row],[NIBR11-v]:[Inntekt-v]])</f>
        <v>33.636100834612535</v>
      </c>
    </row>
    <row r="283" spans="1:38">
      <c r="A283" s="2" t="s">
        <v>280</v>
      </c>
      <c r="B283">
        <f>'Rådata-K'!M282</f>
        <v>4</v>
      </c>
      <c r="C283" s="9">
        <f>'Rådata-K'!L282</f>
        <v>190.2255716059</v>
      </c>
      <c r="D283" s="51">
        <f>'Rådata-K'!N282</f>
        <v>21.510829371368196</v>
      </c>
      <c r="E283" s="51">
        <f>'Rådata-K'!O282</f>
        <v>5.7662337662337748E-2</v>
      </c>
      <c r="F283" s="51">
        <f>'Rådata-K'!P282</f>
        <v>9.4302554027504912E-2</v>
      </c>
      <c r="G283" s="51">
        <f>'Rådata-K'!Q282</f>
        <v>0.18123772102161101</v>
      </c>
      <c r="H283" s="51">
        <f>'Rådata-K'!R282</f>
        <v>0.1098039215686275</v>
      </c>
      <c r="I283" s="51">
        <f>'Rådata-K'!S282</f>
        <v>0.95718363463368217</v>
      </c>
      <c r="J283" s="52">
        <f>'Rådata-K'!K282</f>
        <v>375900</v>
      </c>
      <c r="K283" s="26">
        <f>Tabell2[[#This Row],[NIBR11]]</f>
        <v>4</v>
      </c>
      <c r="L283" s="52">
        <f>IF(Tabell2[[#This Row],[ReisetidOslo]]&lt;=C$434,C$434,IF(Tabell2[[#This Row],[ReisetidOslo]]&gt;=C$435,C$435,Tabell2[[#This Row],[ReisetidOslo]]))</f>
        <v>190.2255716059</v>
      </c>
      <c r="M283" s="51">
        <f>IF(Tabell2[[#This Row],[Beftettotal]]&lt;=D$434,D$434,IF(Tabell2[[#This Row],[Beftettotal]]&gt;=D$435,D$435,Tabell2[[#This Row],[Beftettotal]]))</f>
        <v>21.510829371368196</v>
      </c>
      <c r="N283" s="51">
        <f>IF(Tabell2[[#This Row],[Befvekst10]]&lt;=E$434,E$434,IF(Tabell2[[#This Row],[Befvekst10]]&gt;=E$435,E$435,Tabell2[[#This Row],[Befvekst10]]))</f>
        <v>5.7662337662337748E-2</v>
      </c>
      <c r="O283" s="51">
        <f>IF(Tabell2[[#This Row],[Kvinneandel]]&lt;=F$434,F$434,IF(Tabell2[[#This Row],[Kvinneandel]]&gt;=F$435,F$435,Tabell2[[#This Row],[Kvinneandel]]))</f>
        <v>9.4302554027504912E-2</v>
      </c>
      <c r="P283" s="51">
        <f>IF(Tabell2[[#This Row],[Eldreandel]]&lt;=G$434,G$434,IF(Tabell2[[#This Row],[Eldreandel]]&gt;=G$435,G$435,Tabell2[[#This Row],[Eldreandel]]))</f>
        <v>0.18123772102161101</v>
      </c>
      <c r="Q283" s="51">
        <f>IF(Tabell2[[#This Row],[Sysselsettingsvekst10]]&lt;=H$434,H$434,IF(Tabell2[[#This Row],[Sysselsettingsvekst10]]&gt;=H$435,H$435,Tabell2[[#This Row],[Sysselsettingsvekst10]]))</f>
        <v>0.1098039215686275</v>
      </c>
      <c r="R283" s="51">
        <f>IF(Tabell2[[#This Row],[Yrkesaktivandel]]&lt;=I$434,I$434,IF(Tabell2[[#This Row],[Yrkesaktivandel]]&gt;=I$435,I$435,Tabell2[[#This Row],[Yrkesaktivandel]]))</f>
        <v>0.95718363463368217</v>
      </c>
      <c r="S283" s="52">
        <f>IF(Tabell2[[#This Row],[Inntekt]]&lt;=J$434,J$434,IF(Tabell2[[#This Row],[Inntekt]]&gt;=J$435,J$435,Tabell2[[#This Row],[Inntekt]]))</f>
        <v>375900</v>
      </c>
      <c r="T283" s="9">
        <f>IF(Tabell2[[#This Row],[NIBR11-T]]&lt;=K$437,100,IF(Tabell2[[#This Row],[NIBR11-T]]&gt;=K$436,0,100*(K$436-Tabell2[[#This Row],[NIBR11-T]])/K$439))</f>
        <v>70</v>
      </c>
      <c r="U283" s="9">
        <f>(L$436-Tabell2[[#This Row],[ReisetidOslo-T]])*100/L$439</f>
        <v>39.43613281641035</v>
      </c>
      <c r="V283" s="9">
        <f>100-(M$436-Tabell2[[#This Row],[Beftettotal-T]])*100/M$439</f>
        <v>15.888010013997402</v>
      </c>
      <c r="W283" s="9">
        <f>100-(N$436-Tabell2[[#This Row],[Befvekst10-T]])*100/N$439</f>
        <v>56.023857306443553</v>
      </c>
      <c r="X283" s="9">
        <f>100-(O$436-Tabell2[[#This Row],[Kvinneandel-T]])*100/O$439</f>
        <v>10.699777462864589</v>
      </c>
      <c r="Y283" s="9">
        <f>(P$436-Tabell2[[#This Row],[Eldreandel-T]])*100/P$439</f>
        <v>30.680857234505282</v>
      </c>
      <c r="Z283" s="9">
        <f>100-(Q$436-Tabell2[[#This Row],[Sysselsettingsvekst10-T]])*100/Q$439</f>
        <v>57.29220436499989</v>
      </c>
      <c r="AA283" s="9">
        <f>100-(R$436-Tabell2[[#This Row],[Yrkesaktivandel-T]])*100/R$439</f>
        <v>96.276705308817071</v>
      </c>
      <c r="AB283" s="9">
        <f>100-(S$436-Tabell2[[#This Row],[Inntekt-T]])*100/S$439</f>
        <v>69.696969696969688</v>
      </c>
      <c r="AC283" s="48">
        <f>Tabell2[[#This Row],[NIBR11-I]]*Vekter!$B$3</f>
        <v>14</v>
      </c>
      <c r="AD283" s="48">
        <f>Tabell2[[#This Row],[ReisetidOslo-I]]*Vekter!$C$3</f>
        <v>3.943613281641035</v>
      </c>
      <c r="AE283" s="48">
        <f>Tabell2[[#This Row],[Beftettotal-I]]*Vekter!$D$3</f>
        <v>1.5888010013997402</v>
      </c>
      <c r="AF283" s="48">
        <f>Tabell2[[#This Row],[Befvekst10-I]]*Vekter!$E$3</f>
        <v>11.204771461288711</v>
      </c>
      <c r="AG283" s="48">
        <f>Tabell2[[#This Row],[Kvinneandel-I]]*Vekter!$F$3</f>
        <v>0.5349888731432294</v>
      </c>
      <c r="AH283" s="48">
        <f>Tabell2[[#This Row],[Eldreandel-I]]*Vekter!$G$3</f>
        <v>1.5340428617252642</v>
      </c>
      <c r="AI283" s="48">
        <f>Tabell2[[#This Row],[Sysselsettingsvekst10-I]]*Vekter!$H$3</f>
        <v>5.7292204364999897</v>
      </c>
      <c r="AJ283" s="48">
        <f>Tabell2[[#This Row],[Yrkesaktivandel-I]]*Vekter!$J$3</f>
        <v>9.6276705308817085</v>
      </c>
      <c r="AK283" s="48">
        <f>Tabell2[[#This Row],[Inntekt-I]]*Vekter!$L$3</f>
        <v>6.9696969696969688</v>
      </c>
      <c r="AL283" s="37">
        <f>SUM(Tabell2[[#This Row],[NIBR11-v]:[Inntekt-v]])</f>
        <v>55.132805416276646</v>
      </c>
    </row>
    <row r="284" spans="1:38">
      <c r="A284" s="2" t="s">
        <v>281</v>
      </c>
      <c r="B284">
        <f>'Rådata-K'!M283</f>
        <v>11</v>
      </c>
      <c r="C284" s="9">
        <f>'Rådata-K'!L283</f>
        <v>253.085921533</v>
      </c>
      <c r="D284" s="51">
        <f>'Rådata-K'!N283</f>
        <v>59.990662931839395</v>
      </c>
      <c r="E284" s="51">
        <f>'Rådata-K'!O283</f>
        <v>4.691164972634887E-3</v>
      </c>
      <c r="F284" s="51">
        <f>'Rådata-K'!P283</f>
        <v>8.9494163424124515E-2</v>
      </c>
      <c r="G284" s="51">
        <f>'Rådata-K'!Q283</f>
        <v>0.18599221789883269</v>
      </c>
      <c r="H284" s="51">
        <f>'Rådata-K'!R283</f>
        <v>0.13926174496644306</v>
      </c>
      <c r="I284" s="51">
        <f>'Rådata-K'!S283</f>
        <v>0.98701298701298701</v>
      </c>
      <c r="J284" s="52">
        <f>'Rådata-K'!K283</f>
        <v>421300</v>
      </c>
      <c r="K284" s="26">
        <f>Tabell2[[#This Row],[NIBR11]]</f>
        <v>11</v>
      </c>
      <c r="L284" s="52">
        <f>IF(Tabell2[[#This Row],[ReisetidOslo]]&lt;=C$434,C$434,IF(Tabell2[[#This Row],[ReisetidOslo]]&gt;=C$435,C$435,Tabell2[[#This Row],[ReisetidOslo]]))</f>
        <v>253.085921533</v>
      </c>
      <c r="M284" s="51">
        <f>IF(Tabell2[[#This Row],[Beftettotal]]&lt;=D$434,D$434,IF(Tabell2[[#This Row],[Beftettotal]]&gt;=D$435,D$435,Tabell2[[#This Row],[Beftettotal]]))</f>
        <v>59.990662931839395</v>
      </c>
      <c r="N284" s="51">
        <f>IF(Tabell2[[#This Row],[Befvekst10]]&lt;=E$434,E$434,IF(Tabell2[[#This Row],[Befvekst10]]&gt;=E$435,E$435,Tabell2[[#This Row],[Befvekst10]]))</f>
        <v>4.691164972634887E-3</v>
      </c>
      <c r="O284" s="51">
        <f>IF(Tabell2[[#This Row],[Kvinneandel]]&lt;=F$434,F$434,IF(Tabell2[[#This Row],[Kvinneandel]]&gt;=F$435,F$435,Tabell2[[#This Row],[Kvinneandel]]))</f>
        <v>9.0262917071501733E-2</v>
      </c>
      <c r="P284" s="51">
        <f>IF(Tabell2[[#This Row],[Eldreandel]]&lt;=G$434,G$434,IF(Tabell2[[#This Row],[Eldreandel]]&gt;=G$435,G$435,Tabell2[[#This Row],[Eldreandel]]))</f>
        <v>0.18599221789883269</v>
      </c>
      <c r="Q284" s="51">
        <f>IF(Tabell2[[#This Row],[Sysselsettingsvekst10]]&lt;=H$434,H$434,IF(Tabell2[[#This Row],[Sysselsettingsvekst10]]&gt;=H$435,H$435,Tabell2[[#This Row],[Sysselsettingsvekst10]]))</f>
        <v>0.13926174496644306</v>
      </c>
      <c r="R284" s="51">
        <f>IF(Tabell2[[#This Row],[Yrkesaktivandel]]&lt;=I$434,I$434,IF(Tabell2[[#This Row],[Yrkesaktivandel]]&gt;=I$435,I$435,Tabell2[[#This Row],[Yrkesaktivandel]]))</f>
        <v>0.96217815624658265</v>
      </c>
      <c r="S284" s="52">
        <f>IF(Tabell2[[#This Row],[Inntekt]]&lt;=J$434,J$434,IF(Tabell2[[#This Row],[Inntekt]]&gt;=J$435,J$435,Tabell2[[#This Row],[Inntekt]]))</f>
        <v>400000</v>
      </c>
      <c r="T284" s="9">
        <f>IF(Tabell2[[#This Row],[NIBR11-T]]&lt;=K$437,100,IF(Tabell2[[#This Row],[NIBR11-T]]&gt;=K$436,0,100*(K$436-Tabell2[[#This Row],[NIBR11-T]])/K$439))</f>
        <v>0</v>
      </c>
      <c r="U284" s="9">
        <f>(L$436-Tabell2[[#This Row],[ReisetidOslo-T]])*100/L$439</f>
        <v>11.52924326232141</v>
      </c>
      <c r="V284" s="9">
        <f>100-(M$436-Tabell2[[#This Row],[Beftettotal-T]])*100/M$439</f>
        <v>46.197113471661346</v>
      </c>
      <c r="W284" s="9">
        <f>100-(N$436-Tabell2[[#This Row],[Befvekst10-T]])*100/N$439</f>
        <v>34.588768872533421</v>
      </c>
      <c r="X284" s="9">
        <f>100-(O$436-Tabell2[[#This Row],[Kvinneandel-T]])*100/O$439</f>
        <v>0</v>
      </c>
      <c r="Y284" s="9">
        <f>(P$436-Tabell2[[#This Row],[Eldreandel-T]])*100/P$439</f>
        <v>25.290748500943316</v>
      </c>
      <c r="Z284" s="9">
        <f>100-(Q$436-Tabell2[[#This Row],[Sysselsettingsvekst10-T]])*100/Q$439</f>
        <v>66.747316343038435</v>
      </c>
      <c r="AA284" s="9">
        <f>100-(R$436-Tabell2[[#This Row],[Yrkesaktivandel-T]])*100/R$439</f>
        <v>100</v>
      </c>
      <c r="AB284" s="9">
        <f>100-(S$436-Tabell2[[#This Row],[Inntekt-T]])*100/S$439</f>
        <v>100</v>
      </c>
      <c r="AC284" s="48">
        <f>Tabell2[[#This Row],[NIBR11-I]]*Vekter!$B$3</f>
        <v>0</v>
      </c>
      <c r="AD284" s="48">
        <f>Tabell2[[#This Row],[ReisetidOslo-I]]*Vekter!$C$3</f>
        <v>1.1529243262321411</v>
      </c>
      <c r="AE284" s="48">
        <f>Tabell2[[#This Row],[Beftettotal-I]]*Vekter!$D$3</f>
        <v>4.6197113471661346</v>
      </c>
      <c r="AF284" s="48">
        <f>Tabell2[[#This Row],[Befvekst10-I]]*Vekter!$E$3</f>
        <v>6.9177537745066848</v>
      </c>
      <c r="AG284" s="48">
        <f>Tabell2[[#This Row],[Kvinneandel-I]]*Vekter!$F$3</f>
        <v>0</v>
      </c>
      <c r="AH284" s="48">
        <f>Tabell2[[#This Row],[Eldreandel-I]]*Vekter!$G$3</f>
        <v>1.2645374250471659</v>
      </c>
      <c r="AI284" s="48">
        <f>Tabell2[[#This Row],[Sysselsettingsvekst10-I]]*Vekter!$H$3</f>
        <v>6.6747316343038436</v>
      </c>
      <c r="AJ284" s="48">
        <f>Tabell2[[#This Row],[Yrkesaktivandel-I]]*Vekter!$J$3</f>
        <v>10</v>
      </c>
      <c r="AK284" s="48">
        <f>Tabell2[[#This Row],[Inntekt-I]]*Vekter!$L$3</f>
        <v>10</v>
      </c>
      <c r="AL284" s="37">
        <f>SUM(Tabell2[[#This Row],[NIBR11-v]:[Inntekt-v]])</f>
        <v>40.629658507255968</v>
      </c>
    </row>
    <row r="285" spans="1:38">
      <c r="A285" s="2" t="s">
        <v>282</v>
      </c>
      <c r="B285">
        <f>'Rådata-K'!M284</f>
        <v>4</v>
      </c>
      <c r="C285" s="9">
        <f>'Rådata-K'!L284</f>
        <v>186.91059359010001</v>
      </c>
      <c r="D285" s="51">
        <f>'Rådata-K'!N284</f>
        <v>57.169459962756051</v>
      </c>
      <c r="E285" s="51">
        <f>'Rådata-K'!O284</f>
        <v>0.10540098199672676</v>
      </c>
      <c r="F285" s="51">
        <f>'Rådata-K'!P284</f>
        <v>0.11844832691738229</v>
      </c>
      <c r="G285" s="51">
        <f>'Rådata-K'!Q284</f>
        <v>0.15931299970387919</v>
      </c>
      <c r="H285" s="51">
        <f>'Rådata-K'!R284</f>
        <v>0.26271970397779842</v>
      </c>
      <c r="I285" s="51">
        <f>'Rådata-K'!S284</f>
        <v>0.92228260869565215</v>
      </c>
      <c r="J285" s="52">
        <f>'Rådata-K'!K284</f>
        <v>387900</v>
      </c>
      <c r="K285" s="26">
        <f>Tabell2[[#This Row],[NIBR11]]</f>
        <v>4</v>
      </c>
      <c r="L285" s="52">
        <f>IF(Tabell2[[#This Row],[ReisetidOslo]]&lt;=C$434,C$434,IF(Tabell2[[#This Row],[ReisetidOslo]]&gt;=C$435,C$435,Tabell2[[#This Row],[ReisetidOslo]]))</f>
        <v>186.91059359010001</v>
      </c>
      <c r="M285" s="51">
        <f>IF(Tabell2[[#This Row],[Beftettotal]]&lt;=D$434,D$434,IF(Tabell2[[#This Row],[Beftettotal]]&gt;=D$435,D$435,Tabell2[[#This Row],[Beftettotal]]))</f>
        <v>57.169459962756051</v>
      </c>
      <c r="N285" s="51">
        <f>IF(Tabell2[[#This Row],[Befvekst10]]&lt;=E$434,E$434,IF(Tabell2[[#This Row],[Befvekst10]]&gt;=E$435,E$435,Tabell2[[#This Row],[Befvekst10]]))</f>
        <v>0.10540098199672676</v>
      </c>
      <c r="O285" s="51">
        <f>IF(Tabell2[[#This Row],[Kvinneandel]]&lt;=F$434,F$434,IF(Tabell2[[#This Row],[Kvinneandel]]&gt;=F$435,F$435,Tabell2[[#This Row],[Kvinneandel]]))</f>
        <v>0.11844832691738229</v>
      </c>
      <c r="P285" s="51">
        <f>IF(Tabell2[[#This Row],[Eldreandel]]&lt;=G$434,G$434,IF(Tabell2[[#This Row],[Eldreandel]]&gt;=G$435,G$435,Tabell2[[#This Row],[Eldreandel]]))</f>
        <v>0.15931299970387919</v>
      </c>
      <c r="Q285" s="51">
        <f>IF(Tabell2[[#This Row],[Sysselsettingsvekst10]]&lt;=H$434,H$434,IF(Tabell2[[#This Row],[Sysselsettingsvekst10]]&gt;=H$435,H$435,Tabell2[[#This Row],[Sysselsettingsvekst10]]))</f>
        <v>0.24286196513786068</v>
      </c>
      <c r="R285" s="51">
        <f>IF(Tabell2[[#This Row],[Yrkesaktivandel]]&lt;=I$434,I$434,IF(Tabell2[[#This Row],[Yrkesaktivandel]]&gt;=I$435,I$435,Tabell2[[#This Row],[Yrkesaktivandel]]))</f>
        <v>0.92228260869565215</v>
      </c>
      <c r="S285" s="52">
        <f>IF(Tabell2[[#This Row],[Inntekt]]&lt;=J$434,J$434,IF(Tabell2[[#This Row],[Inntekt]]&gt;=J$435,J$435,Tabell2[[#This Row],[Inntekt]]))</f>
        <v>387900</v>
      </c>
      <c r="T285" s="9">
        <f>IF(Tabell2[[#This Row],[NIBR11-T]]&lt;=K$437,100,IF(Tabell2[[#This Row],[NIBR11-T]]&gt;=K$436,0,100*(K$436-Tabell2[[#This Row],[NIBR11-T]])/K$439))</f>
        <v>70</v>
      </c>
      <c r="U285" s="9">
        <f>(L$436-Tabell2[[#This Row],[ReisetidOslo-T]])*100/L$439</f>
        <v>40.907819268497391</v>
      </c>
      <c r="V285" s="9">
        <f>100-(M$436-Tabell2[[#This Row],[Beftettotal-T]])*100/M$439</f>
        <v>43.974959040285249</v>
      </c>
      <c r="W285" s="9">
        <f>100-(N$436-Tabell2[[#This Row],[Befvekst10-T]])*100/N$439</f>
        <v>75.34157317082213</v>
      </c>
      <c r="X285" s="9">
        <f>100-(O$436-Tabell2[[#This Row],[Kvinneandel-T]])*100/O$439</f>
        <v>74.654632665044119</v>
      </c>
      <c r="Y285" s="9">
        <f>(P$436-Tabell2[[#This Row],[Eldreandel-T]])*100/P$439</f>
        <v>55.536616930508224</v>
      </c>
      <c r="Z285" s="9">
        <f>100-(Q$436-Tabell2[[#This Row],[Sysselsettingsvekst10-T]])*100/Q$439</f>
        <v>100</v>
      </c>
      <c r="AA285" s="9">
        <f>100-(R$436-Tabell2[[#This Row],[Yrkesaktivandel-T]])*100/R$439</f>
        <v>70.258837199835085</v>
      </c>
      <c r="AB285" s="9">
        <f>100-(S$436-Tabell2[[#This Row],[Inntekt-T]])*100/S$439</f>
        <v>84.785615491009679</v>
      </c>
      <c r="AC285" s="48">
        <f>Tabell2[[#This Row],[NIBR11-I]]*Vekter!$B$3</f>
        <v>14</v>
      </c>
      <c r="AD285" s="48">
        <f>Tabell2[[#This Row],[ReisetidOslo-I]]*Vekter!$C$3</f>
        <v>4.090781926849739</v>
      </c>
      <c r="AE285" s="48">
        <f>Tabell2[[#This Row],[Beftettotal-I]]*Vekter!$D$3</f>
        <v>4.3974959040285251</v>
      </c>
      <c r="AF285" s="48">
        <f>Tabell2[[#This Row],[Befvekst10-I]]*Vekter!$E$3</f>
        <v>15.068314634164427</v>
      </c>
      <c r="AG285" s="48">
        <f>Tabell2[[#This Row],[Kvinneandel-I]]*Vekter!$F$3</f>
        <v>3.732731633252206</v>
      </c>
      <c r="AH285" s="48">
        <f>Tabell2[[#This Row],[Eldreandel-I]]*Vekter!$G$3</f>
        <v>2.7768308465254115</v>
      </c>
      <c r="AI285" s="48">
        <f>Tabell2[[#This Row],[Sysselsettingsvekst10-I]]*Vekter!$H$3</f>
        <v>10</v>
      </c>
      <c r="AJ285" s="48">
        <f>Tabell2[[#This Row],[Yrkesaktivandel-I]]*Vekter!$J$3</f>
        <v>7.0258837199835087</v>
      </c>
      <c r="AK285" s="48">
        <f>Tabell2[[#This Row],[Inntekt-I]]*Vekter!$L$3</f>
        <v>8.4785615491009683</v>
      </c>
      <c r="AL285" s="37">
        <f>SUM(Tabell2[[#This Row],[NIBR11-v]:[Inntekt-v]])</f>
        <v>69.570600213904797</v>
      </c>
    </row>
    <row r="286" spans="1:38">
      <c r="A286" s="2" t="s">
        <v>283</v>
      </c>
      <c r="B286">
        <f>'Rådata-K'!M285</f>
        <v>4</v>
      </c>
      <c r="C286" s="9">
        <f>'Rådata-K'!L285</f>
        <v>167.65322236270001</v>
      </c>
      <c r="D286" s="51">
        <f>'Rådata-K'!N285</f>
        <v>26.290165530671857</v>
      </c>
      <c r="E286" s="51">
        <f>'Rådata-K'!O285</f>
        <v>7.9520213238560622E-2</v>
      </c>
      <c r="F286" s="51">
        <f>'Rådata-K'!P285</f>
        <v>0.11872427983539095</v>
      </c>
      <c r="G286" s="51">
        <f>'Rådata-K'!Q285</f>
        <v>0.1412551440329218</v>
      </c>
      <c r="H286" s="51">
        <f>'Rådata-K'!R285</f>
        <v>9.0040086339808756E-2</v>
      </c>
      <c r="I286" s="51">
        <f>'Rådata-K'!S285</f>
        <v>0.91361350574712641</v>
      </c>
      <c r="J286" s="52">
        <f>'Rådata-K'!K285</f>
        <v>372300</v>
      </c>
      <c r="K286" s="26">
        <f>Tabell2[[#This Row],[NIBR11]]</f>
        <v>4</v>
      </c>
      <c r="L286" s="52">
        <f>IF(Tabell2[[#This Row],[ReisetidOslo]]&lt;=C$434,C$434,IF(Tabell2[[#This Row],[ReisetidOslo]]&gt;=C$435,C$435,Tabell2[[#This Row],[ReisetidOslo]]))</f>
        <v>167.65322236270001</v>
      </c>
      <c r="M286" s="51">
        <f>IF(Tabell2[[#This Row],[Beftettotal]]&lt;=D$434,D$434,IF(Tabell2[[#This Row],[Beftettotal]]&gt;=D$435,D$435,Tabell2[[#This Row],[Beftettotal]]))</f>
        <v>26.290165530671857</v>
      </c>
      <c r="N286" s="51">
        <f>IF(Tabell2[[#This Row],[Befvekst10]]&lt;=E$434,E$434,IF(Tabell2[[#This Row],[Befvekst10]]&gt;=E$435,E$435,Tabell2[[#This Row],[Befvekst10]]))</f>
        <v>7.9520213238560622E-2</v>
      </c>
      <c r="O286" s="51">
        <f>IF(Tabell2[[#This Row],[Kvinneandel]]&lt;=F$434,F$434,IF(Tabell2[[#This Row],[Kvinneandel]]&gt;=F$435,F$435,Tabell2[[#This Row],[Kvinneandel]]))</f>
        <v>0.11872427983539095</v>
      </c>
      <c r="P286" s="51">
        <f>IF(Tabell2[[#This Row],[Eldreandel]]&lt;=G$434,G$434,IF(Tabell2[[#This Row],[Eldreandel]]&gt;=G$435,G$435,Tabell2[[#This Row],[Eldreandel]]))</f>
        <v>0.1412551440329218</v>
      </c>
      <c r="Q286" s="51">
        <f>IF(Tabell2[[#This Row],[Sysselsettingsvekst10]]&lt;=H$434,H$434,IF(Tabell2[[#This Row],[Sysselsettingsvekst10]]&gt;=H$435,H$435,Tabell2[[#This Row],[Sysselsettingsvekst10]]))</f>
        <v>9.0040086339808756E-2</v>
      </c>
      <c r="R286" s="51">
        <f>IF(Tabell2[[#This Row],[Yrkesaktivandel]]&lt;=I$434,I$434,IF(Tabell2[[#This Row],[Yrkesaktivandel]]&gt;=I$435,I$435,Tabell2[[#This Row],[Yrkesaktivandel]]))</f>
        <v>0.91361350574712641</v>
      </c>
      <c r="S286" s="52">
        <f>IF(Tabell2[[#This Row],[Inntekt]]&lt;=J$434,J$434,IF(Tabell2[[#This Row],[Inntekt]]&gt;=J$435,J$435,Tabell2[[#This Row],[Inntekt]]))</f>
        <v>372300</v>
      </c>
      <c r="T286" s="9">
        <f>IF(Tabell2[[#This Row],[NIBR11-T]]&lt;=K$437,100,IF(Tabell2[[#This Row],[NIBR11-T]]&gt;=K$436,0,100*(K$436-Tabell2[[#This Row],[NIBR11-T]])/K$439))</f>
        <v>70</v>
      </c>
      <c r="U286" s="9">
        <f>(L$436-Tabell2[[#This Row],[ReisetidOslo-T]])*100/L$439</f>
        <v>49.457140622393567</v>
      </c>
      <c r="V286" s="9">
        <f>100-(M$436-Tabell2[[#This Row],[Beftettotal-T]])*100/M$439</f>
        <v>19.652511590742662</v>
      </c>
      <c r="W286" s="9">
        <f>100-(N$436-Tabell2[[#This Row],[Befvekst10-T]])*100/N$439</f>
        <v>64.868771854556229</v>
      </c>
      <c r="X286" s="9">
        <f>100-(O$436-Tabell2[[#This Row],[Kvinneandel-T]])*100/O$439</f>
        <v>75.385548548099649</v>
      </c>
      <c r="Y286" s="9">
        <f>(P$436-Tabell2[[#This Row],[Eldreandel-T]])*100/P$439</f>
        <v>76.008563400332491</v>
      </c>
      <c r="Z286" s="9">
        <f>100-(Q$436-Tabell2[[#This Row],[Sysselsettingsvekst10-T]])*100/Q$439</f>
        <v>50.948583090597054</v>
      </c>
      <c r="AA286" s="9">
        <f>100-(R$436-Tabell2[[#This Row],[Yrkesaktivandel-T]])*100/R$439</f>
        <v>63.796231271332651</v>
      </c>
      <c r="AB286" s="9">
        <f>100-(S$436-Tabell2[[#This Row],[Inntekt-T]])*100/S$439</f>
        <v>65.170375958757703</v>
      </c>
      <c r="AC286" s="48">
        <f>Tabell2[[#This Row],[NIBR11-I]]*Vekter!$B$3</f>
        <v>14</v>
      </c>
      <c r="AD286" s="48">
        <f>Tabell2[[#This Row],[ReisetidOslo-I]]*Vekter!$C$3</f>
        <v>4.9457140622393574</v>
      </c>
      <c r="AE286" s="48">
        <f>Tabell2[[#This Row],[Beftettotal-I]]*Vekter!$D$3</f>
        <v>1.9652511590742663</v>
      </c>
      <c r="AF286" s="48">
        <f>Tabell2[[#This Row],[Befvekst10-I]]*Vekter!$E$3</f>
        <v>12.973754370911246</v>
      </c>
      <c r="AG286" s="48">
        <f>Tabell2[[#This Row],[Kvinneandel-I]]*Vekter!$F$3</f>
        <v>3.7692774274049827</v>
      </c>
      <c r="AH286" s="48">
        <f>Tabell2[[#This Row],[Eldreandel-I]]*Vekter!$G$3</f>
        <v>3.8004281700166249</v>
      </c>
      <c r="AI286" s="48">
        <f>Tabell2[[#This Row],[Sysselsettingsvekst10-I]]*Vekter!$H$3</f>
        <v>5.0948583090597062</v>
      </c>
      <c r="AJ286" s="48">
        <f>Tabell2[[#This Row],[Yrkesaktivandel-I]]*Vekter!$J$3</f>
        <v>6.3796231271332653</v>
      </c>
      <c r="AK286" s="48">
        <f>Tabell2[[#This Row],[Inntekt-I]]*Vekter!$L$3</f>
        <v>6.5170375958757703</v>
      </c>
      <c r="AL286" s="37">
        <f>SUM(Tabell2[[#This Row],[NIBR11-v]:[Inntekt-v]])</f>
        <v>59.445944221715209</v>
      </c>
    </row>
    <row r="287" spans="1:38">
      <c r="A287" s="2" t="s">
        <v>284</v>
      </c>
      <c r="B287">
        <f>'Rådata-K'!M286</f>
        <v>4</v>
      </c>
      <c r="C287" s="9">
        <f>'Rådata-K'!L286</f>
        <v>187.30630696579999</v>
      </c>
      <c r="D287" s="51">
        <f>'Rådata-K'!N286</f>
        <v>22.822013281609571</v>
      </c>
      <c r="E287" s="51">
        <f>'Rådata-K'!O286</f>
        <v>5.5978095527836835E-2</v>
      </c>
      <c r="F287" s="51">
        <f>'Rådata-K'!P286</f>
        <v>0.1163929703255546</v>
      </c>
      <c r="G287" s="51">
        <f>'Rådata-K'!Q286</f>
        <v>0.1431864016133679</v>
      </c>
      <c r="H287" s="51">
        <f>'Rådata-K'!R286</f>
        <v>8.4078711985688726E-2</v>
      </c>
      <c r="I287" s="51">
        <f>'Rådata-K'!S286</f>
        <v>0.92596401028277631</v>
      </c>
      <c r="J287" s="52">
        <f>'Rådata-K'!K286</f>
        <v>361400</v>
      </c>
      <c r="K287" s="26">
        <f>Tabell2[[#This Row],[NIBR11]]</f>
        <v>4</v>
      </c>
      <c r="L287" s="52">
        <f>IF(Tabell2[[#This Row],[ReisetidOslo]]&lt;=C$434,C$434,IF(Tabell2[[#This Row],[ReisetidOslo]]&gt;=C$435,C$435,Tabell2[[#This Row],[ReisetidOslo]]))</f>
        <v>187.30630696579999</v>
      </c>
      <c r="M287" s="51">
        <f>IF(Tabell2[[#This Row],[Beftettotal]]&lt;=D$434,D$434,IF(Tabell2[[#This Row],[Beftettotal]]&gt;=D$435,D$435,Tabell2[[#This Row],[Beftettotal]]))</f>
        <v>22.822013281609571</v>
      </c>
      <c r="N287" s="51">
        <f>IF(Tabell2[[#This Row],[Befvekst10]]&lt;=E$434,E$434,IF(Tabell2[[#This Row],[Befvekst10]]&gt;=E$435,E$435,Tabell2[[#This Row],[Befvekst10]]))</f>
        <v>5.5978095527836835E-2</v>
      </c>
      <c r="O287" s="51">
        <f>IF(Tabell2[[#This Row],[Kvinneandel]]&lt;=F$434,F$434,IF(Tabell2[[#This Row],[Kvinneandel]]&gt;=F$435,F$435,Tabell2[[#This Row],[Kvinneandel]]))</f>
        <v>0.1163929703255546</v>
      </c>
      <c r="P287" s="51">
        <f>IF(Tabell2[[#This Row],[Eldreandel]]&lt;=G$434,G$434,IF(Tabell2[[#This Row],[Eldreandel]]&gt;=G$435,G$435,Tabell2[[#This Row],[Eldreandel]]))</f>
        <v>0.1431864016133679</v>
      </c>
      <c r="Q287" s="51">
        <f>IF(Tabell2[[#This Row],[Sysselsettingsvekst10]]&lt;=H$434,H$434,IF(Tabell2[[#This Row],[Sysselsettingsvekst10]]&gt;=H$435,H$435,Tabell2[[#This Row],[Sysselsettingsvekst10]]))</f>
        <v>8.4078711985688726E-2</v>
      </c>
      <c r="R287" s="51">
        <f>IF(Tabell2[[#This Row],[Yrkesaktivandel]]&lt;=I$434,I$434,IF(Tabell2[[#This Row],[Yrkesaktivandel]]&gt;=I$435,I$435,Tabell2[[#This Row],[Yrkesaktivandel]]))</f>
        <v>0.92596401028277631</v>
      </c>
      <c r="S287" s="52">
        <f>IF(Tabell2[[#This Row],[Inntekt]]&lt;=J$434,J$434,IF(Tabell2[[#This Row],[Inntekt]]&gt;=J$435,J$435,Tabell2[[#This Row],[Inntekt]]))</f>
        <v>361400</v>
      </c>
      <c r="T287" s="9">
        <f>IF(Tabell2[[#This Row],[NIBR11-T]]&lt;=K$437,100,IF(Tabell2[[#This Row],[NIBR11-T]]&gt;=K$436,0,100*(K$436-Tabell2[[#This Row],[NIBR11-T]])/K$439))</f>
        <v>70</v>
      </c>
      <c r="U287" s="9">
        <f>(L$436-Tabell2[[#This Row],[ReisetidOslo-T]])*100/L$439</f>
        <v>40.732142081152077</v>
      </c>
      <c r="V287" s="9">
        <f>100-(M$436-Tabell2[[#This Row],[Beftettotal-T]])*100/M$439</f>
        <v>16.920779782221004</v>
      </c>
      <c r="W287" s="9">
        <f>100-(N$436-Tabell2[[#This Row],[Befvekst10-T]])*100/N$439</f>
        <v>55.342319079819347</v>
      </c>
      <c r="X287" s="9">
        <f>100-(O$436-Tabell2[[#This Row],[Kvinneandel-T]])*100/O$439</f>
        <v>69.210614210190968</v>
      </c>
      <c r="Y287" s="9">
        <f>(P$436-Tabell2[[#This Row],[Eldreandel-T]])*100/P$439</f>
        <v>73.819122830712587</v>
      </c>
      <c r="Z287" s="9">
        <f>100-(Q$436-Tabell2[[#This Row],[Sysselsettingsvekst10-T]])*100/Q$439</f>
        <v>49.035153802220243</v>
      </c>
      <c r="AA287" s="9">
        <f>100-(R$436-Tabell2[[#This Row],[Yrkesaktivandel-T]])*100/R$439</f>
        <v>73.003232769182048</v>
      </c>
      <c r="AB287" s="9">
        <f>100-(S$436-Tabell2[[#This Row],[Inntekt-T]])*100/S$439</f>
        <v>51.464856029171379</v>
      </c>
      <c r="AC287" s="48">
        <f>Tabell2[[#This Row],[NIBR11-I]]*Vekter!$B$3</f>
        <v>14</v>
      </c>
      <c r="AD287" s="48">
        <f>Tabell2[[#This Row],[ReisetidOslo-I]]*Vekter!$C$3</f>
        <v>4.0732142081152078</v>
      </c>
      <c r="AE287" s="48">
        <f>Tabell2[[#This Row],[Beftettotal-I]]*Vekter!$D$3</f>
        <v>1.6920779782221005</v>
      </c>
      <c r="AF287" s="48">
        <f>Tabell2[[#This Row],[Befvekst10-I]]*Vekter!$E$3</f>
        <v>11.06846381596387</v>
      </c>
      <c r="AG287" s="48">
        <f>Tabell2[[#This Row],[Kvinneandel-I]]*Vekter!$F$3</f>
        <v>3.4605307105095484</v>
      </c>
      <c r="AH287" s="48">
        <f>Tabell2[[#This Row],[Eldreandel-I]]*Vekter!$G$3</f>
        <v>3.6909561415356293</v>
      </c>
      <c r="AI287" s="48">
        <f>Tabell2[[#This Row],[Sysselsettingsvekst10-I]]*Vekter!$H$3</f>
        <v>4.903515380222025</v>
      </c>
      <c r="AJ287" s="48">
        <f>Tabell2[[#This Row],[Yrkesaktivandel-I]]*Vekter!$J$3</f>
        <v>7.3003232769182054</v>
      </c>
      <c r="AK287" s="48">
        <f>Tabell2[[#This Row],[Inntekt-I]]*Vekter!$L$3</f>
        <v>5.1464856029171386</v>
      </c>
      <c r="AL287" s="37">
        <f>SUM(Tabell2[[#This Row],[NIBR11-v]:[Inntekt-v]])</f>
        <v>55.33556711440373</v>
      </c>
    </row>
    <row r="288" spans="1:38">
      <c r="A288" s="2" t="s">
        <v>285</v>
      </c>
      <c r="B288">
        <f>'Rådata-K'!M287</f>
        <v>5</v>
      </c>
      <c r="C288" s="9">
        <f>'Rådata-K'!L287</f>
        <v>173.6378757432</v>
      </c>
      <c r="D288" s="51">
        <f>'Rådata-K'!N287</f>
        <v>32.445230488361481</v>
      </c>
      <c r="E288" s="51">
        <f>'Rådata-K'!O287</f>
        <v>3.9290935672514626E-2</v>
      </c>
      <c r="F288" s="51">
        <f>'Rådata-K'!P287</f>
        <v>0.10374538420960085</v>
      </c>
      <c r="G288" s="51">
        <f>'Rådata-K'!Q287</f>
        <v>0.15561807631440128</v>
      </c>
      <c r="H288" s="51">
        <f>'Rådata-K'!R287</f>
        <v>6.4485981308411322E-2</v>
      </c>
      <c r="I288" s="51">
        <f>'Rådata-K'!S287</f>
        <v>0.91368680641183719</v>
      </c>
      <c r="J288" s="52">
        <f>'Rådata-K'!K287</f>
        <v>380800</v>
      </c>
      <c r="K288" s="26">
        <f>Tabell2[[#This Row],[NIBR11]]</f>
        <v>5</v>
      </c>
      <c r="L288" s="52">
        <f>IF(Tabell2[[#This Row],[ReisetidOslo]]&lt;=C$434,C$434,IF(Tabell2[[#This Row],[ReisetidOslo]]&gt;=C$435,C$435,Tabell2[[#This Row],[ReisetidOslo]]))</f>
        <v>173.6378757432</v>
      </c>
      <c r="M288" s="51">
        <f>IF(Tabell2[[#This Row],[Beftettotal]]&lt;=D$434,D$434,IF(Tabell2[[#This Row],[Beftettotal]]&gt;=D$435,D$435,Tabell2[[#This Row],[Beftettotal]]))</f>
        <v>32.445230488361481</v>
      </c>
      <c r="N288" s="51">
        <f>IF(Tabell2[[#This Row],[Befvekst10]]&lt;=E$434,E$434,IF(Tabell2[[#This Row],[Befvekst10]]&gt;=E$435,E$435,Tabell2[[#This Row],[Befvekst10]]))</f>
        <v>3.9290935672514626E-2</v>
      </c>
      <c r="O288" s="51">
        <f>IF(Tabell2[[#This Row],[Kvinneandel]]&lt;=F$434,F$434,IF(Tabell2[[#This Row],[Kvinneandel]]&gt;=F$435,F$435,Tabell2[[#This Row],[Kvinneandel]]))</f>
        <v>0.10374538420960085</v>
      </c>
      <c r="P288" s="51">
        <f>IF(Tabell2[[#This Row],[Eldreandel]]&lt;=G$434,G$434,IF(Tabell2[[#This Row],[Eldreandel]]&gt;=G$435,G$435,Tabell2[[#This Row],[Eldreandel]]))</f>
        <v>0.15561807631440128</v>
      </c>
      <c r="Q288" s="51">
        <f>IF(Tabell2[[#This Row],[Sysselsettingsvekst10]]&lt;=H$434,H$434,IF(Tabell2[[#This Row],[Sysselsettingsvekst10]]&gt;=H$435,H$435,Tabell2[[#This Row],[Sysselsettingsvekst10]]))</f>
        <v>6.4485981308411322E-2</v>
      </c>
      <c r="R288" s="51">
        <f>IF(Tabell2[[#This Row],[Yrkesaktivandel]]&lt;=I$434,I$434,IF(Tabell2[[#This Row],[Yrkesaktivandel]]&gt;=I$435,I$435,Tabell2[[#This Row],[Yrkesaktivandel]]))</f>
        <v>0.91368680641183719</v>
      </c>
      <c r="S288" s="52">
        <f>IF(Tabell2[[#This Row],[Inntekt]]&lt;=J$434,J$434,IF(Tabell2[[#This Row],[Inntekt]]&gt;=J$435,J$435,Tabell2[[#This Row],[Inntekt]]))</f>
        <v>380800</v>
      </c>
      <c r="T288" s="9">
        <f>IF(Tabell2[[#This Row],[NIBR11-T]]&lt;=K$437,100,IF(Tabell2[[#This Row],[NIBR11-T]]&gt;=K$436,0,100*(K$436-Tabell2[[#This Row],[NIBR11-T]])/K$439))</f>
        <v>60</v>
      </c>
      <c r="U288" s="9">
        <f>(L$436-Tabell2[[#This Row],[ReisetidOslo-T]])*100/L$439</f>
        <v>46.80025021209827</v>
      </c>
      <c r="V288" s="9">
        <f>100-(M$436-Tabell2[[#This Row],[Beftettotal-T]])*100/M$439</f>
        <v>24.500622492732035</v>
      </c>
      <c r="W288" s="9">
        <f>100-(N$436-Tabell2[[#This Row],[Befvekst10-T]])*100/N$439</f>
        <v>48.589764264676312</v>
      </c>
      <c r="X288" s="9">
        <f>100-(O$436-Tabell2[[#This Row],[Kvinneandel-T]])*100/O$439</f>
        <v>35.710980862690121</v>
      </c>
      <c r="Y288" s="9">
        <f>(P$436-Tabell2[[#This Row],[Eldreandel-T]])*100/P$439</f>
        <v>59.72550154769727</v>
      </c>
      <c r="Z288" s="9">
        <f>100-(Q$436-Tabell2[[#This Row],[Sysselsettingsvekst10-T]])*100/Q$439</f>
        <v>42.746452155548468</v>
      </c>
      <c r="AA288" s="9">
        <f>100-(R$436-Tabell2[[#This Row],[Yrkesaktivandel-T]])*100/R$439</f>
        <v>63.850875138539656</v>
      </c>
      <c r="AB288" s="9">
        <f>100-(S$436-Tabell2[[#This Row],[Inntekt-T]])*100/S$439</f>
        <v>75.858166729536023</v>
      </c>
      <c r="AC288" s="48">
        <f>Tabell2[[#This Row],[NIBR11-I]]*Vekter!$B$3</f>
        <v>12</v>
      </c>
      <c r="AD288" s="48">
        <f>Tabell2[[#This Row],[ReisetidOslo-I]]*Vekter!$C$3</f>
        <v>4.6800250212098273</v>
      </c>
      <c r="AE288" s="48">
        <f>Tabell2[[#This Row],[Beftettotal-I]]*Vekter!$D$3</f>
        <v>2.4500622492732038</v>
      </c>
      <c r="AF288" s="48">
        <f>Tabell2[[#This Row],[Befvekst10-I]]*Vekter!$E$3</f>
        <v>9.7179528529352623</v>
      </c>
      <c r="AG288" s="48">
        <f>Tabell2[[#This Row],[Kvinneandel-I]]*Vekter!$F$3</f>
        <v>1.7855490431345062</v>
      </c>
      <c r="AH288" s="48">
        <f>Tabell2[[#This Row],[Eldreandel-I]]*Vekter!$G$3</f>
        <v>2.9862750773848639</v>
      </c>
      <c r="AI288" s="48">
        <f>Tabell2[[#This Row],[Sysselsettingsvekst10-I]]*Vekter!$H$3</f>
        <v>4.2746452155548473</v>
      </c>
      <c r="AJ288" s="48">
        <f>Tabell2[[#This Row],[Yrkesaktivandel-I]]*Vekter!$J$3</f>
        <v>6.385087513853966</v>
      </c>
      <c r="AK288" s="48">
        <f>Tabell2[[#This Row],[Inntekt-I]]*Vekter!$L$3</f>
        <v>7.5858166729536025</v>
      </c>
      <c r="AL288" s="37">
        <f>SUM(Tabell2[[#This Row],[NIBR11-v]:[Inntekt-v]])</f>
        <v>51.865413646300084</v>
      </c>
    </row>
    <row r="289" spans="1:38">
      <c r="A289" s="2" t="s">
        <v>286</v>
      </c>
      <c r="B289">
        <f>'Rådata-K'!M288</f>
        <v>4</v>
      </c>
      <c r="C289" s="9">
        <f>'Rådata-K'!L288</f>
        <v>176.70352430949998</v>
      </c>
      <c r="D289" s="51">
        <f>'Rådata-K'!N288</f>
        <v>6.7211697193616855</v>
      </c>
      <c r="E289" s="51">
        <f>'Rådata-K'!O288</f>
        <v>-3.20754716981132E-2</v>
      </c>
      <c r="F289" s="51">
        <f>'Rådata-K'!P288</f>
        <v>0.10721247563352826</v>
      </c>
      <c r="G289" s="51">
        <f>'Rådata-K'!Q288</f>
        <v>0.16686159844054582</v>
      </c>
      <c r="H289" s="51">
        <f>'Rådata-K'!R288</f>
        <v>1.8656716417910557E-2</v>
      </c>
      <c r="I289" s="51">
        <f>'Rådata-K'!S288</f>
        <v>0.93189715079916613</v>
      </c>
      <c r="J289" s="52">
        <f>'Rådata-K'!K288</f>
        <v>364600</v>
      </c>
      <c r="K289" s="26">
        <f>Tabell2[[#This Row],[NIBR11]]</f>
        <v>4</v>
      </c>
      <c r="L289" s="52">
        <f>IF(Tabell2[[#This Row],[ReisetidOslo]]&lt;=C$434,C$434,IF(Tabell2[[#This Row],[ReisetidOslo]]&gt;=C$435,C$435,Tabell2[[#This Row],[ReisetidOslo]]))</f>
        <v>176.70352430949998</v>
      </c>
      <c r="M289" s="51">
        <f>IF(Tabell2[[#This Row],[Beftettotal]]&lt;=D$434,D$434,IF(Tabell2[[#This Row],[Beftettotal]]&gt;=D$435,D$435,Tabell2[[#This Row],[Beftettotal]]))</f>
        <v>6.7211697193616855</v>
      </c>
      <c r="N289" s="51">
        <f>IF(Tabell2[[#This Row],[Befvekst10]]&lt;=E$434,E$434,IF(Tabell2[[#This Row],[Befvekst10]]&gt;=E$435,E$435,Tabell2[[#This Row],[Befvekst10]]))</f>
        <v>-3.20754716981132E-2</v>
      </c>
      <c r="O289" s="51">
        <f>IF(Tabell2[[#This Row],[Kvinneandel]]&lt;=F$434,F$434,IF(Tabell2[[#This Row],[Kvinneandel]]&gt;=F$435,F$435,Tabell2[[#This Row],[Kvinneandel]]))</f>
        <v>0.10721247563352826</v>
      </c>
      <c r="P289" s="51">
        <f>IF(Tabell2[[#This Row],[Eldreandel]]&lt;=G$434,G$434,IF(Tabell2[[#This Row],[Eldreandel]]&gt;=G$435,G$435,Tabell2[[#This Row],[Eldreandel]]))</f>
        <v>0.16686159844054582</v>
      </c>
      <c r="Q289" s="51">
        <f>IF(Tabell2[[#This Row],[Sysselsettingsvekst10]]&lt;=H$434,H$434,IF(Tabell2[[#This Row],[Sysselsettingsvekst10]]&gt;=H$435,H$435,Tabell2[[#This Row],[Sysselsettingsvekst10]]))</f>
        <v>1.8656716417910557E-2</v>
      </c>
      <c r="R289" s="51">
        <f>IF(Tabell2[[#This Row],[Yrkesaktivandel]]&lt;=I$434,I$434,IF(Tabell2[[#This Row],[Yrkesaktivandel]]&gt;=I$435,I$435,Tabell2[[#This Row],[Yrkesaktivandel]]))</f>
        <v>0.93189715079916613</v>
      </c>
      <c r="S289" s="52">
        <f>IF(Tabell2[[#This Row],[Inntekt]]&lt;=J$434,J$434,IF(Tabell2[[#This Row],[Inntekt]]&gt;=J$435,J$435,Tabell2[[#This Row],[Inntekt]]))</f>
        <v>364600</v>
      </c>
      <c r="T289" s="9">
        <f>IF(Tabell2[[#This Row],[NIBR11-T]]&lt;=K$437,100,IF(Tabell2[[#This Row],[NIBR11-T]]&gt;=K$436,0,100*(K$436-Tabell2[[#This Row],[NIBR11-T]])/K$439))</f>
        <v>70</v>
      </c>
      <c r="U289" s="9">
        <f>(L$436-Tabell2[[#This Row],[ReisetidOslo-T]])*100/L$439</f>
        <v>45.439253716682622</v>
      </c>
      <c r="V289" s="9">
        <f>100-(M$436-Tabell2[[#This Row],[Beftettotal-T]])*100/M$439</f>
        <v>4.2387568073311286</v>
      </c>
      <c r="W289" s="9">
        <f>100-(N$436-Tabell2[[#This Row],[Befvekst10-T]])*100/N$439</f>
        <v>19.710938754037159</v>
      </c>
      <c r="X289" s="9">
        <f>100-(O$436-Tabell2[[#This Row],[Kvinneandel-T]])*100/O$439</f>
        <v>44.894258242183525</v>
      </c>
      <c r="Y289" s="9">
        <f>(P$436-Tabell2[[#This Row],[Eldreandel-T]])*100/P$439</f>
        <v>46.978872751183452</v>
      </c>
      <c r="Z289" s="9">
        <f>100-(Q$436-Tabell2[[#This Row],[Sysselsettingsvekst10-T]])*100/Q$439</f>
        <v>28.03657948236895</v>
      </c>
      <c r="AA289" s="9">
        <f>100-(R$436-Tabell2[[#This Row],[Yrkesaktivandel-T]])*100/R$439</f>
        <v>77.42624508124365</v>
      </c>
      <c r="AB289" s="9">
        <f>100-(S$436-Tabell2[[#This Row],[Inntekt-T]])*100/S$439</f>
        <v>55.488494907582044</v>
      </c>
      <c r="AC289" s="48">
        <f>Tabell2[[#This Row],[NIBR11-I]]*Vekter!$B$3</f>
        <v>14</v>
      </c>
      <c r="AD289" s="48">
        <f>Tabell2[[#This Row],[ReisetidOslo-I]]*Vekter!$C$3</f>
        <v>4.5439253716682622</v>
      </c>
      <c r="AE289" s="48">
        <f>Tabell2[[#This Row],[Beftettotal-I]]*Vekter!$D$3</f>
        <v>0.42387568073311288</v>
      </c>
      <c r="AF289" s="48">
        <f>Tabell2[[#This Row],[Befvekst10-I]]*Vekter!$E$3</f>
        <v>3.9421877508074319</v>
      </c>
      <c r="AG289" s="48">
        <f>Tabell2[[#This Row],[Kvinneandel-I]]*Vekter!$F$3</f>
        <v>2.2447129121091765</v>
      </c>
      <c r="AH289" s="48">
        <f>Tabell2[[#This Row],[Eldreandel-I]]*Vekter!$G$3</f>
        <v>2.3489436375591728</v>
      </c>
      <c r="AI289" s="48">
        <f>Tabell2[[#This Row],[Sysselsettingsvekst10-I]]*Vekter!$H$3</f>
        <v>2.8036579482368951</v>
      </c>
      <c r="AJ289" s="48">
        <f>Tabell2[[#This Row],[Yrkesaktivandel-I]]*Vekter!$J$3</f>
        <v>7.742624508124365</v>
      </c>
      <c r="AK289" s="48">
        <f>Tabell2[[#This Row],[Inntekt-I]]*Vekter!$L$3</f>
        <v>5.5488494907582044</v>
      </c>
      <c r="AL289" s="37">
        <f>SUM(Tabell2[[#This Row],[NIBR11-v]:[Inntekt-v]])</f>
        <v>43.598777299996613</v>
      </c>
    </row>
    <row r="290" spans="1:38">
      <c r="A290" s="2" t="s">
        <v>287</v>
      </c>
      <c r="B290">
        <f>'Rådata-K'!M289</f>
        <v>5</v>
      </c>
      <c r="C290" s="9">
        <f>'Rådata-K'!L289</f>
        <v>195.8399490354</v>
      </c>
      <c r="D290" s="51">
        <f>'Rådata-K'!N289</f>
        <v>9.0984677515144323</v>
      </c>
      <c r="E290" s="51">
        <f>'Rådata-K'!O289</f>
        <v>-1.7948717948717996E-2</v>
      </c>
      <c r="F290" s="51">
        <f>'Rådata-K'!P289</f>
        <v>9.497389033942559E-2</v>
      </c>
      <c r="G290" s="51">
        <f>'Rådata-K'!Q289</f>
        <v>0.20202349869451697</v>
      </c>
      <c r="H290" s="51">
        <f>'Rådata-K'!R289</f>
        <v>-2.8490028490028463E-2</v>
      </c>
      <c r="I290" s="51">
        <f>'Rådata-K'!S289</f>
        <v>0.87729697688203911</v>
      </c>
      <c r="J290" s="52">
        <f>'Rådata-K'!K289</f>
        <v>331700</v>
      </c>
      <c r="K290" s="26">
        <f>Tabell2[[#This Row],[NIBR11]]</f>
        <v>5</v>
      </c>
      <c r="L290" s="52">
        <f>IF(Tabell2[[#This Row],[ReisetidOslo]]&lt;=C$434,C$434,IF(Tabell2[[#This Row],[ReisetidOslo]]&gt;=C$435,C$435,Tabell2[[#This Row],[ReisetidOslo]]))</f>
        <v>195.8399490354</v>
      </c>
      <c r="M290" s="51">
        <f>IF(Tabell2[[#This Row],[Beftettotal]]&lt;=D$434,D$434,IF(Tabell2[[#This Row],[Beftettotal]]&gt;=D$435,D$435,Tabell2[[#This Row],[Beftettotal]]))</f>
        <v>9.0984677515144323</v>
      </c>
      <c r="N290" s="51">
        <f>IF(Tabell2[[#This Row],[Befvekst10]]&lt;=E$434,E$434,IF(Tabell2[[#This Row],[Befvekst10]]&gt;=E$435,E$435,Tabell2[[#This Row],[Befvekst10]]))</f>
        <v>-1.7948717948717996E-2</v>
      </c>
      <c r="O290" s="51">
        <f>IF(Tabell2[[#This Row],[Kvinneandel]]&lt;=F$434,F$434,IF(Tabell2[[#This Row],[Kvinneandel]]&gt;=F$435,F$435,Tabell2[[#This Row],[Kvinneandel]]))</f>
        <v>9.497389033942559E-2</v>
      </c>
      <c r="P290" s="51">
        <f>IF(Tabell2[[#This Row],[Eldreandel]]&lt;=G$434,G$434,IF(Tabell2[[#This Row],[Eldreandel]]&gt;=G$435,G$435,Tabell2[[#This Row],[Eldreandel]]))</f>
        <v>0.20202349869451697</v>
      </c>
      <c r="Q290" s="51">
        <f>IF(Tabell2[[#This Row],[Sysselsettingsvekst10]]&lt;=H$434,H$434,IF(Tabell2[[#This Row],[Sysselsettingsvekst10]]&gt;=H$435,H$435,Tabell2[[#This Row],[Sysselsettingsvekst10]]))</f>
        <v>-2.8490028490028463E-2</v>
      </c>
      <c r="R290" s="51">
        <f>IF(Tabell2[[#This Row],[Yrkesaktivandel]]&lt;=I$434,I$434,IF(Tabell2[[#This Row],[Yrkesaktivandel]]&gt;=I$435,I$435,Tabell2[[#This Row],[Yrkesaktivandel]]))</f>
        <v>0.87729697688203911</v>
      </c>
      <c r="S290" s="52">
        <f>IF(Tabell2[[#This Row],[Inntekt]]&lt;=J$434,J$434,IF(Tabell2[[#This Row],[Inntekt]]&gt;=J$435,J$435,Tabell2[[#This Row],[Inntekt]]))</f>
        <v>331700</v>
      </c>
      <c r="T290" s="9">
        <f>IF(Tabell2[[#This Row],[NIBR11-T]]&lt;=K$437,100,IF(Tabell2[[#This Row],[NIBR11-T]]&gt;=K$436,0,100*(K$436-Tabell2[[#This Row],[NIBR11-T]])/K$439))</f>
        <v>60</v>
      </c>
      <c r="U290" s="9">
        <f>(L$436-Tabell2[[#This Row],[ReisetidOslo-T]])*100/L$439</f>
        <v>36.943626633709655</v>
      </c>
      <c r="V290" s="9">
        <f>100-(M$436-Tabell2[[#This Row],[Beftettotal-T]])*100/M$439</f>
        <v>6.1112641790947322</v>
      </c>
      <c r="W290" s="9">
        <f>100-(N$436-Tabell2[[#This Row],[Befvekst10-T]])*100/N$439</f>
        <v>25.42741057308038</v>
      </c>
      <c r="X290" s="9">
        <f>100-(O$436-Tabell2[[#This Row],[Kvinneandel-T]])*100/O$439</f>
        <v>12.477944466118885</v>
      </c>
      <c r="Y290" s="9">
        <f>(P$436-Tabell2[[#This Row],[Eldreandel-T]])*100/P$439</f>
        <v>7.1163025272830183</v>
      </c>
      <c r="Z290" s="9">
        <f>100-(Q$436-Tabell2[[#This Row],[Sysselsettingsvekst10-T]])*100/Q$439</f>
        <v>12.903833709385651</v>
      </c>
      <c r="AA290" s="9">
        <f>100-(R$436-Tabell2[[#This Row],[Yrkesaktivandel-T]])*100/R$439</f>
        <v>36.723140071503813</v>
      </c>
      <c r="AB290" s="9">
        <f>100-(S$436-Tabell2[[#This Row],[Inntekt-T]])*100/S$439</f>
        <v>14.120457688922414</v>
      </c>
      <c r="AC290" s="48">
        <f>Tabell2[[#This Row],[NIBR11-I]]*Vekter!$B$3</f>
        <v>12</v>
      </c>
      <c r="AD290" s="48">
        <f>Tabell2[[#This Row],[ReisetidOslo-I]]*Vekter!$C$3</f>
        <v>3.6943626633709656</v>
      </c>
      <c r="AE290" s="48">
        <f>Tabell2[[#This Row],[Beftettotal-I]]*Vekter!$D$3</f>
        <v>0.61112641790947331</v>
      </c>
      <c r="AF290" s="48">
        <f>Tabell2[[#This Row],[Befvekst10-I]]*Vekter!$E$3</f>
        <v>5.0854821146160765</v>
      </c>
      <c r="AG290" s="48">
        <f>Tabell2[[#This Row],[Kvinneandel-I]]*Vekter!$F$3</f>
        <v>0.62389722330594433</v>
      </c>
      <c r="AH290" s="48">
        <f>Tabell2[[#This Row],[Eldreandel-I]]*Vekter!$G$3</f>
        <v>0.35581512636415091</v>
      </c>
      <c r="AI290" s="48">
        <f>Tabell2[[#This Row],[Sysselsettingsvekst10-I]]*Vekter!$H$3</f>
        <v>1.2903833709385653</v>
      </c>
      <c r="AJ290" s="48">
        <f>Tabell2[[#This Row],[Yrkesaktivandel-I]]*Vekter!$J$3</f>
        <v>3.6723140071503817</v>
      </c>
      <c r="AK290" s="48">
        <f>Tabell2[[#This Row],[Inntekt-I]]*Vekter!$L$3</f>
        <v>1.4120457688922414</v>
      </c>
      <c r="AL290" s="37">
        <f>SUM(Tabell2[[#This Row],[NIBR11-v]:[Inntekt-v]])</f>
        <v>28.745426692547802</v>
      </c>
    </row>
    <row r="291" spans="1:38">
      <c r="A291" s="2" t="s">
        <v>288</v>
      </c>
      <c r="B291">
        <f>'Rådata-K'!M290</f>
        <v>9</v>
      </c>
      <c r="C291" s="9">
        <f>'Rådata-K'!L290</f>
        <v>220.9231681631</v>
      </c>
      <c r="D291" s="51">
        <f>'Rådata-K'!N290</f>
        <v>4.1851480063497988</v>
      </c>
      <c r="E291" s="51">
        <f>'Rådata-K'!O290</f>
        <v>-3.2123093534889957E-2</v>
      </c>
      <c r="F291" s="51">
        <f>'Rådata-K'!P290</f>
        <v>0.10096220889694603</v>
      </c>
      <c r="G291" s="51">
        <f>'Rådata-K'!Q290</f>
        <v>0.17305815088551108</v>
      </c>
      <c r="H291" s="51">
        <f>'Rådata-K'!R290</f>
        <v>-3.8461538461538436E-2</v>
      </c>
      <c r="I291" s="51">
        <f>'Rådata-K'!S290</f>
        <v>0.84085395439107224</v>
      </c>
      <c r="J291" s="52">
        <f>'Rådata-K'!K290</f>
        <v>355600</v>
      </c>
      <c r="K291" s="26">
        <f>Tabell2[[#This Row],[NIBR11]]</f>
        <v>9</v>
      </c>
      <c r="L291" s="52">
        <f>IF(Tabell2[[#This Row],[ReisetidOslo]]&lt;=C$434,C$434,IF(Tabell2[[#This Row],[ReisetidOslo]]&gt;=C$435,C$435,Tabell2[[#This Row],[ReisetidOslo]]))</f>
        <v>220.9231681631</v>
      </c>
      <c r="M291" s="51">
        <f>IF(Tabell2[[#This Row],[Beftettotal]]&lt;=D$434,D$434,IF(Tabell2[[#This Row],[Beftettotal]]&gt;=D$435,D$435,Tabell2[[#This Row],[Beftettotal]]))</f>
        <v>4.1851480063497988</v>
      </c>
      <c r="N291" s="51">
        <f>IF(Tabell2[[#This Row],[Befvekst10]]&lt;=E$434,E$434,IF(Tabell2[[#This Row],[Befvekst10]]&gt;=E$435,E$435,Tabell2[[#This Row],[Befvekst10]]))</f>
        <v>-3.2123093534889957E-2</v>
      </c>
      <c r="O291" s="51">
        <f>IF(Tabell2[[#This Row],[Kvinneandel]]&lt;=F$434,F$434,IF(Tabell2[[#This Row],[Kvinneandel]]&gt;=F$435,F$435,Tabell2[[#This Row],[Kvinneandel]]))</f>
        <v>0.10096220889694603</v>
      </c>
      <c r="P291" s="51">
        <f>IF(Tabell2[[#This Row],[Eldreandel]]&lt;=G$434,G$434,IF(Tabell2[[#This Row],[Eldreandel]]&gt;=G$435,G$435,Tabell2[[#This Row],[Eldreandel]]))</f>
        <v>0.17305815088551108</v>
      </c>
      <c r="Q291" s="51">
        <f>IF(Tabell2[[#This Row],[Sysselsettingsvekst10]]&lt;=H$434,H$434,IF(Tabell2[[#This Row],[Sysselsettingsvekst10]]&gt;=H$435,H$435,Tabell2[[#This Row],[Sysselsettingsvekst10]]))</f>
        <v>-3.8461538461538436E-2</v>
      </c>
      <c r="R291" s="51">
        <f>IF(Tabell2[[#This Row],[Yrkesaktivandel]]&lt;=I$434,I$434,IF(Tabell2[[#This Row],[Yrkesaktivandel]]&gt;=I$435,I$435,Tabell2[[#This Row],[Yrkesaktivandel]]))</f>
        <v>0.84085395439107224</v>
      </c>
      <c r="S291" s="52">
        <f>IF(Tabell2[[#This Row],[Inntekt]]&lt;=J$434,J$434,IF(Tabell2[[#This Row],[Inntekt]]&gt;=J$435,J$435,Tabell2[[#This Row],[Inntekt]]))</f>
        <v>355600</v>
      </c>
      <c r="T291" s="9">
        <f>IF(Tabell2[[#This Row],[NIBR11-T]]&lt;=K$437,100,IF(Tabell2[[#This Row],[NIBR11-T]]&gt;=K$436,0,100*(K$436-Tabell2[[#This Row],[NIBR11-T]])/K$439))</f>
        <v>20</v>
      </c>
      <c r="U291" s="9">
        <f>(L$436-Tabell2[[#This Row],[ReisetidOslo-T]])*100/L$439</f>
        <v>25.807916656442131</v>
      </c>
      <c r="V291" s="9">
        <f>100-(M$436-Tabell2[[#This Row],[Beftettotal-T]])*100/M$439</f>
        <v>2.2412288203722994</v>
      </c>
      <c r="W291" s="9">
        <f>100-(N$436-Tabell2[[#This Row],[Befvekst10-T]])*100/N$439</f>
        <v>19.691668305020031</v>
      </c>
      <c r="X291" s="9">
        <f>100-(O$436-Tabell2[[#This Row],[Kvinneandel-T]])*100/O$439</f>
        <v>28.339190573146666</v>
      </c>
      <c r="Y291" s="9">
        <f>(P$436-Tabell2[[#This Row],[Eldreandel-T]])*100/P$439</f>
        <v>39.953925145980797</v>
      </c>
      <c r="Z291" s="9">
        <f>100-(Q$436-Tabell2[[#This Row],[Sysselsettingsvekst10-T]])*100/Q$439</f>
        <v>9.7032665086960606</v>
      </c>
      <c r="AA291" s="9">
        <f>100-(R$436-Tabell2[[#This Row],[Yrkesaktivandel-T]])*100/R$439</f>
        <v>9.5557509424219518</v>
      </c>
      <c r="AB291" s="9">
        <f>100-(S$436-Tabell2[[#This Row],[Inntekt-T]])*100/S$439</f>
        <v>44.172010562052058</v>
      </c>
      <c r="AC291" s="48">
        <f>Tabell2[[#This Row],[NIBR11-I]]*Vekter!$B$3</f>
        <v>4</v>
      </c>
      <c r="AD291" s="48">
        <f>Tabell2[[#This Row],[ReisetidOslo-I]]*Vekter!$C$3</f>
        <v>2.5807916656442131</v>
      </c>
      <c r="AE291" s="48">
        <f>Tabell2[[#This Row],[Beftettotal-I]]*Vekter!$D$3</f>
        <v>0.22412288203722996</v>
      </c>
      <c r="AF291" s="48">
        <f>Tabell2[[#This Row],[Befvekst10-I]]*Vekter!$E$3</f>
        <v>3.9383336610040063</v>
      </c>
      <c r="AG291" s="48">
        <f>Tabell2[[#This Row],[Kvinneandel-I]]*Vekter!$F$3</f>
        <v>1.4169595286573333</v>
      </c>
      <c r="AH291" s="48">
        <f>Tabell2[[#This Row],[Eldreandel-I]]*Vekter!$G$3</f>
        <v>1.99769625729904</v>
      </c>
      <c r="AI291" s="48">
        <f>Tabell2[[#This Row],[Sysselsettingsvekst10-I]]*Vekter!$H$3</f>
        <v>0.97032665086960612</v>
      </c>
      <c r="AJ291" s="48">
        <f>Tabell2[[#This Row],[Yrkesaktivandel-I]]*Vekter!$J$3</f>
        <v>0.95557509424219522</v>
      </c>
      <c r="AK291" s="48">
        <f>Tabell2[[#This Row],[Inntekt-I]]*Vekter!$L$3</f>
        <v>4.4172010562052062</v>
      </c>
      <c r="AL291" s="37">
        <f>SUM(Tabell2[[#This Row],[NIBR11-v]:[Inntekt-v]])</f>
        <v>20.50100679595883</v>
      </c>
    </row>
    <row r="292" spans="1:38">
      <c r="A292" s="2" t="s">
        <v>289</v>
      </c>
      <c r="B292">
        <f>'Rådata-K'!M291</f>
        <v>9</v>
      </c>
      <c r="C292" s="9">
        <f>'Rådata-K'!L291</f>
        <v>243.89762441799999</v>
      </c>
      <c r="D292" s="51">
        <f>'Rådata-K'!N291</f>
        <v>4.360914371095209</v>
      </c>
      <c r="E292" s="51">
        <f>'Rådata-K'!O291</f>
        <v>-4.1069415364793027E-2</v>
      </c>
      <c r="F292" s="51">
        <f>'Rådata-K'!P291</f>
        <v>9.6405777628485054E-2</v>
      </c>
      <c r="G292" s="51">
        <f>'Rådata-K'!Q291</f>
        <v>0.178199529727914</v>
      </c>
      <c r="H292" s="51">
        <f>'Rådata-K'!R291</f>
        <v>4.0204678362573132E-2</v>
      </c>
      <c r="I292" s="51">
        <f>'Rådata-K'!S291</f>
        <v>0.92282082324455206</v>
      </c>
      <c r="J292" s="52">
        <f>'Rådata-K'!K291</f>
        <v>331300</v>
      </c>
      <c r="K292" s="26">
        <f>Tabell2[[#This Row],[NIBR11]]</f>
        <v>9</v>
      </c>
      <c r="L292" s="52">
        <f>IF(Tabell2[[#This Row],[ReisetidOslo]]&lt;=C$434,C$434,IF(Tabell2[[#This Row],[ReisetidOslo]]&gt;=C$435,C$435,Tabell2[[#This Row],[ReisetidOslo]]))</f>
        <v>243.89762441799999</v>
      </c>
      <c r="M292" s="51">
        <f>IF(Tabell2[[#This Row],[Beftettotal]]&lt;=D$434,D$434,IF(Tabell2[[#This Row],[Beftettotal]]&gt;=D$435,D$435,Tabell2[[#This Row],[Beftettotal]]))</f>
        <v>4.360914371095209</v>
      </c>
      <c r="N292" s="51">
        <f>IF(Tabell2[[#This Row],[Befvekst10]]&lt;=E$434,E$434,IF(Tabell2[[#This Row],[Befvekst10]]&gt;=E$435,E$435,Tabell2[[#This Row],[Befvekst10]]))</f>
        <v>-4.1069415364793027E-2</v>
      </c>
      <c r="O292" s="51">
        <f>IF(Tabell2[[#This Row],[Kvinneandel]]&lt;=F$434,F$434,IF(Tabell2[[#This Row],[Kvinneandel]]&gt;=F$435,F$435,Tabell2[[#This Row],[Kvinneandel]]))</f>
        <v>9.6405777628485054E-2</v>
      </c>
      <c r="P292" s="51">
        <f>IF(Tabell2[[#This Row],[Eldreandel]]&lt;=G$434,G$434,IF(Tabell2[[#This Row],[Eldreandel]]&gt;=G$435,G$435,Tabell2[[#This Row],[Eldreandel]]))</f>
        <v>0.178199529727914</v>
      </c>
      <c r="Q292" s="51">
        <f>IF(Tabell2[[#This Row],[Sysselsettingsvekst10]]&lt;=H$434,H$434,IF(Tabell2[[#This Row],[Sysselsettingsvekst10]]&gt;=H$435,H$435,Tabell2[[#This Row],[Sysselsettingsvekst10]]))</f>
        <v>4.0204678362573132E-2</v>
      </c>
      <c r="R292" s="51">
        <f>IF(Tabell2[[#This Row],[Yrkesaktivandel]]&lt;=I$434,I$434,IF(Tabell2[[#This Row],[Yrkesaktivandel]]&gt;=I$435,I$435,Tabell2[[#This Row],[Yrkesaktivandel]]))</f>
        <v>0.92282082324455206</v>
      </c>
      <c r="S292" s="52">
        <f>IF(Tabell2[[#This Row],[Inntekt]]&lt;=J$434,J$434,IF(Tabell2[[#This Row],[Inntekt]]&gt;=J$435,J$435,Tabell2[[#This Row],[Inntekt]]))</f>
        <v>331300</v>
      </c>
      <c r="T292" s="9">
        <f>IF(Tabell2[[#This Row],[NIBR11-T]]&lt;=K$437,100,IF(Tabell2[[#This Row],[NIBR11-T]]&gt;=K$436,0,100*(K$436-Tabell2[[#This Row],[NIBR11-T]])/K$439))</f>
        <v>20</v>
      </c>
      <c r="U292" s="9">
        <f>(L$436-Tabell2[[#This Row],[ReisetidOslo-T]])*100/L$439</f>
        <v>15.608393204627323</v>
      </c>
      <c r="V292" s="9">
        <f>100-(M$436-Tabell2[[#This Row],[Beftettotal-T]])*100/M$439</f>
        <v>2.379673310395205</v>
      </c>
      <c r="W292" s="9">
        <f>100-(N$436-Tabell2[[#This Row],[Befvekst10-T]])*100/N$439</f>
        <v>16.071487934358345</v>
      </c>
      <c r="X292" s="9">
        <f>100-(O$436-Tabell2[[#This Row],[Kvinneandel-T]])*100/O$439</f>
        <v>16.270581158897144</v>
      </c>
      <c r="Y292" s="9">
        <f>(P$436-Tabell2[[#This Row],[Eldreandel-T]])*100/P$439</f>
        <v>34.125213566895532</v>
      </c>
      <c r="Z292" s="9">
        <f>100-(Q$436-Tabell2[[#This Row],[Sysselsettingsvekst10-T]])*100/Q$439</f>
        <v>34.952853992331768</v>
      </c>
      <c r="AA292" s="9">
        <f>100-(R$436-Tabell2[[#This Row],[Yrkesaktivandel-T]])*100/R$439</f>
        <v>70.660063088508863</v>
      </c>
      <c r="AB292" s="9">
        <f>100-(S$436-Tabell2[[#This Row],[Inntekt-T]])*100/S$439</f>
        <v>13.617502829121079</v>
      </c>
      <c r="AC292" s="48">
        <f>Tabell2[[#This Row],[NIBR11-I]]*Vekter!$B$3</f>
        <v>4</v>
      </c>
      <c r="AD292" s="48">
        <f>Tabell2[[#This Row],[ReisetidOslo-I]]*Vekter!$C$3</f>
        <v>1.5608393204627324</v>
      </c>
      <c r="AE292" s="48">
        <f>Tabell2[[#This Row],[Beftettotal-I]]*Vekter!$D$3</f>
        <v>0.2379673310395205</v>
      </c>
      <c r="AF292" s="48">
        <f>Tabell2[[#This Row],[Befvekst10-I]]*Vekter!$E$3</f>
        <v>3.2142975868716692</v>
      </c>
      <c r="AG292" s="48">
        <f>Tabell2[[#This Row],[Kvinneandel-I]]*Vekter!$F$3</f>
        <v>0.8135290579448573</v>
      </c>
      <c r="AH292" s="48">
        <f>Tabell2[[#This Row],[Eldreandel-I]]*Vekter!$G$3</f>
        <v>1.7062606783447767</v>
      </c>
      <c r="AI292" s="48">
        <f>Tabell2[[#This Row],[Sysselsettingsvekst10-I]]*Vekter!$H$3</f>
        <v>3.4952853992331772</v>
      </c>
      <c r="AJ292" s="48">
        <f>Tabell2[[#This Row],[Yrkesaktivandel-I]]*Vekter!$J$3</f>
        <v>7.0660063088508869</v>
      </c>
      <c r="AK292" s="48">
        <f>Tabell2[[#This Row],[Inntekt-I]]*Vekter!$L$3</f>
        <v>1.361750282912108</v>
      </c>
      <c r="AL292" s="37">
        <f>SUM(Tabell2[[#This Row],[NIBR11-v]:[Inntekt-v]])</f>
        <v>23.455935965659727</v>
      </c>
    </row>
    <row r="293" spans="1:38">
      <c r="A293" s="2" t="s">
        <v>290</v>
      </c>
      <c r="B293">
        <f>'Rådata-K'!M292</f>
        <v>9</v>
      </c>
      <c r="C293" s="9">
        <f>'Rådata-K'!L292</f>
        <v>254.30360304050001</v>
      </c>
      <c r="D293" s="51">
        <f>'Rådata-K'!N292</f>
        <v>3.2381615598885793</v>
      </c>
      <c r="E293" s="51">
        <f>'Rådata-K'!O292</f>
        <v>-3.3994334277620442E-2</v>
      </c>
      <c r="F293" s="51">
        <f>'Rådata-K'!P292</f>
        <v>0.10263929618768329</v>
      </c>
      <c r="G293" s="51">
        <f>'Rådata-K'!Q292</f>
        <v>0.20234604105571846</v>
      </c>
      <c r="H293" s="51">
        <f>'Rådata-K'!R292</f>
        <v>-3.9832285115304011E-2</v>
      </c>
      <c r="I293" s="51">
        <f>'Rådata-K'!S292</f>
        <v>0.9850746268656716</v>
      </c>
      <c r="J293" s="52">
        <f>'Rådata-K'!K292</f>
        <v>333500</v>
      </c>
      <c r="K293" s="26">
        <f>Tabell2[[#This Row],[NIBR11]]</f>
        <v>9</v>
      </c>
      <c r="L293" s="52">
        <f>IF(Tabell2[[#This Row],[ReisetidOslo]]&lt;=C$434,C$434,IF(Tabell2[[#This Row],[ReisetidOslo]]&gt;=C$435,C$435,Tabell2[[#This Row],[ReisetidOslo]]))</f>
        <v>254.30360304050001</v>
      </c>
      <c r="M293" s="51">
        <f>IF(Tabell2[[#This Row],[Beftettotal]]&lt;=D$434,D$434,IF(Tabell2[[#This Row],[Beftettotal]]&gt;=D$435,D$435,Tabell2[[#This Row],[Beftettotal]]))</f>
        <v>3.2381615598885793</v>
      </c>
      <c r="N293" s="51">
        <f>IF(Tabell2[[#This Row],[Befvekst10]]&lt;=E$434,E$434,IF(Tabell2[[#This Row],[Befvekst10]]&gt;=E$435,E$435,Tabell2[[#This Row],[Befvekst10]]))</f>
        <v>-3.3994334277620442E-2</v>
      </c>
      <c r="O293" s="51">
        <f>IF(Tabell2[[#This Row],[Kvinneandel]]&lt;=F$434,F$434,IF(Tabell2[[#This Row],[Kvinneandel]]&gt;=F$435,F$435,Tabell2[[#This Row],[Kvinneandel]]))</f>
        <v>0.10263929618768329</v>
      </c>
      <c r="P293" s="51">
        <f>IF(Tabell2[[#This Row],[Eldreandel]]&lt;=G$434,G$434,IF(Tabell2[[#This Row],[Eldreandel]]&gt;=G$435,G$435,Tabell2[[#This Row],[Eldreandel]]))</f>
        <v>0.20234604105571846</v>
      </c>
      <c r="Q293" s="51">
        <f>IF(Tabell2[[#This Row],[Sysselsettingsvekst10]]&lt;=H$434,H$434,IF(Tabell2[[#This Row],[Sysselsettingsvekst10]]&gt;=H$435,H$435,Tabell2[[#This Row],[Sysselsettingsvekst10]]))</f>
        <v>-3.9832285115304011E-2</v>
      </c>
      <c r="R293" s="51">
        <f>IF(Tabell2[[#This Row],[Yrkesaktivandel]]&lt;=I$434,I$434,IF(Tabell2[[#This Row],[Yrkesaktivandel]]&gt;=I$435,I$435,Tabell2[[#This Row],[Yrkesaktivandel]]))</f>
        <v>0.96217815624658265</v>
      </c>
      <c r="S293" s="52">
        <f>IF(Tabell2[[#This Row],[Inntekt]]&lt;=J$434,J$434,IF(Tabell2[[#This Row],[Inntekt]]&gt;=J$435,J$435,Tabell2[[#This Row],[Inntekt]]))</f>
        <v>333500</v>
      </c>
      <c r="T293" s="9">
        <f>IF(Tabell2[[#This Row],[NIBR11-T]]&lt;=K$437,100,IF(Tabell2[[#This Row],[NIBR11-T]]&gt;=K$436,0,100*(K$436-Tabell2[[#This Row],[NIBR11-T]])/K$439))</f>
        <v>20</v>
      </c>
      <c r="U293" s="9">
        <f>(L$436-Tabell2[[#This Row],[ReisetidOslo-T]])*100/L$439</f>
        <v>10.988652836380922</v>
      </c>
      <c r="V293" s="9">
        <f>100-(M$436-Tabell2[[#This Row],[Beftettotal-T]])*100/M$439</f>
        <v>1.4953235623962371</v>
      </c>
      <c r="W293" s="9">
        <f>100-(N$436-Tabell2[[#This Row],[Befvekst10-T]])*100/N$439</f>
        <v>18.934460020496601</v>
      </c>
      <c r="X293" s="9">
        <f>100-(O$436-Tabell2[[#This Row],[Kvinneandel-T]])*100/O$439</f>
        <v>32.781287967572283</v>
      </c>
      <c r="Y293" s="9">
        <f>(P$436-Tabell2[[#This Row],[Eldreandel-T]])*100/P$439</f>
        <v>6.7506406196298583</v>
      </c>
      <c r="Z293" s="9">
        <f>100-(Q$436-Tabell2[[#This Row],[Sysselsettingsvekst10-T]])*100/Q$439</f>
        <v>9.2632963544233462</v>
      </c>
      <c r="AA293" s="9">
        <f>100-(R$436-Tabell2[[#This Row],[Yrkesaktivandel-T]])*100/R$439</f>
        <v>100</v>
      </c>
      <c r="AB293" s="9">
        <f>100-(S$436-Tabell2[[#This Row],[Inntekt-T]])*100/S$439</f>
        <v>16.383754558028414</v>
      </c>
      <c r="AC293" s="48">
        <f>Tabell2[[#This Row],[NIBR11-I]]*Vekter!$B$3</f>
        <v>4</v>
      </c>
      <c r="AD293" s="48">
        <f>Tabell2[[#This Row],[ReisetidOslo-I]]*Vekter!$C$3</f>
        <v>1.0988652836380923</v>
      </c>
      <c r="AE293" s="48">
        <f>Tabell2[[#This Row],[Beftettotal-I]]*Vekter!$D$3</f>
        <v>0.14953235623962371</v>
      </c>
      <c r="AF293" s="48">
        <f>Tabell2[[#This Row],[Befvekst10-I]]*Vekter!$E$3</f>
        <v>3.7868920040993204</v>
      </c>
      <c r="AG293" s="48">
        <f>Tabell2[[#This Row],[Kvinneandel-I]]*Vekter!$F$3</f>
        <v>1.6390643983786142</v>
      </c>
      <c r="AH293" s="48">
        <f>Tabell2[[#This Row],[Eldreandel-I]]*Vekter!$G$3</f>
        <v>0.33753203098149293</v>
      </c>
      <c r="AI293" s="48">
        <f>Tabell2[[#This Row],[Sysselsettingsvekst10-I]]*Vekter!$H$3</f>
        <v>0.92632963544233471</v>
      </c>
      <c r="AJ293" s="48">
        <f>Tabell2[[#This Row],[Yrkesaktivandel-I]]*Vekter!$J$3</f>
        <v>10</v>
      </c>
      <c r="AK293" s="48">
        <f>Tabell2[[#This Row],[Inntekt-I]]*Vekter!$L$3</f>
        <v>1.6383754558028416</v>
      </c>
      <c r="AL293" s="37">
        <f>SUM(Tabell2[[#This Row],[NIBR11-v]:[Inntekt-v]])</f>
        <v>23.576591164582318</v>
      </c>
    </row>
    <row r="294" spans="1:38">
      <c r="A294" s="2" t="s">
        <v>291</v>
      </c>
      <c r="B294">
        <f>'Rådata-K'!M293</f>
        <v>9</v>
      </c>
      <c r="C294" s="9">
        <f>'Rådata-K'!L293</f>
        <v>222.7438501076</v>
      </c>
      <c r="D294" s="51">
        <f>'Rådata-K'!N293</f>
        <v>5.2607060859148831</v>
      </c>
      <c r="E294" s="51">
        <f>'Rådata-K'!O293</f>
        <v>-7.7596266044340778E-2</v>
      </c>
      <c r="F294" s="51">
        <f>'Rådata-K'!P293</f>
        <v>8.8551549652118908E-2</v>
      </c>
      <c r="G294" s="51">
        <f>'Rådata-K'!Q293</f>
        <v>0.21758380771663505</v>
      </c>
      <c r="H294" s="51">
        <f>'Rådata-K'!R293</f>
        <v>-0.11096075778078485</v>
      </c>
      <c r="I294" s="51">
        <f>'Rådata-K'!S293</f>
        <v>0.94</v>
      </c>
      <c r="J294" s="52">
        <f>'Rådata-K'!K293</f>
        <v>333500</v>
      </c>
      <c r="K294" s="26">
        <f>Tabell2[[#This Row],[NIBR11]]</f>
        <v>9</v>
      </c>
      <c r="L294" s="52">
        <f>IF(Tabell2[[#This Row],[ReisetidOslo]]&lt;=C$434,C$434,IF(Tabell2[[#This Row],[ReisetidOslo]]&gt;=C$435,C$435,Tabell2[[#This Row],[ReisetidOslo]]))</f>
        <v>222.7438501076</v>
      </c>
      <c r="M294" s="51">
        <f>IF(Tabell2[[#This Row],[Beftettotal]]&lt;=D$434,D$434,IF(Tabell2[[#This Row],[Beftettotal]]&gt;=D$435,D$435,Tabell2[[#This Row],[Beftettotal]]))</f>
        <v>5.2607060859148831</v>
      </c>
      <c r="N294" s="51">
        <f>IF(Tabell2[[#This Row],[Befvekst10]]&lt;=E$434,E$434,IF(Tabell2[[#This Row],[Befvekst10]]&gt;=E$435,E$435,Tabell2[[#This Row],[Befvekst10]]))</f>
        <v>-7.7596266044340778E-2</v>
      </c>
      <c r="O294" s="51">
        <f>IF(Tabell2[[#This Row],[Kvinneandel]]&lt;=F$434,F$434,IF(Tabell2[[#This Row],[Kvinneandel]]&gt;=F$435,F$435,Tabell2[[#This Row],[Kvinneandel]]))</f>
        <v>9.0262917071501733E-2</v>
      </c>
      <c r="P294" s="51">
        <f>IF(Tabell2[[#This Row],[Eldreandel]]&lt;=G$434,G$434,IF(Tabell2[[#This Row],[Eldreandel]]&gt;=G$435,G$435,Tabell2[[#This Row],[Eldreandel]]))</f>
        <v>0.20830063331569054</v>
      </c>
      <c r="Q294" s="51">
        <f>IF(Tabell2[[#This Row],[Sysselsettingsvekst10]]&lt;=H$434,H$434,IF(Tabell2[[#This Row],[Sysselsettingsvekst10]]&gt;=H$435,H$435,Tabell2[[#This Row],[Sysselsettingsvekst10]]))</f>
        <v>-6.8692498376029434E-2</v>
      </c>
      <c r="R294" s="51">
        <f>IF(Tabell2[[#This Row],[Yrkesaktivandel]]&lt;=I$434,I$434,IF(Tabell2[[#This Row],[Yrkesaktivandel]]&gt;=I$435,I$435,Tabell2[[#This Row],[Yrkesaktivandel]]))</f>
        <v>0.94</v>
      </c>
      <c r="S294" s="52">
        <f>IF(Tabell2[[#This Row],[Inntekt]]&lt;=J$434,J$434,IF(Tabell2[[#This Row],[Inntekt]]&gt;=J$435,J$435,Tabell2[[#This Row],[Inntekt]]))</f>
        <v>333500</v>
      </c>
      <c r="T294" s="9">
        <f>IF(Tabell2[[#This Row],[NIBR11-T]]&lt;=K$437,100,IF(Tabell2[[#This Row],[NIBR11-T]]&gt;=K$436,0,100*(K$436-Tabell2[[#This Row],[NIBR11-T]])/K$439))</f>
        <v>20</v>
      </c>
      <c r="U294" s="9">
        <f>(L$436-Tabell2[[#This Row],[ReisetidOslo-T]])*100/L$439</f>
        <v>24.999623829609163</v>
      </c>
      <c r="V294" s="9">
        <f>100-(M$436-Tabell2[[#This Row],[Beftettotal-T]])*100/M$439</f>
        <v>3.08840507068102</v>
      </c>
      <c r="W294" s="9">
        <f>100-(N$436-Tabell2[[#This Row],[Befvekst10-T]])*100/N$439</f>
        <v>1.2906885906327403</v>
      </c>
      <c r="X294" s="9">
        <f>100-(O$436-Tabell2[[#This Row],[Kvinneandel-T]])*100/O$439</f>
        <v>0</v>
      </c>
      <c r="Y294" s="9">
        <f>(P$436-Tabell2[[#This Row],[Eldreandel-T]])*100/P$439</f>
        <v>0</v>
      </c>
      <c r="Z294" s="9">
        <f>100-(Q$436-Tabell2[[#This Row],[Sysselsettingsvekst10-T]])*100/Q$439</f>
        <v>0</v>
      </c>
      <c r="AA294" s="9">
        <f>100-(R$436-Tabell2[[#This Row],[Yrkesaktivandel-T]])*100/R$439</f>
        <v>83.466722578627042</v>
      </c>
      <c r="AB294" s="9">
        <f>100-(S$436-Tabell2[[#This Row],[Inntekt-T]])*100/S$439</f>
        <v>16.383754558028414</v>
      </c>
      <c r="AC294" s="48">
        <f>Tabell2[[#This Row],[NIBR11-I]]*Vekter!$B$3</f>
        <v>4</v>
      </c>
      <c r="AD294" s="48">
        <f>Tabell2[[#This Row],[ReisetidOslo-I]]*Vekter!$C$3</f>
        <v>2.4999623829609163</v>
      </c>
      <c r="AE294" s="48">
        <f>Tabell2[[#This Row],[Beftettotal-I]]*Vekter!$D$3</f>
        <v>0.30884050706810201</v>
      </c>
      <c r="AF294" s="48">
        <f>Tabell2[[#This Row],[Befvekst10-I]]*Vekter!$E$3</f>
        <v>0.25813771812654807</v>
      </c>
      <c r="AG294" s="48">
        <f>Tabell2[[#This Row],[Kvinneandel-I]]*Vekter!$F$3</f>
        <v>0</v>
      </c>
      <c r="AH294" s="48">
        <f>Tabell2[[#This Row],[Eldreandel-I]]*Vekter!$G$3</f>
        <v>0</v>
      </c>
      <c r="AI294" s="48">
        <f>Tabell2[[#This Row],[Sysselsettingsvekst10-I]]*Vekter!$H$3</f>
        <v>0</v>
      </c>
      <c r="AJ294" s="48">
        <f>Tabell2[[#This Row],[Yrkesaktivandel-I]]*Vekter!$J$3</f>
        <v>8.3466722578627053</v>
      </c>
      <c r="AK294" s="48">
        <f>Tabell2[[#This Row],[Inntekt-I]]*Vekter!$L$3</f>
        <v>1.6383754558028416</v>
      </c>
      <c r="AL294" s="37">
        <f>SUM(Tabell2[[#This Row],[NIBR11-v]:[Inntekt-v]])</f>
        <v>17.051988321821113</v>
      </c>
    </row>
    <row r="295" spans="1:38">
      <c r="A295" s="2" t="s">
        <v>292</v>
      </c>
      <c r="B295">
        <f>'Rådata-K'!M294</f>
        <v>11</v>
      </c>
      <c r="C295" s="9">
        <f>'Rådata-K'!L294</f>
        <v>249.9183892133</v>
      </c>
      <c r="D295" s="51">
        <f>'Rådata-K'!N294</f>
        <v>7.9658710602772986</v>
      </c>
      <c r="E295" s="51">
        <f>'Rådata-K'!O294</f>
        <v>-3.6476868327402157E-2</v>
      </c>
      <c r="F295" s="51">
        <f>'Rådata-K'!P294</f>
        <v>0.10018467220683287</v>
      </c>
      <c r="G295" s="51">
        <f>'Rådata-K'!Q294</f>
        <v>0.203601108033241</v>
      </c>
      <c r="H295" s="51">
        <f>'Rådata-K'!R294</f>
        <v>9.9465240641711139E-2</v>
      </c>
      <c r="I295" s="51">
        <f>'Rådata-K'!S294</f>
        <v>0.90245901639344261</v>
      </c>
      <c r="J295" s="52">
        <f>'Rådata-K'!K294</f>
        <v>362400</v>
      </c>
      <c r="K295" s="26">
        <f>Tabell2[[#This Row],[NIBR11]]</f>
        <v>11</v>
      </c>
      <c r="L295" s="52">
        <f>IF(Tabell2[[#This Row],[ReisetidOslo]]&lt;=C$434,C$434,IF(Tabell2[[#This Row],[ReisetidOslo]]&gt;=C$435,C$435,Tabell2[[#This Row],[ReisetidOslo]]))</f>
        <v>249.9183892133</v>
      </c>
      <c r="M295" s="51">
        <f>IF(Tabell2[[#This Row],[Beftettotal]]&lt;=D$434,D$434,IF(Tabell2[[#This Row],[Beftettotal]]&gt;=D$435,D$435,Tabell2[[#This Row],[Beftettotal]]))</f>
        <v>7.9658710602772986</v>
      </c>
      <c r="N295" s="51">
        <f>IF(Tabell2[[#This Row],[Befvekst10]]&lt;=E$434,E$434,IF(Tabell2[[#This Row],[Befvekst10]]&gt;=E$435,E$435,Tabell2[[#This Row],[Befvekst10]]))</f>
        <v>-3.6476868327402157E-2</v>
      </c>
      <c r="O295" s="51">
        <f>IF(Tabell2[[#This Row],[Kvinneandel]]&lt;=F$434,F$434,IF(Tabell2[[#This Row],[Kvinneandel]]&gt;=F$435,F$435,Tabell2[[#This Row],[Kvinneandel]]))</f>
        <v>0.10018467220683287</v>
      </c>
      <c r="P295" s="51">
        <f>IF(Tabell2[[#This Row],[Eldreandel]]&lt;=G$434,G$434,IF(Tabell2[[#This Row],[Eldreandel]]&gt;=G$435,G$435,Tabell2[[#This Row],[Eldreandel]]))</f>
        <v>0.203601108033241</v>
      </c>
      <c r="Q295" s="51">
        <f>IF(Tabell2[[#This Row],[Sysselsettingsvekst10]]&lt;=H$434,H$434,IF(Tabell2[[#This Row],[Sysselsettingsvekst10]]&gt;=H$435,H$435,Tabell2[[#This Row],[Sysselsettingsvekst10]]))</f>
        <v>9.9465240641711139E-2</v>
      </c>
      <c r="R295" s="51">
        <f>IF(Tabell2[[#This Row],[Yrkesaktivandel]]&lt;=I$434,I$434,IF(Tabell2[[#This Row],[Yrkesaktivandel]]&gt;=I$435,I$435,Tabell2[[#This Row],[Yrkesaktivandel]]))</f>
        <v>0.90245901639344261</v>
      </c>
      <c r="S295" s="52">
        <f>IF(Tabell2[[#This Row],[Inntekt]]&lt;=J$434,J$434,IF(Tabell2[[#This Row],[Inntekt]]&gt;=J$435,J$435,Tabell2[[#This Row],[Inntekt]]))</f>
        <v>362400</v>
      </c>
      <c r="T295" s="9">
        <f>IF(Tabell2[[#This Row],[NIBR11-T]]&lt;=K$437,100,IF(Tabell2[[#This Row],[NIBR11-T]]&gt;=K$436,0,100*(K$436-Tabell2[[#This Row],[NIBR11-T]])/K$439))</f>
        <v>0</v>
      </c>
      <c r="U295" s="9">
        <f>(L$436-Tabell2[[#This Row],[ReisetidOslo-T]])*100/L$439</f>
        <v>12.935471110358991</v>
      </c>
      <c r="V295" s="9">
        <f>100-(M$436-Tabell2[[#This Row],[Beftettotal-T]])*100/M$439</f>
        <v>5.2191607806596068</v>
      </c>
      <c r="W295" s="9">
        <f>100-(N$436-Tabell2[[#This Row],[Befvekst10-T]])*100/N$439</f>
        <v>17.929888397946755</v>
      </c>
      <c r="X295" s="9">
        <f>100-(O$436-Tabell2[[#This Row],[Kvinneandel-T]])*100/O$439</f>
        <v>26.279730863268583</v>
      </c>
      <c r="Y295" s="9">
        <f>(P$436-Tabell2[[#This Row],[Eldreandel-T]])*100/P$439</f>
        <v>5.3277881808871559</v>
      </c>
      <c r="Z295" s="9">
        <f>100-(Q$436-Tabell2[[#This Row],[Sysselsettingsvekst10-T]])*100/Q$439</f>
        <v>53.973785873956366</v>
      </c>
      <c r="AA295" s="9">
        <f>100-(R$436-Tabell2[[#This Row],[Yrkesaktivandel-T]])*100/R$439</f>
        <v>55.480830075319275</v>
      </c>
      <c r="AB295" s="9">
        <f>100-(S$436-Tabell2[[#This Row],[Inntekt-T]])*100/S$439</f>
        <v>52.722243178674717</v>
      </c>
      <c r="AC295" s="48">
        <f>Tabell2[[#This Row],[NIBR11-I]]*Vekter!$B$3</f>
        <v>0</v>
      </c>
      <c r="AD295" s="48">
        <f>Tabell2[[#This Row],[ReisetidOslo-I]]*Vekter!$C$3</f>
        <v>1.2935471110358991</v>
      </c>
      <c r="AE295" s="48">
        <f>Tabell2[[#This Row],[Beftettotal-I]]*Vekter!$D$3</f>
        <v>0.52191607806596074</v>
      </c>
      <c r="AF295" s="48">
        <f>Tabell2[[#This Row],[Befvekst10-I]]*Vekter!$E$3</f>
        <v>3.5859776795893512</v>
      </c>
      <c r="AG295" s="48">
        <f>Tabell2[[#This Row],[Kvinneandel-I]]*Vekter!$F$3</f>
        <v>1.3139865431634292</v>
      </c>
      <c r="AH295" s="48">
        <f>Tabell2[[#This Row],[Eldreandel-I]]*Vekter!$G$3</f>
        <v>0.26638940904435782</v>
      </c>
      <c r="AI295" s="48">
        <f>Tabell2[[#This Row],[Sysselsettingsvekst10-I]]*Vekter!$H$3</f>
        <v>5.3973785873956368</v>
      </c>
      <c r="AJ295" s="48">
        <f>Tabell2[[#This Row],[Yrkesaktivandel-I]]*Vekter!$J$3</f>
        <v>5.5480830075319281</v>
      </c>
      <c r="AK295" s="48">
        <f>Tabell2[[#This Row],[Inntekt-I]]*Vekter!$L$3</f>
        <v>5.2722243178674724</v>
      </c>
      <c r="AL295" s="37">
        <f>SUM(Tabell2[[#This Row],[NIBR11-v]:[Inntekt-v]])</f>
        <v>23.199502733694036</v>
      </c>
    </row>
    <row r="296" spans="1:38">
      <c r="A296" s="2" t="s">
        <v>293</v>
      </c>
      <c r="B296">
        <f>'Rådata-K'!M295</f>
        <v>11</v>
      </c>
      <c r="C296" s="9">
        <f>'Rådata-K'!L295</f>
        <v>221.96109544550001</v>
      </c>
      <c r="D296" s="51">
        <f>'Rådata-K'!N295</f>
        <v>5.5771239690038508</v>
      </c>
      <c r="E296" s="51">
        <f>'Rådata-K'!O295</f>
        <v>-2.6931447225244876E-2</v>
      </c>
      <c r="F296" s="51">
        <f>'Rådata-K'!P295</f>
        <v>9.2256080514397543E-2</v>
      </c>
      <c r="G296" s="51">
        <f>'Rådata-K'!Q295</f>
        <v>0.18982387475538159</v>
      </c>
      <c r="H296" s="51">
        <f>'Rådata-K'!R295</f>
        <v>-5.8102001291155947E-3</v>
      </c>
      <c r="I296" s="51">
        <f>'Rådata-K'!S295</f>
        <v>0.90135883241066939</v>
      </c>
      <c r="J296" s="52">
        <f>'Rådata-K'!K295</f>
        <v>350400</v>
      </c>
      <c r="K296" s="26">
        <f>Tabell2[[#This Row],[NIBR11]]</f>
        <v>11</v>
      </c>
      <c r="L296" s="52">
        <f>IF(Tabell2[[#This Row],[ReisetidOslo]]&lt;=C$434,C$434,IF(Tabell2[[#This Row],[ReisetidOslo]]&gt;=C$435,C$435,Tabell2[[#This Row],[ReisetidOslo]]))</f>
        <v>221.96109544550001</v>
      </c>
      <c r="M296" s="51">
        <f>IF(Tabell2[[#This Row],[Beftettotal]]&lt;=D$434,D$434,IF(Tabell2[[#This Row],[Beftettotal]]&gt;=D$435,D$435,Tabell2[[#This Row],[Beftettotal]]))</f>
        <v>5.5771239690038508</v>
      </c>
      <c r="N296" s="51">
        <f>IF(Tabell2[[#This Row],[Befvekst10]]&lt;=E$434,E$434,IF(Tabell2[[#This Row],[Befvekst10]]&gt;=E$435,E$435,Tabell2[[#This Row],[Befvekst10]]))</f>
        <v>-2.6931447225244876E-2</v>
      </c>
      <c r="O296" s="51">
        <f>IF(Tabell2[[#This Row],[Kvinneandel]]&lt;=F$434,F$434,IF(Tabell2[[#This Row],[Kvinneandel]]&gt;=F$435,F$435,Tabell2[[#This Row],[Kvinneandel]]))</f>
        <v>9.2256080514397543E-2</v>
      </c>
      <c r="P296" s="51">
        <f>IF(Tabell2[[#This Row],[Eldreandel]]&lt;=G$434,G$434,IF(Tabell2[[#This Row],[Eldreandel]]&gt;=G$435,G$435,Tabell2[[#This Row],[Eldreandel]]))</f>
        <v>0.18982387475538159</v>
      </c>
      <c r="Q296" s="51">
        <f>IF(Tabell2[[#This Row],[Sysselsettingsvekst10]]&lt;=H$434,H$434,IF(Tabell2[[#This Row],[Sysselsettingsvekst10]]&gt;=H$435,H$435,Tabell2[[#This Row],[Sysselsettingsvekst10]]))</f>
        <v>-5.8102001291155947E-3</v>
      </c>
      <c r="R296" s="51">
        <f>IF(Tabell2[[#This Row],[Yrkesaktivandel]]&lt;=I$434,I$434,IF(Tabell2[[#This Row],[Yrkesaktivandel]]&gt;=I$435,I$435,Tabell2[[#This Row],[Yrkesaktivandel]]))</f>
        <v>0.90135883241066939</v>
      </c>
      <c r="S296" s="52">
        <f>IF(Tabell2[[#This Row],[Inntekt]]&lt;=J$434,J$434,IF(Tabell2[[#This Row],[Inntekt]]&gt;=J$435,J$435,Tabell2[[#This Row],[Inntekt]]))</f>
        <v>350400</v>
      </c>
      <c r="T296" s="9">
        <f>IF(Tabell2[[#This Row],[NIBR11-T]]&lt;=K$437,100,IF(Tabell2[[#This Row],[NIBR11-T]]&gt;=K$436,0,100*(K$436-Tabell2[[#This Row],[NIBR11-T]])/K$439))</f>
        <v>0</v>
      </c>
      <c r="U296" s="9">
        <f>(L$436-Tabell2[[#This Row],[ReisetidOslo-T]])*100/L$439</f>
        <v>25.347128225122482</v>
      </c>
      <c r="V296" s="9">
        <f>100-(M$436-Tabell2[[#This Row],[Beftettotal-T]])*100/M$439</f>
        <v>3.3376354198541236</v>
      </c>
      <c r="W296" s="9">
        <f>100-(N$436-Tabell2[[#This Row],[Befvekst10-T]])*100/N$439</f>
        <v>21.792497720610029</v>
      </c>
      <c r="X296" s="9">
        <f>100-(O$436-Tabell2[[#This Row],[Kvinneandel-T]])*100/O$439</f>
        <v>5.2792875989535872</v>
      </c>
      <c r="Y296" s="9">
        <f>(P$436-Tabell2[[#This Row],[Eldreandel-T]])*100/P$439</f>
        <v>20.946851003514404</v>
      </c>
      <c r="Z296" s="9">
        <f>100-(Q$436-Tabell2[[#This Row],[Sysselsettingsvekst10-T]])*100/Q$439</f>
        <v>20.183404704811849</v>
      </c>
      <c r="AA296" s="9">
        <f>100-(R$436-Tabell2[[#This Row],[Yrkesaktivandel-T]])*100/R$439</f>
        <v>54.660669607537223</v>
      </c>
      <c r="AB296" s="9">
        <f>100-(S$436-Tabell2[[#This Row],[Inntekt-T]])*100/S$439</f>
        <v>37.633597384634726</v>
      </c>
      <c r="AC296" s="48">
        <f>Tabell2[[#This Row],[NIBR11-I]]*Vekter!$B$3</f>
        <v>0</v>
      </c>
      <c r="AD296" s="48">
        <f>Tabell2[[#This Row],[ReisetidOslo-I]]*Vekter!$C$3</f>
        <v>2.5347128225122484</v>
      </c>
      <c r="AE296" s="48">
        <f>Tabell2[[#This Row],[Beftettotal-I]]*Vekter!$D$3</f>
        <v>0.33376354198541236</v>
      </c>
      <c r="AF296" s="48">
        <f>Tabell2[[#This Row],[Befvekst10-I]]*Vekter!$E$3</f>
        <v>4.3584995441220062</v>
      </c>
      <c r="AG296" s="48">
        <f>Tabell2[[#This Row],[Kvinneandel-I]]*Vekter!$F$3</f>
        <v>0.26396437994767935</v>
      </c>
      <c r="AH296" s="48">
        <f>Tabell2[[#This Row],[Eldreandel-I]]*Vekter!$G$3</f>
        <v>1.0473425501757203</v>
      </c>
      <c r="AI296" s="48">
        <f>Tabell2[[#This Row],[Sysselsettingsvekst10-I]]*Vekter!$H$3</f>
        <v>2.0183404704811849</v>
      </c>
      <c r="AJ296" s="48">
        <f>Tabell2[[#This Row],[Yrkesaktivandel-I]]*Vekter!$J$3</f>
        <v>5.4660669607537224</v>
      </c>
      <c r="AK296" s="48">
        <f>Tabell2[[#This Row],[Inntekt-I]]*Vekter!$L$3</f>
        <v>3.7633597384634729</v>
      </c>
      <c r="AL296" s="37">
        <f>SUM(Tabell2[[#This Row],[NIBR11-v]:[Inntekt-v]])</f>
        <v>19.78605000844145</v>
      </c>
    </row>
    <row r="297" spans="1:38">
      <c r="A297" s="2" t="s">
        <v>294</v>
      </c>
      <c r="B297">
        <f>'Rådata-K'!M296</f>
        <v>2</v>
      </c>
      <c r="C297" s="9">
        <f>'Rådata-K'!L296</f>
        <v>180.31742073930002</v>
      </c>
      <c r="D297" s="51">
        <f>'Rådata-K'!N296</f>
        <v>533.6548327518982</v>
      </c>
      <c r="E297" s="51">
        <f>'Rådata-K'!O296</f>
        <v>0.1793574385653478</v>
      </c>
      <c r="F297" s="51">
        <f>'Rådata-K'!P296</f>
        <v>0.1533276567693026</v>
      </c>
      <c r="G297" s="51">
        <f>'Rådata-K'!Q296</f>
        <v>0.11577443898151454</v>
      </c>
      <c r="H297" s="51">
        <f>'Rådata-K'!R296</f>
        <v>0.21055510860820603</v>
      </c>
      <c r="I297" s="51">
        <f>'Rådata-K'!S296</f>
        <v>0.84602201052677373</v>
      </c>
      <c r="J297" s="52">
        <f>'Rådata-K'!K296</f>
        <v>389800</v>
      </c>
      <c r="K297" s="26">
        <f>Tabell2[[#This Row],[NIBR11]]</f>
        <v>2</v>
      </c>
      <c r="L297" s="52">
        <f>IF(Tabell2[[#This Row],[ReisetidOslo]]&lt;=C$434,C$434,IF(Tabell2[[#This Row],[ReisetidOslo]]&gt;=C$435,C$435,Tabell2[[#This Row],[ReisetidOslo]]))</f>
        <v>180.31742073930002</v>
      </c>
      <c r="M297" s="51">
        <f>IF(Tabell2[[#This Row],[Beftettotal]]&lt;=D$434,D$434,IF(Tabell2[[#This Row],[Beftettotal]]&gt;=D$435,D$435,Tabell2[[#This Row],[Beftettotal]]))</f>
        <v>128.29773514779066</v>
      </c>
      <c r="N297" s="51">
        <f>IF(Tabell2[[#This Row],[Befvekst10]]&lt;=E$434,E$434,IF(Tabell2[[#This Row],[Befvekst10]]&gt;=E$435,E$435,Tabell2[[#This Row],[Befvekst10]]))</f>
        <v>0.16633778614624492</v>
      </c>
      <c r="O297" s="51">
        <f>IF(Tabell2[[#This Row],[Kvinneandel]]&lt;=F$434,F$434,IF(Tabell2[[#This Row],[Kvinneandel]]&gt;=F$435,F$435,Tabell2[[#This Row],[Kvinneandel]]))</f>
        <v>0.12801731869362362</v>
      </c>
      <c r="P297" s="51">
        <f>IF(Tabell2[[#This Row],[Eldreandel]]&lt;=G$434,G$434,IF(Tabell2[[#This Row],[Eldreandel]]&gt;=G$435,G$435,Tabell2[[#This Row],[Eldreandel]]))</f>
        <v>0.1200928231908705</v>
      </c>
      <c r="Q297" s="51">
        <f>IF(Tabell2[[#This Row],[Sysselsettingsvekst10]]&lt;=H$434,H$434,IF(Tabell2[[#This Row],[Sysselsettingsvekst10]]&gt;=H$435,H$435,Tabell2[[#This Row],[Sysselsettingsvekst10]]))</f>
        <v>0.21055510860820603</v>
      </c>
      <c r="R297" s="51">
        <f>IF(Tabell2[[#This Row],[Yrkesaktivandel]]&lt;=I$434,I$434,IF(Tabell2[[#This Row],[Yrkesaktivandel]]&gt;=I$435,I$435,Tabell2[[#This Row],[Yrkesaktivandel]]))</f>
        <v>0.84602201052677373</v>
      </c>
      <c r="S297" s="52">
        <f>IF(Tabell2[[#This Row],[Inntekt]]&lt;=J$434,J$434,IF(Tabell2[[#This Row],[Inntekt]]&gt;=J$435,J$435,Tabell2[[#This Row],[Inntekt]]))</f>
        <v>389800</v>
      </c>
      <c r="T297" s="9">
        <f>IF(Tabell2[[#This Row],[NIBR11-T]]&lt;=K$437,100,IF(Tabell2[[#This Row],[NIBR11-T]]&gt;=K$436,0,100*(K$436-Tabell2[[#This Row],[NIBR11-T]])/K$439))</f>
        <v>90</v>
      </c>
      <c r="U297" s="9">
        <f>(L$436-Tabell2[[#This Row],[ReisetidOslo-T]])*100/L$439</f>
        <v>43.83486225778514</v>
      </c>
      <c r="V297" s="9">
        <f>100-(M$436-Tabell2[[#This Row],[Beftettotal-T]])*100/M$439</f>
        <v>100</v>
      </c>
      <c r="W297" s="9">
        <f>100-(N$436-Tabell2[[#This Row],[Befvekst10-T]])*100/N$439</f>
        <v>100</v>
      </c>
      <c r="X297" s="9">
        <f>100-(O$436-Tabell2[[#This Row],[Kvinneandel-T]])*100/O$439</f>
        <v>100</v>
      </c>
      <c r="Y297" s="9">
        <f>(P$436-Tabell2[[#This Row],[Eldreandel-T]])*100/P$439</f>
        <v>100.00000000000001</v>
      </c>
      <c r="Z297" s="9">
        <f>100-(Q$436-Tabell2[[#This Row],[Sysselsettingsvekst10-T]])*100/Q$439</f>
        <v>89.630430530418536</v>
      </c>
      <c r="AA297" s="9">
        <f>100-(R$436-Tabell2[[#This Row],[Yrkesaktivandel-T]])*100/R$439</f>
        <v>13.408411410261664</v>
      </c>
      <c r="AB297" s="9">
        <f>100-(S$436-Tabell2[[#This Row],[Inntekt-T]])*100/S$439</f>
        <v>87.174651075066009</v>
      </c>
      <c r="AC297" s="48">
        <f>Tabell2[[#This Row],[NIBR11-I]]*Vekter!$B$3</f>
        <v>18</v>
      </c>
      <c r="AD297" s="48">
        <f>Tabell2[[#This Row],[ReisetidOslo-I]]*Vekter!$C$3</f>
        <v>4.3834862257785145</v>
      </c>
      <c r="AE297" s="48">
        <f>Tabell2[[#This Row],[Beftettotal-I]]*Vekter!$D$3</f>
        <v>10</v>
      </c>
      <c r="AF297" s="48">
        <f>Tabell2[[#This Row],[Befvekst10-I]]*Vekter!$E$3</f>
        <v>20</v>
      </c>
      <c r="AG297" s="48">
        <f>Tabell2[[#This Row],[Kvinneandel-I]]*Vekter!$F$3</f>
        <v>5</v>
      </c>
      <c r="AH297" s="48">
        <f>Tabell2[[#This Row],[Eldreandel-I]]*Vekter!$G$3</f>
        <v>5.0000000000000009</v>
      </c>
      <c r="AI297" s="48">
        <f>Tabell2[[#This Row],[Sysselsettingsvekst10-I]]*Vekter!$H$3</f>
        <v>8.9630430530418543</v>
      </c>
      <c r="AJ297" s="48">
        <f>Tabell2[[#This Row],[Yrkesaktivandel-I]]*Vekter!$J$3</f>
        <v>1.3408411410261665</v>
      </c>
      <c r="AK297" s="48">
        <f>Tabell2[[#This Row],[Inntekt-I]]*Vekter!$L$3</f>
        <v>8.7174651075066016</v>
      </c>
      <c r="AL297" s="37">
        <f>SUM(Tabell2[[#This Row],[NIBR11-v]:[Inntekt-v]])</f>
        <v>81.404835527353129</v>
      </c>
    </row>
    <row r="298" spans="1:38">
      <c r="A298" s="2" t="s">
        <v>295</v>
      </c>
      <c r="B298">
        <f>'Rådata-K'!M297</f>
        <v>9</v>
      </c>
      <c r="C298" s="9">
        <f>'Rådata-K'!L297</f>
        <v>253.51839397929999</v>
      </c>
      <c r="D298" s="51">
        <f>'Rådata-K'!N297</f>
        <v>6.3080553149547516</v>
      </c>
      <c r="E298" s="51">
        <f>'Rådata-K'!O297</f>
        <v>-1.6301816488123011E-2</v>
      </c>
      <c r="F298" s="51">
        <f>'Rådata-K'!P297</f>
        <v>0.10487689393939394</v>
      </c>
      <c r="G298" s="51">
        <f>'Rådata-K'!Q297</f>
        <v>0.17660984848484848</v>
      </c>
      <c r="H298" s="51">
        <f>'Rådata-K'!R297</f>
        <v>0.13708759954493743</v>
      </c>
      <c r="I298" s="51">
        <f>'Rådata-K'!S297</f>
        <v>0.90968020743301647</v>
      </c>
      <c r="J298" s="52">
        <f>'Rådata-K'!K297</f>
        <v>351100</v>
      </c>
      <c r="K298" s="26">
        <f>Tabell2[[#This Row],[NIBR11]]</f>
        <v>9</v>
      </c>
      <c r="L298" s="52">
        <f>IF(Tabell2[[#This Row],[ReisetidOslo]]&lt;=C$434,C$434,IF(Tabell2[[#This Row],[ReisetidOslo]]&gt;=C$435,C$435,Tabell2[[#This Row],[ReisetidOslo]]))</f>
        <v>253.51839397929999</v>
      </c>
      <c r="M298" s="51">
        <f>IF(Tabell2[[#This Row],[Beftettotal]]&lt;=D$434,D$434,IF(Tabell2[[#This Row],[Beftettotal]]&gt;=D$435,D$435,Tabell2[[#This Row],[Beftettotal]]))</f>
        <v>6.3080553149547516</v>
      </c>
      <c r="N298" s="51">
        <f>IF(Tabell2[[#This Row],[Befvekst10]]&lt;=E$434,E$434,IF(Tabell2[[#This Row],[Befvekst10]]&gt;=E$435,E$435,Tabell2[[#This Row],[Befvekst10]]))</f>
        <v>-1.6301816488123011E-2</v>
      </c>
      <c r="O298" s="51">
        <f>IF(Tabell2[[#This Row],[Kvinneandel]]&lt;=F$434,F$434,IF(Tabell2[[#This Row],[Kvinneandel]]&gt;=F$435,F$435,Tabell2[[#This Row],[Kvinneandel]]))</f>
        <v>0.10487689393939394</v>
      </c>
      <c r="P298" s="51">
        <f>IF(Tabell2[[#This Row],[Eldreandel]]&lt;=G$434,G$434,IF(Tabell2[[#This Row],[Eldreandel]]&gt;=G$435,G$435,Tabell2[[#This Row],[Eldreandel]]))</f>
        <v>0.17660984848484848</v>
      </c>
      <c r="Q298" s="51">
        <f>IF(Tabell2[[#This Row],[Sysselsettingsvekst10]]&lt;=H$434,H$434,IF(Tabell2[[#This Row],[Sysselsettingsvekst10]]&gt;=H$435,H$435,Tabell2[[#This Row],[Sysselsettingsvekst10]]))</f>
        <v>0.13708759954493743</v>
      </c>
      <c r="R298" s="51">
        <f>IF(Tabell2[[#This Row],[Yrkesaktivandel]]&lt;=I$434,I$434,IF(Tabell2[[#This Row],[Yrkesaktivandel]]&gt;=I$435,I$435,Tabell2[[#This Row],[Yrkesaktivandel]]))</f>
        <v>0.90968020743301647</v>
      </c>
      <c r="S298" s="52">
        <f>IF(Tabell2[[#This Row],[Inntekt]]&lt;=J$434,J$434,IF(Tabell2[[#This Row],[Inntekt]]&gt;=J$435,J$435,Tabell2[[#This Row],[Inntekt]]))</f>
        <v>351100</v>
      </c>
      <c r="T298" s="9">
        <f>IF(Tabell2[[#This Row],[NIBR11-T]]&lt;=K$437,100,IF(Tabell2[[#This Row],[NIBR11-T]]&gt;=K$436,0,100*(K$436-Tabell2[[#This Row],[NIBR11-T]])/K$439))</f>
        <v>20</v>
      </c>
      <c r="U298" s="9">
        <f>(L$436-Tabell2[[#This Row],[ReisetidOslo-T]])*100/L$439</f>
        <v>11.337246863827339</v>
      </c>
      <c r="V298" s="9">
        <f>100-(M$436-Tabell2[[#This Row],[Beftettotal-T]])*100/M$439</f>
        <v>3.9133622807840283</v>
      </c>
      <c r="W298" s="9">
        <f>100-(N$436-Tabell2[[#This Row],[Befvekst10-T]])*100/N$439</f>
        <v>26.093838682130936</v>
      </c>
      <c r="X298" s="9">
        <f>100-(O$436-Tabell2[[#This Row],[Kvinneandel-T]])*100/O$439</f>
        <v>38.708008179182102</v>
      </c>
      <c r="Y298" s="9">
        <f>(P$436-Tabell2[[#This Row],[Eldreandel-T]])*100/P$439</f>
        <v>35.927413667789111</v>
      </c>
      <c r="Z298" s="9">
        <f>100-(Q$436-Tabell2[[#This Row],[Sysselsettingsvekst10-T]])*100/Q$439</f>
        <v>66.049478348042513</v>
      </c>
      <c r="AA298" s="9">
        <f>100-(R$436-Tabell2[[#This Row],[Yrkesaktivandel-T]])*100/R$439</f>
        <v>60.864052803241186</v>
      </c>
      <c r="AB298" s="9">
        <f>100-(S$436-Tabell2[[#This Row],[Inntekt-T]])*100/S$439</f>
        <v>38.513768389287058</v>
      </c>
      <c r="AC298" s="48">
        <f>Tabell2[[#This Row],[NIBR11-I]]*Vekter!$B$3</f>
        <v>4</v>
      </c>
      <c r="AD298" s="48">
        <f>Tabell2[[#This Row],[ReisetidOslo-I]]*Vekter!$C$3</f>
        <v>1.1337246863827339</v>
      </c>
      <c r="AE298" s="48">
        <f>Tabell2[[#This Row],[Beftettotal-I]]*Vekter!$D$3</f>
        <v>0.39133622807840285</v>
      </c>
      <c r="AF298" s="48">
        <f>Tabell2[[#This Row],[Befvekst10-I]]*Vekter!$E$3</f>
        <v>5.2187677364261873</v>
      </c>
      <c r="AG298" s="48">
        <f>Tabell2[[#This Row],[Kvinneandel-I]]*Vekter!$F$3</f>
        <v>1.9354004089591053</v>
      </c>
      <c r="AH298" s="48">
        <f>Tabell2[[#This Row],[Eldreandel-I]]*Vekter!$G$3</f>
        <v>1.7963706833894557</v>
      </c>
      <c r="AI298" s="48">
        <f>Tabell2[[#This Row],[Sysselsettingsvekst10-I]]*Vekter!$H$3</f>
        <v>6.6049478348042516</v>
      </c>
      <c r="AJ298" s="48">
        <f>Tabell2[[#This Row],[Yrkesaktivandel-I]]*Vekter!$J$3</f>
        <v>6.0864052803241186</v>
      </c>
      <c r="AK298" s="48">
        <f>Tabell2[[#This Row],[Inntekt-I]]*Vekter!$L$3</f>
        <v>3.8513768389287062</v>
      </c>
      <c r="AL298" s="37">
        <f>SUM(Tabell2[[#This Row],[NIBR11-v]:[Inntekt-v]])</f>
        <v>31.018329697292955</v>
      </c>
    </row>
    <row r="299" spans="1:38">
      <c r="A299" s="2" t="s">
        <v>296</v>
      </c>
      <c r="B299">
        <f>'Rådata-K'!M298</f>
        <v>5</v>
      </c>
      <c r="C299" s="9">
        <f>'Rådata-K'!L298</f>
        <v>236.80215346099999</v>
      </c>
      <c r="D299" s="51">
        <f>'Rådata-K'!N298</f>
        <v>1.9286782649767771</v>
      </c>
      <c r="E299" s="51">
        <f>'Rådata-K'!O298</f>
        <v>-5.1306873184898349E-2</v>
      </c>
      <c r="F299" s="51">
        <f>'Rådata-K'!P298</f>
        <v>9.0816326530612251E-2</v>
      </c>
      <c r="G299" s="51">
        <f>'Rådata-K'!Q298</f>
        <v>0.19285714285714287</v>
      </c>
      <c r="H299" s="51">
        <f>'Rådata-K'!R298</f>
        <v>3.2432432432432323E-2</v>
      </c>
      <c r="I299" s="51">
        <f>'Rådata-K'!S298</f>
        <v>0.94852941176470584</v>
      </c>
      <c r="J299" s="52">
        <f>'Rådata-K'!K298</f>
        <v>332700</v>
      </c>
      <c r="K299" s="26">
        <f>Tabell2[[#This Row],[NIBR11]]</f>
        <v>5</v>
      </c>
      <c r="L299" s="52">
        <f>IF(Tabell2[[#This Row],[ReisetidOslo]]&lt;=C$434,C$434,IF(Tabell2[[#This Row],[ReisetidOslo]]&gt;=C$435,C$435,Tabell2[[#This Row],[ReisetidOslo]]))</f>
        <v>236.80215346099999</v>
      </c>
      <c r="M299" s="51">
        <f>IF(Tabell2[[#This Row],[Beftettotal]]&lt;=D$434,D$434,IF(Tabell2[[#This Row],[Beftettotal]]&gt;=D$435,D$435,Tabell2[[#This Row],[Beftettotal]]))</f>
        <v>1.9286782649767771</v>
      </c>
      <c r="N299" s="51">
        <f>IF(Tabell2[[#This Row],[Befvekst10]]&lt;=E$434,E$434,IF(Tabell2[[#This Row],[Befvekst10]]&gt;=E$435,E$435,Tabell2[[#This Row],[Befvekst10]]))</f>
        <v>-5.1306873184898349E-2</v>
      </c>
      <c r="O299" s="51">
        <f>IF(Tabell2[[#This Row],[Kvinneandel]]&lt;=F$434,F$434,IF(Tabell2[[#This Row],[Kvinneandel]]&gt;=F$435,F$435,Tabell2[[#This Row],[Kvinneandel]]))</f>
        <v>9.0816326530612251E-2</v>
      </c>
      <c r="P299" s="51">
        <f>IF(Tabell2[[#This Row],[Eldreandel]]&lt;=G$434,G$434,IF(Tabell2[[#This Row],[Eldreandel]]&gt;=G$435,G$435,Tabell2[[#This Row],[Eldreandel]]))</f>
        <v>0.19285714285714287</v>
      </c>
      <c r="Q299" s="51">
        <f>IF(Tabell2[[#This Row],[Sysselsettingsvekst10]]&lt;=H$434,H$434,IF(Tabell2[[#This Row],[Sysselsettingsvekst10]]&gt;=H$435,H$435,Tabell2[[#This Row],[Sysselsettingsvekst10]]))</f>
        <v>3.2432432432432323E-2</v>
      </c>
      <c r="R299" s="51">
        <f>IF(Tabell2[[#This Row],[Yrkesaktivandel]]&lt;=I$434,I$434,IF(Tabell2[[#This Row],[Yrkesaktivandel]]&gt;=I$435,I$435,Tabell2[[#This Row],[Yrkesaktivandel]]))</f>
        <v>0.94852941176470584</v>
      </c>
      <c r="S299" s="52">
        <f>IF(Tabell2[[#This Row],[Inntekt]]&lt;=J$434,J$434,IF(Tabell2[[#This Row],[Inntekt]]&gt;=J$435,J$435,Tabell2[[#This Row],[Inntekt]]))</f>
        <v>332700</v>
      </c>
      <c r="T299" s="9">
        <f>IF(Tabell2[[#This Row],[NIBR11-T]]&lt;=K$437,100,IF(Tabell2[[#This Row],[NIBR11-T]]&gt;=K$436,0,100*(K$436-Tabell2[[#This Row],[NIBR11-T]])/K$439))</f>
        <v>60</v>
      </c>
      <c r="U299" s="9">
        <f>(L$436-Tabell2[[#This Row],[ReisetidOslo-T]])*100/L$439</f>
        <v>18.758431735448145</v>
      </c>
      <c r="V299" s="9">
        <f>100-(M$436-Tabell2[[#This Row],[Beftettotal-T]])*100/M$439</f>
        <v>0.46389330427955144</v>
      </c>
      <c r="W299" s="9">
        <f>100-(N$436-Tabell2[[#This Row],[Befvekst10-T]])*100/N$439</f>
        <v>11.928841989972071</v>
      </c>
      <c r="X299" s="9">
        <f>100-(O$436-Tabell2[[#This Row],[Kvinneandel-T]])*100/O$439</f>
        <v>1.4658144092694414</v>
      </c>
      <c r="Y299" s="9">
        <f>(P$436-Tabell2[[#This Row],[Eldreandel-T]])*100/P$439</f>
        <v>17.508076027161412</v>
      </c>
      <c r="Z299" s="9">
        <f>100-(Q$436-Tabell2[[#This Row],[Sysselsettingsvekst10-T]])*100/Q$439</f>
        <v>32.458187139390247</v>
      </c>
      <c r="AA299" s="9">
        <f>100-(R$436-Tabell2[[#This Row],[Yrkesaktivandel-T]])*100/R$439</f>
        <v>89.825192118615675</v>
      </c>
      <c r="AB299" s="9">
        <f>100-(S$436-Tabell2[[#This Row],[Inntekt-T]])*100/S$439</f>
        <v>15.377844838425744</v>
      </c>
      <c r="AC299" s="48">
        <f>Tabell2[[#This Row],[NIBR11-I]]*Vekter!$B$3</f>
        <v>12</v>
      </c>
      <c r="AD299" s="48">
        <f>Tabell2[[#This Row],[ReisetidOslo-I]]*Vekter!$C$3</f>
        <v>1.8758431735448147</v>
      </c>
      <c r="AE299" s="48">
        <f>Tabell2[[#This Row],[Beftettotal-I]]*Vekter!$D$3</f>
        <v>4.638933042795515E-2</v>
      </c>
      <c r="AF299" s="48">
        <f>Tabell2[[#This Row],[Befvekst10-I]]*Vekter!$E$3</f>
        <v>2.3857683979944144</v>
      </c>
      <c r="AG299" s="48">
        <f>Tabell2[[#This Row],[Kvinneandel-I]]*Vekter!$F$3</f>
        <v>7.329072046347207E-2</v>
      </c>
      <c r="AH299" s="48">
        <f>Tabell2[[#This Row],[Eldreandel-I]]*Vekter!$G$3</f>
        <v>0.87540380135807061</v>
      </c>
      <c r="AI299" s="48">
        <f>Tabell2[[#This Row],[Sysselsettingsvekst10-I]]*Vekter!$H$3</f>
        <v>3.2458187139390251</v>
      </c>
      <c r="AJ299" s="48">
        <f>Tabell2[[#This Row],[Yrkesaktivandel-I]]*Vekter!$J$3</f>
        <v>8.9825192118615682</v>
      </c>
      <c r="AK299" s="48">
        <f>Tabell2[[#This Row],[Inntekt-I]]*Vekter!$L$3</f>
        <v>1.5377844838425745</v>
      </c>
      <c r="AL299" s="37">
        <f>SUM(Tabell2[[#This Row],[NIBR11-v]:[Inntekt-v]])</f>
        <v>31.022817833431894</v>
      </c>
    </row>
    <row r="300" spans="1:38">
      <c r="A300" s="2" t="s">
        <v>297</v>
      </c>
      <c r="B300">
        <f>'Rådata-K'!M299</f>
        <v>10</v>
      </c>
      <c r="C300" s="9">
        <f>'Rådata-K'!L299</f>
        <v>283.11354722999999</v>
      </c>
      <c r="D300" s="51">
        <f>'Rådata-K'!N299</f>
        <v>6.6479469575572248</v>
      </c>
      <c r="E300" s="51">
        <f>'Rådata-K'!O299</f>
        <v>0.10562347188264054</v>
      </c>
      <c r="F300" s="51">
        <f>'Rådata-K'!P299</f>
        <v>0.11764705882352941</v>
      </c>
      <c r="G300" s="51">
        <f>'Rådata-K'!Q299</f>
        <v>0.16784608580274216</v>
      </c>
      <c r="H300" s="51">
        <f>'Rådata-K'!R299</f>
        <v>0.20872765509989488</v>
      </c>
      <c r="I300" s="51">
        <f>'Rådata-K'!S299</f>
        <v>0.87699316628701596</v>
      </c>
      <c r="J300" s="52">
        <f>'Rådata-K'!K299</f>
        <v>335100</v>
      </c>
      <c r="K300" s="26">
        <f>Tabell2[[#This Row],[NIBR11]]</f>
        <v>10</v>
      </c>
      <c r="L300" s="52">
        <f>IF(Tabell2[[#This Row],[ReisetidOslo]]&lt;=C$434,C$434,IF(Tabell2[[#This Row],[ReisetidOslo]]&gt;=C$435,C$435,Tabell2[[#This Row],[ReisetidOslo]]))</f>
        <v>279.05557553043002</v>
      </c>
      <c r="M300" s="51">
        <f>IF(Tabell2[[#This Row],[Beftettotal]]&lt;=D$434,D$434,IF(Tabell2[[#This Row],[Beftettotal]]&gt;=D$435,D$435,Tabell2[[#This Row],[Beftettotal]]))</f>
        <v>6.6479469575572248</v>
      </c>
      <c r="N300" s="51">
        <f>IF(Tabell2[[#This Row],[Befvekst10]]&lt;=E$434,E$434,IF(Tabell2[[#This Row],[Befvekst10]]&gt;=E$435,E$435,Tabell2[[#This Row],[Befvekst10]]))</f>
        <v>0.10562347188264054</v>
      </c>
      <c r="O300" s="51">
        <f>IF(Tabell2[[#This Row],[Kvinneandel]]&lt;=F$434,F$434,IF(Tabell2[[#This Row],[Kvinneandel]]&gt;=F$435,F$435,Tabell2[[#This Row],[Kvinneandel]]))</f>
        <v>0.11764705882352941</v>
      </c>
      <c r="P300" s="51">
        <f>IF(Tabell2[[#This Row],[Eldreandel]]&lt;=G$434,G$434,IF(Tabell2[[#This Row],[Eldreandel]]&gt;=G$435,G$435,Tabell2[[#This Row],[Eldreandel]]))</f>
        <v>0.16784608580274216</v>
      </c>
      <c r="Q300" s="51">
        <f>IF(Tabell2[[#This Row],[Sysselsettingsvekst10]]&lt;=H$434,H$434,IF(Tabell2[[#This Row],[Sysselsettingsvekst10]]&gt;=H$435,H$435,Tabell2[[#This Row],[Sysselsettingsvekst10]]))</f>
        <v>0.20872765509989488</v>
      </c>
      <c r="R300" s="51">
        <f>IF(Tabell2[[#This Row],[Yrkesaktivandel]]&lt;=I$434,I$434,IF(Tabell2[[#This Row],[Yrkesaktivandel]]&gt;=I$435,I$435,Tabell2[[#This Row],[Yrkesaktivandel]]))</f>
        <v>0.87699316628701596</v>
      </c>
      <c r="S300" s="52">
        <f>IF(Tabell2[[#This Row],[Inntekt]]&lt;=J$434,J$434,IF(Tabell2[[#This Row],[Inntekt]]&gt;=J$435,J$435,Tabell2[[#This Row],[Inntekt]]))</f>
        <v>335100</v>
      </c>
      <c r="T300" s="9">
        <f>IF(Tabell2[[#This Row],[NIBR11-T]]&lt;=K$437,100,IF(Tabell2[[#This Row],[NIBR11-T]]&gt;=K$436,0,100*(K$436-Tabell2[[#This Row],[NIBR11-T]])/K$439))</f>
        <v>10</v>
      </c>
      <c r="U300" s="9">
        <f>(L$436-Tabell2[[#This Row],[ReisetidOslo-T]])*100/L$439</f>
        <v>0</v>
      </c>
      <c r="V300" s="9">
        <f>100-(M$436-Tabell2[[#This Row],[Beftettotal-T]])*100/M$439</f>
        <v>4.1810820188084818</v>
      </c>
      <c r="W300" s="9">
        <f>100-(N$436-Tabell2[[#This Row],[Befvekst10-T]])*100/N$439</f>
        <v>75.431604977521019</v>
      </c>
      <c r="X300" s="9">
        <f>100-(O$436-Tabell2[[#This Row],[Kvinneandel-T]])*100/O$439</f>
        <v>72.532315638614591</v>
      </c>
      <c r="Y300" s="9">
        <f>(P$436-Tabell2[[#This Row],[Eldreandel-T]])*100/P$439</f>
        <v>45.862772758673465</v>
      </c>
      <c r="Z300" s="9">
        <f>100-(Q$436-Tabell2[[#This Row],[Sysselsettingsvekst10-T]])*100/Q$439</f>
        <v>89.043870643681544</v>
      </c>
      <c r="AA300" s="9">
        <f>100-(R$436-Tabell2[[#This Row],[Yrkesaktivandel-T]])*100/R$439</f>
        <v>36.496656643610912</v>
      </c>
      <c r="AB300" s="9">
        <f>100-(S$436-Tabell2[[#This Row],[Inntekt-T]])*100/S$439</f>
        <v>18.395573997233754</v>
      </c>
      <c r="AC300" s="48">
        <f>Tabell2[[#This Row],[NIBR11-I]]*Vekter!$B$3</f>
        <v>2</v>
      </c>
      <c r="AD300" s="48">
        <f>Tabell2[[#This Row],[ReisetidOslo-I]]*Vekter!$C$3</f>
        <v>0</v>
      </c>
      <c r="AE300" s="48">
        <f>Tabell2[[#This Row],[Beftettotal-I]]*Vekter!$D$3</f>
        <v>0.41810820188084818</v>
      </c>
      <c r="AF300" s="48">
        <f>Tabell2[[#This Row],[Befvekst10-I]]*Vekter!$E$3</f>
        <v>15.086320995504204</v>
      </c>
      <c r="AG300" s="48">
        <f>Tabell2[[#This Row],[Kvinneandel-I]]*Vekter!$F$3</f>
        <v>3.6266157819307296</v>
      </c>
      <c r="AH300" s="48">
        <f>Tabell2[[#This Row],[Eldreandel-I]]*Vekter!$G$3</f>
        <v>2.2931386379336733</v>
      </c>
      <c r="AI300" s="48">
        <f>Tabell2[[#This Row],[Sysselsettingsvekst10-I]]*Vekter!$H$3</f>
        <v>8.9043870643681551</v>
      </c>
      <c r="AJ300" s="48">
        <f>Tabell2[[#This Row],[Yrkesaktivandel-I]]*Vekter!$J$3</f>
        <v>3.6496656643610912</v>
      </c>
      <c r="AK300" s="48">
        <f>Tabell2[[#This Row],[Inntekt-I]]*Vekter!$L$3</f>
        <v>1.8395573997233754</v>
      </c>
      <c r="AL300" s="37">
        <f>SUM(Tabell2[[#This Row],[NIBR11-v]:[Inntekt-v]])</f>
        <v>37.817793745702076</v>
      </c>
    </row>
    <row r="301" spans="1:38">
      <c r="A301" s="2" t="s">
        <v>298</v>
      </c>
      <c r="B301">
        <f>'Rådata-K'!M300</f>
        <v>10</v>
      </c>
      <c r="C301" s="9">
        <f>'Rådata-K'!L300</f>
        <v>308.97379864100003</v>
      </c>
      <c r="D301" s="51">
        <f>'Rådata-K'!N300</f>
        <v>18.891520212721758</v>
      </c>
      <c r="E301" s="51">
        <f>'Rådata-K'!O300</f>
        <v>0.10713416118821528</v>
      </c>
      <c r="F301" s="51">
        <f>'Rådata-K'!P300</f>
        <v>0.12271827578623268</v>
      </c>
      <c r="G301" s="51">
        <f>'Rådata-K'!Q300</f>
        <v>0.15438750824719596</v>
      </c>
      <c r="H301" s="51">
        <f>'Rådata-K'!R300</f>
        <v>0.19415552253590884</v>
      </c>
      <c r="I301" s="51">
        <f>'Rådata-K'!S300</f>
        <v>0.88847164851671045</v>
      </c>
      <c r="J301" s="52">
        <f>'Rådata-K'!K300</f>
        <v>361400</v>
      </c>
      <c r="K301" s="26">
        <f>Tabell2[[#This Row],[NIBR11]]</f>
        <v>10</v>
      </c>
      <c r="L301" s="52">
        <f>IF(Tabell2[[#This Row],[ReisetidOslo]]&lt;=C$434,C$434,IF(Tabell2[[#This Row],[ReisetidOslo]]&gt;=C$435,C$435,Tabell2[[#This Row],[ReisetidOslo]]))</f>
        <v>279.05557553043002</v>
      </c>
      <c r="M301" s="51">
        <f>IF(Tabell2[[#This Row],[Beftettotal]]&lt;=D$434,D$434,IF(Tabell2[[#This Row],[Beftettotal]]&gt;=D$435,D$435,Tabell2[[#This Row],[Beftettotal]]))</f>
        <v>18.891520212721758</v>
      </c>
      <c r="N301" s="51">
        <f>IF(Tabell2[[#This Row],[Befvekst10]]&lt;=E$434,E$434,IF(Tabell2[[#This Row],[Befvekst10]]&gt;=E$435,E$435,Tabell2[[#This Row],[Befvekst10]]))</f>
        <v>0.10713416118821528</v>
      </c>
      <c r="O301" s="51">
        <f>IF(Tabell2[[#This Row],[Kvinneandel]]&lt;=F$434,F$434,IF(Tabell2[[#This Row],[Kvinneandel]]&gt;=F$435,F$435,Tabell2[[#This Row],[Kvinneandel]]))</f>
        <v>0.12271827578623268</v>
      </c>
      <c r="P301" s="51">
        <f>IF(Tabell2[[#This Row],[Eldreandel]]&lt;=G$434,G$434,IF(Tabell2[[#This Row],[Eldreandel]]&gt;=G$435,G$435,Tabell2[[#This Row],[Eldreandel]]))</f>
        <v>0.15438750824719596</v>
      </c>
      <c r="Q301" s="51">
        <f>IF(Tabell2[[#This Row],[Sysselsettingsvekst10]]&lt;=H$434,H$434,IF(Tabell2[[#This Row],[Sysselsettingsvekst10]]&gt;=H$435,H$435,Tabell2[[#This Row],[Sysselsettingsvekst10]]))</f>
        <v>0.19415552253590884</v>
      </c>
      <c r="R301" s="51">
        <f>IF(Tabell2[[#This Row],[Yrkesaktivandel]]&lt;=I$434,I$434,IF(Tabell2[[#This Row],[Yrkesaktivandel]]&gt;=I$435,I$435,Tabell2[[#This Row],[Yrkesaktivandel]]))</f>
        <v>0.88847164851671045</v>
      </c>
      <c r="S301" s="52">
        <f>IF(Tabell2[[#This Row],[Inntekt]]&lt;=J$434,J$434,IF(Tabell2[[#This Row],[Inntekt]]&gt;=J$435,J$435,Tabell2[[#This Row],[Inntekt]]))</f>
        <v>361400</v>
      </c>
      <c r="T301" s="9">
        <f>IF(Tabell2[[#This Row],[NIBR11-T]]&lt;=K$437,100,IF(Tabell2[[#This Row],[NIBR11-T]]&gt;=K$436,0,100*(K$436-Tabell2[[#This Row],[NIBR11-T]])/K$439))</f>
        <v>10</v>
      </c>
      <c r="U301" s="9">
        <f>(L$436-Tabell2[[#This Row],[ReisetidOslo-T]])*100/L$439</f>
        <v>0</v>
      </c>
      <c r="V301" s="9">
        <f>100-(M$436-Tabell2[[#This Row],[Beftettotal-T]])*100/M$439</f>
        <v>13.824879669312779</v>
      </c>
      <c r="W301" s="9">
        <f>100-(N$436-Tabell2[[#This Row],[Befvekst10-T]])*100/N$439</f>
        <v>76.042914057855043</v>
      </c>
      <c r="X301" s="9">
        <f>100-(O$436-Tabell2[[#This Row],[Kvinneandel-T]])*100/O$439</f>
        <v>85.964436781628095</v>
      </c>
      <c r="Y301" s="9">
        <f>(P$436-Tabell2[[#This Row],[Eldreandel-T]])*100/P$439</f>
        <v>61.120579903529908</v>
      </c>
      <c r="Z301" s="9">
        <f>100-(Q$436-Tabell2[[#This Row],[Sysselsettingsvekst10-T]])*100/Q$439</f>
        <v>84.366636236691136</v>
      </c>
      <c r="AA301" s="9">
        <f>100-(R$436-Tabell2[[#This Row],[Yrkesaktivandel-T]])*100/R$439</f>
        <v>45.053586668354534</v>
      </c>
      <c r="AB301" s="9">
        <f>100-(S$436-Tabell2[[#This Row],[Inntekt-T]])*100/S$439</f>
        <v>51.464856029171379</v>
      </c>
      <c r="AC301" s="48">
        <f>Tabell2[[#This Row],[NIBR11-I]]*Vekter!$B$3</f>
        <v>2</v>
      </c>
      <c r="AD301" s="48">
        <f>Tabell2[[#This Row],[ReisetidOslo-I]]*Vekter!$C$3</f>
        <v>0</v>
      </c>
      <c r="AE301" s="48">
        <f>Tabell2[[#This Row],[Beftettotal-I]]*Vekter!$D$3</f>
        <v>1.382487966931278</v>
      </c>
      <c r="AF301" s="48">
        <f>Tabell2[[#This Row],[Befvekst10-I]]*Vekter!$E$3</f>
        <v>15.208582811571009</v>
      </c>
      <c r="AG301" s="48">
        <f>Tabell2[[#This Row],[Kvinneandel-I]]*Vekter!$F$3</f>
        <v>4.2982218390814051</v>
      </c>
      <c r="AH301" s="48">
        <f>Tabell2[[#This Row],[Eldreandel-I]]*Vekter!$G$3</f>
        <v>3.0560289951764954</v>
      </c>
      <c r="AI301" s="48">
        <f>Tabell2[[#This Row],[Sysselsettingsvekst10-I]]*Vekter!$H$3</f>
        <v>8.4366636236691139</v>
      </c>
      <c r="AJ301" s="48">
        <f>Tabell2[[#This Row],[Yrkesaktivandel-I]]*Vekter!$J$3</f>
        <v>4.5053586668354537</v>
      </c>
      <c r="AK301" s="48">
        <f>Tabell2[[#This Row],[Inntekt-I]]*Vekter!$L$3</f>
        <v>5.1464856029171386</v>
      </c>
      <c r="AL301" s="37">
        <f>SUM(Tabell2[[#This Row],[NIBR11-v]:[Inntekt-v]])</f>
        <v>44.033829506181895</v>
      </c>
    </row>
    <row r="302" spans="1:38">
      <c r="A302" s="2" t="s">
        <v>299</v>
      </c>
      <c r="B302">
        <f>'Rådata-K'!M301</f>
        <v>10</v>
      </c>
      <c r="C302" s="9">
        <f>'Rådata-K'!L301</f>
        <v>173.98429202072001</v>
      </c>
      <c r="D302" s="51">
        <f>'Rådata-K'!N301</f>
        <v>70.565728341076806</v>
      </c>
      <c r="E302" s="51">
        <f>'Rådata-K'!O301</f>
        <v>-9.6730508802478354E-4</v>
      </c>
      <c r="F302" s="51">
        <f>'Rådata-K'!P301</f>
        <v>0.11192873741285825</v>
      </c>
      <c r="G302" s="51">
        <f>'Rådata-K'!Q301</f>
        <v>0.16634391944229279</v>
      </c>
      <c r="H302" s="51">
        <f>'Rådata-K'!R301</f>
        <v>-3.0231645072634428E-2</v>
      </c>
      <c r="I302" s="51">
        <f>'Rådata-K'!S301</f>
        <v>0.8845374746792708</v>
      </c>
      <c r="J302" s="52">
        <f>'Rådata-K'!K301</f>
        <v>360200</v>
      </c>
      <c r="K302" s="26">
        <f>Tabell2[[#This Row],[NIBR11]]</f>
        <v>10</v>
      </c>
      <c r="L302" s="52">
        <f>IF(Tabell2[[#This Row],[ReisetidOslo]]&lt;=C$434,C$434,IF(Tabell2[[#This Row],[ReisetidOslo]]&gt;=C$435,C$435,Tabell2[[#This Row],[ReisetidOslo]]))</f>
        <v>173.98429202072001</v>
      </c>
      <c r="M302" s="51">
        <f>IF(Tabell2[[#This Row],[Beftettotal]]&lt;=D$434,D$434,IF(Tabell2[[#This Row],[Beftettotal]]&gt;=D$435,D$435,Tabell2[[#This Row],[Beftettotal]]))</f>
        <v>70.565728341076806</v>
      </c>
      <c r="N302" s="51">
        <f>IF(Tabell2[[#This Row],[Befvekst10]]&lt;=E$434,E$434,IF(Tabell2[[#This Row],[Befvekst10]]&gt;=E$435,E$435,Tabell2[[#This Row],[Befvekst10]]))</f>
        <v>-9.6730508802478354E-4</v>
      </c>
      <c r="O302" s="51">
        <f>IF(Tabell2[[#This Row],[Kvinneandel]]&lt;=F$434,F$434,IF(Tabell2[[#This Row],[Kvinneandel]]&gt;=F$435,F$435,Tabell2[[#This Row],[Kvinneandel]]))</f>
        <v>0.11192873741285825</v>
      </c>
      <c r="P302" s="51">
        <f>IF(Tabell2[[#This Row],[Eldreandel]]&lt;=G$434,G$434,IF(Tabell2[[#This Row],[Eldreandel]]&gt;=G$435,G$435,Tabell2[[#This Row],[Eldreandel]]))</f>
        <v>0.16634391944229279</v>
      </c>
      <c r="Q302" s="51">
        <f>IF(Tabell2[[#This Row],[Sysselsettingsvekst10]]&lt;=H$434,H$434,IF(Tabell2[[#This Row],[Sysselsettingsvekst10]]&gt;=H$435,H$435,Tabell2[[#This Row],[Sysselsettingsvekst10]]))</f>
        <v>-3.0231645072634428E-2</v>
      </c>
      <c r="R302" s="51">
        <f>IF(Tabell2[[#This Row],[Yrkesaktivandel]]&lt;=I$434,I$434,IF(Tabell2[[#This Row],[Yrkesaktivandel]]&gt;=I$435,I$435,Tabell2[[#This Row],[Yrkesaktivandel]]))</f>
        <v>0.8845374746792708</v>
      </c>
      <c r="S302" s="52">
        <f>IF(Tabell2[[#This Row],[Inntekt]]&lt;=J$434,J$434,IF(Tabell2[[#This Row],[Inntekt]]&gt;=J$435,J$435,Tabell2[[#This Row],[Inntekt]]))</f>
        <v>360200</v>
      </c>
      <c r="T302" s="9">
        <f>IF(Tabell2[[#This Row],[NIBR11-T]]&lt;=K$437,100,IF(Tabell2[[#This Row],[NIBR11-T]]&gt;=K$436,0,100*(K$436-Tabell2[[#This Row],[NIBR11-T]])/K$439))</f>
        <v>10</v>
      </c>
      <c r="U302" s="9">
        <f>(L$436-Tabell2[[#This Row],[ReisetidOslo-T]])*100/L$439</f>
        <v>46.64645850066649</v>
      </c>
      <c r="V302" s="9">
        <f>100-(M$436-Tabell2[[#This Row],[Beftettotal-T]])*100/M$439</f>
        <v>54.526690860722567</v>
      </c>
      <c r="W302" s="9">
        <f>100-(N$436-Tabell2[[#This Row],[Befvekst10-T]])*100/N$439</f>
        <v>32.299036552251039</v>
      </c>
      <c r="X302" s="9">
        <f>100-(O$436-Tabell2[[#This Row],[Kvinneandel-T]])*100/O$439</f>
        <v>57.386210376756708</v>
      </c>
      <c r="Y302" s="9">
        <f>(P$436-Tabell2[[#This Row],[Eldreandel-T]])*100/P$439</f>
        <v>47.565758422101347</v>
      </c>
      <c r="Z302" s="9">
        <f>100-(Q$436-Tabell2[[#This Row],[Sysselsettingsvekst10-T]])*100/Q$439</f>
        <v>12.344825000936083</v>
      </c>
      <c r="AA302" s="9">
        <f>100-(R$436-Tabell2[[#This Row],[Yrkesaktivandel-T]])*100/R$439</f>
        <v>42.120755518861678</v>
      </c>
      <c r="AB302" s="9">
        <f>100-(S$436-Tabell2[[#This Row],[Inntekt-T]])*100/S$439</f>
        <v>49.955991449767382</v>
      </c>
      <c r="AC302" s="48">
        <f>Tabell2[[#This Row],[NIBR11-I]]*Vekter!$B$3</f>
        <v>2</v>
      </c>
      <c r="AD302" s="48">
        <f>Tabell2[[#This Row],[ReisetidOslo-I]]*Vekter!$C$3</f>
        <v>4.6646458500666492</v>
      </c>
      <c r="AE302" s="48">
        <f>Tabell2[[#This Row],[Beftettotal-I]]*Vekter!$D$3</f>
        <v>5.4526690860722571</v>
      </c>
      <c r="AF302" s="48">
        <f>Tabell2[[#This Row],[Befvekst10-I]]*Vekter!$E$3</f>
        <v>6.4598073104502083</v>
      </c>
      <c r="AG302" s="48">
        <f>Tabell2[[#This Row],[Kvinneandel-I]]*Vekter!$F$3</f>
        <v>2.8693105188378354</v>
      </c>
      <c r="AH302" s="48">
        <f>Tabell2[[#This Row],[Eldreandel-I]]*Vekter!$G$3</f>
        <v>2.3782879211050676</v>
      </c>
      <c r="AI302" s="48">
        <f>Tabell2[[#This Row],[Sysselsettingsvekst10-I]]*Vekter!$H$3</f>
        <v>1.2344825000936084</v>
      </c>
      <c r="AJ302" s="48">
        <f>Tabell2[[#This Row],[Yrkesaktivandel-I]]*Vekter!$J$3</f>
        <v>4.2120755518861683</v>
      </c>
      <c r="AK302" s="48">
        <f>Tabell2[[#This Row],[Inntekt-I]]*Vekter!$L$3</f>
        <v>4.9955991449767385</v>
      </c>
      <c r="AL302" s="37">
        <f>SUM(Tabell2[[#This Row],[NIBR11-v]:[Inntekt-v]])</f>
        <v>34.266877883488533</v>
      </c>
    </row>
    <row r="303" spans="1:38">
      <c r="A303" s="2" t="s">
        <v>300</v>
      </c>
      <c r="B303">
        <f>'Rådata-K'!M302</f>
        <v>5</v>
      </c>
      <c r="C303" s="9">
        <f>'Rådata-K'!L302</f>
        <v>215.07900993980002</v>
      </c>
      <c r="D303" s="51">
        <f>'Rådata-K'!N302</f>
        <v>5.4970686503183499</v>
      </c>
      <c r="E303" s="51">
        <f>'Rådata-K'!O302</f>
        <v>-2.8412256267409508E-2</v>
      </c>
      <c r="F303" s="51">
        <f>'Rådata-K'!P302</f>
        <v>9.0022935779816515E-2</v>
      </c>
      <c r="G303" s="51">
        <f>'Rådata-K'!Q302</f>
        <v>0.21502293577981652</v>
      </c>
      <c r="H303" s="51">
        <f>'Rådata-K'!R302</f>
        <v>-4.2016806722689037E-2</v>
      </c>
      <c r="I303" s="51">
        <f>'Rådata-K'!S302</f>
        <v>0.93952483801295894</v>
      </c>
      <c r="J303" s="52">
        <f>'Rådata-K'!K302</f>
        <v>323500</v>
      </c>
      <c r="K303" s="26">
        <f>Tabell2[[#This Row],[NIBR11]]</f>
        <v>5</v>
      </c>
      <c r="L303" s="52">
        <f>IF(Tabell2[[#This Row],[ReisetidOslo]]&lt;=C$434,C$434,IF(Tabell2[[#This Row],[ReisetidOslo]]&gt;=C$435,C$435,Tabell2[[#This Row],[ReisetidOslo]]))</f>
        <v>215.07900993980002</v>
      </c>
      <c r="M303" s="51">
        <f>IF(Tabell2[[#This Row],[Beftettotal]]&lt;=D$434,D$434,IF(Tabell2[[#This Row],[Beftettotal]]&gt;=D$435,D$435,Tabell2[[#This Row],[Beftettotal]]))</f>
        <v>5.4970686503183499</v>
      </c>
      <c r="N303" s="51">
        <f>IF(Tabell2[[#This Row],[Befvekst10]]&lt;=E$434,E$434,IF(Tabell2[[#This Row],[Befvekst10]]&gt;=E$435,E$435,Tabell2[[#This Row],[Befvekst10]]))</f>
        <v>-2.8412256267409508E-2</v>
      </c>
      <c r="O303" s="51">
        <f>IF(Tabell2[[#This Row],[Kvinneandel]]&lt;=F$434,F$434,IF(Tabell2[[#This Row],[Kvinneandel]]&gt;=F$435,F$435,Tabell2[[#This Row],[Kvinneandel]]))</f>
        <v>9.0262917071501733E-2</v>
      </c>
      <c r="P303" s="51">
        <f>IF(Tabell2[[#This Row],[Eldreandel]]&lt;=G$434,G$434,IF(Tabell2[[#This Row],[Eldreandel]]&gt;=G$435,G$435,Tabell2[[#This Row],[Eldreandel]]))</f>
        <v>0.20830063331569054</v>
      </c>
      <c r="Q303" s="51">
        <f>IF(Tabell2[[#This Row],[Sysselsettingsvekst10]]&lt;=H$434,H$434,IF(Tabell2[[#This Row],[Sysselsettingsvekst10]]&gt;=H$435,H$435,Tabell2[[#This Row],[Sysselsettingsvekst10]]))</f>
        <v>-4.2016806722689037E-2</v>
      </c>
      <c r="R303" s="51">
        <f>IF(Tabell2[[#This Row],[Yrkesaktivandel]]&lt;=I$434,I$434,IF(Tabell2[[#This Row],[Yrkesaktivandel]]&gt;=I$435,I$435,Tabell2[[#This Row],[Yrkesaktivandel]]))</f>
        <v>0.93952483801295894</v>
      </c>
      <c r="S303" s="52">
        <f>IF(Tabell2[[#This Row],[Inntekt]]&lt;=J$434,J$434,IF(Tabell2[[#This Row],[Inntekt]]&gt;=J$435,J$435,Tabell2[[#This Row],[Inntekt]]))</f>
        <v>323500</v>
      </c>
      <c r="T303" s="9">
        <f>IF(Tabell2[[#This Row],[NIBR11-T]]&lt;=K$437,100,IF(Tabell2[[#This Row],[NIBR11-T]]&gt;=K$436,0,100*(K$436-Tabell2[[#This Row],[NIBR11-T]])/K$439))</f>
        <v>60</v>
      </c>
      <c r="U303" s="9">
        <f>(L$436-Tabell2[[#This Row],[ReisetidOslo-T]])*100/L$439</f>
        <v>28.402434158546299</v>
      </c>
      <c r="V303" s="9">
        <f>100-(M$436-Tabell2[[#This Row],[Beftettotal-T]])*100/M$439</f>
        <v>3.2745788857721294</v>
      </c>
      <c r="W303" s="9">
        <f>100-(N$436-Tabell2[[#This Row],[Befvekst10-T]])*100/N$439</f>
        <v>21.193279860011245</v>
      </c>
      <c r="X303" s="9">
        <f>100-(O$436-Tabell2[[#This Row],[Kvinneandel-T]])*100/O$439</f>
        <v>0</v>
      </c>
      <c r="Y303" s="9">
        <f>(P$436-Tabell2[[#This Row],[Eldreandel-T]])*100/P$439</f>
        <v>0</v>
      </c>
      <c r="Z303" s="9">
        <f>100-(Q$436-Tabell2[[#This Row],[Sysselsettingsvekst10-T]])*100/Q$439</f>
        <v>8.5621279029279833</v>
      </c>
      <c r="AA303" s="9">
        <f>100-(R$436-Tabell2[[#This Row],[Yrkesaktivandel-T]])*100/R$439</f>
        <v>83.11250084511164</v>
      </c>
      <c r="AB303" s="9">
        <f>100-(S$436-Tabell2[[#This Row],[Inntekt-T]])*100/S$439</f>
        <v>3.8098830629950982</v>
      </c>
      <c r="AC303" s="48">
        <f>Tabell2[[#This Row],[NIBR11-I]]*Vekter!$B$3</f>
        <v>12</v>
      </c>
      <c r="AD303" s="48">
        <f>Tabell2[[#This Row],[ReisetidOslo-I]]*Vekter!$C$3</f>
        <v>2.8402434158546299</v>
      </c>
      <c r="AE303" s="48">
        <f>Tabell2[[#This Row],[Beftettotal-I]]*Vekter!$D$3</f>
        <v>0.32745788857721297</v>
      </c>
      <c r="AF303" s="48">
        <f>Tabell2[[#This Row],[Befvekst10-I]]*Vekter!$E$3</f>
        <v>4.238655972002249</v>
      </c>
      <c r="AG303" s="48">
        <f>Tabell2[[#This Row],[Kvinneandel-I]]*Vekter!$F$3</f>
        <v>0</v>
      </c>
      <c r="AH303" s="48">
        <f>Tabell2[[#This Row],[Eldreandel-I]]*Vekter!$G$3</f>
        <v>0</v>
      </c>
      <c r="AI303" s="48">
        <f>Tabell2[[#This Row],[Sysselsettingsvekst10-I]]*Vekter!$H$3</f>
        <v>0.8562127902927984</v>
      </c>
      <c r="AJ303" s="48">
        <f>Tabell2[[#This Row],[Yrkesaktivandel-I]]*Vekter!$J$3</f>
        <v>8.3112500845111636</v>
      </c>
      <c r="AK303" s="48">
        <f>Tabell2[[#This Row],[Inntekt-I]]*Vekter!$L$3</f>
        <v>0.38098830629950986</v>
      </c>
      <c r="AL303" s="37">
        <f>SUM(Tabell2[[#This Row],[NIBR11-v]:[Inntekt-v]])</f>
        <v>28.954808457537563</v>
      </c>
    </row>
    <row r="304" spans="1:38">
      <c r="A304" s="2" t="s">
        <v>301</v>
      </c>
      <c r="B304">
        <f>'Rådata-K'!M303</f>
        <v>2</v>
      </c>
      <c r="C304" s="9">
        <f>'Rådata-K'!L303</f>
        <v>231.0383793197</v>
      </c>
      <c r="D304" s="51">
        <f>'Rådata-K'!N303</f>
        <v>10.796672948209759</v>
      </c>
      <c r="E304" s="51">
        <f>'Rådata-K'!O303</f>
        <v>4.1040100250626654E-2</v>
      </c>
      <c r="F304" s="51">
        <f>'Rådata-K'!P303</f>
        <v>0.10261811616009629</v>
      </c>
      <c r="G304" s="51">
        <f>'Rådata-K'!Q303</f>
        <v>0.16837195305446886</v>
      </c>
      <c r="H304" s="51">
        <f>'Rådata-K'!R303</f>
        <v>0.14822134387351782</v>
      </c>
      <c r="I304" s="51">
        <f>'Rådata-K'!S303</f>
        <v>0.87855017581823103</v>
      </c>
      <c r="J304" s="52">
        <f>'Rådata-K'!K303</f>
        <v>331500</v>
      </c>
      <c r="K304" s="26">
        <f>Tabell2[[#This Row],[NIBR11]]</f>
        <v>2</v>
      </c>
      <c r="L304" s="52">
        <f>IF(Tabell2[[#This Row],[ReisetidOslo]]&lt;=C$434,C$434,IF(Tabell2[[#This Row],[ReisetidOslo]]&gt;=C$435,C$435,Tabell2[[#This Row],[ReisetidOslo]]))</f>
        <v>231.0383793197</v>
      </c>
      <c r="M304" s="51">
        <f>IF(Tabell2[[#This Row],[Beftettotal]]&lt;=D$434,D$434,IF(Tabell2[[#This Row],[Beftettotal]]&gt;=D$435,D$435,Tabell2[[#This Row],[Beftettotal]]))</f>
        <v>10.796672948209759</v>
      </c>
      <c r="N304" s="51">
        <f>IF(Tabell2[[#This Row],[Befvekst10]]&lt;=E$434,E$434,IF(Tabell2[[#This Row],[Befvekst10]]&gt;=E$435,E$435,Tabell2[[#This Row],[Befvekst10]]))</f>
        <v>4.1040100250626654E-2</v>
      </c>
      <c r="O304" s="51">
        <f>IF(Tabell2[[#This Row],[Kvinneandel]]&lt;=F$434,F$434,IF(Tabell2[[#This Row],[Kvinneandel]]&gt;=F$435,F$435,Tabell2[[#This Row],[Kvinneandel]]))</f>
        <v>0.10261811616009629</v>
      </c>
      <c r="P304" s="51">
        <f>IF(Tabell2[[#This Row],[Eldreandel]]&lt;=G$434,G$434,IF(Tabell2[[#This Row],[Eldreandel]]&gt;=G$435,G$435,Tabell2[[#This Row],[Eldreandel]]))</f>
        <v>0.16837195305446886</v>
      </c>
      <c r="Q304" s="51">
        <f>IF(Tabell2[[#This Row],[Sysselsettingsvekst10]]&lt;=H$434,H$434,IF(Tabell2[[#This Row],[Sysselsettingsvekst10]]&gt;=H$435,H$435,Tabell2[[#This Row],[Sysselsettingsvekst10]]))</f>
        <v>0.14822134387351782</v>
      </c>
      <c r="R304" s="51">
        <f>IF(Tabell2[[#This Row],[Yrkesaktivandel]]&lt;=I$434,I$434,IF(Tabell2[[#This Row],[Yrkesaktivandel]]&gt;=I$435,I$435,Tabell2[[#This Row],[Yrkesaktivandel]]))</f>
        <v>0.87855017581823103</v>
      </c>
      <c r="S304" s="52">
        <f>IF(Tabell2[[#This Row],[Inntekt]]&lt;=J$434,J$434,IF(Tabell2[[#This Row],[Inntekt]]&gt;=J$435,J$435,Tabell2[[#This Row],[Inntekt]]))</f>
        <v>331500</v>
      </c>
      <c r="T304" s="9">
        <f>IF(Tabell2[[#This Row],[NIBR11-T]]&lt;=K$437,100,IF(Tabell2[[#This Row],[NIBR11-T]]&gt;=K$436,0,100*(K$436-Tabell2[[#This Row],[NIBR11-T]])/K$439))</f>
        <v>90</v>
      </c>
      <c r="U304" s="9">
        <f>(L$436-Tabell2[[#This Row],[ReisetidOslo-T]])*100/L$439</f>
        <v>21.317262676773023</v>
      </c>
      <c r="V304" s="9">
        <f>100-(M$436-Tabell2[[#This Row],[Beftettotal-T]])*100/M$439</f>
        <v>7.4488759158527387</v>
      </c>
      <c r="W304" s="9">
        <f>100-(N$436-Tabell2[[#This Row],[Befvekst10-T]])*100/N$439</f>
        <v>49.29757372996653</v>
      </c>
      <c r="X304" s="9">
        <f>100-(O$436-Tabell2[[#This Row],[Kvinneandel-T]])*100/O$439</f>
        <v>32.725188475388606</v>
      </c>
      <c r="Y304" s="9">
        <f>(P$436-Tabell2[[#This Row],[Eldreandel-T]])*100/P$439</f>
        <v>45.266604175661861</v>
      </c>
      <c r="Z304" s="9">
        <f>100-(Q$436-Tabell2[[#This Row],[Sysselsettingsvekst10-T]])*100/Q$439</f>
        <v>69.623089267625446</v>
      </c>
      <c r="AA304" s="9">
        <f>100-(R$436-Tabell2[[#This Row],[Yrkesaktivandel-T]])*100/R$439</f>
        <v>37.657369474789881</v>
      </c>
      <c r="AB304" s="9">
        <f>100-(S$436-Tabell2[[#This Row],[Inntekt-T]])*100/S$439</f>
        <v>13.868980259021754</v>
      </c>
      <c r="AC304" s="48">
        <f>Tabell2[[#This Row],[NIBR11-I]]*Vekter!$B$3</f>
        <v>18</v>
      </c>
      <c r="AD304" s="48">
        <f>Tabell2[[#This Row],[ReisetidOslo-I]]*Vekter!$C$3</f>
        <v>2.1317262676773026</v>
      </c>
      <c r="AE304" s="48">
        <f>Tabell2[[#This Row],[Beftettotal-I]]*Vekter!$D$3</f>
        <v>0.74488759158527396</v>
      </c>
      <c r="AF304" s="48">
        <f>Tabell2[[#This Row],[Befvekst10-I]]*Vekter!$E$3</f>
        <v>9.859514745993307</v>
      </c>
      <c r="AG304" s="48">
        <f>Tabell2[[#This Row],[Kvinneandel-I]]*Vekter!$F$3</f>
        <v>1.6362594237694303</v>
      </c>
      <c r="AH304" s="48">
        <f>Tabell2[[#This Row],[Eldreandel-I]]*Vekter!$G$3</f>
        <v>2.2633302087830933</v>
      </c>
      <c r="AI304" s="48">
        <f>Tabell2[[#This Row],[Sysselsettingsvekst10-I]]*Vekter!$H$3</f>
        <v>6.9623089267625451</v>
      </c>
      <c r="AJ304" s="48">
        <f>Tabell2[[#This Row],[Yrkesaktivandel-I]]*Vekter!$J$3</f>
        <v>3.7657369474789881</v>
      </c>
      <c r="AK304" s="48">
        <f>Tabell2[[#This Row],[Inntekt-I]]*Vekter!$L$3</f>
        <v>1.3868980259021755</v>
      </c>
      <c r="AL304" s="37">
        <f>SUM(Tabell2[[#This Row],[NIBR11-v]:[Inntekt-v]])</f>
        <v>46.750662137952126</v>
      </c>
    </row>
    <row r="305" spans="1:38">
      <c r="A305" s="2" t="s">
        <v>302</v>
      </c>
      <c r="B305">
        <f>'Rådata-K'!M304</f>
        <v>10</v>
      </c>
      <c r="C305" s="9">
        <f>'Rådata-K'!L304</f>
        <v>185.07008828549999</v>
      </c>
      <c r="D305" s="51">
        <f>'Rådata-K'!N304</f>
        <v>12.274622199062012</v>
      </c>
      <c r="E305" s="51">
        <f>'Rådata-K'!O304</f>
        <v>-1.2719949120203466E-3</v>
      </c>
      <c r="F305" s="51">
        <f>'Rådata-K'!P304</f>
        <v>0.10677138611759711</v>
      </c>
      <c r="G305" s="51">
        <f>'Rådata-K'!Q304</f>
        <v>0.18509870515814053</v>
      </c>
      <c r="H305" s="51">
        <f>'Rådata-K'!R304</f>
        <v>6.2649164677804237E-2</v>
      </c>
      <c r="I305" s="51">
        <f>'Rådata-K'!S304</f>
        <v>0.85243996901626651</v>
      </c>
      <c r="J305" s="52">
        <f>'Rådata-K'!K304</f>
        <v>334600</v>
      </c>
      <c r="K305" s="26">
        <f>Tabell2[[#This Row],[NIBR11]]</f>
        <v>10</v>
      </c>
      <c r="L305" s="52">
        <f>IF(Tabell2[[#This Row],[ReisetidOslo]]&lt;=C$434,C$434,IF(Tabell2[[#This Row],[ReisetidOslo]]&gt;=C$435,C$435,Tabell2[[#This Row],[ReisetidOslo]]))</f>
        <v>185.07008828549999</v>
      </c>
      <c r="M305" s="51">
        <f>IF(Tabell2[[#This Row],[Beftettotal]]&lt;=D$434,D$434,IF(Tabell2[[#This Row],[Beftettotal]]&gt;=D$435,D$435,Tabell2[[#This Row],[Beftettotal]]))</f>
        <v>12.274622199062012</v>
      </c>
      <c r="N305" s="51">
        <f>IF(Tabell2[[#This Row],[Befvekst10]]&lt;=E$434,E$434,IF(Tabell2[[#This Row],[Befvekst10]]&gt;=E$435,E$435,Tabell2[[#This Row],[Befvekst10]]))</f>
        <v>-1.2719949120203466E-3</v>
      </c>
      <c r="O305" s="51">
        <f>IF(Tabell2[[#This Row],[Kvinneandel]]&lt;=F$434,F$434,IF(Tabell2[[#This Row],[Kvinneandel]]&gt;=F$435,F$435,Tabell2[[#This Row],[Kvinneandel]]))</f>
        <v>0.10677138611759711</v>
      </c>
      <c r="P305" s="51">
        <f>IF(Tabell2[[#This Row],[Eldreandel]]&lt;=G$434,G$434,IF(Tabell2[[#This Row],[Eldreandel]]&gt;=G$435,G$435,Tabell2[[#This Row],[Eldreandel]]))</f>
        <v>0.18509870515814053</v>
      </c>
      <c r="Q305" s="51">
        <f>IF(Tabell2[[#This Row],[Sysselsettingsvekst10]]&lt;=H$434,H$434,IF(Tabell2[[#This Row],[Sysselsettingsvekst10]]&gt;=H$435,H$435,Tabell2[[#This Row],[Sysselsettingsvekst10]]))</f>
        <v>6.2649164677804237E-2</v>
      </c>
      <c r="R305" s="51">
        <f>IF(Tabell2[[#This Row],[Yrkesaktivandel]]&lt;=I$434,I$434,IF(Tabell2[[#This Row],[Yrkesaktivandel]]&gt;=I$435,I$435,Tabell2[[#This Row],[Yrkesaktivandel]]))</f>
        <v>0.85243996901626651</v>
      </c>
      <c r="S305" s="52">
        <f>IF(Tabell2[[#This Row],[Inntekt]]&lt;=J$434,J$434,IF(Tabell2[[#This Row],[Inntekt]]&gt;=J$435,J$435,Tabell2[[#This Row],[Inntekt]]))</f>
        <v>334600</v>
      </c>
      <c r="T305" s="9">
        <f>IF(Tabell2[[#This Row],[NIBR11-T]]&lt;=K$437,100,IF(Tabell2[[#This Row],[NIBR11-T]]&gt;=K$436,0,100*(K$436-Tabell2[[#This Row],[NIBR11-T]])/K$439))</f>
        <v>10</v>
      </c>
      <c r="U305" s="9">
        <f>(L$436-Tabell2[[#This Row],[ReisetidOslo-T]])*100/L$439</f>
        <v>41.724912687779231</v>
      </c>
      <c r="V305" s="9">
        <f>100-(M$436-Tabell2[[#This Row],[Beftettotal-T]])*100/M$439</f>
        <v>8.613000409241252</v>
      </c>
      <c r="W305" s="9">
        <f>100-(N$436-Tabell2[[#This Row],[Befvekst10-T]])*100/N$439</f>
        <v>32.175742069787617</v>
      </c>
      <c r="X305" s="9">
        <f>100-(O$436-Tabell2[[#This Row],[Kvinneandel-T]])*100/O$439</f>
        <v>43.725945417771825</v>
      </c>
      <c r="Y305" s="9">
        <f>(P$436-Tabell2[[#This Row],[Eldreandel-T]])*100/P$439</f>
        <v>26.303711796855296</v>
      </c>
      <c r="Z305" s="9">
        <f>100-(Q$436-Tabell2[[#This Row],[Sysselsettingsvekst10-T]])*100/Q$439</f>
        <v>42.156886976513512</v>
      </c>
      <c r="AA305" s="9">
        <f>100-(R$436-Tabell2[[#This Row],[Yrkesaktivandel-T]])*100/R$439</f>
        <v>18.192843759185592</v>
      </c>
      <c r="AB305" s="9">
        <f>100-(S$436-Tabell2[[#This Row],[Inntekt-T]])*100/S$439</f>
        <v>17.766880422482089</v>
      </c>
      <c r="AC305" s="48">
        <f>Tabell2[[#This Row],[NIBR11-I]]*Vekter!$B$3</f>
        <v>2</v>
      </c>
      <c r="AD305" s="48">
        <f>Tabell2[[#This Row],[ReisetidOslo-I]]*Vekter!$C$3</f>
        <v>4.1724912687779234</v>
      </c>
      <c r="AE305" s="48">
        <f>Tabell2[[#This Row],[Beftettotal-I]]*Vekter!$D$3</f>
        <v>0.86130004092412527</v>
      </c>
      <c r="AF305" s="48">
        <f>Tabell2[[#This Row],[Befvekst10-I]]*Vekter!$E$3</f>
        <v>6.4351484139575241</v>
      </c>
      <c r="AG305" s="48">
        <f>Tabell2[[#This Row],[Kvinneandel-I]]*Vekter!$F$3</f>
        <v>2.1862972708885913</v>
      </c>
      <c r="AH305" s="48">
        <f>Tabell2[[#This Row],[Eldreandel-I]]*Vekter!$G$3</f>
        <v>1.3151855898427649</v>
      </c>
      <c r="AI305" s="48">
        <f>Tabell2[[#This Row],[Sysselsettingsvekst10-I]]*Vekter!$H$3</f>
        <v>4.215688697651351</v>
      </c>
      <c r="AJ305" s="48">
        <f>Tabell2[[#This Row],[Yrkesaktivandel-I]]*Vekter!$J$3</f>
        <v>1.8192843759185593</v>
      </c>
      <c r="AK305" s="48">
        <f>Tabell2[[#This Row],[Inntekt-I]]*Vekter!$L$3</f>
        <v>1.776688042248209</v>
      </c>
      <c r="AL305" s="37">
        <f>SUM(Tabell2[[#This Row],[NIBR11-v]:[Inntekt-v]])</f>
        <v>24.782083700209053</v>
      </c>
    </row>
    <row r="306" spans="1:38">
      <c r="A306" s="2" t="s">
        <v>303</v>
      </c>
      <c r="B306">
        <f>'Rådata-K'!M305</f>
        <v>11</v>
      </c>
      <c r="C306" s="9">
        <f>'Rådata-K'!L305</f>
        <v>219.4843449059</v>
      </c>
      <c r="D306" s="51">
        <f>'Rådata-K'!N305</f>
        <v>3.3959734355686844</v>
      </c>
      <c r="E306" s="51">
        <f>'Rådata-K'!O305</f>
        <v>-2.40818783865141E-2</v>
      </c>
      <c r="F306" s="51">
        <f>'Rådata-K'!P305</f>
        <v>8.2048118445404078E-2</v>
      </c>
      <c r="G306" s="51">
        <f>'Rådata-K'!Q305</f>
        <v>0.20882171499074645</v>
      </c>
      <c r="H306" s="51">
        <f>'Rådata-K'!R305</f>
        <v>6.9500674763832704E-2</v>
      </c>
      <c r="I306" s="51">
        <f>'Rådata-K'!S305</f>
        <v>0.96204715353651526</v>
      </c>
      <c r="J306" s="52">
        <f>'Rådata-K'!K305</f>
        <v>335100</v>
      </c>
      <c r="K306" s="26">
        <f>Tabell2[[#This Row],[NIBR11]]</f>
        <v>11</v>
      </c>
      <c r="L306" s="52">
        <f>IF(Tabell2[[#This Row],[ReisetidOslo]]&lt;=C$434,C$434,IF(Tabell2[[#This Row],[ReisetidOslo]]&gt;=C$435,C$435,Tabell2[[#This Row],[ReisetidOslo]]))</f>
        <v>219.4843449059</v>
      </c>
      <c r="M306" s="51">
        <f>IF(Tabell2[[#This Row],[Beftettotal]]&lt;=D$434,D$434,IF(Tabell2[[#This Row],[Beftettotal]]&gt;=D$435,D$435,Tabell2[[#This Row],[Beftettotal]]))</f>
        <v>3.3959734355686844</v>
      </c>
      <c r="N306" s="51">
        <f>IF(Tabell2[[#This Row],[Befvekst10]]&lt;=E$434,E$434,IF(Tabell2[[#This Row],[Befvekst10]]&gt;=E$435,E$435,Tabell2[[#This Row],[Befvekst10]]))</f>
        <v>-2.40818783865141E-2</v>
      </c>
      <c r="O306" s="51">
        <f>IF(Tabell2[[#This Row],[Kvinneandel]]&lt;=F$434,F$434,IF(Tabell2[[#This Row],[Kvinneandel]]&gt;=F$435,F$435,Tabell2[[#This Row],[Kvinneandel]]))</f>
        <v>9.0262917071501733E-2</v>
      </c>
      <c r="P306" s="51">
        <f>IF(Tabell2[[#This Row],[Eldreandel]]&lt;=G$434,G$434,IF(Tabell2[[#This Row],[Eldreandel]]&gt;=G$435,G$435,Tabell2[[#This Row],[Eldreandel]]))</f>
        <v>0.20830063331569054</v>
      </c>
      <c r="Q306" s="51">
        <f>IF(Tabell2[[#This Row],[Sysselsettingsvekst10]]&lt;=H$434,H$434,IF(Tabell2[[#This Row],[Sysselsettingsvekst10]]&gt;=H$435,H$435,Tabell2[[#This Row],[Sysselsettingsvekst10]]))</f>
        <v>6.9500674763832704E-2</v>
      </c>
      <c r="R306" s="51">
        <f>IF(Tabell2[[#This Row],[Yrkesaktivandel]]&lt;=I$434,I$434,IF(Tabell2[[#This Row],[Yrkesaktivandel]]&gt;=I$435,I$435,Tabell2[[#This Row],[Yrkesaktivandel]]))</f>
        <v>0.96204715353651526</v>
      </c>
      <c r="S306" s="52">
        <f>IF(Tabell2[[#This Row],[Inntekt]]&lt;=J$434,J$434,IF(Tabell2[[#This Row],[Inntekt]]&gt;=J$435,J$435,Tabell2[[#This Row],[Inntekt]]))</f>
        <v>335100</v>
      </c>
      <c r="T306" s="9">
        <f>IF(Tabell2[[#This Row],[NIBR11-T]]&lt;=K$437,100,IF(Tabell2[[#This Row],[NIBR11-T]]&gt;=K$436,0,100*(K$436-Tabell2[[#This Row],[NIBR11-T]])/K$439))</f>
        <v>0</v>
      </c>
      <c r="U306" s="9">
        <f>(L$436-Tabell2[[#This Row],[ReisetidOslo-T]])*100/L$439</f>
        <v>26.446683093044872</v>
      </c>
      <c r="V306" s="9">
        <f>100-(M$436-Tabell2[[#This Row],[Beftettotal-T]])*100/M$439</f>
        <v>1.6196259832817077</v>
      </c>
      <c r="W306" s="9">
        <f>100-(N$436-Tabell2[[#This Row],[Befvekst10-T]])*100/N$439</f>
        <v>22.945592072787406</v>
      </c>
      <c r="X306" s="9">
        <f>100-(O$436-Tabell2[[#This Row],[Kvinneandel-T]])*100/O$439</f>
        <v>0</v>
      </c>
      <c r="Y306" s="9">
        <f>(P$436-Tabell2[[#This Row],[Eldreandel-T]])*100/P$439</f>
        <v>0</v>
      </c>
      <c r="Z306" s="9">
        <f>100-(Q$436-Tabell2[[#This Row],[Sysselsettingsvekst10-T]])*100/Q$439</f>
        <v>44.356024170297601</v>
      </c>
      <c r="AA306" s="9">
        <f>100-(R$436-Tabell2[[#This Row],[Yrkesaktivandel-T]])*100/R$439</f>
        <v>99.902340657879108</v>
      </c>
      <c r="AB306" s="9">
        <f>100-(S$436-Tabell2[[#This Row],[Inntekt-T]])*100/S$439</f>
        <v>18.395573997233754</v>
      </c>
      <c r="AC306" s="48">
        <f>Tabell2[[#This Row],[NIBR11-I]]*Vekter!$B$3</f>
        <v>0</v>
      </c>
      <c r="AD306" s="48">
        <f>Tabell2[[#This Row],[ReisetidOslo-I]]*Vekter!$C$3</f>
        <v>2.6446683093044872</v>
      </c>
      <c r="AE306" s="48">
        <f>Tabell2[[#This Row],[Beftettotal-I]]*Vekter!$D$3</f>
        <v>0.16196259832817078</v>
      </c>
      <c r="AF306" s="48">
        <f>Tabell2[[#This Row],[Befvekst10-I]]*Vekter!$E$3</f>
        <v>4.5891184145574817</v>
      </c>
      <c r="AG306" s="48">
        <f>Tabell2[[#This Row],[Kvinneandel-I]]*Vekter!$F$3</f>
        <v>0</v>
      </c>
      <c r="AH306" s="48">
        <f>Tabell2[[#This Row],[Eldreandel-I]]*Vekter!$G$3</f>
        <v>0</v>
      </c>
      <c r="AI306" s="48">
        <f>Tabell2[[#This Row],[Sysselsettingsvekst10-I]]*Vekter!$H$3</f>
        <v>4.4356024170297603</v>
      </c>
      <c r="AJ306" s="48">
        <f>Tabell2[[#This Row],[Yrkesaktivandel-I]]*Vekter!$J$3</f>
        <v>9.9902340657879112</v>
      </c>
      <c r="AK306" s="48">
        <f>Tabell2[[#This Row],[Inntekt-I]]*Vekter!$L$3</f>
        <v>1.8395573997233754</v>
      </c>
      <c r="AL306" s="37">
        <f>SUM(Tabell2[[#This Row],[NIBR11-v]:[Inntekt-v]])</f>
        <v>23.661143204731189</v>
      </c>
    </row>
    <row r="307" spans="1:38">
      <c r="A307" s="2" t="s">
        <v>304</v>
      </c>
      <c r="B307">
        <f>'Rådata-K'!M306</f>
        <v>11</v>
      </c>
      <c r="C307" s="9">
        <f>'Rådata-K'!L306</f>
        <v>266.5491178876</v>
      </c>
      <c r="D307" s="51">
        <f>'Rådata-K'!N306</f>
        <v>2.6320706868476549</v>
      </c>
      <c r="E307" s="51">
        <f>'Rådata-K'!O306</f>
        <v>-8.108108108108103E-2</v>
      </c>
      <c r="F307" s="51">
        <f>'Rådata-K'!P306</f>
        <v>8.5192697768762676E-2</v>
      </c>
      <c r="G307" s="51">
        <f>'Rådata-K'!Q306</f>
        <v>0.2129817444219067</v>
      </c>
      <c r="H307" s="51">
        <f>'Rådata-K'!R306</f>
        <v>0.20232558139534884</v>
      </c>
      <c r="I307" s="51">
        <f>'Rådata-K'!S306</f>
        <v>0.95480225988700562</v>
      </c>
      <c r="J307" s="52">
        <f>'Rådata-K'!K306</f>
        <v>327300</v>
      </c>
      <c r="K307" s="26">
        <f>Tabell2[[#This Row],[NIBR11]]</f>
        <v>11</v>
      </c>
      <c r="L307" s="52">
        <f>IF(Tabell2[[#This Row],[ReisetidOslo]]&lt;=C$434,C$434,IF(Tabell2[[#This Row],[ReisetidOslo]]&gt;=C$435,C$435,Tabell2[[#This Row],[ReisetidOslo]]))</f>
        <v>266.5491178876</v>
      </c>
      <c r="M307" s="51">
        <f>IF(Tabell2[[#This Row],[Beftettotal]]&lt;=D$434,D$434,IF(Tabell2[[#This Row],[Beftettotal]]&gt;=D$435,D$435,Tabell2[[#This Row],[Beftettotal]]))</f>
        <v>2.6320706868476549</v>
      </c>
      <c r="N307" s="51">
        <f>IF(Tabell2[[#This Row],[Befvekst10]]&lt;=E$434,E$434,IF(Tabell2[[#This Row],[Befvekst10]]&gt;=E$435,E$435,Tabell2[[#This Row],[Befvekst10]]))</f>
        <v>-8.0785862785862778E-2</v>
      </c>
      <c r="O307" s="51">
        <f>IF(Tabell2[[#This Row],[Kvinneandel]]&lt;=F$434,F$434,IF(Tabell2[[#This Row],[Kvinneandel]]&gt;=F$435,F$435,Tabell2[[#This Row],[Kvinneandel]]))</f>
        <v>9.0262917071501733E-2</v>
      </c>
      <c r="P307" s="51">
        <f>IF(Tabell2[[#This Row],[Eldreandel]]&lt;=G$434,G$434,IF(Tabell2[[#This Row],[Eldreandel]]&gt;=G$435,G$435,Tabell2[[#This Row],[Eldreandel]]))</f>
        <v>0.20830063331569054</v>
      </c>
      <c r="Q307" s="51">
        <f>IF(Tabell2[[#This Row],[Sysselsettingsvekst10]]&lt;=H$434,H$434,IF(Tabell2[[#This Row],[Sysselsettingsvekst10]]&gt;=H$435,H$435,Tabell2[[#This Row],[Sysselsettingsvekst10]]))</f>
        <v>0.20232558139534884</v>
      </c>
      <c r="R307" s="51">
        <f>IF(Tabell2[[#This Row],[Yrkesaktivandel]]&lt;=I$434,I$434,IF(Tabell2[[#This Row],[Yrkesaktivandel]]&gt;=I$435,I$435,Tabell2[[#This Row],[Yrkesaktivandel]]))</f>
        <v>0.95480225988700562</v>
      </c>
      <c r="S307" s="52">
        <f>IF(Tabell2[[#This Row],[Inntekt]]&lt;=J$434,J$434,IF(Tabell2[[#This Row],[Inntekt]]&gt;=J$435,J$435,Tabell2[[#This Row],[Inntekt]]))</f>
        <v>327300</v>
      </c>
      <c r="T307" s="9">
        <f>IF(Tabell2[[#This Row],[NIBR11-T]]&lt;=K$437,100,IF(Tabell2[[#This Row],[NIBR11-T]]&gt;=K$436,0,100*(K$436-Tabell2[[#This Row],[NIBR11-T]])/K$439))</f>
        <v>0</v>
      </c>
      <c r="U307" s="9">
        <f>(L$436-Tabell2[[#This Row],[ReisetidOslo-T]])*100/L$439</f>
        <v>5.5522492724922419</v>
      </c>
      <c r="V307" s="9">
        <f>100-(M$436-Tabell2[[#This Row],[Beftettotal-T]])*100/M$439</f>
        <v>1.0179288006212204</v>
      </c>
      <c r="W307" s="9">
        <f>100-(N$436-Tabell2[[#This Row],[Befvekst10-T]])*100/N$439</f>
        <v>0</v>
      </c>
      <c r="X307" s="9">
        <f>100-(O$436-Tabell2[[#This Row],[Kvinneandel-T]])*100/O$439</f>
        <v>0</v>
      </c>
      <c r="Y307" s="9">
        <f>(P$436-Tabell2[[#This Row],[Eldreandel-T]])*100/P$439</f>
        <v>0</v>
      </c>
      <c r="Z307" s="9">
        <f>100-(Q$436-Tabell2[[#This Row],[Sysselsettingsvekst10-T]])*100/Q$439</f>
        <v>86.988989570131906</v>
      </c>
      <c r="AA307" s="9">
        <f>100-(R$436-Tabell2[[#This Row],[Yrkesaktivandel-T]])*100/R$439</f>
        <v>94.501448209295035</v>
      </c>
      <c r="AB307" s="9">
        <f>100-(S$436-Tabell2[[#This Row],[Inntekt-T]])*100/S$439</f>
        <v>8.5879542311077586</v>
      </c>
      <c r="AC307" s="48">
        <f>Tabell2[[#This Row],[NIBR11-I]]*Vekter!$B$3</f>
        <v>0</v>
      </c>
      <c r="AD307" s="48">
        <f>Tabell2[[#This Row],[ReisetidOslo-I]]*Vekter!$C$3</f>
        <v>0.55522492724922423</v>
      </c>
      <c r="AE307" s="48">
        <f>Tabell2[[#This Row],[Beftettotal-I]]*Vekter!$D$3</f>
        <v>0.10179288006212205</v>
      </c>
      <c r="AF307" s="48">
        <f>Tabell2[[#This Row],[Befvekst10-I]]*Vekter!$E$3</f>
        <v>0</v>
      </c>
      <c r="AG307" s="48">
        <f>Tabell2[[#This Row],[Kvinneandel-I]]*Vekter!$F$3</f>
        <v>0</v>
      </c>
      <c r="AH307" s="48">
        <f>Tabell2[[#This Row],[Eldreandel-I]]*Vekter!$G$3</f>
        <v>0</v>
      </c>
      <c r="AI307" s="48">
        <f>Tabell2[[#This Row],[Sysselsettingsvekst10-I]]*Vekter!$H$3</f>
        <v>8.6988989570131903</v>
      </c>
      <c r="AJ307" s="48">
        <f>Tabell2[[#This Row],[Yrkesaktivandel-I]]*Vekter!$J$3</f>
        <v>9.4501448209295038</v>
      </c>
      <c r="AK307" s="48">
        <f>Tabell2[[#This Row],[Inntekt-I]]*Vekter!$L$3</f>
        <v>0.85879542311077595</v>
      </c>
      <c r="AL307" s="37">
        <f>SUM(Tabell2[[#This Row],[NIBR11-v]:[Inntekt-v]])</f>
        <v>19.66485700836482</v>
      </c>
    </row>
    <row r="308" spans="1:38">
      <c r="A308" s="2" t="s">
        <v>305</v>
      </c>
      <c r="B308">
        <f>'Rådata-K'!M307</f>
        <v>11</v>
      </c>
      <c r="C308" s="9">
        <f>'Rådata-K'!L307</f>
        <v>267.2582173358</v>
      </c>
      <c r="D308" s="51">
        <f>'Rådata-K'!N307</f>
        <v>2.5750962109667586</v>
      </c>
      <c r="E308" s="51">
        <f>'Rådata-K'!O307</f>
        <v>-5.4976303317535558E-2</v>
      </c>
      <c r="F308" s="51">
        <f>'Rådata-K'!P307</f>
        <v>8.1243731193580748E-2</v>
      </c>
      <c r="G308" s="51">
        <f>'Rådata-K'!Q307</f>
        <v>0.23771313941825475</v>
      </c>
      <c r="H308" s="51">
        <f>'Rådata-K'!R307</f>
        <v>-8.4705882352941186E-2</v>
      </c>
      <c r="I308" s="51">
        <f>'Rådata-K'!S307</f>
        <v>0.94674556213017746</v>
      </c>
      <c r="J308" s="52">
        <f>'Rådata-K'!K307</f>
        <v>329400</v>
      </c>
      <c r="K308" s="26">
        <f>Tabell2[[#This Row],[NIBR11]]</f>
        <v>11</v>
      </c>
      <c r="L308" s="52">
        <f>IF(Tabell2[[#This Row],[ReisetidOslo]]&lt;=C$434,C$434,IF(Tabell2[[#This Row],[ReisetidOslo]]&gt;=C$435,C$435,Tabell2[[#This Row],[ReisetidOslo]]))</f>
        <v>267.2582173358</v>
      </c>
      <c r="M308" s="51">
        <f>IF(Tabell2[[#This Row],[Beftettotal]]&lt;=D$434,D$434,IF(Tabell2[[#This Row],[Beftettotal]]&gt;=D$435,D$435,Tabell2[[#This Row],[Beftettotal]]))</f>
        <v>2.5750962109667586</v>
      </c>
      <c r="N308" s="51">
        <f>IF(Tabell2[[#This Row],[Befvekst10]]&lt;=E$434,E$434,IF(Tabell2[[#This Row],[Befvekst10]]&gt;=E$435,E$435,Tabell2[[#This Row],[Befvekst10]]))</f>
        <v>-5.4976303317535558E-2</v>
      </c>
      <c r="O308" s="51">
        <f>IF(Tabell2[[#This Row],[Kvinneandel]]&lt;=F$434,F$434,IF(Tabell2[[#This Row],[Kvinneandel]]&gt;=F$435,F$435,Tabell2[[#This Row],[Kvinneandel]]))</f>
        <v>9.0262917071501733E-2</v>
      </c>
      <c r="P308" s="51">
        <f>IF(Tabell2[[#This Row],[Eldreandel]]&lt;=G$434,G$434,IF(Tabell2[[#This Row],[Eldreandel]]&gt;=G$435,G$435,Tabell2[[#This Row],[Eldreandel]]))</f>
        <v>0.20830063331569054</v>
      </c>
      <c r="Q308" s="51">
        <f>IF(Tabell2[[#This Row],[Sysselsettingsvekst10]]&lt;=H$434,H$434,IF(Tabell2[[#This Row],[Sysselsettingsvekst10]]&gt;=H$435,H$435,Tabell2[[#This Row],[Sysselsettingsvekst10]]))</f>
        <v>-6.8692498376029434E-2</v>
      </c>
      <c r="R308" s="51">
        <f>IF(Tabell2[[#This Row],[Yrkesaktivandel]]&lt;=I$434,I$434,IF(Tabell2[[#This Row],[Yrkesaktivandel]]&gt;=I$435,I$435,Tabell2[[#This Row],[Yrkesaktivandel]]))</f>
        <v>0.94674556213017746</v>
      </c>
      <c r="S308" s="52">
        <f>IF(Tabell2[[#This Row],[Inntekt]]&lt;=J$434,J$434,IF(Tabell2[[#This Row],[Inntekt]]&gt;=J$435,J$435,Tabell2[[#This Row],[Inntekt]]))</f>
        <v>329400</v>
      </c>
      <c r="T308" s="9">
        <f>IF(Tabell2[[#This Row],[NIBR11-T]]&lt;=K$437,100,IF(Tabell2[[#This Row],[NIBR11-T]]&gt;=K$436,0,100*(K$436-Tabell2[[#This Row],[NIBR11-T]])/K$439))</f>
        <v>0</v>
      </c>
      <c r="U308" s="9">
        <f>(L$436-Tabell2[[#This Row],[ReisetidOslo-T]])*100/L$439</f>
        <v>5.2374441527827287</v>
      </c>
      <c r="V308" s="9">
        <f>100-(M$436-Tabell2[[#This Row],[Beftettotal-T]])*100/M$439</f>
        <v>0.97305216982171316</v>
      </c>
      <c r="W308" s="9">
        <f>100-(N$436-Tabell2[[#This Row],[Befvekst10-T]])*100/N$439</f>
        <v>10.443986069264412</v>
      </c>
      <c r="X308" s="9">
        <f>100-(O$436-Tabell2[[#This Row],[Kvinneandel-T]])*100/O$439</f>
        <v>0</v>
      </c>
      <c r="Y308" s="9">
        <f>(P$436-Tabell2[[#This Row],[Eldreandel-T]])*100/P$439</f>
        <v>0</v>
      </c>
      <c r="Z308" s="9">
        <f>100-(Q$436-Tabell2[[#This Row],[Sysselsettingsvekst10-T]])*100/Q$439</f>
        <v>0</v>
      </c>
      <c r="AA308" s="9">
        <f>100-(R$436-Tabell2[[#This Row],[Yrkesaktivandel-T]])*100/R$439</f>
        <v>88.49537549374557</v>
      </c>
      <c r="AB308" s="9">
        <f>100-(S$436-Tabell2[[#This Row],[Inntekt-T]])*100/S$439</f>
        <v>11.228467245064749</v>
      </c>
      <c r="AC308" s="48">
        <f>Tabell2[[#This Row],[NIBR11-I]]*Vekter!$B$3</f>
        <v>0</v>
      </c>
      <c r="AD308" s="48">
        <f>Tabell2[[#This Row],[ReisetidOslo-I]]*Vekter!$C$3</f>
        <v>0.52374441527827287</v>
      </c>
      <c r="AE308" s="48">
        <f>Tabell2[[#This Row],[Beftettotal-I]]*Vekter!$D$3</f>
        <v>9.7305216982171316E-2</v>
      </c>
      <c r="AF308" s="48">
        <f>Tabell2[[#This Row],[Befvekst10-I]]*Vekter!$E$3</f>
        <v>2.0887972138528825</v>
      </c>
      <c r="AG308" s="48">
        <f>Tabell2[[#This Row],[Kvinneandel-I]]*Vekter!$F$3</f>
        <v>0</v>
      </c>
      <c r="AH308" s="48">
        <f>Tabell2[[#This Row],[Eldreandel-I]]*Vekter!$G$3</f>
        <v>0</v>
      </c>
      <c r="AI308" s="48">
        <f>Tabell2[[#This Row],[Sysselsettingsvekst10-I]]*Vekter!$H$3</f>
        <v>0</v>
      </c>
      <c r="AJ308" s="48">
        <f>Tabell2[[#This Row],[Yrkesaktivandel-I]]*Vekter!$J$3</f>
        <v>8.8495375493745581</v>
      </c>
      <c r="AK308" s="48">
        <f>Tabell2[[#This Row],[Inntekt-I]]*Vekter!$L$3</f>
        <v>1.122846724506475</v>
      </c>
      <c r="AL308" s="37">
        <f>SUM(Tabell2[[#This Row],[NIBR11-v]:[Inntekt-v]])</f>
        <v>12.682231119994361</v>
      </c>
    </row>
    <row r="309" spans="1:38">
      <c r="A309" s="2" t="s">
        <v>306</v>
      </c>
      <c r="B309">
        <f>'Rådata-K'!M308</f>
        <v>9</v>
      </c>
      <c r="C309" s="9">
        <f>'Rådata-K'!L308</f>
        <v>272.68556164899996</v>
      </c>
      <c r="D309" s="51">
        <f>'Rådata-K'!N308</f>
        <v>2.9963370285518289</v>
      </c>
      <c r="E309" s="51">
        <f>'Rådata-K'!O308</f>
        <v>5.5452292441140028E-2</v>
      </c>
      <c r="F309" s="51">
        <f>'Rådata-K'!P308</f>
        <v>0.10874669797475785</v>
      </c>
      <c r="G309" s="51">
        <f>'Rådata-K'!Q308</f>
        <v>0.16818315233343117</v>
      </c>
      <c r="H309" s="51">
        <f>'Rådata-K'!R308</f>
        <v>-1.8037297462549673E-2</v>
      </c>
      <c r="I309" s="51">
        <f>'Rådata-K'!S308</f>
        <v>0.91248693834900729</v>
      </c>
      <c r="J309" s="52">
        <f>'Rådata-K'!K308</f>
        <v>340000</v>
      </c>
      <c r="K309" s="26">
        <f>Tabell2[[#This Row],[NIBR11]]</f>
        <v>9</v>
      </c>
      <c r="L309" s="52">
        <f>IF(Tabell2[[#This Row],[ReisetidOslo]]&lt;=C$434,C$434,IF(Tabell2[[#This Row],[ReisetidOslo]]&gt;=C$435,C$435,Tabell2[[#This Row],[ReisetidOslo]]))</f>
        <v>272.68556164899996</v>
      </c>
      <c r="M309" s="51">
        <f>IF(Tabell2[[#This Row],[Beftettotal]]&lt;=D$434,D$434,IF(Tabell2[[#This Row],[Beftettotal]]&gt;=D$435,D$435,Tabell2[[#This Row],[Beftettotal]]))</f>
        <v>2.9963370285518289</v>
      </c>
      <c r="N309" s="51">
        <f>IF(Tabell2[[#This Row],[Befvekst10]]&lt;=E$434,E$434,IF(Tabell2[[#This Row],[Befvekst10]]&gt;=E$435,E$435,Tabell2[[#This Row],[Befvekst10]]))</f>
        <v>5.5452292441140028E-2</v>
      </c>
      <c r="O309" s="51">
        <f>IF(Tabell2[[#This Row],[Kvinneandel]]&lt;=F$434,F$434,IF(Tabell2[[#This Row],[Kvinneandel]]&gt;=F$435,F$435,Tabell2[[#This Row],[Kvinneandel]]))</f>
        <v>0.10874669797475785</v>
      </c>
      <c r="P309" s="51">
        <f>IF(Tabell2[[#This Row],[Eldreandel]]&lt;=G$434,G$434,IF(Tabell2[[#This Row],[Eldreandel]]&gt;=G$435,G$435,Tabell2[[#This Row],[Eldreandel]]))</f>
        <v>0.16818315233343117</v>
      </c>
      <c r="Q309" s="51">
        <f>IF(Tabell2[[#This Row],[Sysselsettingsvekst10]]&lt;=H$434,H$434,IF(Tabell2[[#This Row],[Sysselsettingsvekst10]]&gt;=H$435,H$435,Tabell2[[#This Row],[Sysselsettingsvekst10]]))</f>
        <v>-1.8037297462549673E-2</v>
      </c>
      <c r="R309" s="51">
        <f>IF(Tabell2[[#This Row],[Yrkesaktivandel]]&lt;=I$434,I$434,IF(Tabell2[[#This Row],[Yrkesaktivandel]]&gt;=I$435,I$435,Tabell2[[#This Row],[Yrkesaktivandel]]))</f>
        <v>0.91248693834900729</v>
      </c>
      <c r="S309" s="52">
        <f>IF(Tabell2[[#This Row],[Inntekt]]&lt;=J$434,J$434,IF(Tabell2[[#This Row],[Inntekt]]&gt;=J$435,J$435,Tabell2[[#This Row],[Inntekt]]))</f>
        <v>340000</v>
      </c>
      <c r="T309" s="9">
        <f>IF(Tabell2[[#This Row],[NIBR11-T]]&lt;=K$437,100,IF(Tabell2[[#This Row],[NIBR11-T]]&gt;=K$436,0,100*(K$436-Tabell2[[#This Row],[NIBR11-T]])/K$439))</f>
        <v>20</v>
      </c>
      <c r="U309" s="9">
        <f>(L$436-Tabell2[[#This Row],[ReisetidOslo-T]])*100/L$439</f>
        <v>2.8279714327591408</v>
      </c>
      <c r="V309" s="9">
        <f>100-(M$436-Tabell2[[#This Row],[Beftettotal-T]])*100/M$439</f>
        <v>1.3048475633935936</v>
      </c>
      <c r="W309" s="9">
        <f>100-(N$436-Tabell2[[#This Row],[Befvekst10-T]])*100/N$439</f>
        <v>55.129549849124935</v>
      </c>
      <c r="X309" s="9">
        <f>100-(O$436-Tabell2[[#This Row],[Kvinneandel-T]])*100/O$439</f>
        <v>48.95794956110678</v>
      </c>
      <c r="Y309" s="9">
        <f>(P$436-Tabell2[[#This Row],[Eldreandel-T]])*100/P$439</f>
        <v>45.480644996730341</v>
      </c>
      <c r="Z309" s="9">
        <f>100-(Q$436-Tabell2[[#This Row],[Sysselsettingsvekst10-T]])*100/Q$439</f>
        <v>16.25885899439902</v>
      </c>
      <c r="AA309" s="9">
        <f>100-(R$436-Tabell2[[#This Row],[Yrkesaktivandel-T]])*100/R$439</f>
        <v>62.956402607493771</v>
      </c>
      <c r="AB309" s="9">
        <f>100-(S$436-Tabell2[[#This Row],[Inntekt-T]])*100/S$439</f>
        <v>24.556771029800075</v>
      </c>
      <c r="AC309" s="48">
        <f>Tabell2[[#This Row],[NIBR11-I]]*Vekter!$B$3</f>
        <v>4</v>
      </c>
      <c r="AD309" s="48">
        <f>Tabell2[[#This Row],[ReisetidOslo-I]]*Vekter!$C$3</f>
        <v>0.2827971432759141</v>
      </c>
      <c r="AE309" s="48">
        <f>Tabell2[[#This Row],[Beftettotal-I]]*Vekter!$D$3</f>
        <v>0.13048475633935938</v>
      </c>
      <c r="AF309" s="48">
        <f>Tabell2[[#This Row],[Befvekst10-I]]*Vekter!$E$3</f>
        <v>11.025909969824987</v>
      </c>
      <c r="AG309" s="48">
        <f>Tabell2[[#This Row],[Kvinneandel-I]]*Vekter!$F$3</f>
        <v>2.4478974780553391</v>
      </c>
      <c r="AH309" s="48">
        <f>Tabell2[[#This Row],[Eldreandel-I]]*Vekter!$G$3</f>
        <v>2.2740322498365173</v>
      </c>
      <c r="AI309" s="48">
        <f>Tabell2[[#This Row],[Sysselsettingsvekst10-I]]*Vekter!$H$3</f>
        <v>1.6258858994399021</v>
      </c>
      <c r="AJ309" s="48">
        <f>Tabell2[[#This Row],[Yrkesaktivandel-I]]*Vekter!$J$3</f>
        <v>6.2956402607493773</v>
      </c>
      <c r="AK309" s="48">
        <f>Tabell2[[#This Row],[Inntekt-I]]*Vekter!$L$3</f>
        <v>2.4556771029800077</v>
      </c>
      <c r="AL309" s="37">
        <f>SUM(Tabell2[[#This Row],[NIBR11-v]:[Inntekt-v]])</f>
        <v>30.538324860501401</v>
      </c>
    </row>
    <row r="310" spans="1:38">
      <c r="A310" s="2" t="s">
        <v>307</v>
      </c>
      <c r="B310">
        <f>'Rådata-K'!M309</f>
        <v>5</v>
      </c>
      <c r="C310" s="9">
        <f>'Rådata-K'!L309</f>
        <v>245.5792706599</v>
      </c>
      <c r="D310" s="51">
        <f>'Rådata-K'!N309</f>
        <v>2.6962878572106712</v>
      </c>
      <c r="E310" s="51">
        <f>'Rådata-K'!O309</f>
        <v>-3.6925395629238911E-2</v>
      </c>
      <c r="F310" s="51">
        <f>'Rådata-K'!P309</f>
        <v>9.0766823161189364E-2</v>
      </c>
      <c r="G310" s="51">
        <f>'Rådata-K'!Q309</f>
        <v>0.20305164319248825</v>
      </c>
      <c r="H310" s="51">
        <f>'Rådata-K'!R309</f>
        <v>-3.513281919451583E-2</v>
      </c>
      <c r="I310" s="51">
        <f>'Rådata-K'!S309</f>
        <v>0.96162201303403327</v>
      </c>
      <c r="J310" s="52">
        <f>'Rådata-K'!K309</f>
        <v>318500</v>
      </c>
      <c r="K310" s="26">
        <f>Tabell2[[#This Row],[NIBR11]]</f>
        <v>5</v>
      </c>
      <c r="L310" s="52">
        <f>IF(Tabell2[[#This Row],[ReisetidOslo]]&lt;=C$434,C$434,IF(Tabell2[[#This Row],[ReisetidOslo]]&gt;=C$435,C$435,Tabell2[[#This Row],[ReisetidOslo]]))</f>
        <v>245.5792706599</v>
      </c>
      <c r="M310" s="51">
        <f>IF(Tabell2[[#This Row],[Beftettotal]]&lt;=D$434,D$434,IF(Tabell2[[#This Row],[Beftettotal]]&gt;=D$435,D$435,Tabell2[[#This Row],[Beftettotal]]))</f>
        <v>2.6962878572106712</v>
      </c>
      <c r="N310" s="51">
        <f>IF(Tabell2[[#This Row],[Befvekst10]]&lt;=E$434,E$434,IF(Tabell2[[#This Row],[Befvekst10]]&gt;=E$435,E$435,Tabell2[[#This Row],[Befvekst10]]))</f>
        <v>-3.6925395629238911E-2</v>
      </c>
      <c r="O310" s="51">
        <f>IF(Tabell2[[#This Row],[Kvinneandel]]&lt;=F$434,F$434,IF(Tabell2[[#This Row],[Kvinneandel]]&gt;=F$435,F$435,Tabell2[[#This Row],[Kvinneandel]]))</f>
        <v>9.0766823161189364E-2</v>
      </c>
      <c r="P310" s="51">
        <f>IF(Tabell2[[#This Row],[Eldreandel]]&lt;=G$434,G$434,IF(Tabell2[[#This Row],[Eldreandel]]&gt;=G$435,G$435,Tabell2[[#This Row],[Eldreandel]]))</f>
        <v>0.20305164319248825</v>
      </c>
      <c r="Q310" s="51">
        <f>IF(Tabell2[[#This Row],[Sysselsettingsvekst10]]&lt;=H$434,H$434,IF(Tabell2[[#This Row],[Sysselsettingsvekst10]]&gt;=H$435,H$435,Tabell2[[#This Row],[Sysselsettingsvekst10]]))</f>
        <v>-3.513281919451583E-2</v>
      </c>
      <c r="R310" s="51">
        <f>IF(Tabell2[[#This Row],[Yrkesaktivandel]]&lt;=I$434,I$434,IF(Tabell2[[#This Row],[Yrkesaktivandel]]&gt;=I$435,I$435,Tabell2[[#This Row],[Yrkesaktivandel]]))</f>
        <v>0.96162201303403327</v>
      </c>
      <c r="S310" s="52">
        <f>IF(Tabell2[[#This Row],[Inntekt]]&lt;=J$434,J$434,IF(Tabell2[[#This Row],[Inntekt]]&gt;=J$435,J$435,Tabell2[[#This Row],[Inntekt]]))</f>
        <v>320470</v>
      </c>
      <c r="T310" s="9">
        <f>IF(Tabell2[[#This Row],[NIBR11-T]]&lt;=K$437,100,IF(Tabell2[[#This Row],[NIBR11-T]]&gt;=K$436,0,100*(K$436-Tabell2[[#This Row],[NIBR11-T]])/K$439))</f>
        <v>60</v>
      </c>
      <c r="U310" s="9">
        <f>(L$436-Tabell2[[#This Row],[ReisetidOslo-T]])*100/L$439</f>
        <v>14.861825360252018</v>
      </c>
      <c r="V310" s="9">
        <f>100-(M$436-Tabell2[[#This Row],[Beftettotal-T]])*100/M$439</f>
        <v>1.0685102267917017</v>
      </c>
      <c r="W310" s="9">
        <f>100-(N$436-Tabell2[[#This Row],[Befvekst10-T]])*100/N$439</f>
        <v>17.748389256211439</v>
      </c>
      <c r="X310" s="9">
        <f>100-(O$436-Tabell2[[#This Row],[Kvinneandel-T]])*100/O$439</f>
        <v>1.3346949442641289</v>
      </c>
      <c r="Y310" s="9">
        <f>(P$436-Tabell2[[#This Row],[Eldreandel-T]])*100/P$439</f>
        <v>5.9507090310649513</v>
      </c>
      <c r="Z310" s="9">
        <f>100-(Q$436-Tabell2[[#This Row],[Sysselsettingsvekst10-T]])*100/Q$439</f>
        <v>10.77168941924576</v>
      </c>
      <c r="AA310" s="9">
        <f>100-(R$436-Tabell2[[#This Row],[Yrkesaktivandel-T]])*100/R$439</f>
        <v>99.585408727539772</v>
      </c>
      <c r="AB310" s="9">
        <f>100-(S$436-Tabell2[[#This Row],[Inntekt-T]])*100/S$439</f>
        <v>0</v>
      </c>
      <c r="AC310" s="48">
        <f>Tabell2[[#This Row],[NIBR11-I]]*Vekter!$B$3</f>
        <v>12</v>
      </c>
      <c r="AD310" s="48">
        <f>Tabell2[[#This Row],[ReisetidOslo-I]]*Vekter!$C$3</f>
        <v>1.4861825360252019</v>
      </c>
      <c r="AE310" s="48">
        <f>Tabell2[[#This Row],[Beftettotal-I]]*Vekter!$D$3</f>
        <v>0.10685102267917018</v>
      </c>
      <c r="AF310" s="48">
        <f>Tabell2[[#This Row],[Befvekst10-I]]*Vekter!$E$3</f>
        <v>3.5496778512422882</v>
      </c>
      <c r="AG310" s="48">
        <f>Tabell2[[#This Row],[Kvinneandel-I]]*Vekter!$F$3</f>
        <v>6.673474721320645E-2</v>
      </c>
      <c r="AH310" s="48">
        <f>Tabell2[[#This Row],[Eldreandel-I]]*Vekter!$G$3</f>
        <v>0.29753545155324757</v>
      </c>
      <c r="AI310" s="48">
        <f>Tabell2[[#This Row],[Sysselsettingsvekst10-I]]*Vekter!$H$3</f>
        <v>1.077168941924576</v>
      </c>
      <c r="AJ310" s="48">
        <f>Tabell2[[#This Row],[Yrkesaktivandel-I]]*Vekter!$J$3</f>
        <v>9.9585408727539786</v>
      </c>
      <c r="AK310" s="48">
        <f>Tabell2[[#This Row],[Inntekt-I]]*Vekter!$L$3</f>
        <v>0</v>
      </c>
      <c r="AL310" s="37">
        <f>SUM(Tabell2[[#This Row],[NIBR11-v]:[Inntekt-v]])</f>
        <v>28.54269142339167</v>
      </c>
    </row>
    <row r="311" spans="1:38">
      <c r="A311" s="2" t="s">
        <v>308</v>
      </c>
      <c r="B311">
        <f>'Rådata-K'!M310</f>
        <v>5</v>
      </c>
      <c r="C311" s="9">
        <f>'Rådata-K'!L310</f>
        <v>238.71011909399999</v>
      </c>
      <c r="D311" s="51">
        <f>'Rådata-K'!N310</f>
        <v>6.4596070758946773</v>
      </c>
      <c r="E311" s="51">
        <f>'Rådata-K'!O310</f>
        <v>3.8003546997720239E-3</v>
      </c>
      <c r="F311" s="51">
        <f>'Rådata-K'!P310</f>
        <v>0.10323069156991418</v>
      </c>
      <c r="G311" s="51">
        <f>'Rådata-K'!Q310</f>
        <v>0.18601716304896518</v>
      </c>
      <c r="H311" s="51">
        <f>'Rådata-K'!R310</f>
        <v>-2.1739130434782594E-2</v>
      </c>
      <c r="I311" s="51">
        <f>'Rådata-K'!S310</f>
        <v>0.85201997276441221</v>
      </c>
      <c r="J311" s="52">
        <f>'Rådata-K'!K310</f>
        <v>336200</v>
      </c>
      <c r="K311" s="26">
        <f>Tabell2[[#This Row],[NIBR11]]</f>
        <v>5</v>
      </c>
      <c r="L311" s="52">
        <f>IF(Tabell2[[#This Row],[ReisetidOslo]]&lt;=C$434,C$434,IF(Tabell2[[#This Row],[ReisetidOslo]]&gt;=C$435,C$435,Tabell2[[#This Row],[ReisetidOslo]]))</f>
        <v>238.71011909399999</v>
      </c>
      <c r="M311" s="51">
        <f>IF(Tabell2[[#This Row],[Beftettotal]]&lt;=D$434,D$434,IF(Tabell2[[#This Row],[Beftettotal]]&gt;=D$435,D$435,Tabell2[[#This Row],[Beftettotal]]))</f>
        <v>6.4596070758946773</v>
      </c>
      <c r="N311" s="51">
        <f>IF(Tabell2[[#This Row],[Befvekst10]]&lt;=E$434,E$434,IF(Tabell2[[#This Row],[Befvekst10]]&gt;=E$435,E$435,Tabell2[[#This Row],[Befvekst10]]))</f>
        <v>3.8003546997720239E-3</v>
      </c>
      <c r="O311" s="51">
        <f>IF(Tabell2[[#This Row],[Kvinneandel]]&lt;=F$434,F$434,IF(Tabell2[[#This Row],[Kvinneandel]]&gt;=F$435,F$435,Tabell2[[#This Row],[Kvinneandel]]))</f>
        <v>0.10323069156991418</v>
      </c>
      <c r="P311" s="51">
        <f>IF(Tabell2[[#This Row],[Eldreandel]]&lt;=G$434,G$434,IF(Tabell2[[#This Row],[Eldreandel]]&gt;=G$435,G$435,Tabell2[[#This Row],[Eldreandel]]))</f>
        <v>0.18601716304896518</v>
      </c>
      <c r="Q311" s="51">
        <f>IF(Tabell2[[#This Row],[Sysselsettingsvekst10]]&lt;=H$434,H$434,IF(Tabell2[[#This Row],[Sysselsettingsvekst10]]&gt;=H$435,H$435,Tabell2[[#This Row],[Sysselsettingsvekst10]]))</f>
        <v>-2.1739130434782594E-2</v>
      </c>
      <c r="R311" s="51">
        <f>IF(Tabell2[[#This Row],[Yrkesaktivandel]]&lt;=I$434,I$434,IF(Tabell2[[#This Row],[Yrkesaktivandel]]&gt;=I$435,I$435,Tabell2[[#This Row],[Yrkesaktivandel]]))</f>
        <v>0.85201997276441221</v>
      </c>
      <c r="S311" s="52">
        <f>IF(Tabell2[[#This Row],[Inntekt]]&lt;=J$434,J$434,IF(Tabell2[[#This Row],[Inntekt]]&gt;=J$435,J$435,Tabell2[[#This Row],[Inntekt]]))</f>
        <v>336200</v>
      </c>
      <c r="T311" s="9">
        <f>IF(Tabell2[[#This Row],[NIBR11-T]]&lt;=K$437,100,IF(Tabell2[[#This Row],[NIBR11-T]]&gt;=K$436,0,100*(K$436-Tabell2[[#This Row],[NIBR11-T]])/K$439))</f>
        <v>60</v>
      </c>
      <c r="U311" s="9">
        <f>(L$436-Tabell2[[#This Row],[ReisetidOslo-T]])*100/L$439</f>
        <v>17.911389263446669</v>
      </c>
      <c r="V311" s="9">
        <f>100-(M$436-Tabell2[[#This Row],[Beftettotal-T]])*100/M$439</f>
        <v>4.0327338470435592</v>
      </c>
      <c r="W311" s="9">
        <f>100-(N$436-Tabell2[[#This Row],[Befvekst10-T]])*100/N$439</f>
        <v>34.228297393291243</v>
      </c>
      <c r="X311" s="9">
        <f>100-(O$436-Tabell2[[#This Row],[Kvinneandel-T]])*100/O$439</f>
        <v>34.347715607321632</v>
      </c>
      <c r="Y311" s="9">
        <f>(P$436-Tabell2[[#This Row],[Eldreandel-T]])*100/P$439</f>
        <v>25.262468521996794</v>
      </c>
      <c r="Z311" s="9">
        <f>100-(Q$436-Tabell2[[#This Row],[Sysselsettingsvekst10-T]])*100/Q$439</f>
        <v>15.070677342150645</v>
      </c>
      <c r="AA311" s="9">
        <f>100-(R$436-Tabell2[[#This Row],[Yrkesaktivandel-T]])*100/R$439</f>
        <v>17.87974674288543</v>
      </c>
      <c r="AB311" s="9">
        <f>100-(S$436-Tabell2[[#This Row],[Inntekt-T]])*100/S$439</f>
        <v>19.778699861687414</v>
      </c>
      <c r="AC311" s="48">
        <f>Tabell2[[#This Row],[NIBR11-I]]*Vekter!$B$3</f>
        <v>12</v>
      </c>
      <c r="AD311" s="48">
        <f>Tabell2[[#This Row],[ReisetidOslo-I]]*Vekter!$C$3</f>
        <v>1.7911389263446669</v>
      </c>
      <c r="AE311" s="48">
        <f>Tabell2[[#This Row],[Beftettotal-I]]*Vekter!$D$3</f>
        <v>0.40327338470435592</v>
      </c>
      <c r="AF311" s="48">
        <f>Tabell2[[#This Row],[Befvekst10-I]]*Vekter!$E$3</f>
        <v>6.8456594786582485</v>
      </c>
      <c r="AG311" s="48">
        <f>Tabell2[[#This Row],[Kvinneandel-I]]*Vekter!$F$3</f>
        <v>1.7173857803660817</v>
      </c>
      <c r="AH311" s="48">
        <f>Tabell2[[#This Row],[Eldreandel-I]]*Vekter!$G$3</f>
        <v>1.2631234260998399</v>
      </c>
      <c r="AI311" s="48">
        <f>Tabell2[[#This Row],[Sysselsettingsvekst10-I]]*Vekter!$H$3</f>
        <v>1.5070677342150647</v>
      </c>
      <c r="AJ311" s="48">
        <f>Tabell2[[#This Row],[Yrkesaktivandel-I]]*Vekter!$J$3</f>
        <v>1.7879746742885432</v>
      </c>
      <c r="AK311" s="48">
        <f>Tabell2[[#This Row],[Inntekt-I]]*Vekter!$L$3</f>
        <v>1.9778699861687414</v>
      </c>
      <c r="AL311" s="37">
        <f>SUM(Tabell2[[#This Row],[NIBR11-v]:[Inntekt-v]])</f>
        <v>29.293493390845537</v>
      </c>
    </row>
    <row r="312" spans="1:38">
      <c r="A312" s="2" t="s">
        <v>309</v>
      </c>
      <c r="B312">
        <f>'Rådata-K'!M311</f>
        <v>5</v>
      </c>
      <c r="C312" s="9">
        <f>'Rådata-K'!L311</f>
        <v>208.12658018320002</v>
      </c>
      <c r="D312" s="51">
        <f>'Rådata-K'!N311</f>
        <v>19.556332935299952</v>
      </c>
      <c r="E312" s="51">
        <f>'Rådata-K'!O311</f>
        <v>0.11294027565084219</v>
      </c>
      <c r="F312" s="51">
        <f>'Rådata-K'!P311</f>
        <v>0.11670106639146886</v>
      </c>
      <c r="G312" s="51">
        <f>'Rådata-K'!Q311</f>
        <v>0.14774681802545581</v>
      </c>
      <c r="H312" s="51">
        <f>'Rådata-K'!R311</f>
        <v>0.139865665744765</v>
      </c>
      <c r="I312" s="51">
        <f>'Rådata-K'!S311</f>
        <v>0.86943531520764861</v>
      </c>
      <c r="J312" s="52">
        <f>'Rådata-K'!K311</f>
        <v>357600</v>
      </c>
      <c r="K312" s="26">
        <f>Tabell2[[#This Row],[NIBR11]]</f>
        <v>5</v>
      </c>
      <c r="L312" s="52">
        <f>IF(Tabell2[[#This Row],[ReisetidOslo]]&lt;=C$434,C$434,IF(Tabell2[[#This Row],[ReisetidOslo]]&gt;=C$435,C$435,Tabell2[[#This Row],[ReisetidOslo]]))</f>
        <v>208.12658018320002</v>
      </c>
      <c r="M312" s="51">
        <f>IF(Tabell2[[#This Row],[Beftettotal]]&lt;=D$434,D$434,IF(Tabell2[[#This Row],[Beftettotal]]&gt;=D$435,D$435,Tabell2[[#This Row],[Beftettotal]]))</f>
        <v>19.556332935299952</v>
      </c>
      <c r="N312" s="51">
        <f>IF(Tabell2[[#This Row],[Befvekst10]]&lt;=E$434,E$434,IF(Tabell2[[#This Row],[Befvekst10]]&gt;=E$435,E$435,Tabell2[[#This Row],[Befvekst10]]))</f>
        <v>0.11294027565084219</v>
      </c>
      <c r="O312" s="51">
        <f>IF(Tabell2[[#This Row],[Kvinneandel]]&lt;=F$434,F$434,IF(Tabell2[[#This Row],[Kvinneandel]]&gt;=F$435,F$435,Tabell2[[#This Row],[Kvinneandel]]))</f>
        <v>0.11670106639146886</v>
      </c>
      <c r="P312" s="51">
        <f>IF(Tabell2[[#This Row],[Eldreandel]]&lt;=G$434,G$434,IF(Tabell2[[#This Row],[Eldreandel]]&gt;=G$435,G$435,Tabell2[[#This Row],[Eldreandel]]))</f>
        <v>0.14774681802545581</v>
      </c>
      <c r="Q312" s="51">
        <f>IF(Tabell2[[#This Row],[Sysselsettingsvekst10]]&lt;=H$434,H$434,IF(Tabell2[[#This Row],[Sysselsettingsvekst10]]&gt;=H$435,H$435,Tabell2[[#This Row],[Sysselsettingsvekst10]]))</f>
        <v>0.139865665744765</v>
      </c>
      <c r="R312" s="51">
        <f>IF(Tabell2[[#This Row],[Yrkesaktivandel]]&lt;=I$434,I$434,IF(Tabell2[[#This Row],[Yrkesaktivandel]]&gt;=I$435,I$435,Tabell2[[#This Row],[Yrkesaktivandel]]))</f>
        <v>0.86943531520764861</v>
      </c>
      <c r="S312" s="52">
        <f>IF(Tabell2[[#This Row],[Inntekt]]&lt;=J$434,J$434,IF(Tabell2[[#This Row],[Inntekt]]&gt;=J$435,J$435,Tabell2[[#This Row],[Inntekt]]))</f>
        <v>357600</v>
      </c>
      <c r="T312" s="9">
        <f>IF(Tabell2[[#This Row],[NIBR11-T]]&lt;=K$437,100,IF(Tabell2[[#This Row],[NIBR11-T]]&gt;=K$436,0,100*(K$436-Tabell2[[#This Row],[NIBR11-T]])/K$439))</f>
        <v>60</v>
      </c>
      <c r="U312" s="9">
        <f>(L$436-Tabell2[[#This Row],[ReisetidOslo-T]])*100/L$439</f>
        <v>31.488969463790482</v>
      </c>
      <c r="V312" s="9">
        <f>100-(M$436-Tabell2[[#This Row],[Beftettotal-T]])*100/M$439</f>
        <v>14.348527401752378</v>
      </c>
      <c r="W312" s="9">
        <f>100-(N$436-Tabell2[[#This Row],[Befvekst10-T]])*100/N$439</f>
        <v>78.392391531061989</v>
      </c>
      <c r="X312" s="9">
        <f>100-(O$436-Tabell2[[#This Row],[Kvinneandel-T]])*100/O$439</f>
        <v>70.026667577949127</v>
      </c>
      <c r="Y312" s="9">
        <f>(P$436-Tabell2[[#This Row],[Eldreandel-T]])*100/P$439</f>
        <v>68.649040492612812</v>
      </c>
      <c r="Z312" s="9">
        <f>100-(Q$436-Tabell2[[#This Row],[Sysselsettingsvekst10-T]])*100/Q$439</f>
        <v>66.941157500539617</v>
      </c>
      <c r="AA312" s="9">
        <f>100-(R$436-Tabell2[[#This Row],[Yrkesaktivandel-T]])*100/R$439</f>
        <v>30.862462023674595</v>
      </c>
      <c r="AB312" s="9">
        <f>100-(S$436-Tabell2[[#This Row],[Inntekt-T]])*100/S$439</f>
        <v>46.686784861058719</v>
      </c>
      <c r="AC312" s="48">
        <f>Tabell2[[#This Row],[NIBR11-I]]*Vekter!$B$3</f>
        <v>12</v>
      </c>
      <c r="AD312" s="48">
        <f>Tabell2[[#This Row],[ReisetidOslo-I]]*Vekter!$C$3</f>
        <v>3.1488969463790486</v>
      </c>
      <c r="AE312" s="48">
        <f>Tabell2[[#This Row],[Beftettotal-I]]*Vekter!$D$3</f>
        <v>1.4348527401752378</v>
      </c>
      <c r="AF312" s="48">
        <f>Tabell2[[#This Row],[Befvekst10-I]]*Vekter!$E$3</f>
        <v>15.678478306212398</v>
      </c>
      <c r="AG312" s="48">
        <f>Tabell2[[#This Row],[Kvinneandel-I]]*Vekter!$F$3</f>
        <v>3.5013333788974563</v>
      </c>
      <c r="AH312" s="48">
        <f>Tabell2[[#This Row],[Eldreandel-I]]*Vekter!$G$3</f>
        <v>3.4324520246306407</v>
      </c>
      <c r="AI312" s="48">
        <f>Tabell2[[#This Row],[Sysselsettingsvekst10-I]]*Vekter!$H$3</f>
        <v>6.6941157500539621</v>
      </c>
      <c r="AJ312" s="48">
        <f>Tabell2[[#This Row],[Yrkesaktivandel-I]]*Vekter!$J$3</f>
        <v>3.0862462023674597</v>
      </c>
      <c r="AK312" s="48">
        <f>Tabell2[[#This Row],[Inntekt-I]]*Vekter!$L$3</f>
        <v>4.6686784861058719</v>
      </c>
      <c r="AL312" s="37">
        <f>SUM(Tabell2[[#This Row],[NIBR11-v]:[Inntekt-v]])</f>
        <v>53.645053834822079</v>
      </c>
    </row>
    <row r="313" spans="1:38">
      <c r="A313" s="2" t="s">
        <v>310</v>
      </c>
      <c r="B313">
        <f>'Rådata-K'!M312</f>
        <v>9</v>
      </c>
      <c r="C313" s="9">
        <f>'Rådata-K'!L312</f>
        <v>153.59273603817002</v>
      </c>
      <c r="D313" s="51">
        <f>'Rådata-K'!N312</f>
        <v>2.8536233810044673</v>
      </c>
      <c r="E313" s="51">
        <f>'Rådata-K'!O312</f>
        <v>-8.7002840909090606E-3</v>
      </c>
      <c r="F313" s="51">
        <f>'Rådata-K'!P312</f>
        <v>0.10317033852767329</v>
      </c>
      <c r="G313" s="51">
        <f>'Rådata-K'!Q312</f>
        <v>0.18735446892351781</v>
      </c>
      <c r="H313" s="51">
        <f>'Rådata-K'!R312</f>
        <v>7.1611253196930846E-2</v>
      </c>
      <c r="I313" s="51">
        <f>'Rådata-K'!S312</f>
        <v>0.95804195804195802</v>
      </c>
      <c r="J313" s="52">
        <f>'Rådata-K'!K312</f>
        <v>350300</v>
      </c>
      <c r="K313" s="26">
        <f>Tabell2[[#This Row],[NIBR11]]</f>
        <v>9</v>
      </c>
      <c r="L313" s="52">
        <f>IF(Tabell2[[#This Row],[ReisetidOslo]]&lt;=C$434,C$434,IF(Tabell2[[#This Row],[ReisetidOslo]]&gt;=C$435,C$435,Tabell2[[#This Row],[ReisetidOslo]]))</f>
        <v>153.59273603817002</v>
      </c>
      <c r="M313" s="51">
        <f>IF(Tabell2[[#This Row],[Beftettotal]]&lt;=D$434,D$434,IF(Tabell2[[#This Row],[Beftettotal]]&gt;=D$435,D$435,Tabell2[[#This Row],[Beftettotal]]))</f>
        <v>2.8536233810044673</v>
      </c>
      <c r="N313" s="51">
        <f>IF(Tabell2[[#This Row],[Befvekst10]]&lt;=E$434,E$434,IF(Tabell2[[#This Row],[Befvekst10]]&gt;=E$435,E$435,Tabell2[[#This Row],[Befvekst10]]))</f>
        <v>-8.7002840909090606E-3</v>
      </c>
      <c r="O313" s="51">
        <f>IF(Tabell2[[#This Row],[Kvinneandel]]&lt;=F$434,F$434,IF(Tabell2[[#This Row],[Kvinneandel]]&gt;=F$435,F$435,Tabell2[[#This Row],[Kvinneandel]]))</f>
        <v>0.10317033852767329</v>
      </c>
      <c r="P313" s="51">
        <f>IF(Tabell2[[#This Row],[Eldreandel]]&lt;=G$434,G$434,IF(Tabell2[[#This Row],[Eldreandel]]&gt;=G$435,G$435,Tabell2[[#This Row],[Eldreandel]]))</f>
        <v>0.18735446892351781</v>
      </c>
      <c r="Q313" s="51">
        <f>IF(Tabell2[[#This Row],[Sysselsettingsvekst10]]&lt;=H$434,H$434,IF(Tabell2[[#This Row],[Sysselsettingsvekst10]]&gt;=H$435,H$435,Tabell2[[#This Row],[Sysselsettingsvekst10]]))</f>
        <v>7.1611253196930846E-2</v>
      </c>
      <c r="R313" s="51">
        <f>IF(Tabell2[[#This Row],[Yrkesaktivandel]]&lt;=I$434,I$434,IF(Tabell2[[#This Row],[Yrkesaktivandel]]&gt;=I$435,I$435,Tabell2[[#This Row],[Yrkesaktivandel]]))</f>
        <v>0.95804195804195802</v>
      </c>
      <c r="S313" s="52">
        <f>IF(Tabell2[[#This Row],[Inntekt]]&lt;=J$434,J$434,IF(Tabell2[[#This Row],[Inntekt]]&gt;=J$435,J$435,Tabell2[[#This Row],[Inntekt]]))</f>
        <v>350300</v>
      </c>
      <c r="T313" s="9">
        <f>IF(Tabell2[[#This Row],[NIBR11-T]]&lt;=K$437,100,IF(Tabell2[[#This Row],[NIBR11-T]]&gt;=K$436,0,100*(K$436-Tabell2[[#This Row],[NIBR11-T]])/K$439))</f>
        <v>20</v>
      </c>
      <c r="U313" s="9">
        <f>(L$436-Tabell2[[#This Row],[ReisetidOslo-T]])*100/L$439</f>
        <v>55.699301847879745</v>
      </c>
      <c r="V313" s="9">
        <f>100-(M$436-Tabell2[[#This Row],[Beftettotal-T]])*100/M$439</f>
        <v>1.1924374433878455</v>
      </c>
      <c r="W313" s="9">
        <f>100-(N$436-Tabell2[[#This Row],[Befvekst10-T]])*100/N$439</f>
        <v>29.169842306252846</v>
      </c>
      <c r="X313" s="9">
        <f>100-(O$436-Tabell2[[#This Row],[Kvinneandel-T]])*100/O$439</f>
        <v>34.187858637941062</v>
      </c>
      <c r="Y313" s="9">
        <f>(P$436-Tabell2[[#This Row],[Eldreandel-T]])*100/P$439</f>
        <v>23.746382959210166</v>
      </c>
      <c r="Z313" s="9">
        <f>100-(Q$436-Tabell2[[#This Row],[Sysselsettingsvekst10-T]])*100/Q$439</f>
        <v>45.033458994788269</v>
      </c>
      <c r="AA313" s="9">
        <f>100-(R$436-Tabell2[[#This Row],[Yrkesaktivandel-T]])*100/R$439</f>
        <v>96.916564586049361</v>
      </c>
      <c r="AB313" s="9">
        <f>100-(S$436-Tabell2[[#This Row],[Inntekt-T]])*100/S$439</f>
        <v>37.507858669684396</v>
      </c>
      <c r="AC313" s="48">
        <f>Tabell2[[#This Row],[NIBR11-I]]*Vekter!$B$3</f>
        <v>4</v>
      </c>
      <c r="AD313" s="48">
        <f>Tabell2[[#This Row],[ReisetidOslo-I]]*Vekter!$C$3</f>
        <v>5.5699301847879745</v>
      </c>
      <c r="AE313" s="48">
        <f>Tabell2[[#This Row],[Beftettotal-I]]*Vekter!$D$3</f>
        <v>0.11924374433878455</v>
      </c>
      <c r="AF313" s="48">
        <f>Tabell2[[#This Row],[Befvekst10-I]]*Vekter!$E$3</f>
        <v>5.8339684612505698</v>
      </c>
      <c r="AG313" s="48">
        <f>Tabell2[[#This Row],[Kvinneandel-I]]*Vekter!$F$3</f>
        <v>1.7093929318970531</v>
      </c>
      <c r="AH313" s="48">
        <f>Tabell2[[#This Row],[Eldreandel-I]]*Vekter!$G$3</f>
        <v>1.1873191479605083</v>
      </c>
      <c r="AI313" s="48">
        <f>Tabell2[[#This Row],[Sysselsettingsvekst10-I]]*Vekter!$H$3</f>
        <v>4.5033458994788269</v>
      </c>
      <c r="AJ313" s="48">
        <f>Tabell2[[#This Row],[Yrkesaktivandel-I]]*Vekter!$J$3</f>
        <v>9.6916564586049372</v>
      </c>
      <c r="AK313" s="48">
        <f>Tabell2[[#This Row],[Inntekt-I]]*Vekter!$L$3</f>
        <v>3.7507858669684397</v>
      </c>
      <c r="AL313" s="37">
        <f>SUM(Tabell2[[#This Row],[NIBR11-v]:[Inntekt-v]])</f>
        <v>36.3656426952871</v>
      </c>
    </row>
    <row r="314" spans="1:38">
      <c r="A314" s="2" t="s">
        <v>311</v>
      </c>
      <c r="B314">
        <f>'Rådata-K'!M313</f>
        <v>9</v>
      </c>
      <c r="C314" s="9">
        <f>'Rådata-K'!L313</f>
        <v>178.62639368219999</v>
      </c>
      <c r="D314" s="51">
        <f>'Rådata-K'!N313</f>
        <v>1.673418768085986</v>
      </c>
      <c r="E314" s="51">
        <f>'Rådata-K'!O313</f>
        <v>-6.8139963167587525E-2</v>
      </c>
      <c r="F314" s="51">
        <f>'Rådata-K'!P313</f>
        <v>9.7826086956521743E-2</v>
      </c>
      <c r="G314" s="51">
        <f>'Rådata-K'!Q313</f>
        <v>0.22282608695652173</v>
      </c>
      <c r="H314" s="51">
        <f>'Rådata-K'!R313</f>
        <v>-0.17012987012987013</v>
      </c>
      <c r="I314" s="51">
        <f>'Rådata-K'!S313</f>
        <v>0.93179723502304146</v>
      </c>
      <c r="J314" s="52">
        <f>'Rådata-K'!K313</f>
        <v>329300</v>
      </c>
      <c r="K314" s="26">
        <f>Tabell2[[#This Row],[NIBR11]]</f>
        <v>9</v>
      </c>
      <c r="L314" s="52">
        <f>IF(Tabell2[[#This Row],[ReisetidOslo]]&lt;=C$434,C$434,IF(Tabell2[[#This Row],[ReisetidOslo]]&gt;=C$435,C$435,Tabell2[[#This Row],[ReisetidOslo]]))</f>
        <v>178.62639368219999</v>
      </c>
      <c r="M314" s="51">
        <f>IF(Tabell2[[#This Row],[Beftettotal]]&lt;=D$434,D$434,IF(Tabell2[[#This Row],[Beftettotal]]&gt;=D$435,D$435,Tabell2[[#This Row],[Beftettotal]]))</f>
        <v>1.673418768085986</v>
      </c>
      <c r="N314" s="51">
        <f>IF(Tabell2[[#This Row],[Befvekst10]]&lt;=E$434,E$434,IF(Tabell2[[#This Row],[Befvekst10]]&gt;=E$435,E$435,Tabell2[[#This Row],[Befvekst10]]))</f>
        <v>-6.8139963167587525E-2</v>
      </c>
      <c r="O314" s="51">
        <f>IF(Tabell2[[#This Row],[Kvinneandel]]&lt;=F$434,F$434,IF(Tabell2[[#This Row],[Kvinneandel]]&gt;=F$435,F$435,Tabell2[[#This Row],[Kvinneandel]]))</f>
        <v>9.7826086956521743E-2</v>
      </c>
      <c r="P314" s="51">
        <f>IF(Tabell2[[#This Row],[Eldreandel]]&lt;=G$434,G$434,IF(Tabell2[[#This Row],[Eldreandel]]&gt;=G$435,G$435,Tabell2[[#This Row],[Eldreandel]]))</f>
        <v>0.20830063331569054</v>
      </c>
      <c r="Q314" s="51">
        <f>IF(Tabell2[[#This Row],[Sysselsettingsvekst10]]&lt;=H$434,H$434,IF(Tabell2[[#This Row],[Sysselsettingsvekst10]]&gt;=H$435,H$435,Tabell2[[#This Row],[Sysselsettingsvekst10]]))</f>
        <v>-6.8692498376029434E-2</v>
      </c>
      <c r="R314" s="51">
        <f>IF(Tabell2[[#This Row],[Yrkesaktivandel]]&lt;=I$434,I$434,IF(Tabell2[[#This Row],[Yrkesaktivandel]]&gt;=I$435,I$435,Tabell2[[#This Row],[Yrkesaktivandel]]))</f>
        <v>0.93179723502304146</v>
      </c>
      <c r="S314" s="52">
        <f>IF(Tabell2[[#This Row],[Inntekt]]&lt;=J$434,J$434,IF(Tabell2[[#This Row],[Inntekt]]&gt;=J$435,J$435,Tabell2[[#This Row],[Inntekt]]))</f>
        <v>329300</v>
      </c>
      <c r="T314" s="9">
        <f>IF(Tabell2[[#This Row],[NIBR11-T]]&lt;=K$437,100,IF(Tabell2[[#This Row],[NIBR11-T]]&gt;=K$436,0,100*(K$436-Tabell2[[#This Row],[NIBR11-T]])/K$439))</f>
        <v>20</v>
      </c>
      <c r="U314" s="9">
        <f>(L$436-Tabell2[[#This Row],[ReisetidOslo-T]])*100/L$439</f>
        <v>44.585594720620541</v>
      </c>
      <c r="V314" s="9">
        <f>100-(M$436-Tabell2[[#This Row],[Beftettotal-T]])*100/M$439</f>
        <v>0.26283509316081677</v>
      </c>
      <c r="W314" s="9">
        <f>100-(N$436-Tabell2[[#This Row],[Befvekst10-T]])*100/N$439</f>
        <v>5.1172357129403991</v>
      </c>
      <c r="X314" s="9">
        <f>100-(O$436-Tabell2[[#This Row],[Kvinneandel-T]])*100/O$439</f>
        <v>20.032551331944376</v>
      </c>
      <c r="Y314" s="9">
        <f>(P$436-Tabell2[[#This Row],[Eldreandel-T]])*100/P$439</f>
        <v>0</v>
      </c>
      <c r="Z314" s="9">
        <f>100-(Q$436-Tabell2[[#This Row],[Sysselsettingsvekst10-T]])*100/Q$439</f>
        <v>0</v>
      </c>
      <c r="AA314" s="9">
        <f>100-(R$436-Tabell2[[#This Row],[Yrkesaktivandel-T]])*100/R$439</f>
        <v>77.351760294182242</v>
      </c>
      <c r="AB314" s="9">
        <f>100-(S$436-Tabell2[[#This Row],[Inntekt-T]])*100/S$439</f>
        <v>11.102728530114419</v>
      </c>
      <c r="AC314" s="48">
        <f>Tabell2[[#This Row],[NIBR11-I]]*Vekter!$B$3</f>
        <v>4</v>
      </c>
      <c r="AD314" s="48">
        <f>Tabell2[[#This Row],[ReisetidOslo-I]]*Vekter!$C$3</f>
        <v>4.4585594720620545</v>
      </c>
      <c r="AE314" s="48">
        <f>Tabell2[[#This Row],[Beftettotal-I]]*Vekter!$D$3</f>
        <v>2.6283509316081678E-2</v>
      </c>
      <c r="AF314" s="48">
        <f>Tabell2[[#This Row],[Befvekst10-I]]*Vekter!$E$3</f>
        <v>1.0234471425880798</v>
      </c>
      <c r="AG314" s="48">
        <f>Tabell2[[#This Row],[Kvinneandel-I]]*Vekter!$F$3</f>
        <v>1.0016275665972187</v>
      </c>
      <c r="AH314" s="48">
        <f>Tabell2[[#This Row],[Eldreandel-I]]*Vekter!$G$3</f>
        <v>0</v>
      </c>
      <c r="AI314" s="48">
        <f>Tabell2[[#This Row],[Sysselsettingsvekst10-I]]*Vekter!$H$3</f>
        <v>0</v>
      </c>
      <c r="AJ314" s="48">
        <f>Tabell2[[#This Row],[Yrkesaktivandel-I]]*Vekter!$J$3</f>
        <v>7.7351760294182244</v>
      </c>
      <c r="AK314" s="48">
        <f>Tabell2[[#This Row],[Inntekt-I]]*Vekter!$L$3</f>
        <v>1.1102728530114419</v>
      </c>
      <c r="AL314" s="37">
        <f>SUM(Tabell2[[#This Row],[NIBR11-v]:[Inntekt-v]])</f>
        <v>19.355366572993098</v>
      </c>
    </row>
    <row r="315" spans="1:38">
      <c r="A315" s="2" t="s">
        <v>312</v>
      </c>
      <c r="B315">
        <f>'Rådata-K'!M314</f>
        <v>2</v>
      </c>
      <c r="C315" s="9">
        <f>'Rådata-K'!L314</f>
        <v>218.69589747340001</v>
      </c>
      <c r="D315" s="51">
        <f>'Rådata-K'!N314</f>
        <v>3.4189550177101977</v>
      </c>
      <c r="E315" s="51">
        <f>'Rådata-K'!O314</f>
        <v>9.5590768170857654E-2</v>
      </c>
      <c r="F315" s="51">
        <f>'Rådata-K'!P314</f>
        <v>0.12372268511240371</v>
      </c>
      <c r="G315" s="51">
        <f>'Rådata-K'!Q314</f>
        <v>0.16333909762615942</v>
      </c>
      <c r="H315" s="51">
        <f>'Rådata-K'!R314</f>
        <v>0.19114841663487225</v>
      </c>
      <c r="I315" s="51">
        <f>'Rådata-K'!S314</f>
        <v>0.93318848451928305</v>
      </c>
      <c r="J315" s="52">
        <f>'Rådata-K'!K314</f>
        <v>331000</v>
      </c>
      <c r="K315" s="26">
        <f>Tabell2[[#This Row],[NIBR11]]</f>
        <v>2</v>
      </c>
      <c r="L315" s="52">
        <f>IF(Tabell2[[#This Row],[ReisetidOslo]]&lt;=C$434,C$434,IF(Tabell2[[#This Row],[ReisetidOslo]]&gt;=C$435,C$435,Tabell2[[#This Row],[ReisetidOslo]]))</f>
        <v>218.69589747340001</v>
      </c>
      <c r="M315" s="51">
        <f>IF(Tabell2[[#This Row],[Beftettotal]]&lt;=D$434,D$434,IF(Tabell2[[#This Row],[Beftettotal]]&gt;=D$435,D$435,Tabell2[[#This Row],[Beftettotal]]))</f>
        <v>3.4189550177101977</v>
      </c>
      <c r="N315" s="51">
        <f>IF(Tabell2[[#This Row],[Befvekst10]]&lt;=E$434,E$434,IF(Tabell2[[#This Row],[Befvekst10]]&gt;=E$435,E$435,Tabell2[[#This Row],[Befvekst10]]))</f>
        <v>9.5590768170857654E-2</v>
      </c>
      <c r="O315" s="51">
        <f>IF(Tabell2[[#This Row],[Kvinneandel]]&lt;=F$434,F$434,IF(Tabell2[[#This Row],[Kvinneandel]]&gt;=F$435,F$435,Tabell2[[#This Row],[Kvinneandel]]))</f>
        <v>0.12372268511240371</v>
      </c>
      <c r="P315" s="51">
        <f>IF(Tabell2[[#This Row],[Eldreandel]]&lt;=G$434,G$434,IF(Tabell2[[#This Row],[Eldreandel]]&gt;=G$435,G$435,Tabell2[[#This Row],[Eldreandel]]))</f>
        <v>0.16333909762615942</v>
      </c>
      <c r="Q315" s="51">
        <f>IF(Tabell2[[#This Row],[Sysselsettingsvekst10]]&lt;=H$434,H$434,IF(Tabell2[[#This Row],[Sysselsettingsvekst10]]&gt;=H$435,H$435,Tabell2[[#This Row],[Sysselsettingsvekst10]]))</f>
        <v>0.19114841663487225</v>
      </c>
      <c r="R315" s="51">
        <f>IF(Tabell2[[#This Row],[Yrkesaktivandel]]&lt;=I$434,I$434,IF(Tabell2[[#This Row],[Yrkesaktivandel]]&gt;=I$435,I$435,Tabell2[[#This Row],[Yrkesaktivandel]]))</f>
        <v>0.93318848451928305</v>
      </c>
      <c r="S315" s="52">
        <f>IF(Tabell2[[#This Row],[Inntekt]]&lt;=J$434,J$434,IF(Tabell2[[#This Row],[Inntekt]]&gt;=J$435,J$435,Tabell2[[#This Row],[Inntekt]]))</f>
        <v>331000</v>
      </c>
      <c r="T315" s="9">
        <f>IF(Tabell2[[#This Row],[NIBR11-T]]&lt;=K$437,100,IF(Tabell2[[#This Row],[NIBR11-T]]&gt;=K$436,0,100*(K$436-Tabell2[[#This Row],[NIBR11-T]])/K$439))</f>
        <v>90</v>
      </c>
      <c r="U315" s="9">
        <f>(L$436-Tabell2[[#This Row],[ReisetidOslo-T]])*100/L$439</f>
        <v>26.796714797346546</v>
      </c>
      <c r="V315" s="9">
        <f>100-(M$436-Tabell2[[#This Row],[Beftettotal-T]])*100/M$439</f>
        <v>1.637727702709725</v>
      </c>
      <c r="W315" s="9">
        <f>100-(N$436-Tabell2[[#This Row],[Befvekst10-T]])*100/N$439</f>
        <v>71.371813955845397</v>
      </c>
      <c r="X315" s="9">
        <f>100-(O$436-Tabell2[[#This Row],[Kvinneandel-T]])*100/O$439</f>
        <v>88.624813540407146</v>
      </c>
      <c r="Y315" s="9">
        <f>(P$436-Tabell2[[#This Row],[Eldreandel-T]])*100/P$439</f>
        <v>50.972284229602231</v>
      </c>
      <c r="Z315" s="9">
        <f>100-(Q$436-Tabell2[[#This Row],[Sysselsettingsvekst10-T]])*100/Q$439</f>
        <v>83.401441943815115</v>
      </c>
      <c r="AA315" s="9">
        <f>100-(R$436-Tabell2[[#This Row],[Yrkesaktivandel-T]])*100/R$439</f>
        <v>78.388903040764347</v>
      </c>
      <c r="AB315" s="9">
        <f>100-(S$436-Tabell2[[#This Row],[Inntekt-T]])*100/S$439</f>
        <v>13.240286684270089</v>
      </c>
      <c r="AC315" s="48">
        <f>Tabell2[[#This Row],[NIBR11-I]]*Vekter!$B$3</f>
        <v>18</v>
      </c>
      <c r="AD315" s="48">
        <f>Tabell2[[#This Row],[ReisetidOslo-I]]*Vekter!$C$3</f>
        <v>2.6796714797346546</v>
      </c>
      <c r="AE315" s="48">
        <f>Tabell2[[#This Row],[Beftettotal-I]]*Vekter!$D$3</f>
        <v>0.16377277027097251</v>
      </c>
      <c r="AF315" s="48">
        <f>Tabell2[[#This Row],[Befvekst10-I]]*Vekter!$E$3</f>
        <v>14.27436279116908</v>
      </c>
      <c r="AG315" s="48">
        <f>Tabell2[[#This Row],[Kvinneandel-I]]*Vekter!$F$3</f>
        <v>4.4312406770203578</v>
      </c>
      <c r="AH315" s="48">
        <f>Tabell2[[#This Row],[Eldreandel-I]]*Vekter!$G$3</f>
        <v>2.5486142114801118</v>
      </c>
      <c r="AI315" s="48">
        <f>Tabell2[[#This Row],[Sysselsettingsvekst10-I]]*Vekter!$H$3</f>
        <v>8.3401441943815122</v>
      </c>
      <c r="AJ315" s="48">
        <f>Tabell2[[#This Row],[Yrkesaktivandel-I]]*Vekter!$J$3</f>
        <v>7.8388903040764353</v>
      </c>
      <c r="AK315" s="48">
        <f>Tabell2[[#This Row],[Inntekt-I]]*Vekter!$L$3</f>
        <v>1.3240286684270091</v>
      </c>
      <c r="AL315" s="37">
        <f>SUM(Tabell2[[#This Row],[NIBR11-v]:[Inntekt-v]])</f>
        <v>59.60072509656014</v>
      </c>
    </row>
    <row r="316" spans="1:38">
      <c r="A316" s="2" t="s">
        <v>313</v>
      </c>
      <c r="B316">
        <f>'Rådata-K'!M315</f>
        <v>2</v>
      </c>
      <c r="C316" s="9">
        <f>'Rådata-K'!L315</f>
        <v>192.3089549231</v>
      </c>
      <c r="D316" s="51">
        <f>'Rådata-K'!N315</f>
        <v>22.835564907830452</v>
      </c>
      <c r="E316" s="51">
        <f>'Rådata-K'!O315</f>
        <v>0.14961544042954578</v>
      </c>
      <c r="F316" s="51">
        <f>'Rådata-K'!P315</f>
        <v>0.12578894218631659</v>
      </c>
      <c r="G316" s="51">
        <f>'Rådata-K'!Q315</f>
        <v>0.13266851805099722</v>
      </c>
      <c r="H316" s="51">
        <f>'Rådata-K'!R315</f>
        <v>0.15197863559116298</v>
      </c>
      <c r="I316" s="51">
        <f>'Rådata-K'!S315</f>
        <v>0.90642888595332449</v>
      </c>
      <c r="J316" s="52">
        <f>'Rådata-K'!K315</f>
        <v>360100</v>
      </c>
      <c r="K316" s="26">
        <f>Tabell2[[#This Row],[NIBR11]]</f>
        <v>2</v>
      </c>
      <c r="L316" s="52">
        <f>IF(Tabell2[[#This Row],[ReisetidOslo]]&lt;=C$434,C$434,IF(Tabell2[[#This Row],[ReisetidOslo]]&gt;=C$435,C$435,Tabell2[[#This Row],[ReisetidOslo]]))</f>
        <v>192.3089549231</v>
      </c>
      <c r="M316" s="51">
        <f>IF(Tabell2[[#This Row],[Beftettotal]]&lt;=D$434,D$434,IF(Tabell2[[#This Row],[Beftettotal]]&gt;=D$435,D$435,Tabell2[[#This Row],[Beftettotal]]))</f>
        <v>22.835564907830452</v>
      </c>
      <c r="N316" s="51">
        <f>IF(Tabell2[[#This Row],[Befvekst10]]&lt;=E$434,E$434,IF(Tabell2[[#This Row],[Befvekst10]]&gt;=E$435,E$435,Tabell2[[#This Row],[Befvekst10]]))</f>
        <v>0.14961544042954578</v>
      </c>
      <c r="O316" s="51">
        <f>IF(Tabell2[[#This Row],[Kvinneandel]]&lt;=F$434,F$434,IF(Tabell2[[#This Row],[Kvinneandel]]&gt;=F$435,F$435,Tabell2[[#This Row],[Kvinneandel]]))</f>
        <v>0.12578894218631659</v>
      </c>
      <c r="P316" s="51">
        <f>IF(Tabell2[[#This Row],[Eldreandel]]&lt;=G$434,G$434,IF(Tabell2[[#This Row],[Eldreandel]]&gt;=G$435,G$435,Tabell2[[#This Row],[Eldreandel]]))</f>
        <v>0.13266851805099722</v>
      </c>
      <c r="Q316" s="51">
        <f>IF(Tabell2[[#This Row],[Sysselsettingsvekst10]]&lt;=H$434,H$434,IF(Tabell2[[#This Row],[Sysselsettingsvekst10]]&gt;=H$435,H$435,Tabell2[[#This Row],[Sysselsettingsvekst10]]))</f>
        <v>0.15197863559116298</v>
      </c>
      <c r="R316" s="51">
        <f>IF(Tabell2[[#This Row],[Yrkesaktivandel]]&lt;=I$434,I$434,IF(Tabell2[[#This Row],[Yrkesaktivandel]]&gt;=I$435,I$435,Tabell2[[#This Row],[Yrkesaktivandel]]))</f>
        <v>0.90642888595332449</v>
      </c>
      <c r="S316" s="52">
        <f>IF(Tabell2[[#This Row],[Inntekt]]&lt;=J$434,J$434,IF(Tabell2[[#This Row],[Inntekt]]&gt;=J$435,J$435,Tabell2[[#This Row],[Inntekt]]))</f>
        <v>360100</v>
      </c>
      <c r="T316" s="9">
        <f>IF(Tabell2[[#This Row],[NIBR11-T]]&lt;=K$437,100,IF(Tabell2[[#This Row],[NIBR11-T]]&gt;=K$436,0,100*(K$436-Tabell2[[#This Row],[NIBR11-T]])/K$439))</f>
        <v>90</v>
      </c>
      <c r="U316" s="9">
        <f>(L$436-Tabell2[[#This Row],[ReisetidOslo-T]])*100/L$439</f>
        <v>38.511213559687185</v>
      </c>
      <c r="V316" s="9">
        <f>100-(M$436-Tabell2[[#This Row],[Beftettotal-T]])*100/M$439</f>
        <v>16.931453883513626</v>
      </c>
      <c r="W316" s="9">
        <f>100-(N$436-Tabell2[[#This Row],[Befvekst10-T]])*100/N$439</f>
        <v>93.23320702451538</v>
      </c>
      <c r="X316" s="9">
        <f>100-(O$436-Tabell2[[#This Row],[Kvinneandel-T]])*100/O$439</f>
        <v>94.097704078029054</v>
      </c>
      <c r="Y316" s="9">
        <f>(P$436-Tabell2[[#This Row],[Eldreandel-T]])*100/P$439</f>
        <v>85.743105012661289</v>
      </c>
      <c r="Z316" s="9">
        <f>100-(Q$436-Tabell2[[#This Row],[Sysselsettingsvekst10-T]])*100/Q$439</f>
        <v>70.829071578155762</v>
      </c>
      <c r="AA316" s="9">
        <f>100-(R$436-Tabell2[[#This Row],[Yrkesaktivandel-T]])*100/R$439</f>
        <v>58.440271519884995</v>
      </c>
      <c r="AB316" s="9">
        <f>100-(S$436-Tabell2[[#This Row],[Inntekt-T]])*100/S$439</f>
        <v>49.830252734817051</v>
      </c>
      <c r="AC316" s="48">
        <f>Tabell2[[#This Row],[NIBR11-I]]*Vekter!$B$3</f>
        <v>18</v>
      </c>
      <c r="AD316" s="48">
        <f>Tabell2[[#This Row],[ReisetidOslo-I]]*Vekter!$C$3</f>
        <v>3.8511213559687185</v>
      </c>
      <c r="AE316" s="48">
        <f>Tabell2[[#This Row],[Beftettotal-I]]*Vekter!$D$3</f>
        <v>1.6931453883513627</v>
      </c>
      <c r="AF316" s="48">
        <f>Tabell2[[#This Row],[Befvekst10-I]]*Vekter!$E$3</f>
        <v>18.646641404903075</v>
      </c>
      <c r="AG316" s="48">
        <f>Tabell2[[#This Row],[Kvinneandel-I]]*Vekter!$F$3</f>
        <v>4.704885203901453</v>
      </c>
      <c r="AH316" s="48">
        <f>Tabell2[[#This Row],[Eldreandel-I]]*Vekter!$G$3</f>
        <v>4.2871552506330648</v>
      </c>
      <c r="AI316" s="48">
        <f>Tabell2[[#This Row],[Sysselsettingsvekst10-I]]*Vekter!$H$3</f>
        <v>7.0829071578155762</v>
      </c>
      <c r="AJ316" s="48">
        <f>Tabell2[[#This Row],[Yrkesaktivandel-I]]*Vekter!$J$3</f>
        <v>5.8440271519884996</v>
      </c>
      <c r="AK316" s="48">
        <f>Tabell2[[#This Row],[Inntekt-I]]*Vekter!$L$3</f>
        <v>4.9830252734817053</v>
      </c>
      <c r="AL316" s="37">
        <f>SUM(Tabell2[[#This Row],[NIBR11-v]:[Inntekt-v]])</f>
        <v>69.092908187043449</v>
      </c>
    </row>
    <row r="317" spans="1:38">
      <c r="A317" s="2" t="s">
        <v>314</v>
      </c>
      <c r="B317">
        <f>'Rådata-K'!M316</f>
        <v>2</v>
      </c>
      <c r="C317" s="9">
        <f>'Rådata-K'!L316</f>
        <v>198.54591583799998</v>
      </c>
      <c r="D317" s="51">
        <f>'Rådata-K'!N316</f>
        <v>32.969091476740552</v>
      </c>
      <c r="E317" s="51">
        <f>'Rådata-K'!O316</f>
        <v>0.23426281516112879</v>
      </c>
      <c r="F317" s="51">
        <f>'Rådata-K'!P316</f>
        <v>0.12784090909090909</v>
      </c>
      <c r="G317" s="51">
        <f>'Rådata-K'!Q316</f>
        <v>0.1185064935064935</v>
      </c>
      <c r="H317" s="51">
        <f>'Rådata-K'!R316</f>
        <v>0.19224422442244227</v>
      </c>
      <c r="I317" s="51">
        <f>'Rådata-K'!S316</f>
        <v>0.89175977653631289</v>
      </c>
      <c r="J317" s="52">
        <f>'Rådata-K'!K316</f>
        <v>367900</v>
      </c>
      <c r="K317" s="26">
        <f>Tabell2[[#This Row],[NIBR11]]</f>
        <v>2</v>
      </c>
      <c r="L317" s="52">
        <f>IF(Tabell2[[#This Row],[ReisetidOslo]]&lt;=C$434,C$434,IF(Tabell2[[#This Row],[ReisetidOslo]]&gt;=C$435,C$435,Tabell2[[#This Row],[ReisetidOslo]]))</f>
        <v>198.54591583799998</v>
      </c>
      <c r="M317" s="51">
        <f>IF(Tabell2[[#This Row],[Beftettotal]]&lt;=D$434,D$434,IF(Tabell2[[#This Row],[Beftettotal]]&gt;=D$435,D$435,Tabell2[[#This Row],[Beftettotal]]))</f>
        <v>32.969091476740552</v>
      </c>
      <c r="N317" s="51">
        <f>IF(Tabell2[[#This Row],[Befvekst10]]&lt;=E$434,E$434,IF(Tabell2[[#This Row],[Befvekst10]]&gt;=E$435,E$435,Tabell2[[#This Row],[Befvekst10]]))</f>
        <v>0.16633778614624492</v>
      </c>
      <c r="O317" s="51">
        <f>IF(Tabell2[[#This Row],[Kvinneandel]]&lt;=F$434,F$434,IF(Tabell2[[#This Row],[Kvinneandel]]&gt;=F$435,F$435,Tabell2[[#This Row],[Kvinneandel]]))</f>
        <v>0.12784090909090909</v>
      </c>
      <c r="P317" s="51">
        <f>IF(Tabell2[[#This Row],[Eldreandel]]&lt;=G$434,G$434,IF(Tabell2[[#This Row],[Eldreandel]]&gt;=G$435,G$435,Tabell2[[#This Row],[Eldreandel]]))</f>
        <v>0.1200928231908705</v>
      </c>
      <c r="Q317" s="51">
        <f>IF(Tabell2[[#This Row],[Sysselsettingsvekst10]]&lt;=H$434,H$434,IF(Tabell2[[#This Row],[Sysselsettingsvekst10]]&gt;=H$435,H$435,Tabell2[[#This Row],[Sysselsettingsvekst10]]))</f>
        <v>0.19224422442244227</v>
      </c>
      <c r="R317" s="51">
        <f>IF(Tabell2[[#This Row],[Yrkesaktivandel]]&lt;=I$434,I$434,IF(Tabell2[[#This Row],[Yrkesaktivandel]]&gt;=I$435,I$435,Tabell2[[#This Row],[Yrkesaktivandel]]))</f>
        <v>0.89175977653631289</v>
      </c>
      <c r="S317" s="52">
        <f>IF(Tabell2[[#This Row],[Inntekt]]&lt;=J$434,J$434,IF(Tabell2[[#This Row],[Inntekt]]&gt;=J$435,J$435,Tabell2[[#This Row],[Inntekt]]))</f>
        <v>367900</v>
      </c>
      <c r="T317" s="9">
        <f>IF(Tabell2[[#This Row],[NIBR11-T]]&lt;=K$437,100,IF(Tabell2[[#This Row],[NIBR11-T]]&gt;=K$436,0,100*(K$436-Tabell2[[#This Row],[NIBR11-T]])/K$439))</f>
        <v>90</v>
      </c>
      <c r="U317" s="9">
        <f>(L$436-Tabell2[[#This Row],[ReisetidOslo-T]])*100/L$439</f>
        <v>35.742311070166579</v>
      </c>
      <c r="V317" s="9">
        <f>100-(M$436-Tabell2[[#This Row],[Beftettotal-T]])*100/M$439</f>
        <v>24.913247897394001</v>
      </c>
      <c r="W317" s="9">
        <f>100-(N$436-Tabell2[[#This Row],[Befvekst10-T]])*100/N$439</f>
        <v>100</v>
      </c>
      <c r="X317" s="9">
        <f>100-(O$436-Tabell2[[#This Row],[Kvinneandel-T]])*100/O$439</f>
        <v>99.532744275806067</v>
      </c>
      <c r="Y317" s="9">
        <f>(P$436-Tabell2[[#This Row],[Eldreandel-T]])*100/P$439</f>
        <v>100.00000000000001</v>
      </c>
      <c r="Z317" s="9">
        <f>100-(Q$436-Tabell2[[#This Row],[Sysselsettingsvekst10-T]])*100/Q$439</f>
        <v>83.753164649120265</v>
      </c>
      <c r="AA317" s="9">
        <f>100-(R$436-Tabell2[[#This Row],[Yrkesaktivandel-T]])*100/R$439</f>
        <v>47.504806334256799</v>
      </c>
      <c r="AB317" s="9">
        <f>100-(S$436-Tabell2[[#This Row],[Inntekt-T]])*100/S$439</f>
        <v>59.63787250094304</v>
      </c>
      <c r="AC317" s="48">
        <f>Tabell2[[#This Row],[NIBR11-I]]*Vekter!$B$3</f>
        <v>18</v>
      </c>
      <c r="AD317" s="48">
        <f>Tabell2[[#This Row],[ReisetidOslo-I]]*Vekter!$C$3</f>
        <v>3.5742311070166579</v>
      </c>
      <c r="AE317" s="48">
        <f>Tabell2[[#This Row],[Beftettotal-I]]*Vekter!$D$3</f>
        <v>2.4913247897394002</v>
      </c>
      <c r="AF317" s="48">
        <f>Tabell2[[#This Row],[Befvekst10-I]]*Vekter!$E$3</f>
        <v>20</v>
      </c>
      <c r="AG317" s="48">
        <f>Tabell2[[#This Row],[Kvinneandel-I]]*Vekter!$F$3</f>
        <v>4.9766372137903039</v>
      </c>
      <c r="AH317" s="48">
        <f>Tabell2[[#This Row],[Eldreandel-I]]*Vekter!$G$3</f>
        <v>5.0000000000000009</v>
      </c>
      <c r="AI317" s="48">
        <f>Tabell2[[#This Row],[Sysselsettingsvekst10-I]]*Vekter!$H$3</f>
        <v>8.3753164649120269</v>
      </c>
      <c r="AJ317" s="48">
        <f>Tabell2[[#This Row],[Yrkesaktivandel-I]]*Vekter!$J$3</f>
        <v>4.7504806334256804</v>
      </c>
      <c r="AK317" s="48">
        <f>Tabell2[[#This Row],[Inntekt-I]]*Vekter!$L$3</f>
        <v>5.9637872500943043</v>
      </c>
      <c r="AL317" s="37">
        <f>SUM(Tabell2[[#This Row],[NIBR11-v]:[Inntekt-v]])</f>
        <v>73.131777458978362</v>
      </c>
    </row>
    <row r="318" spans="1:38">
      <c r="A318" s="2" t="s">
        <v>315</v>
      </c>
      <c r="B318">
        <f>'Rådata-K'!M317</f>
        <v>2</v>
      </c>
      <c r="C318" s="9">
        <f>'Rådata-K'!L317</f>
        <v>188.01275223900001</v>
      </c>
      <c r="D318" s="51">
        <f>'Rådata-K'!N317</f>
        <v>32.034771410173853</v>
      </c>
      <c r="E318" s="51">
        <f>'Rådata-K'!O317</f>
        <v>0.13476525375403914</v>
      </c>
      <c r="F318" s="51">
        <f>'Rådata-K'!P317</f>
        <v>0.12395309882747069</v>
      </c>
      <c r="G318" s="51">
        <f>'Rådata-K'!Q317</f>
        <v>0.10083752093802345</v>
      </c>
      <c r="H318" s="51">
        <f>'Rådata-K'!R317</f>
        <v>5.770887166235994E-2</v>
      </c>
      <c r="I318" s="51">
        <f>'Rådata-K'!S317</f>
        <v>0.90938322128032734</v>
      </c>
      <c r="J318" s="52">
        <f>'Rådata-K'!K317</f>
        <v>375200</v>
      </c>
      <c r="K318" s="26">
        <f>Tabell2[[#This Row],[NIBR11]]</f>
        <v>2</v>
      </c>
      <c r="L318" s="52">
        <f>IF(Tabell2[[#This Row],[ReisetidOslo]]&lt;=C$434,C$434,IF(Tabell2[[#This Row],[ReisetidOslo]]&gt;=C$435,C$435,Tabell2[[#This Row],[ReisetidOslo]]))</f>
        <v>188.01275223900001</v>
      </c>
      <c r="M318" s="51">
        <f>IF(Tabell2[[#This Row],[Beftettotal]]&lt;=D$434,D$434,IF(Tabell2[[#This Row],[Beftettotal]]&gt;=D$435,D$435,Tabell2[[#This Row],[Beftettotal]]))</f>
        <v>32.034771410173853</v>
      </c>
      <c r="N318" s="51">
        <f>IF(Tabell2[[#This Row],[Befvekst10]]&lt;=E$434,E$434,IF(Tabell2[[#This Row],[Befvekst10]]&gt;=E$435,E$435,Tabell2[[#This Row],[Befvekst10]]))</f>
        <v>0.13476525375403914</v>
      </c>
      <c r="O318" s="51">
        <f>IF(Tabell2[[#This Row],[Kvinneandel]]&lt;=F$434,F$434,IF(Tabell2[[#This Row],[Kvinneandel]]&gt;=F$435,F$435,Tabell2[[#This Row],[Kvinneandel]]))</f>
        <v>0.12395309882747069</v>
      </c>
      <c r="P318" s="51">
        <f>IF(Tabell2[[#This Row],[Eldreandel]]&lt;=G$434,G$434,IF(Tabell2[[#This Row],[Eldreandel]]&gt;=G$435,G$435,Tabell2[[#This Row],[Eldreandel]]))</f>
        <v>0.1200928231908705</v>
      </c>
      <c r="Q318" s="51">
        <f>IF(Tabell2[[#This Row],[Sysselsettingsvekst10]]&lt;=H$434,H$434,IF(Tabell2[[#This Row],[Sysselsettingsvekst10]]&gt;=H$435,H$435,Tabell2[[#This Row],[Sysselsettingsvekst10]]))</f>
        <v>5.770887166235994E-2</v>
      </c>
      <c r="R318" s="51">
        <f>IF(Tabell2[[#This Row],[Yrkesaktivandel]]&lt;=I$434,I$434,IF(Tabell2[[#This Row],[Yrkesaktivandel]]&gt;=I$435,I$435,Tabell2[[#This Row],[Yrkesaktivandel]]))</f>
        <v>0.90938322128032734</v>
      </c>
      <c r="S318" s="52">
        <f>IF(Tabell2[[#This Row],[Inntekt]]&lt;=J$434,J$434,IF(Tabell2[[#This Row],[Inntekt]]&gt;=J$435,J$435,Tabell2[[#This Row],[Inntekt]]))</f>
        <v>375200</v>
      </c>
      <c r="T318" s="9">
        <f>IF(Tabell2[[#This Row],[NIBR11-T]]&lt;=K$437,100,IF(Tabell2[[#This Row],[NIBR11-T]]&gt;=K$436,0,100*(K$436-Tabell2[[#This Row],[NIBR11-T]])/K$439))</f>
        <v>90</v>
      </c>
      <c r="U318" s="9">
        <f>(L$436-Tabell2[[#This Row],[ReisetidOslo-T]])*100/L$439</f>
        <v>40.418515284004677</v>
      </c>
      <c r="V318" s="9">
        <f>100-(M$436-Tabell2[[#This Row],[Beftettotal-T]])*100/M$439</f>
        <v>24.17731946580038</v>
      </c>
      <c r="W318" s="9">
        <f>100-(N$436-Tabell2[[#This Row],[Befvekst10-T]])*100/N$439</f>
        <v>87.223993928286603</v>
      </c>
      <c r="X318" s="9">
        <f>100-(O$436-Tabell2[[#This Row],[Kvinneandel-T]])*100/O$439</f>
        <v>89.235109837440689</v>
      </c>
      <c r="Y318" s="9">
        <f>(P$436-Tabell2[[#This Row],[Eldreandel-T]])*100/P$439</f>
        <v>100.00000000000001</v>
      </c>
      <c r="Z318" s="9">
        <f>100-(Q$436-Tabell2[[#This Row],[Sysselsettingsvekst10-T]])*100/Q$439</f>
        <v>40.571195357871673</v>
      </c>
      <c r="AA318" s="9">
        <f>100-(R$436-Tabell2[[#This Row],[Yrkesaktivandel-T]])*100/R$439</f>
        <v>60.642656831541672</v>
      </c>
      <c r="AB318" s="9">
        <f>100-(S$436-Tabell2[[#This Row],[Inntekt-T]])*100/S$439</f>
        <v>68.816798692317363</v>
      </c>
      <c r="AC318" s="48">
        <f>Tabell2[[#This Row],[NIBR11-I]]*Vekter!$B$3</f>
        <v>18</v>
      </c>
      <c r="AD318" s="48">
        <f>Tabell2[[#This Row],[ReisetidOslo-I]]*Vekter!$C$3</f>
        <v>4.0418515284004677</v>
      </c>
      <c r="AE318" s="48">
        <f>Tabell2[[#This Row],[Beftettotal-I]]*Vekter!$D$3</f>
        <v>2.4177319465800382</v>
      </c>
      <c r="AF318" s="48">
        <f>Tabell2[[#This Row],[Befvekst10-I]]*Vekter!$E$3</f>
        <v>17.444798785657323</v>
      </c>
      <c r="AG318" s="48">
        <f>Tabell2[[#This Row],[Kvinneandel-I]]*Vekter!$F$3</f>
        <v>4.4617554918720348</v>
      </c>
      <c r="AH318" s="48">
        <f>Tabell2[[#This Row],[Eldreandel-I]]*Vekter!$G$3</f>
        <v>5.0000000000000009</v>
      </c>
      <c r="AI318" s="48">
        <f>Tabell2[[#This Row],[Sysselsettingsvekst10-I]]*Vekter!$H$3</f>
        <v>4.0571195357871677</v>
      </c>
      <c r="AJ318" s="48">
        <f>Tabell2[[#This Row],[Yrkesaktivandel-I]]*Vekter!$J$3</f>
        <v>6.0642656831541677</v>
      </c>
      <c r="AK318" s="48">
        <f>Tabell2[[#This Row],[Inntekt-I]]*Vekter!$L$3</f>
        <v>6.8816798692317365</v>
      </c>
      <c r="AL318" s="37">
        <f>SUM(Tabell2[[#This Row],[NIBR11-v]:[Inntekt-v]])</f>
        <v>68.369202840682931</v>
      </c>
    </row>
    <row r="319" spans="1:38">
      <c r="A319" s="2" t="s">
        <v>316</v>
      </c>
      <c r="B319">
        <f>'Rådata-K'!M318</f>
        <v>2</v>
      </c>
      <c r="C319" s="9">
        <f>'Rådata-K'!L318</f>
        <v>162.96855958935001</v>
      </c>
      <c r="D319" s="51">
        <f>'Rådata-K'!N318</f>
        <v>79.381382094514365</v>
      </c>
      <c r="E319" s="51">
        <f>'Rådata-K'!O318</f>
        <v>0.12512622012790309</v>
      </c>
      <c r="F319" s="51">
        <f>'Rådata-K'!P318</f>
        <v>0.11883927903672126</v>
      </c>
      <c r="G319" s="51">
        <f>'Rådata-K'!Q318</f>
        <v>0.10866801286366017</v>
      </c>
      <c r="H319" s="51">
        <f>'Rådata-K'!R318</f>
        <v>0.34243863816310371</v>
      </c>
      <c r="I319" s="51">
        <f>'Rådata-K'!S318</f>
        <v>0.88077858880778592</v>
      </c>
      <c r="J319" s="52">
        <f>'Rådata-K'!K318</f>
        <v>403500</v>
      </c>
      <c r="K319" s="26">
        <f>Tabell2[[#This Row],[NIBR11]]</f>
        <v>2</v>
      </c>
      <c r="L319" s="52">
        <f>IF(Tabell2[[#This Row],[ReisetidOslo]]&lt;=C$434,C$434,IF(Tabell2[[#This Row],[ReisetidOslo]]&gt;=C$435,C$435,Tabell2[[#This Row],[ReisetidOslo]]))</f>
        <v>162.96855958935001</v>
      </c>
      <c r="M319" s="51">
        <f>IF(Tabell2[[#This Row],[Beftettotal]]&lt;=D$434,D$434,IF(Tabell2[[#This Row],[Beftettotal]]&gt;=D$435,D$435,Tabell2[[#This Row],[Beftettotal]]))</f>
        <v>79.381382094514365</v>
      </c>
      <c r="N319" s="51">
        <f>IF(Tabell2[[#This Row],[Befvekst10]]&lt;=E$434,E$434,IF(Tabell2[[#This Row],[Befvekst10]]&gt;=E$435,E$435,Tabell2[[#This Row],[Befvekst10]]))</f>
        <v>0.12512622012790309</v>
      </c>
      <c r="O319" s="51">
        <f>IF(Tabell2[[#This Row],[Kvinneandel]]&lt;=F$434,F$434,IF(Tabell2[[#This Row],[Kvinneandel]]&gt;=F$435,F$435,Tabell2[[#This Row],[Kvinneandel]]))</f>
        <v>0.11883927903672126</v>
      </c>
      <c r="P319" s="51">
        <f>IF(Tabell2[[#This Row],[Eldreandel]]&lt;=G$434,G$434,IF(Tabell2[[#This Row],[Eldreandel]]&gt;=G$435,G$435,Tabell2[[#This Row],[Eldreandel]]))</f>
        <v>0.1200928231908705</v>
      </c>
      <c r="Q319" s="51">
        <f>IF(Tabell2[[#This Row],[Sysselsettingsvekst10]]&lt;=H$434,H$434,IF(Tabell2[[#This Row],[Sysselsettingsvekst10]]&gt;=H$435,H$435,Tabell2[[#This Row],[Sysselsettingsvekst10]]))</f>
        <v>0.24286196513786068</v>
      </c>
      <c r="R319" s="51">
        <f>IF(Tabell2[[#This Row],[Yrkesaktivandel]]&lt;=I$434,I$434,IF(Tabell2[[#This Row],[Yrkesaktivandel]]&gt;=I$435,I$435,Tabell2[[#This Row],[Yrkesaktivandel]]))</f>
        <v>0.88077858880778592</v>
      </c>
      <c r="S319" s="52">
        <f>IF(Tabell2[[#This Row],[Inntekt]]&lt;=J$434,J$434,IF(Tabell2[[#This Row],[Inntekt]]&gt;=J$435,J$435,Tabell2[[#This Row],[Inntekt]]))</f>
        <v>400000</v>
      </c>
      <c r="T319" s="9">
        <f>IF(Tabell2[[#This Row],[NIBR11-T]]&lt;=K$437,100,IF(Tabell2[[#This Row],[NIBR11-T]]&gt;=K$436,0,100*(K$436-Tabell2[[#This Row],[NIBR11-T]])/K$439))</f>
        <v>90</v>
      </c>
      <c r="U319" s="9">
        <f>(L$436-Tabell2[[#This Row],[ReisetidOslo-T]])*100/L$439</f>
        <v>51.536899433244045</v>
      </c>
      <c r="V319" s="9">
        <f>100-(M$436-Tabell2[[#This Row],[Beftettotal-T]])*100/M$439</f>
        <v>61.470446509768848</v>
      </c>
      <c r="W319" s="9">
        <f>100-(N$436-Tabell2[[#This Row],[Befvekst10-T]])*100/N$439</f>
        <v>83.323503761607256</v>
      </c>
      <c r="X319" s="9">
        <f>100-(O$436-Tabell2[[#This Row],[Kvinneandel-T]])*100/O$439</f>
        <v>75.690146678090727</v>
      </c>
      <c r="Y319" s="9">
        <f>(P$436-Tabell2[[#This Row],[Eldreandel-T]])*100/P$439</f>
        <v>100.00000000000001</v>
      </c>
      <c r="Z319" s="9">
        <f>100-(Q$436-Tabell2[[#This Row],[Sysselsettingsvekst10-T]])*100/Q$439</f>
        <v>100</v>
      </c>
      <c r="AA319" s="9">
        <f>100-(R$436-Tabell2[[#This Row],[Yrkesaktivandel-T]])*100/R$439</f>
        <v>39.31859729535676</v>
      </c>
      <c r="AB319" s="9">
        <f>100-(S$436-Tabell2[[#This Row],[Inntekt-T]])*100/S$439</f>
        <v>100</v>
      </c>
      <c r="AC319" s="48">
        <f>Tabell2[[#This Row],[NIBR11-I]]*Vekter!$B$3</f>
        <v>18</v>
      </c>
      <c r="AD319" s="48">
        <f>Tabell2[[#This Row],[ReisetidOslo-I]]*Vekter!$C$3</f>
        <v>5.1536899433244052</v>
      </c>
      <c r="AE319" s="48">
        <f>Tabell2[[#This Row],[Beftettotal-I]]*Vekter!$D$3</f>
        <v>6.147044650976885</v>
      </c>
      <c r="AF319" s="48">
        <f>Tabell2[[#This Row],[Befvekst10-I]]*Vekter!$E$3</f>
        <v>16.664700752321451</v>
      </c>
      <c r="AG319" s="48">
        <f>Tabell2[[#This Row],[Kvinneandel-I]]*Vekter!$F$3</f>
        <v>3.7845073339045365</v>
      </c>
      <c r="AH319" s="48">
        <f>Tabell2[[#This Row],[Eldreandel-I]]*Vekter!$G$3</f>
        <v>5.0000000000000009</v>
      </c>
      <c r="AI319" s="48">
        <f>Tabell2[[#This Row],[Sysselsettingsvekst10-I]]*Vekter!$H$3</f>
        <v>10</v>
      </c>
      <c r="AJ319" s="48">
        <f>Tabell2[[#This Row],[Yrkesaktivandel-I]]*Vekter!$J$3</f>
        <v>3.9318597295356761</v>
      </c>
      <c r="AK319" s="48">
        <f>Tabell2[[#This Row],[Inntekt-I]]*Vekter!$L$3</f>
        <v>10</v>
      </c>
      <c r="AL319" s="37">
        <f>SUM(Tabell2[[#This Row],[NIBR11-v]:[Inntekt-v]])</f>
        <v>78.681802410062957</v>
      </c>
    </row>
    <row r="320" spans="1:38">
      <c r="A320" s="2" t="s">
        <v>317</v>
      </c>
      <c r="B320">
        <f>'Rådata-K'!M319</f>
        <v>2</v>
      </c>
      <c r="C320" s="9">
        <f>'Rådata-K'!L319</f>
        <v>186.36396387899998</v>
      </c>
      <c r="D320" s="51">
        <f>'Rådata-K'!N319</f>
        <v>3.2635542778475113</v>
      </c>
      <c r="E320" s="51">
        <f>'Rådata-K'!O319</f>
        <v>2.1805273833671368E-2</v>
      </c>
      <c r="F320" s="51">
        <f>'Rådata-K'!P319</f>
        <v>0.1032258064516129</v>
      </c>
      <c r="G320" s="51">
        <f>'Rådata-K'!Q319</f>
        <v>0.18312655086848637</v>
      </c>
      <c r="H320" s="51">
        <f>'Rådata-K'!R319</f>
        <v>6.3949843260188155E-2</v>
      </c>
      <c r="I320" s="51">
        <f>'Rådata-K'!S319</f>
        <v>0.9464046449307727</v>
      </c>
      <c r="J320" s="52">
        <f>'Rådata-K'!K319</f>
        <v>338000</v>
      </c>
      <c r="K320" s="26">
        <f>Tabell2[[#This Row],[NIBR11]]</f>
        <v>2</v>
      </c>
      <c r="L320" s="52">
        <f>IF(Tabell2[[#This Row],[ReisetidOslo]]&lt;=C$434,C$434,IF(Tabell2[[#This Row],[ReisetidOslo]]&gt;=C$435,C$435,Tabell2[[#This Row],[ReisetidOslo]]))</f>
        <v>186.36396387899998</v>
      </c>
      <c r="M320" s="51">
        <f>IF(Tabell2[[#This Row],[Beftettotal]]&lt;=D$434,D$434,IF(Tabell2[[#This Row],[Beftettotal]]&gt;=D$435,D$435,Tabell2[[#This Row],[Beftettotal]]))</f>
        <v>3.2635542778475113</v>
      </c>
      <c r="N320" s="51">
        <f>IF(Tabell2[[#This Row],[Befvekst10]]&lt;=E$434,E$434,IF(Tabell2[[#This Row],[Befvekst10]]&gt;=E$435,E$435,Tabell2[[#This Row],[Befvekst10]]))</f>
        <v>2.1805273833671368E-2</v>
      </c>
      <c r="O320" s="51">
        <f>IF(Tabell2[[#This Row],[Kvinneandel]]&lt;=F$434,F$434,IF(Tabell2[[#This Row],[Kvinneandel]]&gt;=F$435,F$435,Tabell2[[#This Row],[Kvinneandel]]))</f>
        <v>0.1032258064516129</v>
      </c>
      <c r="P320" s="51">
        <f>IF(Tabell2[[#This Row],[Eldreandel]]&lt;=G$434,G$434,IF(Tabell2[[#This Row],[Eldreandel]]&gt;=G$435,G$435,Tabell2[[#This Row],[Eldreandel]]))</f>
        <v>0.18312655086848637</v>
      </c>
      <c r="Q320" s="51">
        <f>IF(Tabell2[[#This Row],[Sysselsettingsvekst10]]&lt;=H$434,H$434,IF(Tabell2[[#This Row],[Sysselsettingsvekst10]]&gt;=H$435,H$435,Tabell2[[#This Row],[Sysselsettingsvekst10]]))</f>
        <v>6.3949843260188155E-2</v>
      </c>
      <c r="R320" s="51">
        <f>IF(Tabell2[[#This Row],[Yrkesaktivandel]]&lt;=I$434,I$434,IF(Tabell2[[#This Row],[Yrkesaktivandel]]&gt;=I$435,I$435,Tabell2[[#This Row],[Yrkesaktivandel]]))</f>
        <v>0.9464046449307727</v>
      </c>
      <c r="S320" s="52">
        <f>IF(Tabell2[[#This Row],[Inntekt]]&lt;=J$434,J$434,IF(Tabell2[[#This Row],[Inntekt]]&gt;=J$435,J$435,Tabell2[[#This Row],[Inntekt]]))</f>
        <v>338000</v>
      </c>
      <c r="T320" s="9">
        <f>IF(Tabell2[[#This Row],[NIBR11-T]]&lt;=K$437,100,IF(Tabell2[[#This Row],[NIBR11-T]]&gt;=K$436,0,100*(K$436-Tabell2[[#This Row],[NIBR11-T]])/K$439))</f>
        <v>90</v>
      </c>
      <c r="U320" s="9">
        <f>(L$436-Tabell2[[#This Row],[ReisetidOslo-T]])*100/L$439</f>
        <v>41.150495852263511</v>
      </c>
      <c r="V320" s="9">
        <f>100-(M$436-Tabell2[[#This Row],[Beftettotal-T]])*100/M$439</f>
        <v>1.5153244419343253</v>
      </c>
      <c r="W320" s="9">
        <f>100-(N$436-Tabell2[[#This Row],[Befvekst10-T]])*100/N$439</f>
        <v>41.514091048290979</v>
      </c>
      <c r="X320" s="9">
        <f>100-(O$436-Tabell2[[#This Row],[Kvinneandel-T]])*100/O$439</f>
        <v>34.334776405291166</v>
      </c>
      <c r="Y320" s="9">
        <f>(P$436-Tabell2[[#This Row],[Eldreandel-T]])*100/P$439</f>
        <v>28.539516411960733</v>
      </c>
      <c r="Z320" s="9">
        <f>100-(Q$436-Tabell2[[#This Row],[Sysselsettingsvekst10-T]])*100/Q$439</f>
        <v>42.574367300086507</v>
      </c>
      <c r="AA320" s="9">
        <f>100-(R$436-Tabell2[[#This Row],[Yrkesaktivandel-T]])*100/R$439</f>
        <v>88.241229992523159</v>
      </c>
      <c r="AB320" s="9">
        <f>100-(S$436-Tabell2[[#This Row],[Inntekt-T]])*100/S$439</f>
        <v>22.041996730793414</v>
      </c>
      <c r="AC320" s="48">
        <f>Tabell2[[#This Row],[NIBR11-I]]*Vekter!$B$3</f>
        <v>18</v>
      </c>
      <c r="AD320" s="48">
        <f>Tabell2[[#This Row],[ReisetidOslo-I]]*Vekter!$C$3</f>
        <v>4.1150495852263509</v>
      </c>
      <c r="AE320" s="48">
        <f>Tabell2[[#This Row],[Beftettotal-I]]*Vekter!$D$3</f>
        <v>0.15153244419343254</v>
      </c>
      <c r="AF320" s="48">
        <f>Tabell2[[#This Row],[Befvekst10-I]]*Vekter!$E$3</f>
        <v>8.3028182096581968</v>
      </c>
      <c r="AG320" s="48">
        <f>Tabell2[[#This Row],[Kvinneandel-I]]*Vekter!$F$3</f>
        <v>1.7167388202645584</v>
      </c>
      <c r="AH320" s="48">
        <f>Tabell2[[#This Row],[Eldreandel-I]]*Vekter!$G$3</f>
        <v>1.4269758205980367</v>
      </c>
      <c r="AI320" s="48">
        <f>Tabell2[[#This Row],[Sysselsettingsvekst10-I]]*Vekter!$H$3</f>
        <v>4.2574367300086511</v>
      </c>
      <c r="AJ320" s="48">
        <f>Tabell2[[#This Row],[Yrkesaktivandel-I]]*Vekter!$J$3</f>
        <v>8.8241229992523156</v>
      </c>
      <c r="AK320" s="48">
        <f>Tabell2[[#This Row],[Inntekt-I]]*Vekter!$L$3</f>
        <v>2.2041996730793416</v>
      </c>
      <c r="AL320" s="37">
        <f>SUM(Tabell2[[#This Row],[NIBR11-v]:[Inntekt-v]])</f>
        <v>48.998874282280887</v>
      </c>
    </row>
    <row r="321" spans="1:38">
      <c r="A321" s="2" t="s">
        <v>318</v>
      </c>
      <c r="B321">
        <f>'Rådata-K'!M320</f>
        <v>11</v>
      </c>
      <c r="C321" s="9">
        <f>'Rådata-K'!L320</f>
        <v>203.073546593</v>
      </c>
      <c r="D321" s="51">
        <f>'Rådata-K'!N320</f>
        <v>0.65001015640869386</v>
      </c>
      <c r="E321" s="51">
        <f>'Rådata-K'!O320</f>
        <v>-4.1065482796892372E-2</v>
      </c>
      <c r="F321" s="51">
        <f>'Rådata-K'!P320</f>
        <v>9.8379629629629636E-2</v>
      </c>
      <c r="G321" s="51">
        <f>'Rådata-K'!Q320</f>
        <v>0.22800925925925927</v>
      </c>
      <c r="H321" s="51">
        <f>'Rådata-K'!R320</f>
        <v>2.6109660574412441E-2</v>
      </c>
      <c r="I321" s="51">
        <f>'Rådata-K'!S320</f>
        <v>1.0064102564102564</v>
      </c>
      <c r="J321" s="52">
        <f>'Rådata-K'!K320</f>
        <v>323800</v>
      </c>
      <c r="K321" s="26">
        <f>Tabell2[[#This Row],[NIBR11]]</f>
        <v>11</v>
      </c>
      <c r="L321" s="52">
        <f>IF(Tabell2[[#This Row],[ReisetidOslo]]&lt;=C$434,C$434,IF(Tabell2[[#This Row],[ReisetidOslo]]&gt;=C$435,C$435,Tabell2[[#This Row],[ReisetidOslo]]))</f>
        <v>203.073546593</v>
      </c>
      <c r="M321" s="51">
        <f>IF(Tabell2[[#This Row],[Beftettotal]]&lt;=D$434,D$434,IF(Tabell2[[#This Row],[Beftettotal]]&gt;=D$435,D$435,Tabell2[[#This Row],[Beftettotal]]))</f>
        <v>1.3397285732306117</v>
      </c>
      <c r="N321" s="51">
        <f>IF(Tabell2[[#This Row],[Befvekst10]]&lt;=E$434,E$434,IF(Tabell2[[#This Row],[Befvekst10]]&gt;=E$435,E$435,Tabell2[[#This Row],[Befvekst10]]))</f>
        <v>-4.1065482796892372E-2</v>
      </c>
      <c r="O321" s="51">
        <f>IF(Tabell2[[#This Row],[Kvinneandel]]&lt;=F$434,F$434,IF(Tabell2[[#This Row],[Kvinneandel]]&gt;=F$435,F$435,Tabell2[[#This Row],[Kvinneandel]]))</f>
        <v>9.8379629629629636E-2</v>
      </c>
      <c r="P321" s="51">
        <f>IF(Tabell2[[#This Row],[Eldreandel]]&lt;=G$434,G$434,IF(Tabell2[[#This Row],[Eldreandel]]&gt;=G$435,G$435,Tabell2[[#This Row],[Eldreandel]]))</f>
        <v>0.20830063331569054</v>
      </c>
      <c r="Q321" s="51">
        <f>IF(Tabell2[[#This Row],[Sysselsettingsvekst10]]&lt;=H$434,H$434,IF(Tabell2[[#This Row],[Sysselsettingsvekst10]]&gt;=H$435,H$435,Tabell2[[#This Row],[Sysselsettingsvekst10]]))</f>
        <v>2.6109660574412441E-2</v>
      </c>
      <c r="R321" s="51">
        <f>IF(Tabell2[[#This Row],[Yrkesaktivandel]]&lt;=I$434,I$434,IF(Tabell2[[#This Row],[Yrkesaktivandel]]&gt;=I$435,I$435,Tabell2[[#This Row],[Yrkesaktivandel]]))</f>
        <v>0.96217815624658265</v>
      </c>
      <c r="S321" s="52">
        <f>IF(Tabell2[[#This Row],[Inntekt]]&lt;=J$434,J$434,IF(Tabell2[[#This Row],[Inntekt]]&gt;=J$435,J$435,Tabell2[[#This Row],[Inntekt]]))</f>
        <v>323800</v>
      </c>
      <c r="T321" s="9">
        <f>IF(Tabell2[[#This Row],[NIBR11-T]]&lt;=K$437,100,IF(Tabell2[[#This Row],[NIBR11-T]]&gt;=K$436,0,100*(K$436-Tabell2[[#This Row],[NIBR11-T]])/K$439))</f>
        <v>0</v>
      </c>
      <c r="U321" s="9">
        <f>(L$436-Tabell2[[#This Row],[ReisetidOslo-T]])*100/L$439</f>
        <v>33.732266716802108</v>
      </c>
      <c r="V321" s="9">
        <f>100-(M$436-Tabell2[[#This Row],[Beftettotal-T]])*100/M$439</f>
        <v>0</v>
      </c>
      <c r="W321" s="9">
        <f>100-(N$436-Tabell2[[#This Row],[Befvekst10-T]])*100/N$439</f>
        <v>16.073079270484058</v>
      </c>
      <c r="X321" s="9">
        <f>100-(O$436-Tabell2[[#This Row],[Kvinneandel-T]])*100/O$439</f>
        <v>21.498718584833782</v>
      </c>
      <c r="Y321" s="9">
        <f>(P$436-Tabell2[[#This Row],[Eldreandel-T]])*100/P$439</f>
        <v>0</v>
      </c>
      <c r="Z321" s="9">
        <f>100-(Q$436-Tabell2[[#This Row],[Sysselsettingsvekst10-T]])*100/Q$439</f>
        <v>30.428759672132017</v>
      </c>
      <c r="AA321" s="9">
        <f>100-(R$436-Tabell2[[#This Row],[Yrkesaktivandel-T]])*100/R$439</f>
        <v>100</v>
      </c>
      <c r="AB321" s="9">
        <f>100-(S$436-Tabell2[[#This Row],[Inntekt-T]])*100/S$439</f>
        <v>4.1870992078461029</v>
      </c>
      <c r="AC321" s="48">
        <f>Tabell2[[#This Row],[NIBR11-I]]*Vekter!$B$3</f>
        <v>0</v>
      </c>
      <c r="AD321" s="48">
        <f>Tabell2[[#This Row],[ReisetidOslo-I]]*Vekter!$C$3</f>
        <v>3.3732266716802108</v>
      </c>
      <c r="AE321" s="48">
        <f>Tabell2[[#This Row],[Beftettotal-I]]*Vekter!$D$3</f>
        <v>0</v>
      </c>
      <c r="AF321" s="48">
        <f>Tabell2[[#This Row],[Befvekst10-I]]*Vekter!$E$3</f>
        <v>3.2146158540968117</v>
      </c>
      <c r="AG321" s="48">
        <f>Tabell2[[#This Row],[Kvinneandel-I]]*Vekter!$F$3</f>
        <v>1.0749359292416891</v>
      </c>
      <c r="AH321" s="48">
        <f>Tabell2[[#This Row],[Eldreandel-I]]*Vekter!$G$3</f>
        <v>0</v>
      </c>
      <c r="AI321" s="48">
        <f>Tabell2[[#This Row],[Sysselsettingsvekst10-I]]*Vekter!$H$3</f>
        <v>3.042875967213202</v>
      </c>
      <c r="AJ321" s="48">
        <f>Tabell2[[#This Row],[Yrkesaktivandel-I]]*Vekter!$J$3</f>
        <v>10</v>
      </c>
      <c r="AK321" s="48">
        <f>Tabell2[[#This Row],[Inntekt-I]]*Vekter!$L$3</f>
        <v>0.41870992078461033</v>
      </c>
      <c r="AL321" s="37">
        <f>SUM(Tabell2[[#This Row],[NIBR11-v]:[Inntekt-v]])</f>
        <v>21.124364343016524</v>
      </c>
    </row>
    <row r="322" spans="1:38">
      <c r="A322" s="2" t="s">
        <v>319</v>
      </c>
      <c r="B322">
        <f>'Rådata-K'!M321</f>
        <v>6</v>
      </c>
      <c r="C322" s="9">
        <f>'Rådata-K'!L321</f>
        <v>225.75932197589998</v>
      </c>
      <c r="D322" s="51">
        <f>'Rådata-K'!N321</f>
        <v>13.778533485895462</v>
      </c>
      <c r="E322" s="51">
        <f>'Rådata-K'!O321</f>
        <v>5.3982690332990968E-2</v>
      </c>
      <c r="F322" s="51">
        <f>'Rådata-K'!P321</f>
        <v>0.11060078868012062</v>
      </c>
      <c r="G322" s="51">
        <f>'Rådata-K'!Q321</f>
        <v>0.1679424727441429</v>
      </c>
      <c r="H322" s="51">
        <f>'Rådata-K'!R321</f>
        <v>0.10420590081607028</v>
      </c>
      <c r="I322" s="51">
        <f>'Rådata-K'!S321</f>
        <v>0.86721649484536079</v>
      </c>
      <c r="J322" s="52">
        <f>'Rådata-K'!K321</f>
        <v>342000</v>
      </c>
      <c r="K322" s="26">
        <f>Tabell2[[#This Row],[NIBR11]]</f>
        <v>6</v>
      </c>
      <c r="L322" s="52">
        <f>IF(Tabell2[[#This Row],[ReisetidOslo]]&lt;=C$434,C$434,IF(Tabell2[[#This Row],[ReisetidOslo]]&gt;=C$435,C$435,Tabell2[[#This Row],[ReisetidOslo]]))</f>
        <v>225.75932197589998</v>
      </c>
      <c r="M322" s="51">
        <f>IF(Tabell2[[#This Row],[Beftettotal]]&lt;=D$434,D$434,IF(Tabell2[[#This Row],[Beftettotal]]&gt;=D$435,D$435,Tabell2[[#This Row],[Beftettotal]]))</f>
        <v>13.778533485895462</v>
      </c>
      <c r="N322" s="51">
        <f>IF(Tabell2[[#This Row],[Befvekst10]]&lt;=E$434,E$434,IF(Tabell2[[#This Row],[Befvekst10]]&gt;=E$435,E$435,Tabell2[[#This Row],[Befvekst10]]))</f>
        <v>5.3982690332990968E-2</v>
      </c>
      <c r="O322" s="51">
        <f>IF(Tabell2[[#This Row],[Kvinneandel]]&lt;=F$434,F$434,IF(Tabell2[[#This Row],[Kvinneandel]]&gt;=F$435,F$435,Tabell2[[#This Row],[Kvinneandel]]))</f>
        <v>0.11060078868012062</v>
      </c>
      <c r="P322" s="51">
        <f>IF(Tabell2[[#This Row],[Eldreandel]]&lt;=G$434,G$434,IF(Tabell2[[#This Row],[Eldreandel]]&gt;=G$435,G$435,Tabell2[[#This Row],[Eldreandel]]))</f>
        <v>0.1679424727441429</v>
      </c>
      <c r="Q322" s="51">
        <f>IF(Tabell2[[#This Row],[Sysselsettingsvekst10]]&lt;=H$434,H$434,IF(Tabell2[[#This Row],[Sysselsettingsvekst10]]&gt;=H$435,H$435,Tabell2[[#This Row],[Sysselsettingsvekst10]]))</f>
        <v>0.10420590081607028</v>
      </c>
      <c r="R322" s="51">
        <f>IF(Tabell2[[#This Row],[Yrkesaktivandel]]&lt;=I$434,I$434,IF(Tabell2[[#This Row],[Yrkesaktivandel]]&gt;=I$435,I$435,Tabell2[[#This Row],[Yrkesaktivandel]]))</f>
        <v>0.86721649484536079</v>
      </c>
      <c r="S322" s="52">
        <f>IF(Tabell2[[#This Row],[Inntekt]]&lt;=J$434,J$434,IF(Tabell2[[#This Row],[Inntekt]]&gt;=J$435,J$435,Tabell2[[#This Row],[Inntekt]]))</f>
        <v>342000</v>
      </c>
      <c r="T322" s="9">
        <f>IF(Tabell2[[#This Row],[NIBR11-T]]&lt;=K$437,100,IF(Tabell2[[#This Row],[NIBR11-T]]&gt;=K$436,0,100*(K$436-Tabell2[[#This Row],[NIBR11-T]])/K$439))</f>
        <v>50</v>
      </c>
      <c r="U322" s="9">
        <f>(L$436-Tabell2[[#This Row],[ReisetidOslo-T]])*100/L$439</f>
        <v>23.660903308967733</v>
      </c>
      <c r="V322" s="9">
        <f>100-(M$436-Tabell2[[#This Row],[Beftettotal-T]])*100/M$439</f>
        <v>9.7975742123516767</v>
      </c>
      <c r="W322" s="9">
        <f>100-(N$436-Tabell2[[#This Row],[Befvekst10-T]])*100/N$439</f>
        <v>54.534866938565933</v>
      </c>
      <c r="X322" s="9">
        <f>100-(O$436-Tabell2[[#This Row],[Kvinneandel-T]])*100/O$439</f>
        <v>53.868875508020423</v>
      </c>
      <c r="Y322" s="9">
        <f>(P$436-Tabell2[[#This Row],[Eldreandel-T]])*100/P$439</f>
        <v>45.753500188291845</v>
      </c>
      <c r="Z322" s="9">
        <f>100-(Q$436-Tabell2[[#This Row],[Sysselsettingsvekst10-T]])*100/Q$439</f>
        <v>55.495401106455773</v>
      </c>
      <c r="AA322" s="9">
        <f>100-(R$436-Tabell2[[#This Row],[Yrkesaktivandel-T]])*100/R$439</f>
        <v>29.208385274010226</v>
      </c>
      <c r="AB322" s="9">
        <f>100-(S$436-Tabell2[[#This Row],[Inntekt-T]])*100/S$439</f>
        <v>27.071545328806735</v>
      </c>
      <c r="AC322" s="48">
        <f>Tabell2[[#This Row],[NIBR11-I]]*Vekter!$B$3</f>
        <v>10</v>
      </c>
      <c r="AD322" s="48">
        <f>Tabell2[[#This Row],[ReisetidOslo-I]]*Vekter!$C$3</f>
        <v>2.3660903308967733</v>
      </c>
      <c r="AE322" s="48">
        <f>Tabell2[[#This Row],[Beftettotal-I]]*Vekter!$D$3</f>
        <v>0.97975742123516774</v>
      </c>
      <c r="AF322" s="48">
        <f>Tabell2[[#This Row],[Befvekst10-I]]*Vekter!$E$3</f>
        <v>10.906973387713187</v>
      </c>
      <c r="AG322" s="48">
        <f>Tabell2[[#This Row],[Kvinneandel-I]]*Vekter!$F$3</f>
        <v>2.6934437754010214</v>
      </c>
      <c r="AH322" s="48">
        <f>Tabell2[[#This Row],[Eldreandel-I]]*Vekter!$G$3</f>
        <v>2.2876750094145923</v>
      </c>
      <c r="AI322" s="48">
        <f>Tabell2[[#This Row],[Sysselsettingsvekst10-I]]*Vekter!$H$3</f>
        <v>5.5495401106455775</v>
      </c>
      <c r="AJ322" s="48">
        <f>Tabell2[[#This Row],[Yrkesaktivandel-I]]*Vekter!$J$3</f>
        <v>2.9208385274010227</v>
      </c>
      <c r="AK322" s="48">
        <f>Tabell2[[#This Row],[Inntekt-I]]*Vekter!$L$3</f>
        <v>2.7071545328806739</v>
      </c>
      <c r="AL322" s="37">
        <f>SUM(Tabell2[[#This Row],[NIBR11-v]:[Inntekt-v]])</f>
        <v>40.411473095588015</v>
      </c>
    </row>
    <row r="323" spans="1:38">
      <c r="A323" s="2" t="s">
        <v>320</v>
      </c>
      <c r="B323">
        <f>'Rådata-K'!M322</f>
        <v>6</v>
      </c>
      <c r="C323" s="9">
        <f>'Rådata-K'!L322</f>
        <v>214.90047083640002</v>
      </c>
      <c r="D323" s="51">
        <f>'Rådata-K'!N322</f>
        <v>16.833288300459337</v>
      </c>
      <c r="E323" s="51">
        <f>'Rådata-K'!O322</f>
        <v>5.2873008208594863E-2</v>
      </c>
      <c r="F323" s="51">
        <f>'Rådata-K'!P322</f>
        <v>0.11969731712909883</v>
      </c>
      <c r="G323" s="51">
        <f>'Rådata-K'!Q322</f>
        <v>0.14667889627761216</v>
      </c>
      <c r="H323" s="51">
        <f>'Rådata-K'!R322</f>
        <v>0.12673141219551032</v>
      </c>
      <c r="I323" s="51">
        <f>'Rådata-K'!S322</f>
        <v>0.88369565217391299</v>
      </c>
      <c r="J323" s="52">
        <f>'Rådata-K'!K322</f>
        <v>361100</v>
      </c>
      <c r="K323" s="26">
        <f>Tabell2[[#This Row],[NIBR11]]</f>
        <v>6</v>
      </c>
      <c r="L323" s="52">
        <f>IF(Tabell2[[#This Row],[ReisetidOslo]]&lt;=C$434,C$434,IF(Tabell2[[#This Row],[ReisetidOslo]]&gt;=C$435,C$435,Tabell2[[#This Row],[ReisetidOslo]]))</f>
        <v>214.90047083640002</v>
      </c>
      <c r="M323" s="51">
        <f>IF(Tabell2[[#This Row],[Beftettotal]]&lt;=D$434,D$434,IF(Tabell2[[#This Row],[Beftettotal]]&gt;=D$435,D$435,Tabell2[[#This Row],[Beftettotal]]))</f>
        <v>16.833288300459337</v>
      </c>
      <c r="N323" s="51">
        <f>IF(Tabell2[[#This Row],[Befvekst10]]&lt;=E$434,E$434,IF(Tabell2[[#This Row],[Befvekst10]]&gt;=E$435,E$435,Tabell2[[#This Row],[Befvekst10]]))</f>
        <v>5.2873008208594863E-2</v>
      </c>
      <c r="O323" s="51">
        <f>IF(Tabell2[[#This Row],[Kvinneandel]]&lt;=F$434,F$434,IF(Tabell2[[#This Row],[Kvinneandel]]&gt;=F$435,F$435,Tabell2[[#This Row],[Kvinneandel]]))</f>
        <v>0.11969731712909883</v>
      </c>
      <c r="P323" s="51">
        <f>IF(Tabell2[[#This Row],[Eldreandel]]&lt;=G$434,G$434,IF(Tabell2[[#This Row],[Eldreandel]]&gt;=G$435,G$435,Tabell2[[#This Row],[Eldreandel]]))</f>
        <v>0.14667889627761216</v>
      </c>
      <c r="Q323" s="51">
        <f>IF(Tabell2[[#This Row],[Sysselsettingsvekst10]]&lt;=H$434,H$434,IF(Tabell2[[#This Row],[Sysselsettingsvekst10]]&gt;=H$435,H$435,Tabell2[[#This Row],[Sysselsettingsvekst10]]))</f>
        <v>0.12673141219551032</v>
      </c>
      <c r="R323" s="51">
        <f>IF(Tabell2[[#This Row],[Yrkesaktivandel]]&lt;=I$434,I$434,IF(Tabell2[[#This Row],[Yrkesaktivandel]]&gt;=I$435,I$435,Tabell2[[#This Row],[Yrkesaktivandel]]))</f>
        <v>0.88369565217391299</v>
      </c>
      <c r="S323" s="52">
        <f>IF(Tabell2[[#This Row],[Inntekt]]&lt;=J$434,J$434,IF(Tabell2[[#This Row],[Inntekt]]&gt;=J$435,J$435,Tabell2[[#This Row],[Inntekt]]))</f>
        <v>361100</v>
      </c>
      <c r="T323" s="9">
        <f>IF(Tabell2[[#This Row],[NIBR11-T]]&lt;=K$437,100,IF(Tabell2[[#This Row],[NIBR11-T]]&gt;=K$436,0,100*(K$436-Tabell2[[#This Row],[NIBR11-T]])/K$439))</f>
        <v>50</v>
      </c>
      <c r="U323" s="9">
        <f>(L$436-Tabell2[[#This Row],[ReisetidOslo-T]])*100/L$439</f>
        <v>28.481696699169252</v>
      </c>
      <c r="V323" s="9">
        <f>100-(M$436-Tabell2[[#This Row],[Beftettotal-T]])*100/M$439</f>
        <v>12.20368856227249</v>
      </c>
      <c r="W323" s="9">
        <f>100-(N$436-Tabell2[[#This Row],[Befvekst10-T]])*100/N$439</f>
        <v>54.085827710960089</v>
      </c>
      <c r="X323" s="9">
        <f>100-(O$436-Tabell2[[#This Row],[Kvinneandel-T]])*100/O$439</f>
        <v>77.962830273941478</v>
      </c>
      <c r="Y323" s="9">
        <f>(P$436-Tabell2[[#This Row],[Eldreandel-T]])*100/P$439</f>
        <v>69.859728918425063</v>
      </c>
      <c r="Z323" s="9">
        <f>100-(Q$436-Tabell2[[#This Row],[Sysselsettingsvekst10-T]])*100/Q$439</f>
        <v>62.725440800121007</v>
      </c>
      <c r="AA323" s="9">
        <f>100-(R$436-Tabell2[[#This Row],[Yrkesaktivandel-T]])*100/R$439</f>
        <v>41.49319726442922</v>
      </c>
      <c r="AB323" s="9">
        <f>100-(S$436-Tabell2[[#This Row],[Inntekt-T]])*100/S$439</f>
        <v>51.087639884320382</v>
      </c>
      <c r="AC323" s="48">
        <f>Tabell2[[#This Row],[NIBR11-I]]*Vekter!$B$3</f>
        <v>10</v>
      </c>
      <c r="AD323" s="48">
        <f>Tabell2[[#This Row],[ReisetidOslo-I]]*Vekter!$C$3</f>
        <v>2.8481696699169254</v>
      </c>
      <c r="AE323" s="48">
        <f>Tabell2[[#This Row],[Beftettotal-I]]*Vekter!$D$3</f>
        <v>1.220368856227249</v>
      </c>
      <c r="AF323" s="48">
        <f>Tabell2[[#This Row],[Befvekst10-I]]*Vekter!$E$3</f>
        <v>10.817165542192019</v>
      </c>
      <c r="AG323" s="48">
        <f>Tabell2[[#This Row],[Kvinneandel-I]]*Vekter!$F$3</f>
        <v>3.8981415136970741</v>
      </c>
      <c r="AH323" s="48">
        <f>Tabell2[[#This Row],[Eldreandel-I]]*Vekter!$G$3</f>
        <v>3.4929864459212534</v>
      </c>
      <c r="AI323" s="48">
        <f>Tabell2[[#This Row],[Sysselsettingsvekst10-I]]*Vekter!$H$3</f>
        <v>6.2725440800121008</v>
      </c>
      <c r="AJ323" s="48">
        <f>Tabell2[[#This Row],[Yrkesaktivandel-I]]*Vekter!$J$3</f>
        <v>4.149319726442922</v>
      </c>
      <c r="AK323" s="48">
        <f>Tabell2[[#This Row],[Inntekt-I]]*Vekter!$L$3</f>
        <v>5.1087639884320382</v>
      </c>
      <c r="AL323" s="37">
        <f>SUM(Tabell2[[#This Row],[NIBR11-v]:[Inntekt-v]])</f>
        <v>47.807459822841587</v>
      </c>
    </row>
    <row r="324" spans="1:38">
      <c r="A324" s="2" t="s">
        <v>321</v>
      </c>
      <c r="B324">
        <f>'Rådata-K'!M323</f>
        <v>5</v>
      </c>
      <c r="C324" s="9">
        <f>'Rådata-K'!L323</f>
        <v>198.31502900409998</v>
      </c>
      <c r="D324" s="51">
        <f>'Rådata-K'!N323</f>
        <v>2.004837367090198</v>
      </c>
      <c r="E324" s="51">
        <f>'Rådata-K'!O323</f>
        <v>5.5139818826308584E-3</v>
      </c>
      <c r="F324" s="51">
        <f>'Rådata-K'!P323</f>
        <v>0.10810810810810811</v>
      </c>
      <c r="G324" s="51">
        <f>'Rådata-K'!Q323</f>
        <v>0.18135526831179005</v>
      </c>
      <c r="H324" s="51">
        <f>'Rådata-K'!R323</f>
        <v>-0.12961210974456006</v>
      </c>
      <c r="I324" s="51">
        <f>'Rådata-K'!S323</f>
        <v>0.79633544749823815</v>
      </c>
      <c r="J324" s="52">
        <f>'Rådata-K'!K323</f>
        <v>308300</v>
      </c>
      <c r="K324" s="26">
        <f>Tabell2[[#This Row],[NIBR11]]</f>
        <v>5</v>
      </c>
      <c r="L324" s="52">
        <f>IF(Tabell2[[#This Row],[ReisetidOslo]]&lt;=C$434,C$434,IF(Tabell2[[#This Row],[ReisetidOslo]]&gt;=C$435,C$435,Tabell2[[#This Row],[ReisetidOslo]]))</f>
        <v>198.31502900409998</v>
      </c>
      <c r="M324" s="51">
        <f>IF(Tabell2[[#This Row],[Beftettotal]]&lt;=D$434,D$434,IF(Tabell2[[#This Row],[Beftettotal]]&gt;=D$435,D$435,Tabell2[[#This Row],[Beftettotal]]))</f>
        <v>2.004837367090198</v>
      </c>
      <c r="N324" s="51">
        <f>IF(Tabell2[[#This Row],[Befvekst10]]&lt;=E$434,E$434,IF(Tabell2[[#This Row],[Befvekst10]]&gt;=E$435,E$435,Tabell2[[#This Row],[Befvekst10]]))</f>
        <v>5.5139818826308584E-3</v>
      </c>
      <c r="O324" s="51">
        <f>IF(Tabell2[[#This Row],[Kvinneandel]]&lt;=F$434,F$434,IF(Tabell2[[#This Row],[Kvinneandel]]&gt;=F$435,F$435,Tabell2[[#This Row],[Kvinneandel]]))</f>
        <v>0.10810810810810811</v>
      </c>
      <c r="P324" s="51">
        <f>IF(Tabell2[[#This Row],[Eldreandel]]&lt;=G$434,G$434,IF(Tabell2[[#This Row],[Eldreandel]]&gt;=G$435,G$435,Tabell2[[#This Row],[Eldreandel]]))</f>
        <v>0.18135526831179005</v>
      </c>
      <c r="Q324" s="51">
        <f>IF(Tabell2[[#This Row],[Sysselsettingsvekst10]]&lt;=H$434,H$434,IF(Tabell2[[#This Row],[Sysselsettingsvekst10]]&gt;=H$435,H$435,Tabell2[[#This Row],[Sysselsettingsvekst10]]))</f>
        <v>-6.8692498376029434E-2</v>
      </c>
      <c r="R324" s="51">
        <f>IF(Tabell2[[#This Row],[Yrkesaktivandel]]&lt;=I$434,I$434,IF(Tabell2[[#This Row],[Yrkesaktivandel]]&gt;=I$435,I$435,Tabell2[[#This Row],[Yrkesaktivandel]]))</f>
        <v>0.82803562853509294</v>
      </c>
      <c r="S324" s="52">
        <f>IF(Tabell2[[#This Row],[Inntekt]]&lt;=J$434,J$434,IF(Tabell2[[#This Row],[Inntekt]]&gt;=J$435,J$435,Tabell2[[#This Row],[Inntekt]]))</f>
        <v>320470</v>
      </c>
      <c r="T324" s="9">
        <f>IF(Tabell2[[#This Row],[NIBR11-T]]&lt;=K$437,100,IF(Tabell2[[#This Row],[NIBR11-T]]&gt;=K$436,0,100*(K$436-Tabell2[[#This Row],[NIBR11-T]])/K$439))</f>
        <v>60</v>
      </c>
      <c r="U324" s="9">
        <f>(L$436-Tabell2[[#This Row],[ReisetidOslo-T]])*100/L$439</f>
        <v>35.844813416727057</v>
      </c>
      <c r="V324" s="9">
        <f>100-(M$436-Tabell2[[#This Row],[Beftettotal-T]])*100/M$439</f>
        <v>0.52388093654336387</v>
      </c>
      <c r="W324" s="9">
        <f>100-(N$436-Tabell2[[#This Row],[Befvekst10-T]])*100/N$439</f>
        <v>34.921726448043344</v>
      </c>
      <c r="X324" s="9">
        <f>100-(O$436-Tabell2[[#This Row],[Kvinneandel-T]])*100/O$439</f>
        <v>47.266517994951172</v>
      </c>
      <c r="Y324" s="9">
        <f>(P$436-Tabell2[[#This Row],[Eldreandel-T]])*100/P$439</f>
        <v>30.547595463225949</v>
      </c>
      <c r="Z324" s="9">
        <f>100-(Q$436-Tabell2[[#This Row],[Sysselsettingsvekst10-T]])*100/Q$439</f>
        <v>0</v>
      </c>
      <c r="AA324" s="9">
        <f>100-(R$436-Tabell2[[#This Row],[Yrkesaktivandel-T]])*100/R$439</f>
        <v>0</v>
      </c>
      <c r="AB324" s="9">
        <f>100-(S$436-Tabell2[[#This Row],[Inntekt-T]])*100/S$439</f>
        <v>0</v>
      </c>
      <c r="AC324" s="48">
        <f>Tabell2[[#This Row],[NIBR11-I]]*Vekter!$B$3</f>
        <v>12</v>
      </c>
      <c r="AD324" s="48">
        <f>Tabell2[[#This Row],[ReisetidOslo-I]]*Vekter!$C$3</f>
        <v>3.5844813416727059</v>
      </c>
      <c r="AE324" s="48">
        <f>Tabell2[[#This Row],[Beftettotal-I]]*Vekter!$D$3</f>
        <v>5.2388093654336387E-2</v>
      </c>
      <c r="AF324" s="48">
        <f>Tabell2[[#This Row],[Befvekst10-I]]*Vekter!$E$3</f>
        <v>6.9843452896086688</v>
      </c>
      <c r="AG324" s="48">
        <f>Tabell2[[#This Row],[Kvinneandel-I]]*Vekter!$F$3</f>
        <v>2.3633258997475588</v>
      </c>
      <c r="AH324" s="48">
        <f>Tabell2[[#This Row],[Eldreandel-I]]*Vekter!$G$3</f>
        <v>1.5273797731612975</v>
      </c>
      <c r="AI324" s="48">
        <f>Tabell2[[#This Row],[Sysselsettingsvekst10-I]]*Vekter!$H$3</f>
        <v>0</v>
      </c>
      <c r="AJ324" s="48">
        <f>Tabell2[[#This Row],[Yrkesaktivandel-I]]*Vekter!$J$3</f>
        <v>0</v>
      </c>
      <c r="AK324" s="48">
        <f>Tabell2[[#This Row],[Inntekt-I]]*Vekter!$L$3</f>
        <v>0</v>
      </c>
      <c r="AL324" s="37">
        <f>SUM(Tabell2[[#This Row],[NIBR11-v]:[Inntekt-v]])</f>
        <v>26.511920397844566</v>
      </c>
    </row>
    <row r="325" spans="1:38">
      <c r="A325" s="2" t="s">
        <v>322</v>
      </c>
      <c r="B325">
        <f>'Rådata-K'!M324</f>
        <v>2</v>
      </c>
      <c r="C325" s="9">
        <f>'Rådata-K'!L324</f>
        <v>158.03299314513001</v>
      </c>
      <c r="D325" s="51">
        <f>'Rådata-K'!N324</f>
        <v>24.177663135006075</v>
      </c>
      <c r="E325" s="51">
        <f>'Rådata-K'!O324</f>
        <v>0.18146778478045733</v>
      </c>
      <c r="F325" s="51">
        <f>'Rådata-K'!P324</f>
        <v>0.11718026716042851</v>
      </c>
      <c r="G325" s="51">
        <f>'Rådata-K'!Q324</f>
        <v>0.13957589384120267</v>
      </c>
      <c r="H325" s="51">
        <f>'Rådata-K'!R324</f>
        <v>0.31931967900347358</v>
      </c>
      <c r="I325" s="51">
        <f>'Rådata-K'!S324</f>
        <v>0.89354057642739981</v>
      </c>
      <c r="J325" s="52">
        <f>'Rådata-K'!K324</f>
        <v>369200</v>
      </c>
      <c r="K325" s="26">
        <f>Tabell2[[#This Row],[NIBR11]]</f>
        <v>2</v>
      </c>
      <c r="L325" s="52">
        <f>IF(Tabell2[[#This Row],[ReisetidOslo]]&lt;=C$434,C$434,IF(Tabell2[[#This Row],[ReisetidOslo]]&gt;=C$435,C$435,Tabell2[[#This Row],[ReisetidOslo]]))</f>
        <v>158.03299314513001</v>
      </c>
      <c r="M325" s="51">
        <f>IF(Tabell2[[#This Row],[Beftettotal]]&lt;=D$434,D$434,IF(Tabell2[[#This Row],[Beftettotal]]&gt;=D$435,D$435,Tabell2[[#This Row],[Beftettotal]]))</f>
        <v>24.177663135006075</v>
      </c>
      <c r="N325" s="51">
        <f>IF(Tabell2[[#This Row],[Befvekst10]]&lt;=E$434,E$434,IF(Tabell2[[#This Row],[Befvekst10]]&gt;=E$435,E$435,Tabell2[[#This Row],[Befvekst10]]))</f>
        <v>0.16633778614624492</v>
      </c>
      <c r="O325" s="51">
        <f>IF(Tabell2[[#This Row],[Kvinneandel]]&lt;=F$434,F$434,IF(Tabell2[[#This Row],[Kvinneandel]]&gt;=F$435,F$435,Tabell2[[#This Row],[Kvinneandel]]))</f>
        <v>0.11718026716042851</v>
      </c>
      <c r="P325" s="51">
        <f>IF(Tabell2[[#This Row],[Eldreandel]]&lt;=G$434,G$434,IF(Tabell2[[#This Row],[Eldreandel]]&gt;=G$435,G$435,Tabell2[[#This Row],[Eldreandel]]))</f>
        <v>0.13957589384120267</v>
      </c>
      <c r="Q325" s="51">
        <f>IF(Tabell2[[#This Row],[Sysselsettingsvekst10]]&lt;=H$434,H$434,IF(Tabell2[[#This Row],[Sysselsettingsvekst10]]&gt;=H$435,H$435,Tabell2[[#This Row],[Sysselsettingsvekst10]]))</f>
        <v>0.24286196513786068</v>
      </c>
      <c r="R325" s="51">
        <f>IF(Tabell2[[#This Row],[Yrkesaktivandel]]&lt;=I$434,I$434,IF(Tabell2[[#This Row],[Yrkesaktivandel]]&gt;=I$435,I$435,Tabell2[[#This Row],[Yrkesaktivandel]]))</f>
        <v>0.89354057642739981</v>
      </c>
      <c r="S325" s="52">
        <f>IF(Tabell2[[#This Row],[Inntekt]]&lt;=J$434,J$434,IF(Tabell2[[#This Row],[Inntekt]]&gt;=J$435,J$435,Tabell2[[#This Row],[Inntekt]]))</f>
        <v>369200</v>
      </c>
      <c r="T325" s="9">
        <f>IF(Tabell2[[#This Row],[NIBR11-T]]&lt;=K$437,100,IF(Tabell2[[#This Row],[NIBR11-T]]&gt;=K$436,0,100*(K$436-Tabell2[[#This Row],[NIBR11-T]])/K$439))</f>
        <v>90</v>
      </c>
      <c r="U325" s="9">
        <f>(L$436-Tabell2[[#This Row],[ReisetidOslo-T]])*100/L$439</f>
        <v>53.728047077274816</v>
      </c>
      <c r="V325" s="9">
        <f>100-(M$436-Tabell2[[#This Row],[Beftettotal-T]])*100/M$439</f>
        <v>17.98857368508159</v>
      </c>
      <c r="W325" s="9">
        <f>100-(N$436-Tabell2[[#This Row],[Befvekst10-T]])*100/N$439</f>
        <v>100</v>
      </c>
      <c r="X325" s="9">
        <f>100-(O$436-Tabell2[[#This Row],[Kvinneandel-T]])*100/O$439</f>
        <v>71.295925593890928</v>
      </c>
      <c r="Y325" s="9">
        <f>(P$436-Tabell2[[#This Row],[Eldreandel-T]])*100/P$439</f>
        <v>77.912306605546263</v>
      </c>
      <c r="Z325" s="9">
        <f>100-(Q$436-Tabell2[[#This Row],[Sysselsettingsvekst10-T]])*100/Q$439</f>
        <v>100</v>
      </c>
      <c r="AA325" s="9">
        <f>100-(R$436-Tabell2[[#This Row],[Yrkesaktivandel-T]])*100/R$439</f>
        <v>48.832349449380608</v>
      </c>
      <c r="AB325" s="9">
        <f>100-(S$436-Tabell2[[#This Row],[Inntekt-T]])*100/S$439</f>
        <v>61.272475795297375</v>
      </c>
      <c r="AC325" s="48">
        <f>Tabell2[[#This Row],[NIBR11-I]]*Vekter!$B$3</f>
        <v>18</v>
      </c>
      <c r="AD325" s="48">
        <f>Tabell2[[#This Row],[ReisetidOslo-I]]*Vekter!$C$3</f>
        <v>5.3728047077274823</v>
      </c>
      <c r="AE325" s="48">
        <f>Tabell2[[#This Row],[Beftettotal-I]]*Vekter!$D$3</f>
        <v>1.798857368508159</v>
      </c>
      <c r="AF325" s="48">
        <f>Tabell2[[#This Row],[Befvekst10-I]]*Vekter!$E$3</f>
        <v>20</v>
      </c>
      <c r="AG325" s="48">
        <f>Tabell2[[#This Row],[Kvinneandel-I]]*Vekter!$F$3</f>
        <v>3.5647962796945465</v>
      </c>
      <c r="AH325" s="48">
        <f>Tabell2[[#This Row],[Eldreandel-I]]*Vekter!$G$3</f>
        <v>3.8956153302773133</v>
      </c>
      <c r="AI325" s="48">
        <f>Tabell2[[#This Row],[Sysselsettingsvekst10-I]]*Vekter!$H$3</f>
        <v>10</v>
      </c>
      <c r="AJ325" s="48">
        <f>Tabell2[[#This Row],[Yrkesaktivandel-I]]*Vekter!$J$3</f>
        <v>4.883234944938061</v>
      </c>
      <c r="AK325" s="48">
        <f>Tabell2[[#This Row],[Inntekt-I]]*Vekter!$L$3</f>
        <v>6.1272475795297376</v>
      </c>
      <c r="AL325" s="37">
        <f>SUM(Tabell2[[#This Row],[NIBR11-v]:[Inntekt-v]])</f>
        <v>73.642556210675309</v>
      </c>
    </row>
    <row r="326" spans="1:38">
      <c r="A326" s="2" t="s">
        <v>323</v>
      </c>
      <c r="B326">
        <f>'Rådata-K'!M325</f>
        <v>5</v>
      </c>
      <c r="C326" s="9">
        <f>'Rådata-K'!L325</f>
        <v>190.60556382199999</v>
      </c>
      <c r="D326" s="51">
        <f>'Rådata-K'!N325</f>
        <v>34.761530398322847</v>
      </c>
      <c r="E326" s="51">
        <f>'Rådata-K'!O325</f>
        <v>8.109209453952726E-2</v>
      </c>
      <c r="F326" s="51">
        <f>'Rådata-K'!P325</f>
        <v>0.10441010177157935</v>
      </c>
      <c r="G326" s="51">
        <f>'Rådata-K'!Q325</f>
        <v>0.18092725216735772</v>
      </c>
      <c r="H326" s="51">
        <f>'Rådata-K'!R325</f>
        <v>3.2608695652173836E-2</v>
      </c>
      <c r="I326" s="51">
        <f>'Rådata-K'!S325</f>
        <v>0.8835568101623148</v>
      </c>
      <c r="J326" s="52">
        <f>'Rådata-K'!K325</f>
        <v>314800</v>
      </c>
      <c r="K326" s="26">
        <f>Tabell2[[#This Row],[NIBR11]]</f>
        <v>5</v>
      </c>
      <c r="L326" s="52">
        <f>IF(Tabell2[[#This Row],[ReisetidOslo]]&lt;=C$434,C$434,IF(Tabell2[[#This Row],[ReisetidOslo]]&gt;=C$435,C$435,Tabell2[[#This Row],[ReisetidOslo]]))</f>
        <v>190.60556382199999</v>
      </c>
      <c r="M326" s="51">
        <f>IF(Tabell2[[#This Row],[Beftettotal]]&lt;=D$434,D$434,IF(Tabell2[[#This Row],[Beftettotal]]&gt;=D$435,D$435,Tabell2[[#This Row],[Beftettotal]]))</f>
        <v>34.761530398322847</v>
      </c>
      <c r="N326" s="51">
        <f>IF(Tabell2[[#This Row],[Befvekst10]]&lt;=E$434,E$434,IF(Tabell2[[#This Row],[Befvekst10]]&gt;=E$435,E$435,Tabell2[[#This Row],[Befvekst10]]))</f>
        <v>8.109209453952726E-2</v>
      </c>
      <c r="O326" s="51">
        <f>IF(Tabell2[[#This Row],[Kvinneandel]]&lt;=F$434,F$434,IF(Tabell2[[#This Row],[Kvinneandel]]&gt;=F$435,F$435,Tabell2[[#This Row],[Kvinneandel]]))</f>
        <v>0.10441010177157935</v>
      </c>
      <c r="P326" s="51">
        <f>IF(Tabell2[[#This Row],[Eldreandel]]&lt;=G$434,G$434,IF(Tabell2[[#This Row],[Eldreandel]]&gt;=G$435,G$435,Tabell2[[#This Row],[Eldreandel]]))</f>
        <v>0.18092725216735772</v>
      </c>
      <c r="Q326" s="51">
        <f>IF(Tabell2[[#This Row],[Sysselsettingsvekst10]]&lt;=H$434,H$434,IF(Tabell2[[#This Row],[Sysselsettingsvekst10]]&gt;=H$435,H$435,Tabell2[[#This Row],[Sysselsettingsvekst10]]))</f>
        <v>3.2608695652173836E-2</v>
      </c>
      <c r="R326" s="51">
        <f>IF(Tabell2[[#This Row],[Yrkesaktivandel]]&lt;=I$434,I$434,IF(Tabell2[[#This Row],[Yrkesaktivandel]]&gt;=I$435,I$435,Tabell2[[#This Row],[Yrkesaktivandel]]))</f>
        <v>0.8835568101623148</v>
      </c>
      <c r="S326" s="52">
        <f>IF(Tabell2[[#This Row],[Inntekt]]&lt;=J$434,J$434,IF(Tabell2[[#This Row],[Inntekt]]&gt;=J$435,J$435,Tabell2[[#This Row],[Inntekt]]))</f>
        <v>320470</v>
      </c>
      <c r="T326" s="9">
        <f>IF(Tabell2[[#This Row],[NIBR11-T]]&lt;=K$437,100,IF(Tabell2[[#This Row],[NIBR11-T]]&gt;=K$436,0,100*(K$436-Tabell2[[#This Row],[NIBR11-T]])/K$439))</f>
        <v>60</v>
      </c>
      <c r="U326" s="9">
        <f>(L$436-Tabell2[[#This Row],[ReisetidOslo-T]])*100/L$439</f>
        <v>39.26743504717404</v>
      </c>
      <c r="V326" s="9">
        <f>100-(M$436-Tabell2[[#This Row],[Beftettotal-T]])*100/M$439</f>
        <v>26.325083960312682</v>
      </c>
      <c r="W326" s="9">
        <f>100-(N$436-Tabell2[[#This Row],[Befvekst10-T]])*100/N$439</f>
        <v>65.504842626317327</v>
      </c>
      <c r="X326" s="9">
        <f>100-(O$436-Tabell2[[#This Row],[Kvinneandel-T]])*100/O$439</f>
        <v>37.471616797624428</v>
      </c>
      <c r="Y326" s="9">
        <f>(P$436-Tabell2[[#This Row],[Eldreandel-T]])*100/P$439</f>
        <v>31.032831570807193</v>
      </c>
      <c r="Z326" s="9">
        <f>100-(Q$436-Tabell2[[#This Row],[Sysselsettingsvekst10-T]])*100/Q$439</f>
        <v>32.514762550878018</v>
      </c>
      <c r="AA326" s="9">
        <f>100-(R$436-Tabell2[[#This Row],[Yrkesaktivandel-T]])*100/R$439</f>
        <v>41.389693913205051</v>
      </c>
      <c r="AB326" s="9">
        <f>100-(S$436-Tabell2[[#This Row],[Inntekt-T]])*100/S$439</f>
        <v>0</v>
      </c>
      <c r="AC326" s="48">
        <f>Tabell2[[#This Row],[NIBR11-I]]*Vekter!$B$3</f>
        <v>12</v>
      </c>
      <c r="AD326" s="48">
        <f>Tabell2[[#This Row],[ReisetidOslo-I]]*Vekter!$C$3</f>
        <v>3.926743504717404</v>
      </c>
      <c r="AE326" s="48">
        <f>Tabell2[[#This Row],[Beftettotal-I]]*Vekter!$D$3</f>
        <v>2.6325083960312683</v>
      </c>
      <c r="AF326" s="48">
        <f>Tabell2[[#This Row],[Befvekst10-I]]*Vekter!$E$3</f>
        <v>13.100968525263466</v>
      </c>
      <c r="AG326" s="48">
        <f>Tabell2[[#This Row],[Kvinneandel-I]]*Vekter!$F$3</f>
        <v>1.8735808398812215</v>
      </c>
      <c r="AH326" s="48">
        <f>Tabell2[[#This Row],[Eldreandel-I]]*Vekter!$G$3</f>
        <v>1.5516415785403597</v>
      </c>
      <c r="AI326" s="48">
        <f>Tabell2[[#This Row],[Sysselsettingsvekst10-I]]*Vekter!$H$3</f>
        <v>3.2514762550878018</v>
      </c>
      <c r="AJ326" s="48">
        <f>Tabell2[[#This Row],[Yrkesaktivandel-I]]*Vekter!$J$3</f>
        <v>4.1389693913205052</v>
      </c>
      <c r="AK326" s="48">
        <f>Tabell2[[#This Row],[Inntekt-I]]*Vekter!$L$3</f>
        <v>0</v>
      </c>
      <c r="AL326" s="37">
        <f>SUM(Tabell2[[#This Row],[NIBR11-v]:[Inntekt-v]])</f>
        <v>42.475888490842031</v>
      </c>
    </row>
    <row r="327" spans="1:38">
      <c r="A327" s="2" t="s">
        <v>324</v>
      </c>
      <c r="B327">
        <f>'Rådata-K'!M326</f>
        <v>2</v>
      </c>
      <c r="C327" s="9">
        <f>'Rådata-K'!L326</f>
        <v>238.41247688819999</v>
      </c>
      <c r="D327" s="51">
        <f>'Rådata-K'!N326</f>
        <v>8.2634062434624962</v>
      </c>
      <c r="E327" s="51">
        <f>'Rådata-K'!O326</f>
        <v>1.253204215323267E-2</v>
      </c>
      <c r="F327" s="51">
        <f>'Rådata-K'!P326</f>
        <v>0.11476793248945148</v>
      </c>
      <c r="G327" s="51">
        <f>'Rådata-K'!Q326</f>
        <v>0.17637130801687764</v>
      </c>
      <c r="H327" s="51">
        <f>'Rådata-K'!R326</f>
        <v>-4.8517520215633381E-2</v>
      </c>
      <c r="I327" s="51">
        <f>'Rådata-K'!S326</f>
        <v>0.88329048843187663</v>
      </c>
      <c r="J327" s="52">
        <f>'Rådata-K'!K326</f>
        <v>336100</v>
      </c>
      <c r="K327" s="26">
        <f>Tabell2[[#This Row],[NIBR11]]</f>
        <v>2</v>
      </c>
      <c r="L327" s="52">
        <f>IF(Tabell2[[#This Row],[ReisetidOslo]]&lt;=C$434,C$434,IF(Tabell2[[#This Row],[ReisetidOslo]]&gt;=C$435,C$435,Tabell2[[#This Row],[ReisetidOslo]]))</f>
        <v>238.41247688819999</v>
      </c>
      <c r="M327" s="51">
        <f>IF(Tabell2[[#This Row],[Beftettotal]]&lt;=D$434,D$434,IF(Tabell2[[#This Row],[Beftettotal]]&gt;=D$435,D$435,Tabell2[[#This Row],[Beftettotal]]))</f>
        <v>8.2634062434624962</v>
      </c>
      <c r="N327" s="51">
        <f>IF(Tabell2[[#This Row],[Befvekst10]]&lt;=E$434,E$434,IF(Tabell2[[#This Row],[Befvekst10]]&gt;=E$435,E$435,Tabell2[[#This Row],[Befvekst10]]))</f>
        <v>1.253204215323267E-2</v>
      </c>
      <c r="O327" s="51">
        <f>IF(Tabell2[[#This Row],[Kvinneandel]]&lt;=F$434,F$434,IF(Tabell2[[#This Row],[Kvinneandel]]&gt;=F$435,F$435,Tabell2[[#This Row],[Kvinneandel]]))</f>
        <v>0.11476793248945148</v>
      </c>
      <c r="P327" s="51">
        <f>IF(Tabell2[[#This Row],[Eldreandel]]&lt;=G$434,G$434,IF(Tabell2[[#This Row],[Eldreandel]]&gt;=G$435,G$435,Tabell2[[#This Row],[Eldreandel]]))</f>
        <v>0.17637130801687764</v>
      </c>
      <c r="Q327" s="51">
        <f>IF(Tabell2[[#This Row],[Sysselsettingsvekst10]]&lt;=H$434,H$434,IF(Tabell2[[#This Row],[Sysselsettingsvekst10]]&gt;=H$435,H$435,Tabell2[[#This Row],[Sysselsettingsvekst10]]))</f>
        <v>-4.8517520215633381E-2</v>
      </c>
      <c r="R327" s="51">
        <f>IF(Tabell2[[#This Row],[Yrkesaktivandel]]&lt;=I$434,I$434,IF(Tabell2[[#This Row],[Yrkesaktivandel]]&gt;=I$435,I$435,Tabell2[[#This Row],[Yrkesaktivandel]]))</f>
        <v>0.88329048843187663</v>
      </c>
      <c r="S327" s="52">
        <f>IF(Tabell2[[#This Row],[Inntekt]]&lt;=J$434,J$434,IF(Tabell2[[#This Row],[Inntekt]]&gt;=J$435,J$435,Tabell2[[#This Row],[Inntekt]]))</f>
        <v>336100</v>
      </c>
      <c r="T327" s="9">
        <f>IF(Tabell2[[#This Row],[NIBR11-T]]&lt;=K$437,100,IF(Tabell2[[#This Row],[NIBR11-T]]&gt;=K$436,0,100*(K$436-Tabell2[[#This Row],[NIBR11-T]])/K$439))</f>
        <v>90</v>
      </c>
      <c r="U327" s="9">
        <f>(L$436-Tabell2[[#This Row],[ReisetidOslo-T]])*100/L$439</f>
        <v>18.043527696871379</v>
      </c>
      <c r="V327" s="9">
        <f>100-(M$436-Tabell2[[#This Row],[Beftettotal-T]])*100/M$439</f>
        <v>5.453517944270601</v>
      </c>
      <c r="W327" s="9">
        <f>100-(N$436-Tabell2[[#This Row],[Befvekst10-T]])*100/N$439</f>
        <v>37.76162473415593</v>
      </c>
      <c r="X327" s="9">
        <f>100-(O$436-Tabell2[[#This Row],[Kvinneandel-T]])*100/O$439</f>
        <v>64.906380091033498</v>
      </c>
      <c r="Y327" s="9">
        <f>(P$436-Tabell2[[#This Row],[Eldreandel-T]])*100/P$439</f>
        <v>36.197843766476844</v>
      </c>
      <c r="Z327" s="9">
        <f>100-(Q$436-Tabell2[[#This Row],[Sysselsettingsvekst10-T]])*100/Q$439</f>
        <v>6.475586301300595</v>
      </c>
      <c r="AA327" s="9">
        <f>100-(R$436-Tabell2[[#This Row],[Yrkesaktivandel-T]])*100/R$439</f>
        <v>41.191157524349336</v>
      </c>
      <c r="AB327" s="9">
        <f>100-(S$436-Tabell2[[#This Row],[Inntekt-T]])*100/S$439</f>
        <v>19.652961146737084</v>
      </c>
      <c r="AC327" s="48">
        <f>Tabell2[[#This Row],[NIBR11-I]]*Vekter!$B$3</f>
        <v>18</v>
      </c>
      <c r="AD327" s="48">
        <f>Tabell2[[#This Row],[ReisetidOslo-I]]*Vekter!$C$3</f>
        <v>1.804352769687138</v>
      </c>
      <c r="AE327" s="48">
        <f>Tabell2[[#This Row],[Beftettotal-I]]*Vekter!$D$3</f>
        <v>0.54535179442706017</v>
      </c>
      <c r="AF327" s="48">
        <f>Tabell2[[#This Row],[Befvekst10-I]]*Vekter!$E$3</f>
        <v>7.5523249468311864</v>
      </c>
      <c r="AG327" s="48">
        <f>Tabell2[[#This Row],[Kvinneandel-I]]*Vekter!$F$3</f>
        <v>3.2453190045516749</v>
      </c>
      <c r="AH327" s="48">
        <f>Tabell2[[#This Row],[Eldreandel-I]]*Vekter!$G$3</f>
        <v>1.8098921883238424</v>
      </c>
      <c r="AI327" s="48">
        <f>Tabell2[[#This Row],[Sysselsettingsvekst10-I]]*Vekter!$H$3</f>
        <v>0.64755863013005954</v>
      </c>
      <c r="AJ327" s="48">
        <f>Tabell2[[#This Row],[Yrkesaktivandel-I]]*Vekter!$J$3</f>
        <v>4.1191157524349338</v>
      </c>
      <c r="AK327" s="48">
        <f>Tabell2[[#This Row],[Inntekt-I]]*Vekter!$L$3</f>
        <v>1.9652961146737085</v>
      </c>
      <c r="AL327" s="37">
        <f>SUM(Tabell2[[#This Row],[NIBR11-v]:[Inntekt-v]])</f>
        <v>39.689211201059599</v>
      </c>
    </row>
    <row r="328" spans="1:38">
      <c r="A328" s="2" t="s">
        <v>325</v>
      </c>
      <c r="B328">
        <f>'Rådata-K'!M327</f>
        <v>5</v>
      </c>
      <c r="C328" s="9">
        <f>'Rådata-K'!L327</f>
        <v>194.6274715525</v>
      </c>
      <c r="D328" s="51">
        <f>'Rådata-K'!N327</f>
        <v>29.749609006023633</v>
      </c>
      <c r="E328" s="51">
        <f>'Rådata-K'!O327</f>
        <v>7.4797202797202811E-2</v>
      </c>
      <c r="F328" s="51">
        <f>'Rådata-K'!P327</f>
        <v>0.12013325005205081</v>
      </c>
      <c r="G328" s="51">
        <f>'Rådata-K'!Q327</f>
        <v>0.14397251717676451</v>
      </c>
      <c r="H328" s="51">
        <f>'Rådata-K'!R327</f>
        <v>9.9930037313432862E-2</v>
      </c>
      <c r="I328" s="51">
        <f>'Rådata-K'!S327</f>
        <v>0.8882539682539683</v>
      </c>
      <c r="J328" s="52">
        <f>'Rådata-K'!K327</f>
        <v>354500</v>
      </c>
      <c r="K328" s="26">
        <f>Tabell2[[#This Row],[NIBR11]]</f>
        <v>5</v>
      </c>
      <c r="L328" s="52">
        <f>IF(Tabell2[[#This Row],[ReisetidOslo]]&lt;=C$434,C$434,IF(Tabell2[[#This Row],[ReisetidOslo]]&gt;=C$435,C$435,Tabell2[[#This Row],[ReisetidOslo]]))</f>
        <v>194.6274715525</v>
      </c>
      <c r="M328" s="51">
        <f>IF(Tabell2[[#This Row],[Beftettotal]]&lt;=D$434,D$434,IF(Tabell2[[#This Row],[Beftettotal]]&gt;=D$435,D$435,Tabell2[[#This Row],[Beftettotal]]))</f>
        <v>29.749609006023633</v>
      </c>
      <c r="N328" s="51">
        <f>IF(Tabell2[[#This Row],[Befvekst10]]&lt;=E$434,E$434,IF(Tabell2[[#This Row],[Befvekst10]]&gt;=E$435,E$435,Tabell2[[#This Row],[Befvekst10]]))</f>
        <v>7.4797202797202811E-2</v>
      </c>
      <c r="O328" s="51">
        <f>IF(Tabell2[[#This Row],[Kvinneandel]]&lt;=F$434,F$434,IF(Tabell2[[#This Row],[Kvinneandel]]&gt;=F$435,F$435,Tabell2[[#This Row],[Kvinneandel]]))</f>
        <v>0.12013325005205081</v>
      </c>
      <c r="P328" s="51">
        <f>IF(Tabell2[[#This Row],[Eldreandel]]&lt;=G$434,G$434,IF(Tabell2[[#This Row],[Eldreandel]]&gt;=G$435,G$435,Tabell2[[#This Row],[Eldreandel]]))</f>
        <v>0.14397251717676451</v>
      </c>
      <c r="Q328" s="51">
        <f>IF(Tabell2[[#This Row],[Sysselsettingsvekst10]]&lt;=H$434,H$434,IF(Tabell2[[#This Row],[Sysselsettingsvekst10]]&gt;=H$435,H$435,Tabell2[[#This Row],[Sysselsettingsvekst10]]))</f>
        <v>9.9930037313432862E-2</v>
      </c>
      <c r="R328" s="51">
        <f>IF(Tabell2[[#This Row],[Yrkesaktivandel]]&lt;=I$434,I$434,IF(Tabell2[[#This Row],[Yrkesaktivandel]]&gt;=I$435,I$435,Tabell2[[#This Row],[Yrkesaktivandel]]))</f>
        <v>0.8882539682539683</v>
      </c>
      <c r="S328" s="52">
        <f>IF(Tabell2[[#This Row],[Inntekt]]&lt;=J$434,J$434,IF(Tabell2[[#This Row],[Inntekt]]&gt;=J$435,J$435,Tabell2[[#This Row],[Inntekt]]))</f>
        <v>354500</v>
      </c>
      <c r="T328" s="9">
        <f>IF(Tabell2[[#This Row],[NIBR11-T]]&lt;=K$437,100,IF(Tabell2[[#This Row],[NIBR11-T]]&gt;=K$436,0,100*(K$436-Tabell2[[#This Row],[NIBR11-T]])/K$439))</f>
        <v>60</v>
      </c>
      <c r="U328" s="9">
        <f>(L$436-Tabell2[[#This Row],[ReisetidOslo-T]])*100/L$439</f>
        <v>37.481906729848966</v>
      </c>
      <c r="V328" s="9">
        <f>100-(M$436-Tabell2[[#This Row],[Beftettotal-T]])*100/M$439</f>
        <v>22.377383828965861</v>
      </c>
      <c r="W328" s="9">
        <f>100-(N$436-Tabell2[[#This Row],[Befvekst10-T]])*100/N$439</f>
        <v>62.957578627292342</v>
      </c>
      <c r="X328" s="9">
        <f>100-(O$436-Tabell2[[#This Row],[Kvinneandel-T]])*100/O$439</f>
        <v>79.117484841944332</v>
      </c>
      <c r="Y328" s="9">
        <f>(P$436-Tabell2[[#This Row],[Eldreandel-T]])*100/P$439</f>
        <v>72.927914260536994</v>
      </c>
      <c r="Z328" s="9">
        <f>100-(Q$436-Tabell2[[#This Row],[Sysselsettingsvekst10-T]])*100/Q$439</f>
        <v>54.122972204487304</v>
      </c>
      <c r="AA328" s="9">
        <f>100-(R$436-Tabell2[[#This Row],[Yrkesaktivandel-T]])*100/R$439</f>
        <v>44.89131131358387</v>
      </c>
      <c r="AB328" s="9">
        <f>100-(S$436-Tabell2[[#This Row],[Inntekt-T]])*100/S$439</f>
        <v>42.788884697598391</v>
      </c>
      <c r="AC328" s="48">
        <f>Tabell2[[#This Row],[NIBR11-I]]*Vekter!$B$3</f>
        <v>12</v>
      </c>
      <c r="AD328" s="48">
        <f>Tabell2[[#This Row],[ReisetidOslo-I]]*Vekter!$C$3</f>
        <v>3.7481906729848968</v>
      </c>
      <c r="AE328" s="48">
        <f>Tabell2[[#This Row],[Beftettotal-I]]*Vekter!$D$3</f>
        <v>2.2377383828965862</v>
      </c>
      <c r="AF328" s="48">
        <f>Tabell2[[#This Row],[Befvekst10-I]]*Vekter!$E$3</f>
        <v>12.59151572545847</v>
      </c>
      <c r="AG328" s="48">
        <f>Tabell2[[#This Row],[Kvinneandel-I]]*Vekter!$F$3</f>
        <v>3.9558742420972166</v>
      </c>
      <c r="AH328" s="48">
        <f>Tabell2[[#This Row],[Eldreandel-I]]*Vekter!$G$3</f>
        <v>3.6463957130268501</v>
      </c>
      <c r="AI328" s="48">
        <f>Tabell2[[#This Row],[Sysselsettingsvekst10-I]]*Vekter!$H$3</f>
        <v>5.412297220448731</v>
      </c>
      <c r="AJ328" s="48">
        <f>Tabell2[[#This Row],[Yrkesaktivandel-I]]*Vekter!$J$3</f>
        <v>4.4891311313583868</v>
      </c>
      <c r="AK328" s="48">
        <f>Tabell2[[#This Row],[Inntekt-I]]*Vekter!$L$3</f>
        <v>4.2788884697598393</v>
      </c>
      <c r="AL328" s="37">
        <f>SUM(Tabell2[[#This Row],[NIBR11-v]:[Inntekt-v]])</f>
        <v>52.360031558030975</v>
      </c>
    </row>
    <row r="329" spans="1:38">
      <c r="A329" s="2" t="s">
        <v>326</v>
      </c>
      <c r="B329">
        <f>'Rådata-K'!M328</f>
        <v>5</v>
      </c>
      <c r="C329" s="9">
        <f>'Rådata-K'!L328</f>
        <v>203.48505490790001</v>
      </c>
      <c r="D329" s="51">
        <f>'Rådata-K'!N328</f>
        <v>9.5605063422076828</v>
      </c>
      <c r="E329" s="51">
        <f>'Rådata-K'!O328</f>
        <v>6.9501699573298659E-2</v>
      </c>
      <c r="F329" s="51">
        <f>'Rådata-K'!P328</f>
        <v>0.11583716526913714</v>
      </c>
      <c r="G329" s="51">
        <f>'Rådata-K'!Q328</f>
        <v>0.14423857181498512</v>
      </c>
      <c r="H329" s="51">
        <f>'Rådata-K'!R328</f>
        <v>0.21399176954732502</v>
      </c>
      <c r="I329" s="51">
        <f>'Rådata-K'!S328</f>
        <v>0.86144934389407735</v>
      </c>
      <c r="J329" s="52">
        <f>'Rådata-K'!K328</f>
        <v>338800</v>
      </c>
      <c r="K329" s="26">
        <f>Tabell2[[#This Row],[NIBR11]]</f>
        <v>5</v>
      </c>
      <c r="L329" s="52">
        <f>IF(Tabell2[[#This Row],[ReisetidOslo]]&lt;=C$434,C$434,IF(Tabell2[[#This Row],[ReisetidOslo]]&gt;=C$435,C$435,Tabell2[[#This Row],[ReisetidOslo]]))</f>
        <v>203.48505490790001</v>
      </c>
      <c r="M329" s="51">
        <f>IF(Tabell2[[#This Row],[Beftettotal]]&lt;=D$434,D$434,IF(Tabell2[[#This Row],[Beftettotal]]&gt;=D$435,D$435,Tabell2[[#This Row],[Beftettotal]]))</f>
        <v>9.5605063422076828</v>
      </c>
      <c r="N329" s="51">
        <f>IF(Tabell2[[#This Row],[Befvekst10]]&lt;=E$434,E$434,IF(Tabell2[[#This Row],[Befvekst10]]&gt;=E$435,E$435,Tabell2[[#This Row],[Befvekst10]]))</f>
        <v>6.9501699573298659E-2</v>
      </c>
      <c r="O329" s="51">
        <f>IF(Tabell2[[#This Row],[Kvinneandel]]&lt;=F$434,F$434,IF(Tabell2[[#This Row],[Kvinneandel]]&gt;=F$435,F$435,Tabell2[[#This Row],[Kvinneandel]]))</f>
        <v>0.11583716526913714</v>
      </c>
      <c r="P329" s="51">
        <f>IF(Tabell2[[#This Row],[Eldreandel]]&lt;=G$434,G$434,IF(Tabell2[[#This Row],[Eldreandel]]&gt;=G$435,G$435,Tabell2[[#This Row],[Eldreandel]]))</f>
        <v>0.14423857181498512</v>
      </c>
      <c r="Q329" s="51">
        <f>IF(Tabell2[[#This Row],[Sysselsettingsvekst10]]&lt;=H$434,H$434,IF(Tabell2[[#This Row],[Sysselsettingsvekst10]]&gt;=H$435,H$435,Tabell2[[#This Row],[Sysselsettingsvekst10]]))</f>
        <v>0.21399176954732502</v>
      </c>
      <c r="R329" s="51">
        <f>IF(Tabell2[[#This Row],[Yrkesaktivandel]]&lt;=I$434,I$434,IF(Tabell2[[#This Row],[Yrkesaktivandel]]&gt;=I$435,I$435,Tabell2[[#This Row],[Yrkesaktivandel]]))</f>
        <v>0.86144934389407735</v>
      </c>
      <c r="S329" s="52">
        <f>IF(Tabell2[[#This Row],[Inntekt]]&lt;=J$434,J$434,IF(Tabell2[[#This Row],[Inntekt]]&gt;=J$435,J$435,Tabell2[[#This Row],[Inntekt]]))</f>
        <v>338800</v>
      </c>
      <c r="T329" s="9">
        <f>IF(Tabell2[[#This Row],[NIBR11-T]]&lt;=K$437,100,IF(Tabell2[[#This Row],[NIBR11-T]]&gt;=K$436,0,100*(K$436-Tabell2[[#This Row],[NIBR11-T]])/K$439))</f>
        <v>60</v>
      </c>
      <c r="U329" s="9">
        <f>(L$436-Tabell2[[#This Row],[ReisetidOslo-T]])*100/L$439</f>
        <v>33.549577356850698</v>
      </c>
      <c r="V329" s="9">
        <f>100-(M$436-Tabell2[[#This Row],[Beftettotal-T]])*100/M$439</f>
        <v>6.4751944290722321</v>
      </c>
      <c r="W329" s="9">
        <f>100-(N$436-Tabell2[[#This Row],[Befvekst10-T]])*100/N$439</f>
        <v>60.814722916482168</v>
      </c>
      <c r="X329" s="9">
        <f>100-(O$436-Tabell2[[#This Row],[Kvinneandel-T]])*100/O$439</f>
        <v>67.738454587637733</v>
      </c>
      <c r="Y329" s="9">
        <f>(P$436-Tabell2[[#This Row],[Eldreandel-T]])*100/P$439</f>
        <v>72.62629171958045</v>
      </c>
      <c r="Z329" s="9">
        <f>100-(Q$436-Tabell2[[#This Row],[Sysselsettingsvekst10-T]])*100/Q$439</f>
        <v>90.733499605519683</v>
      </c>
      <c r="AA329" s="9">
        <f>100-(R$436-Tabell2[[#This Row],[Yrkesaktivandel-T]])*100/R$439</f>
        <v>24.909114155691</v>
      </c>
      <c r="AB329" s="9">
        <f>100-(S$436-Tabell2[[#This Row],[Inntekt-T]])*100/S$439</f>
        <v>23.04790645039607</v>
      </c>
      <c r="AC329" s="48">
        <f>Tabell2[[#This Row],[NIBR11-I]]*Vekter!$B$3</f>
        <v>12</v>
      </c>
      <c r="AD329" s="48">
        <f>Tabell2[[#This Row],[ReisetidOslo-I]]*Vekter!$C$3</f>
        <v>3.3549577356850699</v>
      </c>
      <c r="AE329" s="48">
        <f>Tabell2[[#This Row],[Beftettotal-I]]*Vekter!$D$3</f>
        <v>0.6475194429072233</v>
      </c>
      <c r="AF329" s="48">
        <f>Tabell2[[#This Row],[Befvekst10-I]]*Vekter!$E$3</f>
        <v>12.162944583296435</v>
      </c>
      <c r="AG329" s="48">
        <f>Tabell2[[#This Row],[Kvinneandel-I]]*Vekter!$F$3</f>
        <v>3.3869227293818867</v>
      </c>
      <c r="AH329" s="48">
        <f>Tabell2[[#This Row],[Eldreandel-I]]*Vekter!$G$3</f>
        <v>3.6313145859790228</v>
      </c>
      <c r="AI329" s="48">
        <f>Tabell2[[#This Row],[Sysselsettingsvekst10-I]]*Vekter!$H$3</f>
        <v>9.073349960551969</v>
      </c>
      <c r="AJ329" s="48">
        <f>Tabell2[[#This Row],[Yrkesaktivandel-I]]*Vekter!$J$3</f>
        <v>2.4909114155691001</v>
      </c>
      <c r="AK329" s="48">
        <f>Tabell2[[#This Row],[Inntekt-I]]*Vekter!$L$3</f>
        <v>2.3047906450396072</v>
      </c>
      <c r="AL329" s="37">
        <f>SUM(Tabell2[[#This Row],[NIBR11-v]:[Inntekt-v]])</f>
        <v>49.05271109841032</v>
      </c>
    </row>
    <row r="330" spans="1:38">
      <c r="A330" s="2" t="s">
        <v>327</v>
      </c>
      <c r="B330">
        <f>'Rådata-K'!M329</f>
        <v>6</v>
      </c>
      <c r="C330" s="9">
        <f>'Rådata-K'!L329</f>
        <v>253.16932119419999</v>
      </c>
      <c r="D330" s="51">
        <f>'Rådata-K'!N329</f>
        <v>4.2582189276335471</v>
      </c>
      <c r="E330" s="51">
        <f>'Rådata-K'!O329</f>
        <v>-4.5454545454545414E-2</v>
      </c>
      <c r="F330" s="51">
        <f>'Rådata-K'!P329</f>
        <v>8.899297423887588E-2</v>
      </c>
      <c r="G330" s="51">
        <f>'Rådata-K'!Q329</f>
        <v>0.20101483216237315</v>
      </c>
      <c r="H330" s="51">
        <f>'Rådata-K'!R329</f>
        <v>0.16738197424892709</v>
      </c>
      <c r="I330" s="51">
        <f>'Rådata-K'!S329</f>
        <v>0.75924633635729244</v>
      </c>
      <c r="J330" s="52">
        <f>'Rådata-K'!K329</f>
        <v>300300</v>
      </c>
      <c r="K330" s="26">
        <f>Tabell2[[#This Row],[NIBR11]]</f>
        <v>6</v>
      </c>
      <c r="L330" s="52">
        <f>IF(Tabell2[[#This Row],[ReisetidOslo]]&lt;=C$434,C$434,IF(Tabell2[[#This Row],[ReisetidOslo]]&gt;=C$435,C$435,Tabell2[[#This Row],[ReisetidOslo]]))</f>
        <v>253.16932119419999</v>
      </c>
      <c r="M330" s="51">
        <f>IF(Tabell2[[#This Row],[Beftettotal]]&lt;=D$434,D$434,IF(Tabell2[[#This Row],[Beftettotal]]&gt;=D$435,D$435,Tabell2[[#This Row],[Beftettotal]]))</f>
        <v>4.2582189276335471</v>
      </c>
      <c r="N330" s="51">
        <f>IF(Tabell2[[#This Row],[Befvekst10]]&lt;=E$434,E$434,IF(Tabell2[[#This Row],[Befvekst10]]&gt;=E$435,E$435,Tabell2[[#This Row],[Befvekst10]]))</f>
        <v>-4.5454545454545414E-2</v>
      </c>
      <c r="O330" s="51">
        <f>IF(Tabell2[[#This Row],[Kvinneandel]]&lt;=F$434,F$434,IF(Tabell2[[#This Row],[Kvinneandel]]&gt;=F$435,F$435,Tabell2[[#This Row],[Kvinneandel]]))</f>
        <v>9.0262917071501733E-2</v>
      </c>
      <c r="P330" s="51">
        <f>IF(Tabell2[[#This Row],[Eldreandel]]&lt;=G$434,G$434,IF(Tabell2[[#This Row],[Eldreandel]]&gt;=G$435,G$435,Tabell2[[#This Row],[Eldreandel]]))</f>
        <v>0.20101483216237315</v>
      </c>
      <c r="Q330" s="51">
        <f>IF(Tabell2[[#This Row],[Sysselsettingsvekst10]]&lt;=H$434,H$434,IF(Tabell2[[#This Row],[Sysselsettingsvekst10]]&gt;=H$435,H$435,Tabell2[[#This Row],[Sysselsettingsvekst10]]))</f>
        <v>0.16738197424892709</v>
      </c>
      <c r="R330" s="51">
        <f>IF(Tabell2[[#This Row],[Yrkesaktivandel]]&lt;=I$434,I$434,IF(Tabell2[[#This Row],[Yrkesaktivandel]]&gt;=I$435,I$435,Tabell2[[#This Row],[Yrkesaktivandel]]))</f>
        <v>0.82803562853509294</v>
      </c>
      <c r="S330" s="52">
        <f>IF(Tabell2[[#This Row],[Inntekt]]&lt;=J$434,J$434,IF(Tabell2[[#This Row],[Inntekt]]&gt;=J$435,J$435,Tabell2[[#This Row],[Inntekt]]))</f>
        <v>320470</v>
      </c>
      <c r="T330" s="9">
        <f>IF(Tabell2[[#This Row],[NIBR11-T]]&lt;=K$437,100,IF(Tabell2[[#This Row],[NIBR11-T]]&gt;=K$436,0,100*(K$436-Tabell2[[#This Row],[NIBR11-T]])/K$439))</f>
        <v>50</v>
      </c>
      <c r="U330" s="9">
        <f>(L$436-Tabell2[[#This Row],[ReisetidOslo-T]])*100/L$439</f>
        <v>11.492217933371512</v>
      </c>
      <c r="V330" s="9">
        <f>100-(M$436-Tabell2[[#This Row],[Beftettotal-T]])*100/M$439</f>
        <v>2.2987840098835761</v>
      </c>
      <c r="W330" s="9">
        <f>100-(N$436-Tabell2[[#This Row],[Befvekst10-T]])*100/N$439</f>
        <v>14.297019926661875</v>
      </c>
      <c r="X330" s="9">
        <f>100-(O$436-Tabell2[[#This Row],[Kvinneandel-T]])*100/O$439</f>
        <v>0</v>
      </c>
      <c r="Y330" s="9">
        <f>(P$436-Tabell2[[#This Row],[Eldreandel-T]])*100/P$439</f>
        <v>8.259814117375198</v>
      </c>
      <c r="Z330" s="9">
        <f>100-(Q$436-Tabell2[[#This Row],[Sysselsettingsvekst10-T]])*100/Q$439</f>
        <v>75.773099175782335</v>
      </c>
      <c r="AA330" s="9">
        <f>100-(R$436-Tabell2[[#This Row],[Yrkesaktivandel-T]])*100/R$439</f>
        <v>0</v>
      </c>
      <c r="AB330" s="9">
        <f>100-(S$436-Tabell2[[#This Row],[Inntekt-T]])*100/S$439</f>
        <v>0</v>
      </c>
      <c r="AC330" s="48">
        <f>Tabell2[[#This Row],[NIBR11-I]]*Vekter!$B$3</f>
        <v>10</v>
      </c>
      <c r="AD330" s="48">
        <f>Tabell2[[#This Row],[ReisetidOslo-I]]*Vekter!$C$3</f>
        <v>1.1492217933371511</v>
      </c>
      <c r="AE330" s="48">
        <f>Tabell2[[#This Row],[Beftettotal-I]]*Vekter!$D$3</f>
        <v>0.22987840098835763</v>
      </c>
      <c r="AF330" s="48">
        <f>Tabell2[[#This Row],[Befvekst10-I]]*Vekter!$E$3</f>
        <v>2.8594039853323752</v>
      </c>
      <c r="AG330" s="48">
        <f>Tabell2[[#This Row],[Kvinneandel-I]]*Vekter!$F$3</f>
        <v>0</v>
      </c>
      <c r="AH330" s="48">
        <f>Tabell2[[#This Row],[Eldreandel-I]]*Vekter!$G$3</f>
        <v>0.41299070586875991</v>
      </c>
      <c r="AI330" s="48">
        <f>Tabell2[[#This Row],[Sysselsettingsvekst10-I]]*Vekter!$H$3</f>
        <v>7.5773099175782335</v>
      </c>
      <c r="AJ330" s="48">
        <f>Tabell2[[#This Row],[Yrkesaktivandel-I]]*Vekter!$J$3</f>
        <v>0</v>
      </c>
      <c r="AK330" s="48">
        <f>Tabell2[[#This Row],[Inntekt-I]]*Vekter!$L$3</f>
        <v>0</v>
      </c>
      <c r="AL330" s="37">
        <f>SUM(Tabell2[[#This Row],[NIBR11-v]:[Inntekt-v]])</f>
        <v>22.228804803104879</v>
      </c>
    </row>
    <row r="331" spans="1:38">
      <c r="A331" s="2" t="s">
        <v>328</v>
      </c>
      <c r="B331">
        <f>'Rådata-K'!M330</f>
        <v>6</v>
      </c>
      <c r="C331" s="9">
        <f>'Rådata-K'!L330</f>
        <v>243.65759730939999</v>
      </c>
      <c r="D331" s="51">
        <f>'Rådata-K'!N330</f>
        <v>2.1779527763699922</v>
      </c>
      <c r="E331" s="51">
        <f>'Rådata-K'!O330</f>
        <v>-5.7897695334457544E-2</v>
      </c>
      <c r="F331" s="51">
        <f>'Rådata-K'!P330</f>
        <v>9.5465393794749401E-2</v>
      </c>
      <c r="G331" s="51">
        <f>'Rådata-K'!Q330</f>
        <v>0.19272076372315036</v>
      </c>
      <c r="H331" s="51">
        <f>'Rådata-K'!R330</f>
        <v>-0.10014104372355426</v>
      </c>
      <c r="I331" s="51">
        <f>'Rådata-K'!S330</f>
        <v>0.92099567099567103</v>
      </c>
      <c r="J331" s="52">
        <f>'Rådata-K'!K330</f>
        <v>324900</v>
      </c>
      <c r="K331" s="26">
        <f>Tabell2[[#This Row],[NIBR11]]</f>
        <v>6</v>
      </c>
      <c r="L331" s="52">
        <f>IF(Tabell2[[#This Row],[ReisetidOslo]]&lt;=C$434,C$434,IF(Tabell2[[#This Row],[ReisetidOslo]]&gt;=C$435,C$435,Tabell2[[#This Row],[ReisetidOslo]]))</f>
        <v>243.65759730939999</v>
      </c>
      <c r="M331" s="51">
        <f>IF(Tabell2[[#This Row],[Beftettotal]]&lt;=D$434,D$434,IF(Tabell2[[#This Row],[Beftettotal]]&gt;=D$435,D$435,Tabell2[[#This Row],[Beftettotal]]))</f>
        <v>2.1779527763699922</v>
      </c>
      <c r="N331" s="51">
        <f>IF(Tabell2[[#This Row],[Befvekst10]]&lt;=E$434,E$434,IF(Tabell2[[#This Row],[Befvekst10]]&gt;=E$435,E$435,Tabell2[[#This Row],[Befvekst10]]))</f>
        <v>-5.7897695334457544E-2</v>
      </c>
      <c r="O331" s="51">
        <f>IF(Tabell2[[#This Row],[Kvinneandel]]&lt;=F$434,F$434,IF(Tabell2[[#This Row],[Kvinneandel]]&gt;=F$435,F$435,Tabell2[[#This Row],[Kvinneandel]]))</f>
        <v>9.5465393794749401E-2</v>
      </c>
      <c r="P331" s="51">
        <f>IF(Tabell2[[#This Row],[Eldreandel]]&lt;=G$434,G$434,IF(Tabell2[[#This Row],[Eldreandel]]&gt;=G$435,G$435,Tabell2[[#This Row],[Eldreandel]]))</f>
        <v>0.19272076372315036</v>
      </c>
      <c r="Q331" s="51">
        <f>IF(Tabell2[[#This Row],[Sysselsettingsvekst10]]&lt;=H$434,H$434,IF(Tabell2[[#This Row],[Sysselsettingsvekst10]]&gt;=H$435,H$435,Tabell2[[#This Row],[Sysselsettingsvekst10]]))</f>
        <v>-6.8692498376029434E-2</v>
      </c>
      <c r="R331" s="51">
        <f>IF(Tabell2[[#This Row],[Yrkesaktivandel]]&lt;=I$434,I$434,IF(Tabell2[[#This Row],[Yrkesaktivandel]]&gt;=I$435,I$435,Tabell2[[#This Row],[Yrkesaktivandel]]))</f>
        <v>0.92099567099567103</v>
      </c>
      <c r="S331" s="52">
        <f>IF(Tabell2[[#This Row],[Inntekt]]&lt;=J$434,J$434,IF(Tabell2[[#This Row],[Inntekt]]&gt;=J$435,J$435,Tabell2[[#This Row],[Inntekt]]))</f>
        <v>324900</v>
      </c>
      <c r="T331" s="9">
        <f>IF(Tabell2[[#This Row],[NIBR11-T]]&lt;=K$437,100,IF(Tabell2[[#This Row],[NIBR11-T]]&gt;=K$436,0,100*(K$436-Tabell2[[#This Row],[NIBR11-T]])/K$439))</f>
        <v>50</v>
      </c>
      <c r="U331" s="9">
        <f>(L$436-Tabell2[[#This Row],[ReisetidOslo-T]])*100/L$439</f>
        <v>15.714953381550547</v>
      </c>
      <c r="V331" s="9">
        <f>100-(M$436-Tabell2[[#This Row],[Beftettotal-T]])*100/M$439</f>
        <v>0.66023736962749524</v>
      </c>
      <c r="W331" s="9">
        <f>100-(N$436-Tabell2[[#This Row],[Befvekst10-T]])*100/N$439</f>
        <v>9.2618280566475875</v>
      </c>
      <c r="X331" s="9">
        <f>100-(O$436-Tabell2[[#This Row],[Kvinneandel-T]])*100/O$439</f>
        <v>13.779788580199124</v>
      </c>
      <c r="Y331" s="9">
        <f>(P$436-Tabell2[[#This Row],[Eldreandel-T]])*100/P$439</f>
        <v>17.662687204787883</v>
      </c>
      <c r="Z331" s="9">
        <f>100-(Q$436-Tabell2[[#This Row],[Sysselsettingsvekst10-T]])*100/Q$439</f>
        <v>0</v>
      </c>
      <c r="AA331" s="9">
        <f>100-(R$436-Tabell2[[#This Row],[Yrkesaktivandel-T]])*100/R$439</f>
        <v>69.299456366674534</v>
      </c>
      <c r="AB331" s="9">
        <f>100-(S$436-Tabell2[[#This Row],[Inntekt-T]])*100/S$439</f>
        <v>5.5702250722997633</v>
      </c>
      <c r="AC331" s="48">
        <f>Tabell2[[#This Row],[NIBR11-I]]*Vekter!$B$3</f>
        <v>10</v>
      </c>
      <c r="AD331" s="48">
        <f>Tabell2[[#This Row],[ReisetidOslo-I]]*Vekter!$C$3</f>
        <v>1.5714953381550547</v>
      </c>
      <c r="AE331" s="48">
        <f>Tabell2[[#This Row],[Beftettotal-I]]*Vekter!$D$3</f>
        <v>6.6023736962749532E-2</v>
      </c>
      <c r="AF331" s="48">
        <f>Tabell2[[#This Row],[Befvekst10-I]]*Vekter!$E$3</f>
        <v>1.8523656113295175</v>
      </c>
      <c r="AG331" s="48">
        <f>Tabell2[[#This Row],[Kvinneandel-I]]*Vekter!$F$3</f>
        <v>0.6889894290099563</v>
      </c>
      <c r="AH331" s="48">
        <f>Tabell2[[#This Row],[Eldreandel-I]]*Vekter!$G$3</f>
        <v>0.88313436023939418</v>
      </c>
      <c r="AI331" s="48">
        <f>Tabell2[[#This Row],[Sysselsettingsvekst10-I]]*Vekter!$H$3</f>
        <v>0</v>
      </c>
      <c r="AJ331" s="48">
        <f>Tabell2[[#This Row],[Yrkesaktivandel-I]]*Vekter!$J$3</f>
        <v>6.9299456366674539</v>
      </c>
      <c r="AK331" s="48">
        <f>Tabell2[[#This Row],[Inntekt-I]]*Vekter!$L$3</f>
        <v>0.55702250722997637</v>
      </c>
      <c r="AL331" s="37">
        <f>SUM(Tabell2[[#This Row],[NIBR11-v]:[Inntekt-v]])</f>
        <v>22.548976619594104</v>
      </c>
    </row>
    <row r="332" spans="1:38">
      <c r="A332" s="2" t="s">
        <v>329</v>
      </c>
      <c r="B332">
        <f>'Rådata-K'!M331</f>
        <v>6</v>
      </c>
      <c r="C332" s="9">
        <f>'Rådata-K'!L331</f>
        <v>268.61344268339997</v>
      </c>
      <c r="D332" s="51">
        <f>'Rådata-K'!N331</f>
        <v>0.92032134411310207</v>
      </c>
      <c r="E332" s="51">
        <f>'Rådata-K'!O331</f>
        <v>-6.0975609756097615E-2</v>
      </c>
      <c r="F332" s="51">
        <f>'Rådata-K'!P331</f>
        <v>9.3228200371057515E-2</v>
      </c>
      <c r="G332" s="51">
        <f>'Rådata-K'!Q331</f>
        <v>0.19990723562152132</v>
      </c>
      <c r="H332" s="51">
        <f>'Rådata-K'!R331</f>
        <v>-5.8947368421052637E-2</v>
      </c>
      <c r="I332" s="51">
        <f>'Rådata-K'!S331</f>
        <v>0.97741094700260645</v>
      </c>
      <c r="J332" s="52">
        <f>'Rådata-K'!K331</f>
        <v>326800</v>
      </c>
      <c r="K332" s="26">
        <f>Tabell2[[#This Row],[NIBR11]]</f>
        <v>6</v>
      </c>
      <c r="L332" s="52">
        <f>IF(Tabell2[[#This Row],[ReisetidOslo]]&lt;=C$434,C$434,IF(Tabell2[[#This Row],[ReisetidOslo]]&gt;=C$435,C$435,Tabell2[[#This Row],[ReisetidOslo]]))</f>
        <v>268.61344268339997</v>
      </c>
      <c r="M332" s="51">
        <f>IF(Tabell2[[#This Row],[Beftettotal]]&lt;=D$434,D$434,IF(Tabell2[[#This Row],[Beftettotal]]&gt;=D$435,D$435,Tabell2[[#This Row],[Beftettotal]]))</f>
        <v>1.3397285732306117</v>
      </c>
      <c r="N332" s="51">
        <f>IF(Tabell2[[#This Row],[Befvekst10]]&lt;=E$434,E$434,IF(Tabell2[[#This Row],[Befvekst10]]&gt;=E$435,E$435,Tabell2[[#This Row],[Befvekst10]]))</f>
        <v>-6.0975609756097615E-2</v>
      </c>
      <c r="O332" s="51">
        <f>IF(Tabell2[[#This Row],[Kvinneandel]]&lt;=F$434,F$434,IF(Tabell2[[#This Row],[Kvinneandel]]&gt;=F$435,F$435,Tabell2[[#This Row],[Kvinneandel]]))</f>
        <v>9.3228200371057515E-2</v>
      </c>
      <c r="P332" s="51">
        <f>IF(Tabell2[[#This Row],[Eldreandel]]&lt;=G$434,G$434,IF(Tabell2[[#This Row],[Eldreandel]]&gt;=G$435,G$435,Tabell2[[#This Row],[Eldreandel]]))</f>
        <v>0.19990723562152132</v>
      </c>
      <c r="Q332" s="51">
        <f>IF(Tabell2[[#This Row],[Sysselsettingsvekst10]]&lt;=H$434,H$434,IF(Tabell2[[#This Row],[Sysselsettingsvekst10]]&gt;=H$435,H$435,Tabell2[[#This Row],[Sysselsettingsvekst10]]))</f>
        <v>-5.8947368421052637E-2</v>
      </c>
      <c r="R332" s="51">
        <f>IF(Tabell2[[#This Row],[Yrkesaktivandel]]&lt;=I$434,I$434,IF(Tabell2[[#This Row],[Yrkesaktivandel]]&gt;=I$435,I$435,Tabell2[[#This Row],[Yrkesaktivandel]]))</f>
        <v>0.96217815624658265</v>
      </c>
      <c r="S332" s="52">
        <f>IF(Tabell2[[#This Row],[Inntekt]]&lt;=J$434,J$434,IF(Tabell2[[#This Row],[Inntekt]]&gt;=J$435,J$435,Tabell2[[#This Row],[Inntekt]]))</f>
        <v>326800</v>
      </c>
      <c r="T332" s="9">
        <f>IF(Tabell2[[#This Row],[NIBR11-T]]&lt;=K$437,100,IF(Tabell2[[#This Row],[NIBR11-T]]&gt;=K$436,0,100*(K$436-Tabell2[[#This Row],[NIBR11-T]])/K$439))</f>
        <v>50</v>
      </c>
      <c r="U332" s="9">
        <f>(L$436-Tabell2[[#This Row],[ReisetidOslo-T]])*100/L$439</f>
        <v>4.6357910576244192</v>
      </c>
      <c r="V332" s="9">
        <f>100-(M$436-Tabell2[[#This Row],[Beftettotal-T]])*100/M$439</f>
        <v>0</v>
      </c>
      <c r="W332" s="9">
        <f>100-(N$436-Tabell2[[#This Row],[Befvekst10-T]])*100/N$439</f>
        <v>8.0163323564421916</v>
      </c>
      <c r="X332" s="9">
        <f>100-(O$436-Tabell2[[#This Row],[Kvinneandel-T]])*100/O$439</f>
        <v>7.8541393113175388</v>
      </c>
      <c r="Y332" s="9">
        <f>(P$436-Tabell2[[#This Row],[Eldreandel-T]])*100/P$439</f>
        <v>9.5154813188219851</v>
      </c>
      <c r="Z332" s="9">
        <f>100-(Q$436-Tabell2[[#This Row],[Sysselsettingsvekst10-T]])*100/Q$439</f>
        <v>3.1279057424071652</v>
      </c>
      <c r="AA332" s="9">
        <f>100-(R$436-Tabell2[[#This Row],[Yrkesaktivandel-T]])*100/R$439</f>
        <v>100</v>
      </c>
      <c r="AB332" s="9">
        <f>100-(S$436-Tabell2[[#This Row],[Inntekt-T]])*100/S$439</f>
        <v>7.9592606563560935</v>
      </c>
      <c r="AC332" s="48">
        <f>Tabell2[[#This Row],[NIBR11-I]]*Vekter!$B$3</f>
        <v>10</v>
      </c>
      <c r="AD332" s="48">
        <f>Tabell2[[#This Row],[ReisetidOslo-I]]*Vekter!$C$3</f>
        <v>0.46357910576244193</v>
      </c>
      <c r="AE332" s="48">
        <f>Tabell2[[#This Row],[Beftettotal-I]]*Vekter!$D$3</f>
        <v>0</v>
      </c>
      <c r="AF332" s="48">
        <f>Tabell2[[#This Row],[Befvekst10-I]]*Vekter!$E$3</f>
        <v>1.6032664712884384</v>
      </c>
      <c r="AG332" s="48">
        <f>Tabell2[[#This Row],[Kvinneandel-I]]*Vekter!$F$3</f>
        <v>0.39270696556587698</v>
      </c>
      <c r="AH332" s="48">
        <f>Tabell2[[#This Row],[Eldreandel-I]]*Vekter!$G$3</f>
        <v>0.47577406594109928</v>
      </c>
      <c r="AI332" s="48">
        <f>Tabell2[[#This Row],[Sysselsettingsvekst10-I]]*Vekter!$H$3</f>
        <v>0.31279057424071655</v>
      </c>
      <c r="AJ332" s="48">
        <f>Tabell2[[#This Row],[Yrkesaktivandel-I]]*Vekter!$J$3</f>
        <v>10</v>
      </c>
      <c r="AK332" s="48">
        <f>Tabell2[[#This Row],[Inntekt-I]]*Vekter!$L$3</f>
        <v>0.79592606563560941</v>
      </c>
      <c r="AL332" s="37">
        <f>SUM(Tabell2[[#This Row],[NIBR11-v]:[Inntekt-v]])</f>
        <v>24.044043248434182</v>
      </c>
    </row>
    <row r="333" spans="1:38">
      <c r="A333" s="2" t="s">
        <v>330</v>
      </c>
      <c r="B333">
        <f>'Rådata-K'!M332</f>
        <v>11</v>
      </c>
      <c r="C333" s="9">
        <f>'Rådata-K'!L332</f>
        <v>304.97622563970003</v>
      </c>
      <c r="D333" s="51">
        <f>'Rådata-K'!N332</f>
        <v>0.46763683019887231</v>
      </c>
      <c r="E333" s="51">
        <f>'Rådata-K'!O332</f>
        <v>-9.7719869706840434E-2</v>
      </c>
      <c r="F333" s="51">
        <f>'Rådata-K'!P332</f>
        <v>9.1696750902527074E-2</v>
      </c>
      <c r="G333" s="51">
        <f>'Rådata-K'!Q332</f>
        <v>0.20288808664259927</v>
      </c>
      <c r="H333" s="51">
        <f>'Rådata-K'!R332</f>
        <v>-3.59281437125748E-2</v>
      </c>
      <c r="I333" s="51">
        <f>'Rådata-K'!S332</f>
        <v>1.0148648648648648</v>
      </c>
      <c r="J333" s="52">
        <f>'Rådata-K'!K332</f>
        <v>342000</v>
      </c>
      <c r="K333" s="26">
        <f>Tabell2[[#This Row],[NIBR11]]</f>
        <v>11</v>
      </c>
      <c r="L333" s="52">
        <f>IF(Tabell2[[#This Row],[ReisetidOslo]]&lt;=C$434,C$434,IF(Tabell2[[#This Row],[ReisetidOslo]]&gt;=C$435,C$435,Tabell2[[#This Row],[ReisetidOslo]]))</f>
        <v>279.05557553043002</v>
      </c>
      <c r="M333" s="51">
        <f>IF(Tabell2[[#This Row],[Beftettotal]]&lt;=D$434,D$434,IF(Tabell2[[#This Row],[Beftettotal]]&gt;=D$435,D$435,Tabell2[[#This Row],[Beftettotal]]))</f>
        <v>1.3397285732306117</v>
      </c>
      <c r="N333" s="51">
        <f>IF(Tabell2[[#This Row],[Befvekst10]]&lt;=E$434,E$434,IF(Tabell2[[#This Row],[Befvekst10]]&gt;=E$435,E$435,Tabell2[[#This Row],[Befvekst10]]))</f>
        <v>-8.0785862785862778E-2</v>
      </c>
      <c r="O333" s="51">
        <f>IF(Tabell2[[#This Row],[Kvinneandel]]&lt;=F$434,F$434,IF(Tabell2[[#This Row],[Kvinneandel]]&gt;=F$435,F$435,Tabell2[[#This Row],[Kvinneandel]]))</f>
        <v>9.1696750902527074E-2</v>
      </c>
      <c r="P333" s="51">
        <f>IF(Tabell2[[#This Row],[Eldreandel]]&lt;=G$434,G$434,IF(Tabell2[[#This Row],[Eldreandel]]&gt;=G$435,G$435,Tabell2[[#This Row],[Eldreandel]]))</f>
        <v>0.20288808664259927</v>
      </c>
      <c r="Q333" s="51">
        <f>IF(Tabell2[[#This Row],[Sysselsettingsvekst10]]&lt;=H$434,H$434,IF(Tabell2[[#This Row],[Sysselsettingsvekst10]]&gt;=H$435,H$435,Tabell2[[#This Row],[Sysselsettingsvekst10]]))</f>
        <v>-3.59281437125748E-2</v>
      </c>
      <c r="R333" s="51">
        <f>IF(Tabell2[[#This Row],[Yrkesaktivandel]]&lt;=I$434,I$434,IF(Tabell2[[#This Row],[Yrkesaktivandel]]&gt;=I$435,I$435,Tabell2[[#This Row],[Yrkesaktivandel]]))</f>
        <v>0.96217815624658265</v>
      </c>
      <c r="S333" s="52">
        <f>IF(Tabell2[[#This Row],[Inntekt]]&lt;=J$434,J$434,IF(Tabell2[[#This Row],[Inntekt]]&gt;=J$435,J$435,Tabell2[[#This Row],[Inntekt]]))</f>
        <v>342000</v>
      </c>
      <c r="T333" s="9">
        <f>IF(Tabell2[[#This Row],[NIBR11-T]]&lt;=K$437,100,IF(Tabell2[[#This Row],[NIBR11-T]]&gt;=K$436,0,100*(K$436-Tabell2[[#This Row],[NIBR11-T]])/K$439))</f>
        <v>0</v>
      </c>
      <c r="U333" s="9">
        <f>(L$436-Tabell2[[#This Row],[ReisetidOslo-T]])*100/L$439</f>
        <v>0</v>
      </c>
      <c r="V333" s="9">
        <f>100-(M$436-Tabell2[[#This Row],[Beftettotal-T]])*100/M$439</f>
        <v>0</v>
      </c>
      <c r="W333" s="9">
        <f>100-(N$436-Tabell2[[#This Row],[Befvekst10-T]])*100/N$439</f>
        <v>0</v>
      </c>
      <c r="X333" s="9">
        <f>100-(O$436-Tabell2[[#This Row],[Kvinneandel-T]])*100/O$439</f>
        <v>3.7977924941742458</v>
      </c>
      <c r="Y333" s="9">
        <f>(P$436-Tabell2[[#This Row],[Eldreandel-T]])*100/P$439</f>
        <v>6.1361308771095739</v>
      </c>
      <c r="Z333" s="9">
        <f>100-(Q$436-Tabell2[[#This Row],[Sysselsettingsvekst10-T]])*100/Q$439</f>
        <v>10.516413179872117</v>
      </c>
      <c r="AA333" s="9">
        <f>100-(R$436-Tabell2[[#This Row],[Yrkesaktivandel-T]])*100/R$439</f>
        <v>100</v>
      </c>
      <c r="AB333" s="9">
        <f>100-(S$436-Tabell2[[#This Row],[Inntekt-T]])*100/S$439</f>
        <v>27.071545328806735</v>
      </c>
      <c r="AC333" s="48">
        <f>Tabell2[[#This Row],[NIBR11-I]]*Vekter!$B$3</f>
        <v>0</v>
      </c>
      <c r="AD333" s="48">
        <f>Tabell2[[#This Row],[ReisetidOslo-I]]*Vekter!$C$3</f>
        <v>0</v>
      </c>
      <c r="AE333" s="48">
        <f>Tabell2[[#This Row],[Beftettotal-I]]*Vekter!$D$3</f>
        <v>0</v>
      </c>
      <c r="AF333" s="48">
        <f>Tabell2[[#This Row],[Befvekst10-I]]*Vekter!$E$3</f>
        <v>0</v>
      </c>
      <c r="AG333" s="48">
        <f>Tabell2[[#This Row],[Kvinneandel-I]]*Vekter!$F$3</f>
        <v>0.18988962470871229</v>
      </c>
      <c r="AH333" s="48">
        <f>Tabell2[[#This Row],[Eldreandel-I]]*Vekter!$G$3</f>
        <v>0.30680654385547873</v>
      </c>
      <c r="AI333" s="48">
        <f>Tabell2[[#This Row],[Sysselsettingsvekst10-I]]*Vekter!$H$3</f>
        <v>1.0516413179872117</v>
      </c>
      <c r="AJ333" s="48">
        <f>Tabell2[[#This Row],[Yrkesaktivandel-I]]*Vekter!$J$3</f>
        <v>10</v>
      </c>
      <c r="AK333" s="48">
        <f>Tabell2[[#This Row],[Inntekt-I]]*Vekter!$L$3</f>
        <v>2.7071545328806739</v>
      </c>
      <c r="AL333" s="37">
        <f>SUM(Tabell2[[#This Row],[NIBR11-v]:[Inntekt-v]])</f>
        <v>14.255492019432078</v>
      </c>
    </row>
    <row r="334" spans="1:38">
      <c r="A334" s="2" t="s">
        <v>331</v>
      </c>
      <c r="B334">
        <f>'Rådata-K'!M333</f>
        <v>11</v>
      </c>
      <c r="C334" s="9">
        <f>'Rådata-K'!L333</f>
        <v>317.791532485</v>
      </c>
      <c r="D334" s="51">
        <f>'Rådata-K'!N333</f>
        <v>0.31424316615765158</v>
      </c>
      <c r="E334" s="51">
        <f>'Rådata-K'!O333</f>
        <v>-7.6066790352504632E-2</v>
      </c>
      <c r="F334" s="51">
        <f>'Rådata-K'!P333</f>
        <v>8.8353413654618476E-2</v>
      </c>
      <c r="G334" s="51">
        <f>'Rådata-K'!Q333</f>
        <v>0.20883534136546184</v>
      </c>
      <c r="H334" s="51">
        <f>'Rådata-K'!R333</f>
        <v>-9.3896713615023719E-3</v>
      </c>
      <c r="I334" s="51">
        <f>'Rådata-K'!S333</f>
        <v>0.97368421052631582</v>
      </c>
      <c r="J334" s="52">
        <f>'Rådata-K'!K333</f>
        <v>338300</v>
      </c>
      <c r="K334" s="26">
        <f>Tabell2[[#This Row],[NIBR11]]</f>
        <v>11</v>
      </c>
      <c r="L334" s="52">
        <f>IF(Tabell2[[#This Row],[ReisetidOslo]]&lt;=C$434,C$434,IF(Tabell2[[#This Row],[ReisetidOslo]]&gt;=C$435,C$435,Tabell2[[#This Row],[ReisetidOslo]]))</f>
        <v>279.05557553043002</v>
      </c>
      <c r="M334" s="51">
        <f>IF(Tabell2[[#This Row],[Beftettotal]]&lt;=D$434,D$434,IF(Tabell2[[#This Row],[Beftettotal]]&gt;=D$435,D$435,Tabell2[[#This Row],[Beftettotal]]))</f>
        <v>1.3397285732306117</v>
      </c>
      <c r="N334" s="51">
        <f>IF(Tabell2[[#This Row],[Befvekst10]]&lt;=E$434,E$434,IF(Tabell2[[#This Row],[Befvekst10]]&gt;=E$435,E$435,Tabell2[[#This Row],[Befvekst10]]))</f>
        <v>-7.6066790352504632E-2</v>
      </c>
      <c r="O334" s="51">
        <f>IF(Tabell2[[#This Row],[Kvinneandel]]&lt;=F$434,F$434,IF(Tabell2[[#This Row],[Kvinneandel]]&gt;=F$435,F$435,Tabell2[[#This Row],[Kvinneandel]]))</f>
        <v>9.0262917071501733E-2</v>
      </c>
      <c r="P334" s="51">
        <f>IF(Tabell2[[#This Row],[Eldreandel]]&lt;=G$434,G$434,IF(Tabell2[[#This Row],[Eldreandel]]&gt;=G$435,G$435,Tabell2[[#This Row],[Eldreandel]]))</f>
        <v>0.20830063331569054</v>
      </c>
      <c r="Q334" s="51">
        <f>IF(Tabell2[[#This Row],[Sysselsettingsvekst10]]&lt;=H$434,H$434,IF(Tabell2[[#This Row],[Sysselsettingsvekst10]]&gt;=H$435,H$435,Tabell2[[#This Row],[Sysselsettingsvekst10]]))</f>
        <v>-9.3896713615023719E-3</v>
      </c>
      <c r="R334" s="51">
        <f>IF(Tabell2[[#This Row],[Yrkesaktivandel]]&lt;=I$434,I$434,IF(Tabell2[[#This Row],[Yrkesaktivandel]]&gt;=I$435,I$435,Tabell2[[#This Row],[Yrkesaktivandel]]))</f>
        <v>0.96217815624658265</v>
      </c>
      <c r="S334" s="52">
        <f>IF(Tabell2[[#This Row],[Inntekt]]&lt;=J$434,J$434,IF(Tabell2[[#This Row],[Inntekt]]&gt;=J$435,J$435,Tabell2[[#This Row],[Inntekt]]))</f>
        <v>338300</v>
      </c>
      <c r="T334" s="9">
        <f>IF(Tabell2[[#This Row],[NIBR11-T]]&lt;=K$437,100,IF(Tabell2[[#This Row],[NIBR11-T]]&gt;=K$436,0,100*(K$436-Tabell2[[#This Row],[NIBR11-T]])/K$439))</f>
        <v>0</v>
      </c>
      <c r="U334" s="9">
        <f>(L$436-Tabell2[[#This Row],[ReisetidOslo-T]])*100/L$439</f>
        <v>0</v>
      </c>
      <c r="V334" s="9">
        <f>100-(M$436-Tabell2[[#This Row],[Beftettotal-T]])*100/M$439</f>
        <v>0</v>
      </c>
      <c r="W334" s="9">
        <f>100-(N$436-Tabell2[[#This Row],[Befvekst10-T]])*100/N$439</f>
        <v>1.9095996897709426</v>
      </c>
      <c r="X334" s="9">
        <f>100-(O$436-Tabell2[[#This Row],[Kvinneandel-T]])*100/O$439</f>
        <v>0</v>
      </c>
      <c r="Y334" s="9">
        <f>(P$436-Tabell2[[#This Row],[Eldreandel-T]])*100/P$439</f>
        <v>0</v>
      </c>
      <c r="Z334" s="9">
        <f>100-(Q$436-Tabell2[[#This Row],[Sysselsettingsvekst10-T]])*100/Q$439</f>
        <v>19.034497643100892</v>
      </c>
      <c r="AA334" s="9">
        <f>100-(R$436-Tabell2[[#This Row],[Yrkesaktivandel-T]])*100/R$439</f>
        <v>100</v>
      </c>
      <c r="AB334" s="9">
        <f>100-(S$436-Tabell2[[#This Row],[Inntekt-T]])*100/S$439</f>
        <v>22.419212875644405</v>
      </c>
      <c r="AC334" s="48">
        <f>Tabell2[[#This Row],[NIBR11-I]]*Vekter!$B$3</f>
        <v>0</v>
      </c>
      <c r="AD334" s="48">
        <f>Tabell2[[#This Row],[ReisetidOslo-I]]*Vekter!$C$3</f>
        <v>0</v>
      </c>
      <c r="AE334" s="48">
        <f>Tabell2[[#This Row],[Beftettotal-I]]*Vekter!$D$3</f>
        <v>0</v>
      </c>
      <c r="AF334" s="48">
        <f>Tabell2[[#This Row],[Befvekst10-I]]*Vekter!$E$3</f>
        <v>0.38191993795418855</v>
      </c>
      <c r="AG334" s="48">
        <f>Tabell2[[#This Row],[Kvinneandel-I]]*Vekter!$F$3</f>
        <v>0</v>
      </c>
      <c r="AH334" s="48">
        <f>Tabell2[[#This Row],[Eldreandel-I]]*Vekter!$G$3</f>
        <v>0</v>
      </c>
      <c r="AI334" s="48">
        <f>Tabell2[[#This Row],[Sysselsettingsvekst10-I]]*Vekter!$H$3</f>
        <v>1.9034497643100892</v>
      </c>
      <c r="AJ334" s="48">
        <f>Tabell2[[#This Row],[Yrkesaktivandel-I]]*Vekter!$J$3</f>
        <v>10</v>
      </c>
      <c r="AK334" s="48">
        <f>Tabell2[[#This Row],[Inntekt-I]]*Vekter!$L$3</f>
        <v>2.2419212875644408</v>
      </c>
      <c r="AL334" s="37">
        <f>SUM(Tabell2[[#This Row],[NIBR11-v]:[Inntekt-v]])</f>
        <v>14.527290989828719</v>
      </c>
    </row>
    <row r="335" spans="1:38">
      <c r="A335" s="2" t="s">
        <v>332</v>
      </c>
      <c r="B335">
        <f>'Rådata-K'!M334</f>
        <v>11</v>
      </c>
      <c r="C335" s="9">
        <f>'Rådata-K'!L334</f>
        <v>303.3758842766</v>
      </c>
      <c r="D335" s="51">
        <f>'Rådata-K'!N334</f>
        <v>0.65059696858505744</v>
      </c>
      <c r="E335" s="51">
        <f>'Rådata-K'!O334</f>
        <v>-3.7578288100208801E-2</v>
      </c>
      <c r="F335" s="51">
        <f>'Rådata-K'!P334</f>
        <v>8.0260303687635579E-2</v>
      </c>
      <c r="G335" s="51">
        <f>'Rådata-K'!Q334</f>
        <v>0.23752711496746204</v>
      </c>
      <c r="H335" s="51">
        <f>'Rådata-K'!R334</f>
        <v>-4.2959427207637235E-2</v>
      </c>
      <c r="I335" s="51">
        <f>'Rådata-K'!S334</f>
        <v>0.94635193133047213</v>
      </c>
      <c r="J335" s="52">
        <f>'Rådata-K'!K334</f>
        <v>320800</v>
      </c>
      <c r="K335" s="26">
        <f>Tabell2[[#This Row],[NIBR11]]</f>
        <v>11</v>
      </c>
      <c r="L335" s="52">
        <f>IF(Tabell2[[#This Row],[ReisetidOslo]]&lt;=C$434,C$434,IF(Tabell2[[#This Row],[ReisetidOslo]]&gt;=C$435,C$435,Tabell2[[#This Row],[ReisetidOslo]]))</f>
        <v>279.05557553043002</v>
      </c>
      <c r="M335" s="51">
        <f>IF(Tabell2[[#This Row],[Beftettotal]]&lt;=D$434,D$434,IF(Tabell2[[#This Row],[Beftettotal]]&gt;=D$435,D$435,Tabell2[[#This Row],[Beftettotal]]))</f>
        <v>1.3397285732306117</v>
      </c>
      <c r="N335" s="51">
        <f>IF(Tabell2[[#This Row],[Befvekst10]]&lt;=E$434,E$434,IF(Tabell2[[#This Row],[Befvekst10]]&gt;=E$435,E$435,Tabell2[[#This Row],[Befvekst10]]))</f>
        <v>-3.7578288100208801E-2</v>
      </c>
      <c r="O335" s="51">
        <f>IF(Tabell2[[#This Row],[Kvinneandel]]&lt;=F$434,F$434,IF(Tabell2[[#This Row],[Kvinneandel]]&gt;=F$435,F$435,Tabell2[[#This Row],[Kvinneandel]]))</f>
        <v>9.0262917071501733E-2</v>
      </c>
      <c r="P335" s="51">
        <f>IF(Tabell2[[#This Row],[Eldreandel]]&lt;=G$434,G$434,IF(Tabell2[[#This Row],[Eldreandel]]&gt;=G$435,G$435,Tabell2[[#This Row],[Eldreandel]]))</f>
        <v>0.20830063331569054</v>
      </c>
      <c r="Q335" s="51">
        <f>IF(Tabell2[[#This Row],[Sysselsettingsvekst10]]&lt;=H$434,H$434,IF(Tabell2[[#This Row],[Sysselsettingsvekst10]]&gt;=H$435,H$435,Tabell2[[#This Row],[Sysselsettingsvekst10]]))</f>
        <v>-4.2959427207637235E-2</v>
      </c>
      <c r="R335" s="51">
        <f>IF(Tabell2[[#This Row],[Yrkesaktivandel]]&lt;=I$434,I$434,IF(Tabell2[[#This Row],[Yrkesaktivandel]]&gt;=I$435,I$435,Tabell2[[#This Row],[Yrkesaktivandel]]))</f>
        <v>0.94635193133047213</v>
      </c>
      <c r="S335" s="52">
        <f>IF(Tabell2[[#This Row],[Inntekt]]&lt;=J$434,J$434,IF(Tabell2[[#This Row],[Inntekt]]&gt;=J$435,J$435,Tabell2[[#This Row],[Inntekt]]))</f>
        <v>320800</v>
      </c>
      <c r="T335" s="9">
        <f>IF(Tabell2[[#This Row],[NIBR11-T]]&lt;=K$437,100,IF(Tabell2[[#This Row],[NIBR11-T]]&gt;=K$436,0,100*(K$436-Tabell2[[#This Row],[NIBR11-T]])/K$439))</f>
        <v>0</v>
      </c>
      <c r="U335" s="9">
        <f>(L$436-Tabell2[[#This Row],[ReisetidOslo-T]])*100/L$439</f>
        <v>0</v>
      </c>
      <c r="V335" s="9">
        <f>100-(M$436-Tabell2[[#This Row],[Beftettotal-T]])*100/M$439</f>
        <v>0</v>
      </c>
      <c r="W335" s="9">
        <f>100-(N$436-Tabell2[[#This Row],[Befvekst10-T]])*100/N$439</f>
        <v>17.484192578236176</v>
      </c>
      <c r="X335" s="9">
        <f>100-(O$436-Tabell2[[#This Row],[Kvinneandel-T]])*100/O$439</f>
        <v>0</v>
      </c>
      <c r="Y335" s="9">
        <f>(P$436-Tabell2[[#This Row],[Eldreandel-T]])*100/P$439</f>
        <v>0</v>
      </c>
      <c r="Z335" s="9">
        <f>100-(Q$436-Tabell2[[#This Row],[Sysselsettingsvekst10-T]])*100/Q$439</f>
        <v>8.2595739050437089</v>
      </c>
      <c r="AA335" s="9">
        <f>100-(R$436-Tabell2[[#This Row],[Yrkesaktivandel-T]])*100/R$439</f>
        <v>88.201933282374739</v>
      </c>
      <c r="AB335" s="9">
        <f>100-(S$436-Tabell2[[#This Row],[Inntekt-T]])*100/S$439</f>
        <v>0.41493775933609811</v>
      </c>
      <c r="AC335" s="48">
        <f>Tabell2[[#This Row],[NIBR11-I]]*Vekter!$B$3</f>
        <v>0</v>
      </c>
      <c r="AD335" s="48">
        <f>Tabell2[[#This Row],[ReisetidOslo-I]]*Vekter!$C$3</f>
        <v>0</v>
      </c>
      <c r="AE335" s="48">
        <f>Tabell2[[#This Row],[Beftettotal-I]]*Vekter!$D$3</f>
        <v>0</v>
      </c>
      <c r="AF335" s="48">
        <f>Tabell2[[#This Row],[Befvekst10-I]]*Vekter!$E$3</f>
        <v>3.4968385156472355</v>
      </c>
      <c r="AG335" s="48">
        <f>Tabell2[[#This Row],[Kvinneandel-I]]*Vekter!$F$3</f>
        <v>0</v>
      </c>
      <c r="AH335" s="48">
        <f>Tabell2[[#This Row],[Eldreandel-I]]*Vekter!$G$3</f>
        <v>0</v>
      </c>
      <c r="AI335" s="48">
        <f>Tabell2[[#This Row],[Sysselsettingsvekst10-I]]*Vekter!$H$3</f>
        <v>0.82595739050437089</v>
      </c>
      <c r="AJ335" s="48">
        <f>Tabell2[[#This Row],[Yrkesaktivandel-I]]*Vekter!$J$3</f>
        <v>8.8201933282374743</v>
      </c>
      <c r="AK335" s="48">
        <f>Tabell2[[#This Row],[Inntekt-I]]*Vekter!$L$3</f>
        <v>4.1493775933609811E-2</v>
      </c>
      <c r="AL335" s="37">
        <f>SUM(Tabell2[[#This Row],[NIBR11-v]:[Inntekt-v]])</f>
        <v>13.18448301032269</v>
      </c>
    </row>
    <row r="336" spans="1:38">
      <c r="A336" s="2" t="s">
        <v>333</v>
      </c>
      <c r="B336">
        <f>'Rådata-K'!M335</f>
        <v>6</v>
      </c>
      <c r="C336" s="9">
        <f>'Rådata-K'!L335</f>
        <v>247.30639267710001</v>
      </c>
      <c r="D336" s="51">
        <f>'Rådata-K'!N335</f>
        <v>2.1555062667229965</v>
      </c>
      <c r="E336" s="51">
        <f>'Rådata-K'!O335</f>
        <v>-3.2015810276679879E-2</v>
      </c>
      <c r="F336" s="51">
        <f>'Rådata-K'!P335</f>
        <v>9.5957533687219279E-2</v>
      </c>
      <c r="G336" s="51">
        <f>'Rådata-K'!Q335</f>
        <v>0.18905675786035117</v>
      </c>
      <c r="H336" s="51">
        <f>'Rådata-K'!R335</f>
        <v>8.361204013378476E-4</v>
      </c>
      <c r="I336" s="51">
        <f>'Rådata-K'!S335</f>
        <v>0.87435328898743536</v>
      </c>
      <c r="J336" s="52">
        <f>'Rådata-K'!K335</f>
        <v>322500</v>
      </c>
      <c r="K336" s="26">
        <f>Tabell2[[#This Row],[NIBR11]]</f>
        <v>6</v>
      </c>
      <c r="L336" s="52">
        <f>IF(Tabell2[[#This Row],[ReisetidOslo]]&lt;=C$434,C$434,IF(Tabell2[[#This Row],[ReisetidOslo]]&gt;=C$435,C$435,Tabell2[[#This Row],[ReisetidOslo]]))</f>
        <v>247.30639267710001</v>
      </c>
      <c r="M336" s="51">
        <f>IF(Tabell2[[#This Row],[Beftettotal]]&lt;=D$434,D$434,IF(Tabell2[[#This Row],[Beftettotal]]&gt;=D$435,D$435,Tabell2[[#This Row],[Beftettotal]]))</f>
        <v>2.1555062667229965</v>
      </c>
      <c r="N336" s="51">
        <f>IF(Tabell2[[#This Row],[Befvekst10]]&lt;=E$434,E$434,IF(Tabell2[[#This Row],[Befvekst10]]&gt;=E$435,E$435,Tabell2[[#This Row],[Befvekst10]]))</f>
        <v>-3.2015810276679879E-2</v>
      </c>
      <c r="O336" s="51">
        <f>IF(Tabell2[[#This Row],[Kvinneandel]]&lt;=F$434,F$434,IF(Tabell2[[#This Row],[Kvinneandel]]&gt;=F$435,F$435,Tabell2[[#This Row],[Kvinneandel]]))</f>
        <v>9.5957533687219279E-2</v>
      </c>
      <c r="P336" s="51">
        <f>IF(Tabell2[[#This Row],[Eldreandel]]&lt;=G$434,G$434,IF(Tabell2[[#This Row],[Eldreandel]]&gt;=G$435,G$435,Tabell2[[#This Row],[Eldreandel]]))</f>
        <v>0.18905675786035117</v>
      </c>
      <c r="Q336" s="51">
        <f>IF(Tabell2[[#This Row],[Sysselsettingsvekst10]]&lt;=H$434,H$434,IF(Tabell2[[#This Row],[Sysselsettingsvekst10]]&gt;=H$435,H$435,Tabell2[[#This Row],[Sysselsettingsvekst10]]))</f>
        <v>8.361204013378476E-4</v>
      </c>
      <c r="R336" s="51">
        <f>IF(Tabell2[[#This Row],[Yrkesaktivandel]]&lt;=I$434,I$434,IF(Tabell2[[#This Row],[Yrkesaktivandel]]&gt;=I$435,I$435,Tabell2[[#This Row],[Yrkesaktivandel]]))</f>
        <v>0.87435328898743536</v>
      </c>
      <c r="S336" s="52">
        <f>IF(Tabell2[[#This Row],[Inntekt]]&lt;=J$434,J$434,IF(Tabell2[[#This Row],[Inntekt]]&gt;=J$435,J$435,Tabell2[[#This Row],[Inntekt]]))</f>
        <v>322500</v>
      </c>
      <c r="T336" s="9">
        <f>IF(Tabell2[[#This Row],[NIBR11-T]]&lt;=K$437,100,IF(Tabell2[[#This Row],[NIBR11-T]]&gt;=K$436,0,100*(K$436-Tabell2[[#This Row],[NIBR11-T]])/K$439))</f>
        <v>50</v>
      </c>
      <c r="U336" s="9">
        <f>(L$436-Tabell2[[#This Row],[ReisetidOslo-T]])*100/L$439</f>
        <v>14.095068518517404</v>
      </c>
      <c r="V336" s="9">
        <f>100-(M$436-Tabell2[[#This Row],[Beftettotal-T]])*100/M$439</f>
        <v>0.64255710648173192</v>
      </c>
      <c r="W336" s="9">
        <f>100-(N$436-Tabell2[[#This Row],[Befvekst10-T]])*100/N$439</f>
        <v>19.735081089945169</v>
      </c>
      <c r="X336" s="9">
        <f>100-(O$436-Tabell2[[#This Row],[Kvinneandel-T]])*100/O$439</f>
        <v>15.083318423939289</v>
      </c>
      <c r="Y336" s="9">
        <f>(P$436-Tabell2[[#This Row],[Eldreandel-T]])*100/P$439</f>
        <v>21.816521040606244</v>
      </c>
      <c r="Z336" s="9">
        <f>100-(Q$436-Tabell2[[#This Row],[Sysselsettingsvekst10-T]])*100/Q$439</f>
        <v>22.316681967314352</v>
      </c>
      <c r="AA336" s="9">
        <f>100-(R$436-Tabell2[[#This Row],[Yrkesaktivandel-T]])*100/R$439</f>
        <v>34.528692162385099</v>
      </c>
      <c r="AB336" s="9">
        <f>100-(S$436-Tabell2[[#This Row],[Inntekt-T]])*100/S$439</f>
        <v>2.552495913491768</v>
      </c>
      <c r="AC336" s="48">
        <f>Tabell2[[#This Row],[NIBR11-I]]*Vekter!$B$3</f>
        <v>10</v>
      </c>
      <c r="AD336" s="48">
        <f>Tabell2[[#This Row],[ReisetidOslo-I]]*Vekter!$C$3</f>
        <v>1.4095068518517406</v>
      </c>
      <c r="AE336" s="48">
        <f>Tabell2[[#This Row],[Beftettotal-I]]*Vekter!$D$3</f>
        <v>6.4255710648173189E-2</v>
      </c>
      <c r="AF336" s="48">
        <f>Tabell2[[#This Row],[Befvekst10-I]]*Vekter!$E$3</f>
        <v>3.947016217989034</v>
      </c>
      <c r="AG336" s="48">
        <f>Tabell2[[#This Row],[Kvinneandel-I]]*Vekter!$F$3</f>
        <v>0.75416592119696446</v>
      </c>
      <c r="AH336" s="48">
        <f>Tabell2[[#This Row],[Eldreandel-I]]*Vekter!$G$3</f>
        <v>1.0908260520303121</v>
      </c>
      <c r="AI336" s="48">
        <f>Tabell2[[#This Row],[Sysselsettingsvekst10-I]]*Vekter!$H$3</f>
        <v>2.2316681967314351</v>
      </c>
      <c r="AJ336" s="48">
        <f>Tabell2[[#This Row],[Yrkesaktivandel-I]]*Vekter!$J$3</f>
        <v>3.45286921623851</v>
      </c>
      <c r="AK336" s="48">
        <f>Tabell2[[#This Row],[Inntekt-I]]*Vekter!$L$3</f>
        <v>0.2552495913491768</v>
      </c>
      <c r="AL336" s="37">
        <f>SUM(Tabell2[[#This Row],[NIBR11-v]:[Inntekt-v]])</f>
        <v>23.205557758035347</v>
      </c>
    </row>
    <row r="337" spans="1:38">
      <c r="A337" s="2" t="s">
        <v>334</v>
      </c>
      <c r="B337">
        <f>'Rådata-K'!M336</f>
        <v>6</v>
      </c>
      <c r="C337" s="9">
        <f>'Rådata-K'!L336</f>
        <v>250.0222845996</v>
      </c>
      <c r="D337" s="51">
        <f>'Rådata-K'!N336</f>
        <v>1.6661806420826593</v>
      </c>
      <c r="E337" s="51">
        <f>'Rådata-K'!O336</f>
        <v>-7.9491255961838814E-4</v>
      </c>
      <c r="F337" s="51">
        <f>'Rådata-K'!P336</f>
        <v>9.8647573587907711E-2</v>
      </c>
      <c r="G337" s="51">
        <f>'Rådata-K'!Q336</f>
        <v>0.18854415274463007</v>
      </c>
      <c r="H337" s="51">
        <f>'Rådata-K'!R336</f>
        <v>0.1262939958592133</v>
      </c>
      <c r="I337" s="51">
        <f>'Rådata-K'!S336</f>
        <v>1.0291858678955452</v>
      </c>
      <c r="J337" s="52">
        <f>'Rådata-K'!K336</f>
        <v>366900</v>
      </c>
      <c r="K337" s="26">
        <f>Tabell2[[#This Row],[NIBR11]]</f>
        <v>6</v>
      </c>
      <c r="L337" s="52">
        <f>IF(Tabell2[[#This Row],[ReisetidOslo]]&lt;=C$434,C$434,IF(Tabell2[[#This Row],[ReisetidOslo]]&gt;=C$435,C$435,Tabell2[[#This Row],[ReisetidOslo]]))</f>
        <v>250.0222845996</v>
      </c>
      <c r="M337" s="51">
        <f>IF(Tabell2[[#This Row],[Beftettotal]]&lt;=D$434,D$434,IF(Tabell2[[#This Row],[Beftettotal]]&gt;=D$435,D$435,Tabell2[[#This Row],[Beftettotal]]))</f>
        <v>1.6661806420826593</v>
      </c>
      <c r="N337" s="51">
        <f>IF(Tabell2[[#This Row],[Befvekst10]]&lt;=E$434,E$434,IF(Tabell2[[#This Row],[Befvekst10]]&gt;=E$435,E$435,Tabell2[[#This Row],[Befvekst10]]))</f>
        <v>-7.9491255961838814E-4</v>
      </c>
      <c r="O337" s="51">
        <f>IF(Tabell2[[#This Row],[Kvinneandel]]&lt;=F$434,F$434,IF(Tabell2[[#This Row],[Kvinneandel]]&gt;=F$435,F$435,Tabell2[[#This Row],[Kvinneandel]]))</f>
        <v>9.8647573587907711E-2</v>
      </c>
      <c r="P337" s="51">
        <f>IF(Tabell2[[#This Row],[Eldreandel]]&lt;=G$434,G$434,IF(Tabell2[[#This Row],[Eldreandel]]&gt;=G$435,G$435,Tabell2[[#This Row],[Eldreandel]]))</f>
        <v>0.18854415274463007</v>
      </c>
      <c r="Q337" s="51">
        <f>IF(Tabell2[[#This Row],[Sysselsettingsvekst10]]&lt;=H$434,H$434,IF(Tabell2[[#This Row],[Sysselsettingsvekst10]]&gt;=H$435,H$435,Tabell2[[#This Row],[Sysselsettingsvekst10]]))</f>
        <v>0.1262939958592133</v>
      </c>
      <c r="R337" s="51">
        <f>IF(Tabell2[[#This Row],[Yrkesaktivandel]]&lt;=I$434,I$434,IF(Tabell2[[#This Row],[Yrkesaktivandel]]&gt;=I$435,I$435,Tabell2[[#This Row],[Yrkesaktivandel]]))</f>
        <v>0.96217815624658265</v>
      </c>
      <c r="S337" s="52">
        <f>IF(Tabell2[[#This Row],[Inntekt]]&lt;=J$434,J$434,IF(Tabell2[[#This Row],[Inntekt]]&gt;=J$435,J$435,Tabell2[[#This Row],[Inntekt]]))</f>
        <v>366900</v>
      </c>
      <c r="T337" s="9">
        <f>IF(Tabell2[[#This Row],[NIBR11-T]]&lt;=K$437,100,IF(Tabell2[[#This Row],[NIBR11-T]]&gt;=K$436,0,100*(K$436-Tabell2[[#This Row],[NIBR11-T]])/K$439))</f>
        <v>50</v>
      </c>
      <c r="U337" s="9">
        <f>(L$436-Tabell2[[#This Row],[ReisetidOslo-T]])*100/L$439</f>
        <v>12.889346692120533</v>
      </c>
      <c r="V337" s="9">
        <f>100-(M$436-Tabell2[[#This Row],[Beftettotal-T]])*100/M$439</f>
        <v>0.25713389620712235</v>
      </c>
      <c r="W337" s="9">
        <f>100-(N$436-Tabell2[[#This Row],[Befvekst10-T]])*100/N$439</f>
        <v>32.36879617628999</v>
      </c>
      <c r="X337" s="9">
        <f>100-(O$436-Tabell2[[#This Row],[Kvinneandel-T]])*100/O$439</f>
        <v>22.20842115398024</v>
      </c>
      <c r="Y337" s="9">
        <f>(P$436-Tabell2[[#This Row],[Eldreandel-T]])*100/P$439</f>
        <v>22.397654519598333</v>
      </c>
      <c r="Z337" s="9">
        <f>100-(Q$436-Tabell2[[#This Row],[Sysselsettingsvekst10-T]])*100/Q$439</f>
        <v>62.585042767827204</v>
      </c>
      <c r="AA337" s="9">
        <f>100-(R$436-Tabell2[[#This Row],[Yrkesaktivandel-T]])*100/R$439</f>
        <v>100</v>
      </c>
      <c r="AB337" s="9">
        <f>100-(S$436-Tabell2[[#This Row],[Inntekt-T]])*100/S$439</f>
        <v>58.38048535143971</v>
      </c>
      <c r="AC337" s="48">
        <f>Tabell2[[#This Row],[NIBR11-I]]*Vekter!$B$3</f>
        <v>10</v>
      </c>
      <c r="AD337" s="48">
        <f>Tabell2[[#This Row],[ReisetidOslo-I]]*Vekter!$C$3</f>
        <v>1.2889346692120534</v>
      </c>
      <c r="AE337" s="48">
        <f>Tabell2[[#This Row],[Beftettotal-I]]*Vekter!$D$3</f>
        <v>2.5713389620712235E-2</v>
      </c>
      <c r="AF337" s="48">
        <f>Tabell2[[#This Row],[Befvekst10-I]]*Vekter!$E$3</f>
        <v>6.4737592352579982</v>
      </c>
      <c r="AG337" s="48">
        <f>Tabell2[[#This Row],[Kvinneandel-I]]*Vekter!$F$3</f>
        <v>1.1104210576990121</v>
      </c>
      <c r="AH337" s="48">
        <f>Tabell2[[#This Row],[Eldreandel-I]]*Vekter!$G$3</f>
        <v>1.1198827259799167</v>
      </c>
      <c r="AI337" s="48">
        <f>Tabell2[[#This Row],[Sysselsettingsvekst10-I]]*Vekter!$H$3</f>
        <v>6.2585042767827206</v>
      </c>
      <c r="AJ337" s="48">
        <f>Tabell2[[#This Row],[Yrkesaktivandel-I]]*Vekter!$J$3</f>
        <v>10</v>
      </c>
      <c r="AK337" s="48">
        <f>Tabell2[[#This Row],[Inntekt-I]]*Vekter!$L$3</f>
        <v>5.8380485351439715</v>
      </c>
      <c r="AL337" s="37">
        <f>SUM(Tabell2[[#This Row],[NIBR11-v]:[Inntekt-v]])</f>
        <v>42.115263889696379</v>
      </c>
    </row>
    <row r="338" spans="1:38">
      <c r="A338" s="2" t="s">
        <v>335</v>
      </c>
      <c r="B338">
        <f>'Rådata-K'!M337</f>
        <v>6</v>
      </c>
      <c r="C338" s="9">
        <f>'Rådata-K'!L337</f>
        <v>227.46589099229999</v>
      </c>
      <c r="D338" s="51">
        <f>'Rådata-K'!N337</f>
        <v>5.1137998602337662</v>
      </c>
      <c r="E338" s="51">
        <f>'Rådata-K'!O337</f>
        <v>5.4237288135593253E-2</v>
      </c>
      <c r="F338" s="51">
        <f>'Rådata-K'!P337</f>
        <v>0.12191854233654877</v>
      </c>
      <c r="G338" s="51">
        <f>'Rådata-K'!Q337</f>
        <v>0.14978563772775991</v>
      </c>
      <c r="H338" s="51">
        <f>'Rådata-K'!R337</f>
        <v>0.11915887850467288</v>
      </c>
      <c r="I338" s="51">
        <f>'Rådata-K'!S337</f>
        <v>0.93054234062797336</v>
      </c>
      <c r="J338" s="52">
        <f>'Rådata-K'!K337</f>
        <v>348900</v>
      </c>
      <c r="K338" s="26">
        <f>Tabell2[[#This Row],[NIBR11]]</f>
        <v>6</v>
      </c>
      <c r="L338" s="52">
        <f>IF(Tabell2[[#This Row],[ReisetidOslo]]&lt;=C$434,C$434,IF(Tabell2[[#This Row],[ReisetidOslo]]&gt;=C$435,C$435,Tabell2[[#This Row],[ReisetidOslo]]))</f>
        <v>227.46589099229999</v>
      </c>
      <c r="M338" s="51">
        <f>IF(Tabell2[[#This Row],[Beftettotal]]&lt;=D$434,D$434,IF(Tabell2[[#This Row],[Beftettotal]]&gt;=D$435,D$435,Tabell2[[#This Row],[Beftettotal]]))</f>
        <v>5.1137998602337662</v>
      </c>
      <c r="N338" s="51">
        <f>IF(Tabell2[[#This Row],[Befvekst10]]&lt;=E$434,E$434,IF(Tabell2[[#This Row],[Befvekst10]]&gt;=E$435,E$435,Tabell2[[#This Row],[Befvekst10]]))</f>
        <v>5.4237288135593253E-2</v>
      </c>
      <c r="O338" s="51">
        <f>IF(Tabell2[[#This Row],[Kvinneandel]]&lt;=F$434,F$434,IF(Tabell2[[#This Row],[Kvinneandel]]&gt;=F$435,F$435,Tabell2[[#This Row],[Kvinneandel]]))</f>
        <v>0.12191854233654877</v>
      </c>
      <c r="P338" s="51">
        <f>IF(Tabell2[[#This Row],[Eldreandel]]&lt;=G$434,G$434,IF(Tabell2[[#This Row],[Eldreandel]]&gt;=G$435,G$435,Tabell2[[#This Row],[Eldreandel]]))</f>
        <v>0.14978563772775991</v>
      </c>
      <c r="Q338" s="51">
        <f>IF(Tabell2[[#This Row],[Sysselsettingsvekst10]]&lt;=H$434,H$434,IF(Tabell2[[#This Row],[Sysselsettingsvekst10]]&gt;=H$435,H$435,Tabell2[[#This Row],[Sysselsettingsvekst10]]))</f>
        <v>0.11915887850467288</v>
      </c>
      <c r="R338" s="51">
        <f>IF(Tabell2[[#This Row],[Yrkesaktivandel]]&lt;=I$434,I$434,IF(Tabell2[[#This Row],[Yrkesaktivandel]]&gt;=I$435,I$435,Tabell2[[#This Row],[Yrkesaktivandel]]))</f>
        <v>0.93054234062797336</v>
      </c>
      <c r="S338" s="52">
        <f>IF(Tabell2[[#This Row],[Inntekt]]&lt;=J$434,J$434,IF(Tabell2[[#This Row],[Inntekt]]&gt;=J$435,J$435,Tabell2[[#This Row],[Inntekt]]))</f>
        <v>348900</v>
      </c>
      <c r="T338" s="9">
        <f>IF(Tabell2[[#This Row],[NIBR11-T]]&lt;=K$437,100,IF(Tabell2[[#This Row],[NIBR11-T]]&gt;=K$436,0,100*(K$436-Tabell2[[#This Row],[NIBR11-T]])/K$439))</f>
        <v>50</v>
      </c>
      <c r="U338" s="9">
        <f>(L$436-Tabell2[[#This Row],[ReisetidOslo-T]])*100/L$439</f>
        <v>22.903270984102591</v>
      </c>
      <c r="V338" s="9">
        <f>100-(M$436-Tabell2[[#This Row],[Beftettotal-T]])*100/M$439</f>
        <v>2.9726926161106064</v>
      </c>
      <c r="W338" s="9">
        <f>100-(N$436-Tabell2[[#This Row],[Befvekst10-T]])*100/N$439</f>
        <v>54.637891397658571</v>
      </c>
      <c r="X338" s="9">
        <f>100-(O$436-Tabell2[[#This Row],[Kvinneandel-T]])*100/O$439</f>
        <v>83.84618456381169</v>
      </c>
      <c r="Y338" s="9">
        <f>(P$436-Tabell2[[#This Row],[Eldreandel-T]])*100/P$439</f>
        <v>66.337658201839432</v>
      </c>
      <c r="Z338" s="9">
        <f>100-(Q$436-Tabell2[[#This Row],[Sysselsettingsvekst10-T]])*100/Q$439</f>
        <v>60.294875817860749</v>
      </c>
      <c r="AA338" s="9">
        <f>100-(R$436-Tabell2[[#This Row],[Yrkesaktivandel-T]])*100/R$439</f>
        <v>76.416266967437224</v>
      </c>
      <c r="AB338" s="9">
        <f>100-(S$436-Tabell2[[#This Row],[Inntekt-T]])*100/S$439</f>
        <v>35.747516660379731</v>
      </c>
      <c r="AC338" s="48">
        <f>Tabell2[[#This Row],[NIBR11-I]]*Vekter!$B$3</f>
        <v>10</v>
      </c>
      <c r="AD338" s="48">
        <f>Tabell2[[#This Row],[ReisetidOslo-I]]*Vekter!$C$3</f>
        <v>2.2903270984102591</v>
      </c>
      <c r="AE338" s="48">
        <f>Tabell2[[#This Row],[Beftettotal-I]]*Vekter!$D$3</f>
        <v>0.29726926161106065</v>
      </c>
      <c r="AF338" s="48">
        <f>Tabell2[[#This Row],[Befvekst10-I]]*Vekter!$E$3</f>
        <v>10.927578279531716</v>
      </c>
      <c r="AG338" s="48">
        <f>Tabell2[[#This Row],[Kvinneandel-I]]*Vekter!$F$3</f>
        <v>4.1923092281905845</v>
      </c>
      <c r="AH338" s="48">
        <f>Tabell2[[#This Row],[Eldreandel-I]]*Vekter!$G$3</f>
        <v>3.3168829100919717</v>
      </c>
      <c r="AI338" s="48">
        <f>Tabell2[[#This Row],[Sysselsettingsvekst10-I]]*Vekter!$H$3</f>
        <v>6.0294875817860749</v>
      </c>
      <c r="AJ338" s="48">
        <f>Tabell2[[#This Row],[Yrkesaktivandel-I]]*Vekter!$J$3</f>
        <v>7.6416266967437227</v>
      </c>
      <c r="AK338" s="48">
        <f>Tabell2[[#This Row],[Inntekt-I]]*Vekter!$L$3</f>
        <v>3.5747516660379732</v>
      </c>
      <c r="AL338" s="37">
        <f>SUM(Tabell2[[#This Row],[NIBR11-v]:[Inntekt-v]])</f>
        <v>48.270232722403364</v>
      </c>
    </row>
    <row r="339" spans="1:38">
      <c r="A339" s="2" t="s">
        <v>336</v>
      </c>
      <c r="B339">
        <f>'Rådata-K'!M338</f>
        <v>6</v>
      </c>
      <c r="C339" s="9">
        <f>'Rådata-K'!L338</f>
        <v>250.8279621305</v>
      </c>
      <c r="D339" s="51">
        <f>'Rådata-K'!N338</f>
        <v>1.1795832873994048</v>
      </c>
      <c r="E339" s="51">
        <f>'Rådata-K'!O338</f>
        <v>-0.14171122994652408</v>
      </c>
      <c r="F339" s="51">
        <f>'Rådata-K'!P338</f>
        <v>9.1900311526479747E-2</v>
      </c>
      <c r="G339" s="51">
        <f>'Rådata-K'!Q338</f>
        <v>0.21651090342679127</v>
      </c>
      <c r="H339" s="51">
        <f>'Rådata-K'!R338</f>
        <v>-3.1496062992126039E-2</v>
      </c>
      <c r="I339" s="51">
        <f>'Rådata-K'!S338</f>
        <v>0.87106017191977081</v>
      </c>
      <c r="J339" s="52">
        <f>'Rådata-K'!K338</f>
        <v>311100</v>
      </c>
      <c r="K339" s="26">
        <f>Tabell2[[#This Row],[NIBR11]]</f>
        <v>6</v>
      </c>
      <c r="L339" s="52">
        <f>IF(Tabell2[[#This Row],[ReisetidOslo]]&lt;=C$434,C$434,IF(Tabell2[[#This Row],[ReisetidOslo]]&gt;=C$435,C$435,Tabell2[[#This Row],[ReisetidOslo]]))</f>
        <v>250.8279621305</v>
      </c>
      <c r="M339" s="51">
        <f>IF(Tabell2[[#This Row],[Beftettotal]]&lt;=D$434,D$434,IF(Tabell2[[#This Row],[Beftettotal]]&gt;=D$435,D$435,Tabell2[[#This Row],[Beftettotal]]))</f>
        <v>1.3397285732306117</v>
      </c>
      <c r="N339" s="51">
        <f>IF(Tabell2[[#This Row],[Befvekst10]]&lt;=E$434,E$434,IF(Tabell2[[#This Row],[Befvekst10]]&gt;=E$435,E$435,Tabell2[[#This Row],[Befvekst10]]))</f>
        <v>-8.0785862785862778E-2</v>
      </c>
      <c r="O339" s="51">
        <f>IF(Tabell2[[#This Row],[Kvinneandel]]&lt;=F$434,F$434,IF(Tabell2[[#This Row],[Kvinneandel]]&gt;=F$435,F$435,Tabell2[[#This Row],[Kvinneandel]]))</f>
        <v>9.1900311526479747E-2</v>
      </c>
      <c r="P339" s="51">
        <f>IF(Tabell2[[#This Row],[Eldreandel]]&lt;=G$434,G$434,IF(Tabell2[[#This Row],[Eldreandel]]&gt;=G$435,G$435,Tabell2[[#This Row],[Eldreandel]]))</f>
        <v>0.20830063331569054</v>
      </c>
      <c r="Q339" s="51">
        <f>IF(Tabell2[[#This Row],[Sysselsettingsvekst10]]&lt;=H$434,H$434,IF(Tabell2[[#This Row],[Sysselsettingsvekst10]]&gt;=H$435,H$435,Tabell2[[#This Row],[Sysselsettingsvekst10]]))</f>
        <v>-3.1496062992126039E-2</v>
      </c>
      <c r="R339" s="51">
        <f>IF(Tabell2[[#This Row],[Yrkesaktivandel]]&lt;=I$434,I$434,IF(Tabell2[[#This Row],[Yrkesaktivandel]]&gt;=I$435,I$435,Tabell2[[#This Row],[Yrkesaktivandel]]))</f>
        <v>0.87106017191977081</v>
      </c>
      <c r="S339" s="52">
        <f>IF(Tabell2[[#This Row],[Inntekt]]&lt;=J$434,J$434,IF(Tabell2[[#This Row],[Inntekt]]&gt;=J$435,J$435,Tabell2[[#This Row],[Inntekt]]))</f>
        <v>320470</v>
      </c>
      <c r="T339" s="9">
        <f>IF(Tabell2[[#This Row],[NIBR11-T]]&lt;=K$437,100,IF(Tabell2[[#This Row],[NIBR11-T]]&gt;=K$436,0,100*(K$436-Tabell2[[#This Row],[NIBR11-T]])/K$439))</f>
        <v>50</v>
      </c>
      <c r="U339" s="9">
        <f>(L$436-Tabell2[[#This Row],[ReisetidOslo-T]])*100/L$439</f>
        <v>12.53166567543653</v>
      </c>
      <c r="V339" s="9">
        <f>100-(M$436-Tabell2[[#This Row],[Beftettotal-T]])*100/M$439</f>
        <v>0</v>
      </c>
      <c r="W339" s="9">
        <f>100-(N$436-Tabell2[[#This Row],[Befvekst10-T]])*100/N$439</f>
        <v>0</v>
      </c>
      <c r="X339" s="9">
        <f>100-(O$436-Tabell2[[#This Row],[Kvinneandel-T]])*100/O$439</f>
        <v>4.3369630682177132</v>
      </c>
      <c r="Y339" s="9">
        <f>(P$436-Tabell2[[#This Row],[Eldreandel-T]])*100/P$439</f>
        <v>0</v>
      </c>
      <c r="Z339" s="9">
        <f>100-(Q$436-Tabell2[[#This Row],[Sysselsettingsvekst10-T]])*100/Q$439</f>
        <v>11.938983304678288</v>
      </c>
      <c r="AA339" s="9">
        <f>100-(R$436-Tabell2[[#This Row],[Yrkesaktivandel-T]])*100/R$439</f>
        <v>32.073753282190978</v>
      </c>
      <c r="AB339" s="9">
        <f>100-(S$436-Tabell2[[#This Row],[Inntekt-T]])*100/S$439</f>
        <v>0</v>
      </c>
      <c r="AC339" s="48">
        <f>Tabell2[[#This Row],[NIBR11-I]]*Vekter!$B$3</f>
        <v>10</v>
      </c>
      <c r="AD339" s="48">
        <f>Tabell2[[#This Row],[ReisetidOslo-I]]*Vekter!$C$3</f>
        <v>1.2531665675436532</v>
      </c>
      <c r="AE339" s="48">
        <f>Tabell2[[#This Row],[Beftettotal-I]]*Vekter!$D$3</f>
        <v>0</v>
      </c>
      <c r="AF339" s="48">
        <f>Tabell2[[#This Row],[Befvekst10-I]]*Vekter!$E$3</f>
        <v>0</v>
      </c>
      <c r="AG339" s="48">
        <f>Tabell2[[#This Row],[Kvinneandel-I]]*Vekter!$F$3</f>
        <v>0.21684815341088567</v>
      </c>
      <c r="AH339" s="48">
        <f>Tabell2[[#This Row],[Eldreandel-I]]*Vekter!$G$3</f>
        <v>0</v>
      </c>
      <c r="AI339" s="48">
        <f>Tabell2[[#This Row],[Sysselsettingsvekst10-I]]*Vekter!$H$3</f>
        <v>1.1938983304678288</v>
      </c>
      <c r="AJ339" s="48">
        <f>Tabell2[[#This Row],[Yrkesaktivandel-I]]*Vekter!$J$3</f>
        <v>3.207375328219098</v>
      </c>
      <c r="AK339" s="48">
        <f>Tabell2[[#This Row],[Inntekt-I]]*Vekter!$L$3</f>
        <v>0</v>
      </c>
      <c r="AL339" s="37">
        <f>SUM(Tabell2[[#This Row],[NIBR11-v]:[Inntekt-v]])</f>
        <v>15.871288379641467</v>
      </c>
    </row>
    <row r="340" spans="1:38">
      <c r="A340" s="2" t="s">
        <v>337</v>
      </c>
      <c r="B340">
        <f>'Rådata-K'!M339</f>
        <v>11</v>
      </c>
      <c r="C340" s="9">
        <f>'Rådata-K'!L339</f>
        <v>266.4131057852</v>
      </c>
      <c r="D340" s="51">
        <f>'Rådata-K'!N339</f>
        <v>2.4416297878834121</v>
      </c>
      <c r="E340" s="51">
        <f>'Rådata-K'!O339</f>
        <v>-8.2719082719082682E-2</v>
      </c>
      <c r="F340" s="51">
        <f>'Rådata-K'!P339</f>
        <v>8.6607142857142855E-2</v>
      </c>
      <c r="G340" s="51">
        <f>'Rådata-K'!Q339</f>
        <v>0.19910714285714284</v>
      </c>
      <c r="H340" s="51">
        <f>'Rådata-K'!R339</f>
        <v>0.15137614678899092</v>
      </c>
      <c r="I340" s="51">
        <f>'Rådata-K'!S339</f>
        <v>0.96302250803858525</v>
      </c>
      <c r="J340" s="52">
        <f>'Rådata-K'!K339</f>
        <v>310100</v>
      </c>
      <c r="K340" s="26">
        <f>Tabell2[[#This Row],[NIBR11]]</f>
        <v>11</v>
      </c>
      <c r="L340" s="52">
        <f>IF(Tabell2[[#This Row],[ReisetidOslo]]&lt;=C$434,C$434,IF(Tabell2[[#This Row],[ReisetidOslo]]&gt;=C$435,C$435,Tabell2[[#This Row],[ReisetidOslo]]))</f>
        <v>266.4131057852</v>
      </c>
      <c r="M340" s="51">
        <f>IF(Tabell2[[#This Row],[Beftettotal]]&lt;=D$434,D$434,IF(Tabell2[[#This Row],[Beftettotal]]&gt;=D$435,D$435,Tabell2[[#This Row],[Beftettotal]]))</f>
        <v>2.4416297878834121</v>
      </c>
      <c r="N340" s="51">
        <f>IF(Tabell2[[#This Row],[Befvekst10]]&lt;=E$434,E$434,IF(Tabell2[[#This Row],[Befvekst10]]&gt;=E$435,E$435,Tabell2[[#This Row],[Befvekst10]]))</f>
        <v>-8.0785862785862778E-2</v>
      </c>
      <c r="O340" s="51">
        <f>IF(Tabell2[[#This Row],[Kvinneandel]]&lt;=F$434,F$434,IF(Tabell2[[#This Row],[Kvinneandel]]&gt;=F$435,F$435,Tabell2[[#This Row],[Kvinneandel]]))</f>
        <v>9.0262917071501733E-2</v>
      </c>
      <c r="P340" s="51">
        <f>IF(Tabell2[[#This Row],[Eldreandel]]&lt;=G$434,G$434,IF(Tabell2[[#This Row],[Eldreandel]]&gt;=G$435,G$435,Tabell2[[#This Row],[Eldreandel]]))</f>
        <v>0.19910714285714284</v>
      </c>
      <c r="Q340" s="51">
        <f>IF(Tabell2[[#This Row],[Sysselsettingsvekst10]]&lt;=H$434,H$434,IF(Tabell2[[#This Row],[Sysselsettingsvekst10]]&gt;=H$435,H$435,Tabell2[[#This Row],[Sysselsettingsvekst10]]))</f>
        <v>0.15137614678899092</v>
      </c>
      <c r="R340" s="51">
        <f>IF(Tabell2[[#This Row],[Yrkesaktivandel]]&lt;=I$434,I$434,IF(Tabell2[[#This Row],[Yrkesaktivandel]]&gt;=I$435,I$435,Tabell2[[#This Row],[Yrkesaktivandel]]))</f>
        <v>0.96217815624658265</v>
      </c>
      <c r="S340" s="52">
        <f>IF(Tabell2[[#This Row],[Inntekt]]&lt;=J$434,J$434,IF(Tabell2[[#This Row],[Inntekt]]&gt;=J$435,J$435,Tabell2[[#This Row],[Inntekt]]))</f>
        <v>320470</v>
      </c>
      <c r="T340" s="9">
        <f>IF(Tabell2[[#This Row],[NIBR11-T]]&lt;=K$437,100,IF(Tabell2[[#This Row],[NIBR11-T]]&gt;=K$436,0,100*(K$436-Tabell2[[#This Row],[NIBR11-T]])/K$439))</f>
        <v>0</v>
      </c>
      <c r="U340" s="9">
        <f>(L$436-Tabell2[[#This Row],[ReisetidOslo-T]])*100/L$439</f>
        <v>5.6126319258516046</v>
      </c>
      <c r="V340" s="9">
        <f>100-(M$436-Tabell2[[#This Row],[Beftettotal-T]])*100/M$439</f>
        <v>0.86792573732296319</v>
      </c>
      <c r="W340" s="9">
        <f>100-(N$436-Tabell2[[#This Row],[Befvekst10-T]])*100/N$439</f>
        <v>0</v>
      </c>
      <c r="X340" s="9">
        <f>100-(O$436-Tabell2[[#This Row],[Kvinneandel-T]])*100/O$439</f>
        <v>0</v>
      </c>
      <c r="Y340" s="9">
        <f>(P$436-Tabell2[[#This Row],[Eldreandel-T]])*100/P$439</f>
        <v>10.422535652498668</v>
      </c>
      <c r="Z340" s="9">
        <f>100-(Q$436-Tabell2[[#This Row],[Sysselsettingsvekst10-T]])*100/Q$439</f>
        <v>70.635690043711719</v>
      </c>
      <c r="AA340" s="9">
        <f>100-(R$436-Tabell2[[#This Row],[Yrkesaktivandel-T]])*100/R$439</f>
        <v>100</v>
      </c>
      <c r="AB340" s="9">
        <f>100-(S$436-Tabell2[[#This Row],[Inntekt-T]])*100/S$439</f>
        <v>0</v>
      </c>
      <c r="AC340" s="48">
        <f>Tabell2[[#This Row],[NIBR11-I]]*Vekter!$B$3</f>
        <v>0</v>
      </c>
      <c r="AD340" s="48">
        <f>Tabell2[[#This Row],[ReisetidOslo-I]]*Vekter!$C$3</f>
        <v>0.56126319258516044</v>
      </c>
      <c r="AE340" s="48">
        <f>Tabell2[[#This Row],[Beftettotal-I]]*Vekter!$D$3</f>
        <v>8.6792573732296319E-2</v>
      </c>
      <c r="AF340" s="48">
        <f>Tabell2[[#This Row],[Befvekst10-I]]*Vekter!$E$3</f>
        <v>0</v>
      </c>
      <c r="AG340" s="48">
        <f>Tabell2[[#This Row],[Kvinneandel-I]]*Vekter!$F$3</f>
        <v>0</v>
      </c>
      <c r="AH340" s="48">
        <f>Tabell2[[#This Row],[Eldreandel-I]]*Vekter!$G$3</f>
        <v>0.52112678262493339</v>
      </c>
      <c r="AI340" s="48">
        <f>Tabell2[[#This Row],[Sysselsettingsvekst10-I]]*Vekter!$H$3</f>
        <v>7.0635690043711721</v>
      </c>
      <c r="AJ340" s="48">
        <f>Tabell2[[#This Row],[Yrkesaktivandel-I]]*Vekter!$J$3</f>
        <v>10</v>
      </c>
      <c r="AK340" s="48">
        <f>Tabell2[[#This Row],[Inntekt-I]]*Vekter!$L$3</f>
        <v>0</v>
      </c>
      <c r="AL340" s="37">
        <f>SUM(Tabell2[[#This Row],[NIBR11-v]:[Inntekt-v]])</f>
        <v>18.232751553313562</v>
      </c>
    </row>
    <row r="341" spans="1:38">
      <c r="A341" s="2" t="s">
        <v>338</v>
      </c>
      <c r="B341">
        <f>'Rådata-K'!M340</f>
        <v>9</v>
      </c>
      <c r="C341" s="9">
        <f>'Rådata-K'!L340</f>
        <v>219.66315842007</v>
      </c>
      <c r="D341" s="51">
        <f>'Rådata-K'!N340</f>
        <v>13.559907111027428</v>
      </c>
      <c r="E341" s="51">
        <f>'Rådata-K'!O340</f>
        <v>7.460830639144489E-2</v>
      </c>
      <c r="F341" s="51">
        <f>'Rådata-K'!P340</f>
        <v>0.11779680629483916</v>
      </c>
      <c r="G341" s="51">
        <f>'Rådata-K'!Q340</f>
        <v>0.14348530432770193</v>
      </c>
      <c r="H341" s="51">
        <f>'Rådata-K'!R340</f>
        <v>0.15586206896551724</v>
      </c>
      <c r="I341" s="51">
        <f>'Rådata-K'!S340</f>
        <v>0.92757201646090537</v>
      </c>
      <c r="J341" s="52">
        <f>'Rådata-K'!K340</f>
        <v>368900</v>
      </c>
      <c r="K341" s="26">
        <f>Tabell2[[#This Row],[NIBR11]]</f>
        <v>9</v>
      </c>
      <c r="L341" s="52">
        <f>IF(Tabell2[[#This Row],[ReisetidOslo]]&lt;=C$434,C$434,IF(Tabell2[[#This Row],[ReisetidOslo]]&gt;=C$435,C$435,Tabell2[[#This Row],[ReisetidOslo]]))</f>
        <v>219.66315842007</v>
      </c>
      <c r="M341" s="51">
        <f>IF(Tabell2[[#This Row],[Beftettotal]]&lt;=D$434,D$434,IF(Tabell2[[#This Row],[Beftettotal]]&gt;=D$435,D$435,Tabell2[[#This Row],[Beftettotal]]))</f>
        <v>13.559907111027428</v>
      </c>
      <c r="N341" s="51">
        <f>IF(Tabell2[[#This Row],[Befvekst10]]&lt;=E$434,E$434,IF(Tabell2[[#This Row],[Befvekst10]]&gt;=E$435,E$435,Tabell2[[#This Row],[Befvekst10]]))</f>
        <v>7.460830639144489E-2</v>
      </c>
      <c r="O341" s="51">
        <f>IF(Tabell2[[#This Row],[Kvinneandel]]&lt;=F$434,F$434,IF(Tabell2[[#This Row],[Kvinneandel]]&gt;=F$435,F$435,Tabell2[[#This Row],[Kvinneandel]]))</f>
        <v>0.11779680629483916</v>
      </c>
      <c r="P341" s="51">
        <f>IF(Tabell2[[#This Row],[Eldreandel]]&lt;=G$434,G$434,IF(Tabell2[[#This Row],[Eldreandel]]&gt;=G$435,G$435,Tabell2[[#This Row],[Eldreandel]]))</f>
        <v>0.14348530432770193</v>
      </c>
      <c r="Q341" s="51">
        <f>IF(Tabell2[[#This Row],[Sysselsettingsvekst10]]&lt;=H$434,H$434,IF(Tabell2[[#This Row],[Sysselsettingsvekst10]]&gt;=H$435,H$435,Tabell2[[#This Row],[Sysselsettingsvekst10]]))</f>
        <v>0.15586206896551724</v>
      </c>
      <c r="R341" s="51">
        <f>IF(Tabell2[[#This Row],[Yrkesaktivandel]]&lt;=I$434,I$434,IF(Tabell2[[#This Row],[Yrkesaktivandel]]&gt;=I$435,I$435,Tabell2[[#This Row],[Yrkesaktivandel]]))</f>
        <v>0.92757201646090537</v>
      </c>
      <c r="S341" s="52">
        <f>IF(Tabell2[[#This Row],[Inntekt]]&lt;=J$434,J$434,IF(Tabell2[[#This Row],[Inntekt]]&gt;=J$435,J$435,Tabell2[[#This Row],[Inntekt]]))</f>
        <v>368900</v>
      </c>
      <c r="T341" s="9">
        <f>IF(Tabell2[[#This Row],[NIBR11-T]]&lt;=K$437,100,IF(Tabell2[[#This Row],[NIBR11-T]]&gt;=K$436,0,100*(K$436-Tabell2[[#This Row],[NIBR11-T]])/K$439))</f>
        <v>20</v>
      </c>
      <c r="U341" s="9">
        <f>(L$436-Tabell2[[#This Row],[ReisetidOslo-T]])*100/L$439</f>
        <v>26.367298727598165</v>
      </c>
      <c r="V341" s="9">
        <f>100-(M$436-Tabell2[[#This Row],[Beftettotal-T]])*100/M$439</f>
        <v>9.6253705201492181</v>
      </c>
      <c r="W341" s="9">
        <f>100-(N$436-Tabell2[[#This Row],[Befvekst10-T]])*100/N$439</f>
        <v>62.881140614753193</v>
      </c>
      <c r="X341" s="9">
        <f>100-(O$436-Tabell2[[#This Row],[Kvinneandel-T]])*100/O$439</f>
        <v>72.928951434378348</v>
      </c>
      <c r="Y341" s="9">
        <f>(P$436-Tabell2[[#This Row],[Eldreandel-T]])*100/P$439</f>
        <v>73.480260870630985</v>
      </c>
      <c r="Z341" s="9">
        <f>100-(Q$436-Tabell2[[#This Row],[Sysselsettingsvekst10-T]])*100/Q$439</f>
        <v>72.075541723553357</v>
      </c>
      <c r="AA341" s="9">
        <f>100-(R$436-Tabell2[[#This Row],[Yrkesaktivandel-T]])*100/R$439</f>
        <v>74.201962363414481</v>
      </c>
      <c r="AB341" s="9">
        <f>100-(S$436-Tabell2[[#This Row],[Inntekt-T]])*100/S$439</f>
        <v>60.89525965044637</v>
      </c>
      <c r="AC341" s="48">
        <f>Tabell2[[#This Row],[NIBR11-I]]*Vekter!$B$3</f>
        <v>4</v>
      </c>
      <c r="AD341" s="48">
        <f>Tabell2[[#This Row],[ReisetidOslo-I]]*Vekter!$C$3</f>
        <v>2.6367298727598167</v>
      </c>
      <c r="AE341" s="48">
        <f>Tabell2[[#This Row],[Beftettotal-I]]*Vekter!$D$3</f>
        <v>0.9625370520149219</v>
      </c>
      <c r="AF341" s="48">
        <f>Tabell2[[#This Row],[Befvekst10-I]]*Vekter!$E$3</f>
        <v>12.576228122950639</v>
      </c>
      <c r="AG341" s="48">
        <f>Tabell2[[#This Row],[Kvinneandel-I]]*Vekter!$F$3</f>
        <v>3.6464475717189178</v>
      </c>
      <c r="AH341" s="48">
        <f>Tabell2[[#This Row],[Eldreandel-I]]*Vekter!$G$3</f>
        <v>3.6740130435315494</v>
      </c>
      <c r="AI341" s="48">
        <f>Tabell2[[#This Row],[Sysselsettingsvekst10-I]]*Vekter!$H$3</f>
        <v>7.2075541723553362</v>
      </c>
      <c r="AJ341" s="48">
        <f>Tabell2[[#This Row],[Yrkesaktivandel-I]]*Vekter!$J$3</f>
        <v>7.4201962363414484</v>
      </c>
      <c r="AK341" s="48">
        <f>Tabell2[[#This Row],[Inntekt-I]]*Vekter!$L$3</f>
        <v>6.0895259650446372</v>
      </c>
      <c r="AL341" s="37">
        <f>SUM(Tabell2[[#This Row],[NIBR11-v]:[Inntekt-v]])</f>
        <v>48.213232036717258</v>
      </c>
    </row>
    <row r="342" spans="1:38">
      <c r="A342" s="2" t="s">
        <v>339</v>
      </c>
      <c r="B342">
        <f>'Rådata-K'!M341</f>
        <v>9</v>
      </c>
      <c r="C342" s="9">
        <f>'Rådata-K'!L341</f>
        <v>233.0825890966</v>
      </c>
      <c r="D342" s="51">
        <f>'Rådata-K'!N341</f>
        <v>4.7435717296613742</v>
      </c>
      <c r="E342" s="51">
        <f>'Rådata-K'!O341</f>
        <v>-3.3587786259541952E-2</v>
      </c>
      <c r="F342" s="51">
        <f>'Rådata-K'!P341</f>
        <v>9.7353870458135858E-2</v>
      </c>
      <c r="G342" s="51">
        <f>'Rådata-K'!Q341</f>
        <v>0.1749605055292259</v>
      </c>
      <c r="H342" s="51">
        <f>'Rådata-K'!R341</f>
        <v>-4.1501976284584963E-2</v>
      </c>
      <c r="I342" s="51">
        <f>'Rådata-K'!S341</f>
        <v>0.89676041295834819</v>
      </c>
      <c r="J342" s="52">
        <f>'Rådata-K'!K341</f>
        <v>339200</v>
      </c>
      <c r="K342" s="26">
        <f>Tabell2[[#This Row],[NIBR11]]</f>
        <v>9</v>
      </c>
      <c r="L342" s="52">
        <f>IF(Tabell2[[#This Row],[ReisetidOslo]]&lt;=C$434,C$434,IF(Tabell2[[#This Row],[ReisetidOslo]]&gt;=C$435,C$435,Tabell2[[#This Row],[ReisetidOslo]]))</f>
        <v>233.0825890966</v>
      </c>
      <c r="M342" s="51">
        <f>IF(Tabell2[[#This Row],[Beftettotal]]&lt;=D$434,D$434,IF(Tabell2[[#This Row],[Beftettotal]]&gt;=D$435,D$435,Tabell2[[#This Row],[Beftettotal]]))</f>
        <v>4.7435717296613742</v>
      </c>
      <c r="N342" s="51">
        <f>IF(Tabell2[[#This Row],[Befvekst10]]&lt;=E$434,E$434,IF(Tabell2[[#This Row],[Befvekst10]]&gt;=E$435,E$435,Tabell2[[#This Row],[Befvekst10]]))</f>
        <v>-3.3587786259541952E-2</v>
      </c>
      <c r="O342" s="51">
        <f>IF(Tabell2[[#This Row],[Kvinneandel]]&lt;=F$434,F$434,IF(Tabell2[[#This Row],[Kvinneandel]]&gt;=F$435,F$435,Tabell2[[#This Row],[Kvinneandel]]))</f>
        <v>9.7353870458135858E-2</v>
      </c>
      <c r="P342" s="51">
        <f>IF(Tabell2[[#This Row],[Eldreandel]]&lt;=G$434,G$434,IF(Tabell2[[#This Row],[Eldreandel]]&gt;=G$435,G$435,Tabell2[[#This Row],[Eldreandel]]))</f>
        <v>0.1749605055292259</v>
      </c>
      <c r="Q342" s="51">
        <f>IF(Tabell2[[#This Row],[Sysselsettingsvekst10]]&lt;=H$434,H$434,IF(Tabell2[[#This Row],[Sysselsettingsvekst10]]&gt;=H$435,H$435,Tabell2[[#This Row],[Sysselsettingsvekst10]]))</f>
        <v>-4.1501976284584963E-2</v>
      </c>
      <c r="R342" s="51">
        <f>IF(Tabell2[[#This Row],[Yrkesaktivandel]]&lt;=I$434,I$434,IF(Tabell2[[#This Row],[Yrkesaktivandel]]&gt;=I$435,I$435,Tabell2[[#This Row],[Yrkesaktivandel]]))</f>
        <v>0.89676041295834819</v>
      </c>
      <c r="S342" s="52">
        <f>IF(Tabell2[[#This Row],[Inntekt]]&lt;=J$434,J$434,IF(Tabell2[[#This Row],[Inntekt]]&gt;=J$435,J$435,Tabell2[[#This Row],[Inntekt]]))</f>
        <v>339200</v>
      </c>
      <c r="T342" s="9">
        <f>IF(Tabell2[[#This Row],[NIBR11-T]]&lt;=K$437,100,IF(Tabell2[[#This Row],[NIBR11-T]]&gt;=K$436,0,100*(K$436-Tabell2[[#This Row],[NIBR11-T]])/K$439))</f>
        <v>20</v>
      </c>
      <c r="U342" s="9">
        <f>(L$436-Tabell2[[#This Row],[ReisetidOslo-T]])*100/L$439</f>
        <v>20.40973453645093</v>
      </c>
      <c r="V342" s="9">
        <f>100-(M$436-Tabell2[[#This Row],[Beftettotal-T]])*100/M$439</f>
        <v>2.6810779786714392</v>
      </c>
      <c r="W342" s="9">
        <f>100-(N$436-Tabell2[[#This Row],[Befvekst10-T]])*100/N$439</f>
        <v>19.098972004612776</v>
      </c>
      <c r="X342" s="9">
        <f>100-(O$436-Tabell2[[#This Row],[Kvinneandel-T]])*100/O$439</f>
        <v>18.781792538010293</v>
      </c>
      <c r="Y342" s="9">
        <f>(P$436-Tabell2[[#This Row],[Eldreandel-T]])*100/P$439</f>
        <v>37.797251444385815</v>
      </c>
      <c r="Z342" s="9">
        <f>100-(Q$436-Tabell2[[#This Row],[Sysselsettingsvekst10-T]])*100/Q$439</f>
        <v>8.7273736298861309</v>
      </c>
      <c r="AA342" s="9">
        <f>100-(R$436-Tabell2[[#This Row],[Yrkesaktivandel-T]])*100/R$439</f>
        <v>51.232659467299392</v>
      </c>
      <c r="AB342" s="9">
        <f>100-(S$436-Tabell2[[#This Row],[Inntekt-T]])*100/S$439</f>
        <v>23.550861310197405</v>
      </c>
      <c r="AC342" s="48">
        <f>Tabell2[[#This Row],[NIBR11-I]]*Vekter!$B$3</f>
        <v>4</v>
      </c>
      <c r="AD342" s="48">
        <f>Tabell2[[#This Row],[ReisetidOslo-I]]*Vekter!$C$3</f>
        <v>2.0409734536450932</v>
      </c>
      <c r="AE342" s="48">
        <f>Tabell2[[#This Row],[Beftettotal-I]]*Vekter!$D$3</f>
        <v>0.26810779786714395</v>
      </c>
      <c r="AF342" s="48">
        <f>Tabell2[[#This Row],[Befvekst10-I]]*Vekter!$E$3</f>
        <v>3.8197944009225555</v>
      </c>
      <c r="AG342" s="48">
        <f>Tabell2[[#This Row],[Kvinneandel-I]]*Vekter!$F$3</f>
        <v>0.93908962690051467</v>
      </c>
      <c r="AH342" s="48">
        <f>Tabell2[[#This Row],[Eldreandel-I]]*Vekter!$G$3</f>
        <v>1.8898625722192908</v>
      </c>
      <c r="AI342" s="48">
        <f>Tabell2[[#This Row],[Sysselsettingsvekst10-I]]*Vekter!$H$3</f>
        <v>0.87273736298861315</v>
      </c>
      <c r="AJ342" s="48">
        <f>Tabell2[[#This Row],[Yrkesaktivandel-I]]*Vekter!$J$3</f>
        <v>5.1232659467299397</v>
      </c>
      <c r="AK342" s="48">
        <f>Tabell2[[#This Row],[Inntekt-I]]*Vekter!$L$3</f>
        <v>2.3550861310197404</v>
      </c>
      <c r="AL342" s="37">
        <f>SUM(Tabell2[[#This Row],[NIBR11-v]:[Inntekt-v]])</f>
        <v>21.30891729229289</v>
      </c>
    </row>
    <row r="343" spans="1:38">
      <c r="A343" s="2" t="s">
        <v>340</v>
      </c>
      <c r="B343">
        <f>'Rådata-K'!M342</f>
        <v>11</v>
      </c>
      <c r="C343" s="9">
        <f>'Rådata-K'!L342</f>
        <v>296.17561002799999</v>
      </c>
      <c r="D343" s="51">
        <f>'Rådata-K'!N342</f>
        <v>5.0568440200090956</v>
      </c>
      <c r="E343" s="51">
        <f>'Rådata-K'!O342</f>
        <v>-0.12578616352201255</v>
      </c>
      <c r="F343" s="51">
        <f>'Rådata-K'!P342</f>
        <v>7.7338129496402883E-2</v>
      </c>
      <c r="G343" s="51">
        <f>'Rådata-K'!Q342</f>
        <v>0.26978417266187049</v>
      </c>
      <c r="H343" s="51">
        <f>'Rådata-K'!R342</f>
        <v>3.9840637450199168E-2</v>
      </c>
      <c r="I343" s="51">
        <f>'Rådata-K'!S342</f>
        <v>0.97212543554006969</v>
      </c>
      <c r="J343" s="52">
        <f>'Rådata-K'!K342</f>
        <v>327100</v>
      </c>
      <c r="K343" s="26">
        <f>Tabell2[[#This Row],[NIBR11]]</f>
        <v>11</v>
      </c>
      <c r="L343" s="52">
        <f>IF(Tabell2[[#This Row],[ReisetidOslo]]&lt;=C$434,C$434,IF(Tabell2[[#This Row],[ReisetidOslo]]&gt;=C$435,C$435,Tabell2[[#This Row],[ReisetidOslo]]))</f>
        <v>279.05557553043002</v>
      </c>
      <c r="M343" s="51">
        <f>IF(Tabell2[[#This Row],[Beftettotal]]&lt;=D$434,D$434,IF(Tabell2[[#This Row],[Beftettotal]]&gt;=D$435,D$435,Tabell2[[#This Row],[Beftettotal]]))</f>
        <v>5.0568440200090956</v>
      </c>
      <c r="N343" s="51">
        <f>IF(Tabell2[[#This Row],[Befvekst10]]&lt;=E$434,E$434,IF(Tabell2[[#This Row],[Befvekst10]]&gt;=E$435,E$435,Tabell2[[#This Row],[Befvekst10]]))</f>
        <v>-8.0785862785862778E-2</v>
      </c>
      <c r="O343" s="51">
        <f>IF(Tabell2[[#This Row],[Kvinneandel]]&lt;=F$434,F$434,IF(Tabell2[[#This Row],[Kvinneandel]]&gt;=F$435,F$435,Tabell2[[#This Row],[Kvinneandel]]))</f>
        <v>9.0262917071501733E-2</v>
      </c>
      <c r="P343" s="51">
        <f>IF(Tabell2[[#This Row],[Eldreandel]]&lt;=G$434,G$434,IF(Tabell2[[#This Row],[Eldreandel]]&gt;=G$435,G$435,Tabell2[[#This Row],[Eldreandel]]))</f>
        <v>0.20830063331569054</v>
      </c>
      <c r="Q343" s="51">
        <f>IF(Tabell2[[#This Row],[Sysselsettingsvekst10]]&lt;=H$434,H$434,IF(Tabell2[[#This Row],[Sysselsettingsvekst10]]&gt;=H$435,H$435,Tabell2[[#This Row],[Sysselsettingsvekst10]]))</f>
        <v>3.9840637450199168E-2</v>
      </c>
      <c r="R343" s="51">
        <f>IF(Tabell2[[#This Row],[Yrkesaktivandel]]&lt;=I$434,I$434,IF(Tabell2[[#This Row],[Yrkesaktivandel]]&gt;=I$435,I$435,Tabell2[[#This Row],[Yrkesaktivandel]]))</f>
        <v>0.96217815624658265</v>
      </c>
      <c r="S343" s="52">
        <f>IF(Tabell2[[#This Row],[Inntekt]]&lt;=J$434,J$434,IF(Tabell2[[#This Row],[Inntekt]]&gt;=J$435,J$435,Tabell2[[#This Row],[Inntekt]]))</f>
        <v>327100</v>
      </c>
      <c r="T343" s="9">
        <f>IF(Tabell2[[#This Row],[NIBR11-T]]&lt;=K$437,100,IF(Tabell2[[#This Row],[NIBR11-T]]&gt;=K$436,0,100*(K$436-Tabell2[[#This Row],[NIBR11-T]])/K$439))</f>
        <v>0</v>
      </c>
      <c r="U343" s="9">
        <f>(L$436-Tabell2[[#This Row],[ReisetidOslo-T]])*100/L$439</f>
        <v>0</v>
      </c>
      <c r="V343" s="9">
        <f>100-(M$436-Tabell2[[#This Row],[Beftettotal-T]])*100/M$439</f>
        <v>2.9278306639097167</v>
      </c>
      <c r="W343" s="9">
        <f>100-(N$436-Tabell2[[#This Row],[Befvekst10-T]])*100/N$439</f>
        <v>0</v>
      </c>
      <c r="X343" s="9">
        <f>100-(O$436-Tabell2[[#This Row],[Kvinneandel-T]])*100/O$439</f>
        <v>0</v>
      </c>
      <c r="Y343" s="9">
        <f>(P$436-Tabell2[[#This Row],[Eldreandel-T]])*100/P$439</f>
        <v>0</v>
      </c>
      <c r="Z343" s="9">
        <f>100-(Q$436-Tabell2[[#This Row],[Sysselsettingsvekst10-T]])*100/Q$439</f>
        <v>34.836007355545348</v>
      </c>
      <c r="AA343" s="9">
        <f>100-(R$436-Tabell2[[#This Row],[Yrkesaktivandel-T]])*100/R$439</f>
        <v>100</v>
      </c>
      <c r="AB343" s="9">
        <f>100-(S$436-Tabell2[[#This Row],[Inntekt-T]])*100/S$439</f>
        <v>8.3364768012070982</v>
      </c>
      <c r="AC343" s="48">
        <f>Tabell2[[#This Row],[NIBR11-I]]*Vekter!$B$3</f>
        <v>0</v>
      </c>
      <c r="AD343" s="48">
        <f>Tabell2[[#This Row],[ReisetidOslo-I]]*Vekter!$C$3</f>
        <v>0</v>
      </c>
      <c r="AE343" s="48">
        <f>Tabell2[[#This Row],[Beftettotal-I]]*Vekter!$D$3</f>
        <v>0.29278306639097168</v>
      </c>
      <c r="AF343" s="48">
        <f>Tabell2[[#This Row],[Befvekst10-I]]*Vekter!$E$3</f>
        <v>0</v>
      </c>
      <c r="AG343" s="48">
        <f>Tabell2[[#This Row],[Kvinneandel-I]]*Vekter!$F$3</f>
        <v>0</v>
      </c>
      <c r="AH343" s="48">
        <f>Tabell2[[#This Row],[Eldreandel-I]]*Vekter!$G$3</f>
        <v>0</v>
      </c>
      <c r="AI343" s="48">
        <f>Tabell2[[#This Row],[Sysselsettingsvekst10-I]]*Vekter!$H$3</f>
        <v>3.4836007355545351</v>
      </c>
      <c r="AJ343" s="48">
        <f>Tabell2[[#This Row],[Yrkesaktivandel-I]]*Vekter!$J$3</f>
        <v>10</v>
      </c>
      <c r="AK343" s="48">
        <f>Tabell2[[#This Row],[Inntekt-I]]*Vekter!$L$3</f>
        <v>0.83364768012070989</v>
      </c>
      <c r="AL343" s="37">
        <f>SUM(Tabell2[[#This Row],[NIBR11-v]:[Inntekt-v]])</f>
        <v>14.610031482066216</v>
      </c>
    </row>
    <row r="344" spans="1:38">
      <c r="A344" s="2" t="s">
        <v>341</v>
      </c>
      <c r="B344">
        <f>'Rådata-K'!M343</f>
        <v>6</v>
      </c>
      <c r="C344" s="9">
        <f>'Rådata-K'!L343</f>
        <v>214.90922345249999</v>
      </c>
      <c r="D344" s="51">
        <f>'Rådata-K'!N343</f>
        <v>18.377225367134301</v>
      </c>
      <c r="E344" s="51">
        <f>'Rådata-K'!O343</f>
        <v>2.0876826722338038E-3</v>
      </c>
      <c r="F344" s="51">
        <f>'Rådata-K'!P343</f>
        <v>0.10178571428571428</v>
      </c>
      <c r="G344" s="51">
        <f>'Rådata-K'!Q343</f>
        <v>0.15729166666666666</v>
      </c>
      <c r="H344" s="51">
        <f>'Rådata-K'!R343</f>
        <v>5.7567316620241504E-2</v>
      </c>
      <c r="I344" s="51">
        <f>'Rådata-K'!S343</f>
        <v>0.89906542056074767</v>
      </c>
      <c r="J344" s="52">
        <f>'Rådata-K'!K343</f>
        <v>347000</v>
      </c>
      <c r="K344" s="26">
        <f>Tabell2[[#This Row],[NIBR11]]</f>
        <v>6</v>
      </c>
      <c r="L344" s="52">
        <f>IF(Tabell2[[#This Row],[ReisetidOslo]]&lt;=C$434,C$434,IF(Tabell2[[#This Row],[ReisetidOslo]]&gt;=C$435,C$435,Tabell2[[#This Row],[ReisetidOslo]]))</f>
        <v>214.90922345249999</v>
      </c>
      <c r="M344" s="51">
        <f>IF(Tabell2[[#This Row],[Beftettotal]]&lt;=D$434,D$434,IF(Tabell2[[#This Row],[Beftettotal]]&gt;=D$435,D$435,Tabell2[[#This Row],[Beftettotal]]))</f>
        <v>18.377225367134301</v>
      </c>
      <c r="N344" s="51">
        <f>IF(Tabell2[[#This Row],[Befvekst10]]&lt;=E$434,E$434,IF(Tabell2[[#This Row],[Befvekst10]]&gt;=E$435,E$435,Tabell2[[#This Row],[Befvekst10]]))</f>
        <v>2.0876826722338038E-3</v>
      </c>
      <c r="O344" s="51">
        <f>IF(Tabell2[[#This Row],[Kvinneandel]]&lt;=F$434,F$434,IF(Tabell2[[#This Row],[Kvinneandel]]&gt;=F$435,F$435,Tabell2[[#This Row],[Kvinneandel]]))</f>
        <v>0.10178571428571428</v>
      </c>
      <c r="P344" s="51">
        <f>IF(Tabell2[[#This Row],[Eldreandel]]&lt;=G$434,G$434,IF(Tabell2[[#This Row],[Eldreandel]]&gt;=G$435,G$435,Tabell2[[#This Row],[Eldreandel]]))</f>
        <v>0.15729166666666666</v>
      </c>
      <c r="Q344" s="51">
        <f>IF(Tabell2[[#This Row],[Sysselsettingsvekst10]]&lt;=H$434,H$434,IF(Tabell2[[#This Row],[Sysselsettingsvekst10]]&gt;=H$435,H$435,Tabell2[[#This Row],[Sysselsettingsvekst10]]))</f>
        <v>5.7567316620241504E-2</v>
      </c>
      <c r="R344" s="51">
        <f>IF(Tabell2[[#This Row],[Yrkesaktivandel]]&lt;=I$434,I$434,IF(Tabell2[[#This Row],[Yrkesaktivandel]]&gt;=I$435,I$435,Tabell2[[#This Row],[Yrkesaktivandel]]))</f>
        <v>0.89906542056074767</v>
      </c>
      <c r="S344" s="52">
        <f>IF(Tabell2[[#This Row],[Inntekt]]&lt;=J$434,J$434,IF(Tabell2[[#This Row],[Inntekt]]&gt;=J$435,J$435,Tabell2[[#This Row],[Inntekt]]))</f>
        <v>347000</v>
      </c>
      <c r="T344" s="9">
        <f>IF(Tabell2[[#This Row],[NIBR11-T]]&lt;=K$437,100,IF(Tabell2[[#This Row],[NIBR11-T]]&gt;=K$436,0,100*(K$436-Tabell2[[#This Row],[NIBR11-T]])/K$439))</f>
        <v>50</v>
      </c>
      <c r="U344" s="9">
        <f>(L$436-Tabell2[[#This Row],[ReisetidOslo-T]])*100/L$439</f>
        <v>28.477810970071427</v>
      </c>
      <c r="V344" s="9">
        <f>100-(M$436-Tabell2[[#This Row],[Beftettotal-T]])*100/M$439</f>
        <v>13.419789152012157</v>
      </c>
      <c r="W344" s="9">
        <f>100-(N$436-Tabell2[[#This Row],[Befvekst10-T]])*100/N$439</f>
        <v>33.535254847610489</v>
      </c>
      <c r="X344" s="9">
        <f>100-(O$436-Tabell2[[#This Row],[Kvinneandel-T]])*100/O$439</f>
        <v>30.520407473392083</v>
      </c>
      <c r="Y344" s="9">
        <f>(P$436-Tabell2[[#This Row],[Eldreandel-T]])*100/P$439</f>
        <v>57.828174825837678</v>
      </c>
      <c r="Z344" s="9">
        <f>100-(Q$436-Tabell2[[#This Row],[Sysselsettingsvekst10-T]])*100/Q$439</f>
        <v>40.52576027068919</v>
      </c>
      <c r="AA344" s="9">
        <f>100-(R$436-Tabell2[[#This Row],[Yrkesaktivandel-T]])*100/R$439</f>
        <v>52.950986713493116</v>
      </c>
      <c r="AB344" s="9">
        <f>100-(S$436-Tabell2[[#This Row],[Inntekt-T]])*100/S$439</f>
        <v>33.3584810763234</v>
      </c>
      <c r="AC344" s="48">
        <f>Tabell2[[#This Row],[NIBR11-I]]*Vekter!$B$3</f>
        <v>10</v>
      </c>
      <c r="AD344" s="48">
        <f>Tabell2[[#This Row],[ReisetidOslo-I]]*Vekter!$C$3</f>
        <v>2.8477810970071431</v>
      </c>
      <c r="AE344" s="48">
        <f>Tabell2[[#This Row],[Beftettotal-I]]*Vekter!$D$3</f>
        <v>1.3419789152012158</v>
      </c>
      <c r="AF344" s="48">
        <f>Tabell2[[#This Row],[Befvekst10-I]]*Vekter!$E$3</f>
        <v>6.7070509695220979</v>
      </c>
      <c r="AG344" s="48">
        <f>Tabell2[[#This Row],[Kvinneandel-I]]*Vekter!$F$3</f>
        <v>1.5260203736696043</v>
      </c>
      <c r="AH344" s="48">
        <f>Tabell2[[#This Row],[Eldreandel-I]]*Vekter!$G$3</f>
        <v>2.8914087412918841</v>
      </c>
      <c r="AI344" s="48">
        <f>Tabell2[[#This Row],[Sysselsettingsvekst10-I]]*Vekter!$H$3</f>
        <v>4.0525760270689188</v>
      </c>
      <c r="AJ344" s="48">
        <f>Tabell2[[#This Row],[Yrkesaktivandel-I]]*Vekter!$J$3</f>
        <v>5.2950986713493116</v>
      </c>
      <c r="AK344" s="48">
        <f>Tabell2[[#This Row],[Inntekt-I]]*Vekter!$L$3</f>
        <v>3.3358481076323403</v>
      </c>
      <c r="AL344" s="37">
        <f>SUM(Tabell2[[#This Row],[NIBR11-v]:[Inntekt-v]])</f>
        <v>37.997762902742515</v>
      </c>
    </row>
    <row r="345" spans="1:38">
      <c r="A345" s="2" t="s">
        <v>342</v>
      </c>
      <c r="B345">
        <f>'Rådata-K'!M344</f>
        <v>4</v>
      </c>
      <c r="C345" s="9">
        <f>'Rådata-K'!L344</f>
        <v>192.87954273911998</v>
      </c>
      <c r="D345" s="51">
        <f>'Rådata-K'!N344</f>
        <v>35.642819259492853</v>
      </c>
      <c r="E345" s="51">
        <f>'Rådata-K'!O344</f>
        <v>0.13605939463163907</v>
      </c>
      <c r="F345" s="51">
        <f>'Rådata-K'!P344</f>
        <v>0.13406124952243068</v>
      </c>
      <c r="G345" s="51">
        <f>'Rådata-K'!Q344</f>
        <v>0.12008606301904245</v>
      </c>
      <c r="H345" s="51">
        <f>'Rådata-K'!R344</f>
        <v>0.11155298465493702</v>
      </c>
      <c r="I345" s="51">
        <f>'Rådata-K'!S344</f>
        <v>0.88464968784065012</v>
      </c>
      <c r="J345" s="52">
        <f>'Rådata-K'!K344</f>
        <v>389100</v>
      </c>
      <c r="K345" s="26">
        <f>Tabell2[[#This Row],[NIBR11]]</f>
        <v>4</v>
      </c>
      <c r="L345" s="52">
        <f>IF(Tabell2[[#This Row],[ReisetidOslo]]&lt;=C$434,C$434,IF(Tabell2[[#This Row],[ReisetidOslo]]&gt;=C$435,C$435,Tabell2[[#This Row],[ReisetidOslo]]))</f>
        <v>192.87954273911998</v>
      </c>
      <c r="M345" s="51">
        <f>IF(Tabell2[[#This Row],[Beftettotal]]&lt;=D$434,D$434,IF(Tabell2[[#This Row],[Beftettotal]]&gt;=D$435,D$435,Tabell2[[#This Row],[Beftettotal]]))</f>
        <v>35.642819259492853</v>
      </c>
      <c r="N345" s="51">
        <f>IF(Tabell2[[#This Row],[Befvekst10]]&lt;=E$434,E$434,IF(Tabell2[[#This Row],[Befvekst10]]&gt;=E$435,E$435,Tabell2[[#This Row],[Befvekst10]]))</f>
        <v>0.13605939463163907</v>
      </c>
      <c r="O345" s="51">
        <f>IF(Tabell2[[#This Row],[Kvinneandel]]&lt;=F$434,F$434,IF(Tabell2[[#This Row],[Kvinneandel]]&gt;=F$435,F$435,Tabell2[[#This Row],[Kvinneandel]]))</f>
        <v>0.12801731869362362</v>
      </c>
      <c r="P345" s="51">
        <f>IF(Tabell2[[#This Row],[Eldreandel]]&lt;=G$434,G$434,IF(Tabell2[[#This Row],[Eldreandel]]&gt;=G$435,G$435,Tabell2[[#This Row],[Eldreandel]]))</f>
        <v>0.1200928231908705</v>
      </c>
      <c r="Q345" s="51">
        <f>IF(Tabell2[[#This Row],[Sysselsettingsvekst10]]&lt;=H$434,H$434,IF(Tabell2[[#This Row],[Sysselsettingsvekst10]]&gt;=H$435,H$435,Tabell2[[#This Row],[Sysselsettingsvekst10]]))</f>
        <v>0.11155298465493702</v>
      </c>
      <c r="R345" s="51">
        <f>IF(Tabell2[[#This Row],[Yrkesaktivandel]]&lt;=I$434,I$434,IF(Tabell2[[#This Row],[Yrkesaktivandel]]&gt;=I$435,I$435,Tabell2[[#This Row],[Yrkesaktivandel]]))</f>
        <v>0.88464968784065012</v>
      </c>
      <c r="S345" s="52">
        <f>IF(Tabell2[[#This Row],[Inntekt]]&lt;=J$434,J$434,IF(Tabell2[[#This Row],[Inntekt]]&gt;=J$435,J$435,Tabell2[[#This Row],[Inntekt]]))</f>
        <v>389100</v>
      </c>
      <c r="T345" s="9">
        <f>IF(Tabell2[[#This Row],[NIBR11-T]]&lt;=K$437,100,IF(Tabell2[[#This Row],[NIBR11-T]]&gt;=K$436,0,100*(K$436-Tabell2[[#This Row],[NIBR11-T]])/K$439))</f>
        <v>70</v>
      </c>
      <c r="U345" s="9">
        <f>(L$436-Tabell2[[#This Row],[ReisetidOslo-T]])*100/L$439</f>
        <v>38.25790076106221</v>
      </c>
      <c r="V345" s="9">
        <f>100-(M$436-Tabell2[[#This Row],[Beftettotal-T]])*100/M$439</f>
        <v>27.019241725504472</v>
      </c>
      <c r="W345" s="9">
        <f>100-(N$436-Tabell2[[#This Row],[Befvekst10-T]])*100/N$439</f>
        <v>87.747675446907863</v>
      </c>
      <c r="X345" s="9">
        <f>100-(O$436-Tabell2[[#This Row],[Kvinneandel-T]])*100/O$439</f>
        <v>100</v>
      </c>
      <c r="Y345" s="9">
        <f>(P$436-Tabell2[[#This Row],[Eldreandel-T]])*100/P$439</f>
        <v>100.00000000000001</v>
      </c>
      <c r="Z345" s="9">
        <f>100-(Q$436-Tabell2[[#This Row],[Sysselsettingsvekst10-T]])*100/Q$439</f>
        <v>57.853603186439507</v>
      </c>
      <c r="AA345" s="9">
        <f>100-(R$436-Tabell2[[#This Row],[Yrkesaktivandel-T]])*100/R$439</f>
        <v>42.204407708285657</v>
      </c>
      <c r="AB345" s="9">
        <f>100-(S$436-Tabell2[[#This Row],[Inntekt-T]])*100/S$439</f>
        <v>86.294480070413684</v>
      </c>
      <c r="AC345" s="48">
        <f>Tabell2[[#This Row],[NIBR11-I]]*Vekter!$B$3</f>
        <v>14</v>
      </c>
      <c r="AD345" s="48">
        <f>Tabell2[[#This Row],[ReisetidOslo-I]]*Vekter!$C$3</f>
        <v>3.8257900761062213</v>
      </c>
      <c r="AE345" s="48">
        <f>Tabell2[[#This Row],[Beftettotal-I]]*Vekter!$D$3</f>
        <v>2.7019241725504473</v>
      </c>
      <c r="AF345" s="48">
        <f>Tabell2[[#This Row],[Befvekst10-I]]*Vekter!$E$3</f>
        <v>17.549535089381575</v>
      </c>
      <c r="AG345" s="48">
        <f>Tabell2[[#This Row],[Kvinneandel-I]]*Vekter!$F$3</f>
        <v>5</v>
      </c>
      <c r="AH345" s="48">
        <f>Tabell2[[#This Row],[Eldreandel-I]]*Vekter!$G$3</f>
        <v>5.0000000000000009</v>
      </c>
      <c r="AI345" s="48">
        <f>Tabell2[[#This Row],[Sysselsettingsvekst10-I]]*Vekter!$H$3</f>
        <v>5.7853603186439511</v>
      </c>
      <c r="AJ345" s="48">
        <f>Tabell2[[#This Row],[Yrkesaktivandel-I]]*Vekter!$J$3</f>
        <v>4.2204407708285663</v>
      </c>
      <c r="AK345" s="48">
        <f>Tabell2[[#This Row],[Inntekt-I]]*Vekter!$L$3</f>
        <v>8.6294480070413684</v>
      </c>
      <c r="AL345" s="37">
        <f>SUM(Tabell2[[#This Row],[NIBR11-v]:[Inntekt-v]])</f>
        <v>66.712498434552131</v>
      </c>
    </row>
    <row r="346" spans="1:38">
      <c r="A346" s="2" t="s">
        <v>343</v>
      </c>
      <c r="B346">
        <f>'Rådata-K'!M345</f>
        <v>5</v>
      </c>
      <c r="C346" s="9">
        <f>'Rådata-K'!L345</f>
        <v>256.59525666288999</v>
      </c>
      <c r="D346" s="51">
        <f>'Rådata-K'!N345</f>
        <v>9.2462604672315098</v>
      </c>
      <c r="E346" s="51">
        <f>'Rådata-K'!O345</f>
        <v>8.7908531981446547E-3</v>
      </c>
      <c r="F346" s="51">
        <f>'Rådata-K'!P345</f>
        <v>0.11895215183106121</v>
      </c>
      <c r="G346" s="51">
        <f>'Rådata-K'!Q345</f>
        <v>0.15899492114407912</v>
      </c>
      <c r="H346" s="51">
        <f>'Rådata-K'!R345</f>
        <v>7.3740175681923148E-2</v>
      </c>
      <c r="I346" s="51">
        <f>'Rådata-K'!S345</f>
        <v>0.83664539653600734</v>
      </c>
      <c r="J346" s="52">
        <f>'Rådata-K'!K345</f>
        <v>364800</v>
      </c>
      <c r="K346" s="26">
        <f>Tabell2[[#This Row],[NIBR11]]</f>
        <v>5</v>
      </c>
      <c r="L346" s="52">
        <f>IF(Tabell2[[#This Row],[ReisetidOslo]]&lt;=C$434,C$434,IF(Tabell2[[#This Row],[ReisetidOslo]]&gt;=C$435,C$435,Tabell2[[#This Row],[ReisetidOslo]]))</f>
        <v>256.59525666288999</v>
      </c>
      <c r="M346" s="51">
        <f>IF(Tabell2[[#This Row],[Beftettotal]]&lt;=D$434,D$434,IF(Tabell2[[#This Row],[Beftettotal]]&gt;=D$435,D$435,Tabell2[[#This Row],[Beftettotal]]))</f>
        <v>9.2462604672315098</v>
      </c>
      <c r="N346" s="51">
        <f>IF(Tabell2[[#This Row],[Befvekst10]]&lt;=E$434,E$434,IF(Tabell2[[#This Row],[Befvekst10]]&gt;=E$435,E$435,Tabell2[[#This Row],[Befvekst10]]))</f>
        <v>8.7908531981446547E-3</v>
      </c>
      <c r="O346" s="51">
        <f>IF(Tabell2[[#This Row],[Kvinneandel]]&lt;=F$434,F$434,IF(Tabell2[[#This Row],[Kvinneandel]]&gt;=F$435,F$435,Tabell2[[#This Row],[Kvinneandel]]))</f>
        <v>0.11895215183106121</v>
      </c>
      <c r="P346" s="51">
        <f>IF(Tabell2[[#This Row],[Eldreandel]]&lt;=G$434,G$434,IF(Tabell2[[#This Row],[Eldreandel]]&gt;=G$435,G$435,Tabell2[[#This Row],[Eldreandel]]))</f>
        <v>0.15899492114407912</v>
      </c>
      <c r="Q346" s="51">
        <f>IF(Tabell2[[#This Row],[Sysselsettingsvekst10]]&lt;=H$434,H$434,IF(Tabell2[[#This Row],[Sysselsettingsvekst10]]&gt;=H$435,H$435,Tabell2[[#This Row],[Sysselsettingsvekst10]]))</f>
        <v>7.3740175681923148E-2</v>
      </c>
      <c r="R346" s="51">
        <f>IF(Tabell2[[#This Row],[Yrkesaktivandel]]&lt;=I$434,I$434,IF(Tabell2[[#This Row],[Yrkesaktivandel]]&gt;=I$435,I$435,Tabell2[[#This Row],[Yrkesaktivandel]]))</f>
        <v>0.83664539653600734</v>
      </c>
      <c r="S346" s="52">
        <f>IF(Tabell2[[#This Row],[Inntekt]]&lt;=J$434,J$434,IF(Tabell2[[#This Row],[Inntekt]]&gt;=J$435,J$435,Tabell2[[#This Row],[Inntekt]]))</f>
        <v>364800</v>
      </c>
      <c r="T346" s="9">
        <f>IF(Tabell2[[#This Row],[NIBR11-T]]&lt;=K$437,100,IF(Tabell2[[#This Row],[NIBR11-T]]&gt;=K$436,0,100*(K$436-Tabell2[[#This Row],[NIBR11-T]])/K$439))</f>
        <v>60</v>
      </c>
      <c r="U346" s="9">
        <f>(L$436-Tabell2[[#This Row],[ReisetidOslo-T]])*100/L$439</f>
        <v>9.9712718544036942</v>
      </c>
      <c r="V346" s="9">
        <f>100-(M$436-Tabell2[[#This Row],[Beftettotal-T]])*100/M$439</f>
        <v>6.2276748881981945</v>
      </c>
      <c r="W346" s="9">
        <f>100-(N$436-Tabell2[[#This Row],[Befvekst10-T]])*100/N$439</f>
        <v>36.247731194927788</v>
      </c>
      <c r="X346" s="9">
        <f>100-(O$436-Tabell2[[#This Row],[Kvinneandel-T]])*100/O$439</f>
        <v>75.989112598593678</v>
      </c>
      <c r="Y346" s="9">
        <f>(P$436-Tabell2[[#This Row],[Eldreandel-T]])*100/P$439</f>
        <v>55.897218286952693</v>
      </c>
      <c r="Z346" s="9">
        <f>100-(Q$436-Tabell2[[#This Row],[Sysselsettingsvekst10-T]])*100/Q$439</f>
        <v>45.716781731038331</v>
      </c>
      <c r="AA346" s="9">
        <f>100-(R$436-Tabell2[[#This Row],[Yrkesaktivandel-T]])*100/R$439</f>
        <v>6.4183731645731825</v>
      </c>
      <c r="AB346" s="9">
        <f>100-(S$436-Tabell2[[#This Row],[Inntekt-T]])*100/S$439</f>
        <v>55.739972337482712</v>
      </c>
      <c r="AC346" s="48">
        <f>Tabell2[[#This Row],[NIBR11-I]]*Vekter!$B$3</f>
        <v>12</v>
      </c>
      <c r="AD346" s="48">
        <f>Tabell2[[#This Row],[ReisetidOslo-I]]*Vekter!$C$3</f>
        <v>0.99712718544036949</v>
      </c>
      <c r="AE346" s="48">
        <f>Tabell2[[#This Row],[Beftettotal-I]]*Vekter!$D$3</f>
        <v>0.62276748881981947</v>
      </c>
      <c r="AF346" s="48">
        <f>Tabell2[[#This Row],[Befvekst10-I]]*Vekter!$E$3</f>
        <v>7.2495462389855581</v>
      </c>
      <c r="AG346" s="48">
        <f>Tabell2[[#This Row],[Kvinneandel-I]]*Vekter!$F$3</f>
        <v>3.799455629929684</v>
      </c>
      <c r="AH346" s="48">
        <f>Tabell2[[#This Row],[Eldreandel-I]]*Vekter!$G$3</f>
        <v>2.7948609143476348</v>
      </c>
      <c r="AI346" s="48">
        <f>Tabell2[[#This Row],[Sysselsettingsvekst10-I]]*Vekter!$H$3</f>
        <v>4.571678173103833</v>
      </c>
      <c r="AJ346" s="48">
        <f>Tabell2[[#This Row],[Yrkesaktivandel-I]]*Vekter!$J$3</f>
        <v>0.64183731645731834</v>
      </c>
      <c r="AK346" s="48">
        <f>Tabell2[[#This Row],[Inntekt-I]]*Vekter!$L$3</f>
        <v>5.5739972337482717</v>
      </c>
      <c r="AL346" s="37">
        <f>SUM(Tabell2[[#This Row],[NIBR11-v]:[Inntekt-v]])</f>
        <v>38.251270180832492</v>
      </c>
    </row>
    <row r="347" spans="1:38">
      <c r="A347" s="2" t="s">
        <v>344</v>
      </c>
      <c r="B347">
        <f>'Rådata-K'!M346</f>
        <v>11</v>
      </c>
      <c r="C347" s="9">
        <f>'Rådata-K'!L346</f>
        <v>275.81586618590001</v>
      </c>
      <c r="D347" s="51">
        <f>'Rådata-K'!N346</f>
        <v>1.188847142574649</v>
      </c>
      <c r="E347" s="51">
        <f>'Rådata-K'!O346</f>
        <v>-0.16685144124168516</v>
      </c>
      <c r="F347" s="51">
        <f>'Rådata-K'!P346</f>
        <v>8.1836327345309379E-2</v>
      </c>
      <c r="G347" s="51">
        <f>'Rådata-K'!Q346</f>
        <v>0.21956087824351297</v>
      </c>
      <c r="H347" s="51">
        <f>'Rådata-K'!R346</f>
        <v>-0.24629080118694358</v>
      </c>
      <c r="I347" s="51">
        <f>'Rådata-K'!S346</f>
        <v>0.83059418457648548</v>
      </c>
      <c r="J347" s="52">
        <f>'Rådata-K'!K346</f>
        <v>307200</v>
      </c>
      <c r="K347" s="26">
        <f>Tabell2[[#This Row],[NIBR11]]</f>
        <v>11</v>
      </c>
      <c r="L347" s="52">
        <f>IF(Tabell2[[#This Row],[ReisetidOslo]]&lt;=C$434,C$434,IF(Tabell2[[#This Row],[ReisetidOslo]]&gt;=C$435,C$435,Tabell2[[#This Row],[ReisetidOslo]]))</f>
        <v>275.81586618590001</v>
      </c>
      <c r="M347" s="51">
        <f>IF(Tabell2[[#This Row],[Beftettotal]]&lt;=D$434,D$434,IF(Tabell2[[#This Row],[Beftettotal]]&gt;=D$435,D$435,Tabell2[[#This Row],[Beftettotal]]))</f>
        <v>1.3397285732306117</v>
      </c>
      <c r="N347" s="51">
        <f>IF(Tabell2[[#This Row],[Befvekst10]]&lt;=E$434,E$434,IF(Tabell2[[#This Row],[Befvekst10]]&gt;=E$435,E$435,Tabell2[[#This Row],[Befvekst10]]))</f>
        <v>-8.0785862785862778E-2</v>
      </c>
      <c r="O347" s="51">
        <f>IF(Tabell2[[#This Row],[Kvinneandel]]&lt;=F$434,F$434,IF(Tabell2[[#This Row],[Kvinneandel]]&gt;=F$435,F$435,Tabell2[[#This Row],[Kvinneandel]]))</f>
        <v>9.0262917071501733E-2</v>
      </c>
      <c r="P347" s="51">
        <f>IF(Tabell2[[#This Row],[Eldreandel]]&lt;=G$434,G$434,IF(Tabell2[[#This Row],[Eldreandel]]&gt;=G$435,G$435,Tabell2[[#This Row],[Eldreandel]]))</f>
        <v>0.20830063331569054</v>
      </c>
      <c r="Q347" s="51">
        <f>IF(Tabell2[[#This Row],[Sysselsettingsvekst10]]&lt;=H$434,H$434,IF(Tabell2[[#This Row],[Sysselsettingsvekst10]]&gt;=H$435,H$435,Tabell2[[#This Row],[Sysselsettingsvekst10]]))</f>
        <v>-6.8692498376029434E-2</v>
      </c>
      <c r="R347" s="51">
        <f>IF(Tabell2[[#This Row],[Yrkesaktivandel]]&lt;=I$434,I$434,IF(Tabell2[[#This Row],[Yrkesaktivandel]]&gt;=I$435,I$435,Tabell2[[#This Row],[Yrkesaktivandel]]))</f>
        <v>0.83059418457648548</v>
      </c>
      <c r="S347" s="52">
        <f>IF(Tabell2[[#This Row],[Inntekt]]&lt;=J$434,J$434,IF(Tabell2[[#This Row],[Inntekt]]&gt;=J$435,J$435,Tabell2[[#This Row],[Inntekt]]))</f>
        <v>320470</v>
      </c>
      <c r="T347" s="9">
        <f>IF(Tabell2[[#This Row],[NIBR11-T]]&lt;=K$437,100,IF(Tabell2[[#This Row],[NIBR11-T]]&gt;=K$436,0,100*(K$436-Tabell2[[#This Row],[NIBR11-T]])/K$439))</f>
        <v>0</v>
      </c>
      <c r="U347" s="9">
        <f>(L$436-Tabell2[[#This Row],[ReisetidOslo-T]])*100/L$439</f>
        <v>1.4382708809288987</v>
      </c>
      <c r="V347" s="9">
        <f>100-(M$436-Tabell2[[#This Row],[Beftettotal-T]])*100/M$439</f>
        <v>0</v>
      </c>
      <c r="W347" s="9">
        <f>100-(N$436-Tabell2[[#This Row],[Befvekst10-T]])*100/N$439</f>
        <v>0</v>
      </c>
      <c r="X347" s="9">
        <f>100-(O$436-Tabell2[[#This Row],[Kvinneandel-T]])*100/O$439</f>
        <v>0</v>
      </c>
      <c r="Y347" s="9">
        <f>(P$436-Tabell2[[#This Row],[Eldreandel-T]])*100/P$439</f>
        <v>0</v>
      </c>
      <c r="Z347" s="9">
        <f>100-(Q$436-Tabell2[[#This Row],[Sysselsettingsvekst10-T]])*100/Q$439</f>
        <v>0</v>
      </c>
      <c r="AA347" s="9">
        <f>100-(R$436-Tabell2[[#This Row],[Yrkesaktivandel-T]])*100/R$439</f>
        <v>1.9073414561677424</v>
      </c>
      <c r="AB347" s="9">
        <f>100-(S$436-Tabell2[[#This Row],[Inntekt-T]])*100/S$439</f>
        <v>0</v>
      </c>
      <c r="AC347" s="48">
        <f>Tabell2[[#This Row],[NIBR11-I]]*Vekter!$B$3</f>
        <v>0</v>
      </c>
      <c r="AD347" s="48">
        <f>Tabell2[[#This Row],[ReisetidOslo-I]]*Vekter!$C$3</f>
        <v>0.14382708809288988</v>
      </c>
      <c r="AE347" s="48">
        <f>Tabell2[[#This Row],[Beftettotal-I]]*Vekter!$D$3</f>
        <v>0</v>
      </c>
      <c r="AF347" s="48">
        <f>Tabell2[[#This Row],[Befvekst10-I]]*Vekter!$E$3</f>
        <v>0</v>
      </c>
      <c r="AG347" s="48">
        <f>Tabell2[[#This Row],[Kvinneandel-I]]*Vekter!$F$3</f>
        <v>0</v>
      </c>
      <c r="AH347" s="48">
        <f>Tabell2[[#This Row],[Eldreandel-I]]*Vekter!$G$3</f>
        <v>0</v>
      </c>
      <c r="AI347" s="48">
        <f>Tabell2[[#This Row],[Sysselsettingsvekst10-I]]*Vekter!$H$3</f>
        <v>0</v>
      </c>
      <c r="AJ347" s="48">
        <f>Tabell2[[#This Row],[Yrkesaktivandel-I]]*Vekter!$J$3</f>
        <v>0.19073414561677426</v>
      </c>
      <c r="AK347" s="48">
        <f>Tabell2[[#This Row],[Inntekt-I]]*Vekter!$L$3</f>
        <v>0</v>
      </c>
      <c r="AL347" s="37">
        <f>SUM(Tabell2[[#This Row],[NIBR11-v]:[Inntekt-v]])</f>
        <v>0.33456123370966417</v>
      </c>
    </row>
    <row r="348" spans="1:38">
      <c r="A348" s="2" t="s">
        <v>345</v>
      </c>
      <c r="B348">
        <f>'Rådata-K'!M347</f>
        <v>7</v>
      </c>
      <c r="C348" s="9">
        <f>'Rådata-K'!L347</f>
        <v>229.63464325800001</v>
      </c>
      <c r="D348" s="51">
        <f>'Rådata-K'!N347</f>
        <v>10.483457953497901</v>
      </c>
      <c r="E348" s="51">
        <f>'Rådata-K'!O347</f>
        <v>-1.4443909484833872E-2</v>
      </c>
      <c r="F348" s="51">
        <f>'Rådata-K'!P347</f>
        <v>0.10210063507572056</v>
      </c>
      <c r="G348" s="51">
        <f>'Rådata-K'!Q347</f>
        <v>0.17537860283341475</v>
      </c>
      <c r="H348" s="51">
        <f>'Rådata-K'!R347</f>
        <v>-3.4988713318284459E-2</v>
      </c>
      <c r="I348" s="51">
        <f>'Rådata-K'!S347</f>
        <v>0.90123456790123457</v>
      </c>
      <c r="J348" s="52">
        <f>'Rådata-K'!K347</f>
        <v>328400</v>
      </c>
      <c r="K348" s="26">
        <f>Tabell2[[#This Row],[NIBR11]]</f>
        <v>7</v>
      </c>
      <c r="L348" s="52">
        <f>IF(Tabell2[[#This Row],[ReisetidOslo]]&lt;=C$434,C$434,IF(Tabell2[[#This Row],[ReisetidOslo]]&gt;=C$435,C$435,Tabell2[[#This Row],[ReisetidOslo]]))</f>
        <v>229.63464325800001</v>
      </c>
      <c r="M348" s="51">
        <f>IF(Tabell2[[#This Row],[Beftettotal]]&lt;=D$434,D$434,IF(Tabell2[[#This Row],[Beftettotal]]&gt;=D$435,D$435,Tabell2[[#This Row],[Beftettotal]]))</f>
        <v>10.483457953497901</v>
      </c>
      <c r="N348" s="51">
        <f>IF(Tabell2[[#This Row],[Befvekst10]]&lt;=E$434,E$434,IF(Tabell2[[#This Row],[Befvekst10]]&gt;=E$435,E$435,Tabell2[[#This Row],[Befvekst10]]))</f>
        <v>-1.4443909484833872E-2</v>
      </c>
      <c r="O348" s="51">
        <f>IF(Tabell2[[#This Row],[Kvinneandel]]&lt;=F$434,F$434,IF(Tabell2[[#This Row],[Kvinneandel]]&gt;=F$435,F$435,Tabell2[[#This Row],[Kvinneandel]]))</f>
        <v>0.10210063507572056</v>
      </c>
      <c r="P348" s="51">
        <f>IF(Tabell2[[#This Row],[Eldreandel]]&lt;=G$434,G$434,IF(Tabell2[[#This Row],[Eldreandel]]&gt;=G$435,G$435,Tabell2[[#This Row],[Eldreandel]]))</f>
        <v>0.17537860283341475</v>
      </c>
      <c r="Q348" s="51">
        <f>IF(Tabell2[[#This Row],[Sysselsettingsvekst10]]&lt;=H$434,H$434,IF(Tabell2[[#This Row],[Sysselsettingsvekst10]]&gt;=H$435,H$435,Tabell2[[#This Row],[Sysselsettingsvekst10]]))</f>
        <v>-3.4988713318284459E-2</v>
      </c>
      <c r="R348" s="51">
        <f>IF(Tabell2[[#This Row],[Yrkesaktivandel]]&lt;=I$434,I$434,IF(Tabell2[[#This Row],[Yrkesaktivandel]]&gt;=I$435,I$435,Tabell2[[#This Row],[Yrkesaktivandel]]))</f>
        <v>0.90123456790123457</v>
      </c>
      <c r="S348" s="52">
        <f>IF(Tabell2[[#This Row],[Inntekt]]&lt;=J$434,J$434,IF(Tabell2[[#This Row],[Inntekt]]&gt;=J$435,J$435,Tabell2[[#This Row],[Inntekt]]))</f>
        <v>328400</v>
      </c>
      <c r="T348" s="9">
        <f>IF(Tabell2[[#This Row],[NIBR11-T]]&lt;=K$437,100,IF(Tabell2[[#This Row],[NIBR11-T]]&gt;=K$436,0,100*(K$436-Tabell2[[#This Row],[NIBR11-T]])/K$439))</f>
        <v>40</v>
      </c>
      <c r="U348" s="9">
        <f>(L$436-Tabell2[[#This Row],[ReisetidOslo-T]])*100/L$439</f>
        <v>21.940452132167145</v>
      </c>
      <c r="V348" s="9">
        <f>100-(M$436-Tabell2[[#This Row],[Beftettotal-T]])*100/M$439</f>
        <v>7.2021683602107913</v>
      </c>
      <c r="W348" s="9">
        <f>100-(N$436-Tabell2[[#This Row],[Befvekst10-T]])*100/N$439</f>
        <v>26.845651392617242</v>
      </c>
      <c r="X348" s="9">
        <f>100-(O$436-Tabell2[[#This Row],[Kvinneandel-T]])*100/O$439</f>
        <v>31.354537472744951</v>
      </c>
      <c r="Y348" s="9">
        <f>(P$436-Tabell2[[#This Row],[Eldreandel-T]])*100/P$439</f>
        <v>37.323260191686977</v>
      </c>
      <c r="Z348" s="9">
        <f>100-(Q$436-Tabell2[[#This Row],[Sysselsettingsvekst10-T]])*100/Q$439</f>
        <v>10.817943250632439</v>
      </c>
      <c r="AA348" s="9">
        <f>100-(R$436-Tabell2[[#This Row],[Yrkesaktivandel-T]])*100/R$439</f>
        <v>54.568033430513573</v>
      </c>
      <c r="AB348" s="9">
        <f>100-(S$436-Tabell2[[#This Row],[Inntekt-T]])*100/S$439</f>
        <v>9.9710800955614189</v>
      </c>
      <c r="AC348" s="48">
        <f>Tabell2[[#This Row],[NIBR11-I]]*Vekter!$B$3</f>
        <v>8</v>
      </c>
      <c r="AD348" s="48">
        <f>Tabell2[[#This Row],[ReisetidOslo-I]]*Vekter!$C$3</f>
        <v>2.1940452132167145</v>
      </c>
      <c r="AE348" s="48">
        <f>Tabell2[[#This Row],[Beftettotal-I]]*Vekter!$D$3</f>
        <v>0.72021683602107922</v>
      </c>
      <c r="AF348" s="48">
        <f>Tabell2[[#This Row],[Befvekst10-I]]*Vekter!$E$3</f>
        <v>5.3691302785234489</v>
      </c>
      <c r="AG348" s="48">
        <f>Tabell2[[#This Row],[Kvinneandel-I]]*Vekter!$F$3</f>
        <v>1.5677268736372476</v>
      </c>
      <c r="AH348" s="48">
        <f>Tabell2[[#This Row],[Eldreandel-I]]*Vekter!$G$3</f>
        <v>1.8661630095843489</v>
      </c>
      <c r="AI348" s="48">
        <f>Tabell2[[#This Row],[Sysselsettingsvekst10-I]]*Vekter!$H$3</f>
        <v>1.081794325063244</v>
      </c>
      <c r="AJ348" s="48">
        <f>Tabell2[[#This Row],[Yrkesaktivandel-I]]*Vekter!$J$3</f>
        <v>5.4568033430513578</v>
      </c>
      <c r="AK348" s="48">
        <f>Tabell2[[#This Row],[Inntekt-I]]*Vekter!$L$3</f>
        <v>0.99710800955614198</v>
      </c>
      <c r="AL348" s="37">
        <f>SUM(Tabell2[[#This Row],[NIBR11-v]:[Inntekt-v]])</f>
        <v>27.252987888653582</v>
      </c>
    </row>
    <row r="349" spans="1:38">
      <c r="A349" s="2" t="s">
        <v>346</v>
      </c>
      <c r="B349">
        <f>'Rådata-K'!M348</f>
        <v>7</v>
      </c>
      <c r="C349" s="9">
        <f>'Rådata-K'!L348</f>
        <v>196.32096432962999</v>
      </c>
      <c r="D349" s="51">
        <f>'Rådata-K'!N348</f>
        <v>7.5468272171253812</v>
      </c>
      <c r="E349" s="51">
        <f>'Rådata-K'!O348</f>
        <v>4.3886318572372796E-2</v>
      </c>
      <c r="F349" s="51">
        <f>'Rådata-K'!P348</f>
        <v>0.11510700265923768</v>
      </c>
      <c r="G349" s="51">
        <f>'Rådata-K'!Q348</f>
        <v>0.14511839939217425</v>
      </c>
      <c r="H349" s="51">
        <f>'Rådata-K'!R348</f>
        <v>0.14239001189060652</v>
      </c>
      <c r="I349" s="51">
        <f>'Rådata-K'!S348</f>
        <v>0.874640088593577</v>
      </c>
      <c r="J349" s="52">
        <f>'Rådata-K'!K348</f>
        <v>353700</v>
      </c>
      <c r="K349" s="26">
        <f>Tabell2[[#This Row],[NIBR11]]</f>
        <v>7</v>
      </c>
      <c r="L349" s="52">
        <f>IF(Tabell2[[#This Row],[ReisetidOslo]]&lt;=C$434,C$434,IF(Tabell2[[#This Row],[ReisetidOslo]]&gt;=C$435,C$435,Tabell2[[#This Row],[ReisetidOslo]]))</f>
        <v>196.32096432962999</v>
      </c>
      <c r="M349" s="51">
        <f>IF(Tabell2[[#This Row],[Beftettotal]]&lt;=D$434,D$434,IF(Tabell2[[#This Row],[Beftettotal]]&gt;=D$435,D$435,Tabell2[[#This Row],[Beftettotal]]))</f>
        <v>7.5468272171253812</v>
      </c>
      <c r="N349" s="51">
        <f>IF(Tabell2[[#This Row],[Befvekst10]]&lt;=E$434,E$434,IF(Tabell2[[#This Row],[Befvekst10]]&gt;=E$435,E$435,Tabell2[[#This Row],[Befvekst10]]))</f>
        <v>4.3886318572372796E-2</v>
      </c>
      <c r="O349" s="51">
        <f>IF(Tabell2[[#This Row],[Kvinneandel]]&lt;=F$434,F$434,IF(Tabell2[[#This Row],[Kvinneandel]]&gt;=F$435,F$435,Tabell2[[#This Row],[Kvinneandel]]))</f>
        <v>0.11510700265923768</v>
      </c>
      <c r="P349" s="51">
        <f>IF(Tabell2[[#This Row],[Eldreandel]]&lt;=G$434,G$434,IF(Tabell2[[#This Row],[Eldreandel]]&gt;=G$435,G$435,Tabell2[[#This Row],[Eldreandel]]))</f>
        <v>0.14511839939217425</v>
      </c>
      <c r="Q349" s="51">
        <f>IF(Tabell2[[#This Row],[Sysselsettingsvekst10]]&lt;=H$434,H$434,IF(Tabell2[[#This Row],[Sysselsettingsvekst10]]&gt;=H$435,H$435,Tabell2[[#This Row],[Sysselsettingsvekst10]]))</f>
        <v>0.14239001189060652</v>
      </c>
      <c r="R349" s="51">
        <f>IF(Tabell2[[#This Row],[Yrkesaktivandel]]&lt;=I$434,I$434,IF(Tabell2[[#This Row],[Yrkesaktivandel]]&gt;=I$435,I$435,Tabell2[[#This Row],[Yrkesaktivandel]]))</f>
        <v>0.874640088593577</v>
      </c>
      <c r="S349" s="52">
        <f>IF(Tabell2[[#This Row],[Inntekt]]&lt;=J$434,J$434,IF(Tabell2[[#This Row],[Inntekt]]&gt;=J$435,J$435,Tabell2[[#This Row],[Inntekt]]))</f>
        <v>353700</v>
      </c>
      <c r="T349" s="9">
        <f>IF(Tabell2[[#This Row],[NIBR11-T]]&lt;=K$437,100,IF(Tabell2[[#This Row],[NIBR11-T]]&gt;=K$436,0,100*(K$436-Tabell2[[#This Row],[NIBR11-T]])/K$439))</f>
        <v>40</v>
      </c>
      <c r="U349" s="9">
        <f>(L$436-Tabell2[[#This Row],[ReisetidOslo-T]])*100/L$439</f>
        <v>36.730079609146927</v>
      </c>
      <c r="V349" s="9">
        <f>100-(M$436-Tabell2[[#This Row],[Beftettotal-T]])*100/M$439</f>
        <v>4.8890958604091423</v>
      </c>
      <c r="W349" s="9">
        <f>100-(N$436-Tabell2[[#This Row],[Befvekst10-T]])*100/N$439</f>
        <v>50.449312276255185</v>
      </c>
      <c r="X349" s="9">
        <f>100-(O$436-Tabell2[[#This Row],[Kvinneandel-T]])*100/O$439</f>
        <v>65.804474499150189</v>
      </c>
      <c r="Y349" s="9">
        <f>(P$436-Tabell2[[#This Row],[Eldreandel-T]])*100/P$439</f>
        <v>71.628843108234008</v>
      </c>
      <c r="Z349" s="9">
        <f>100-(Q$436-Tabell2[[#This Row],[Sysselsettingsvekst10-T]])*100/Q$439</f>
        <v>67.75139983100425</v>
      </c>
      <c r="AA349" s="9">
        <f>100-(R$436-Tabell2[[#This Row],[Yrkesaktivandel-T]])*100/R$439</f>
        <v>34.742494310767526</v>
      </c>
      <c r="AB349" s="9">
        <f>100-(S$436-Tabell2[[#This Row],[Inntekt-T]])*100/S$439</f>
        <v>41.782974977995728</v>
      </c>
      <c r="AC349" s="48">
        <f>Tabell2[[#This Row],[NIBR11-I]]*Vekter!$B$3</f>
        <v>8</v>
      </c>
      <c r="AD349" s="48">
        <f>Tabell2[[#This Row],[ReisetidOslo-I]]*Vekter!$C$3</f>
        <v>3.6730079609146928</v>
      </c>
      <c r="AE349" s="48">
        <f>Tabell2[[#This Row],[Beftettotal-I]]*Vekter!$D$3</f>
        <v>0.48890958604091428</v>
      </c>
      <c r="AF349" s="48">
        <f>Tabell2[[#This Row],[Befvekst10-I]]*Vekter!$E$3</f>
        <v>10.089862455251037</v>
      </c>
      <c r="AG349" s="48">
        <f>Tabell2[[#This Row],[Kvinneandel-I]]*Vekter!$F$3</f>
        <v>3.2902237249575097</v>
      </c>
      <c r="AH349" s="48">
        <f>Tabell2[[#This Row],[Eldreandel-I]]*Vekter!$G$3</f>
        <v>3.5814421554117004</v>
      </c>
      <c r="AI349" s="48">
        <f>Tabell2[[#This Row],[Sysselsettingsvekst10-I]]*Vekter!$H$3</f>
        <v>6.7751399831004253</v>
      </c>
      <c r="AJ349" s="48">
        <f>Tabell2[[#This Row],[Yrkesaktivandel-I]]*Vekter!$J$3</f>
        <v>3.4742494310767529</v>
      </c>
      <c r="AK349" s="48">
        <f>Tabell2[[#This Row],[Inntekt-I]]*Vekter!$L$3</f>
        <v>4.1782974977995728</v>
      </c>
      <c r="AL349" s="37">
        <f>SUM(Tabell2[[#This Row],[NIBR11-v]:[Inntekt-v]])</f>
        <v>43.551132794552601</v>
      </c>
    </row>
    <row r="350" spans="1:38">
      <c r="A350" s="2" t="s">
        <v>347</v>
      </c>
      <c r="B350">
        <f>'Rådata-K'!M349</f>
        <v>9</v>
      </c>
      <c r="C350" s="9">
        <f>'Rådata-K'!L349</f>
        <v>272.6458556522</v>
      </c>
      <c r="D350" s="51">
        <f>'Rådata-K'!N349</f>
        <v>7.4148175093973565</v>
      </c>
      <c r="E350" s="51">
        <f>'Rådata-K'!O349</f>
        <v>-0.11376811594202896</v>
      </c>
      <c r="F350" s="51">
        <f>'Rådata-K'!P349</f>
        <v>9.0760425183973828E-2</v>
      </c>
      <c r="G350" s="51">
        <f>'Rådata-K'!Q349</f>
        <v>0.19950940310711365</v>
      </c>
      <c r="H350" s="51">
        <f>'Rådata-K'!R349</f>
        <v>-2.8056112224448926E-2</v>
      </c>
      <c r="I350" s="51">
        <f>'Rådata-K'!S349</f>
        <v>0.92716236722306522</v>
      </c>
      <c r="J350" s="52">
        <f>'Rådata-K'!K349</f>
        <v>334700</v>
      </c>
      <c r="K350" s="26">
        <f>Tabell2[[#This Row],[NIBR11]]</f>
        <v>9</v>
      </c>
      <c r="L350" s="52">
        <f>IF(Tabell2[[#This Row],[ReisetidOslo]]&lt;=C$434,C$434,IF(Tabell2[[#This Row],[ReisetidOslo]]&gt;=C$435,C$435,Tabell2[[#This Row],[ReisetidOslo]]))</f>
        <v>272.6458556522</v>
      </c>
      <c r="M350" s="51">
        <f>IF(Tabell2[[#This Row],[Beftettotal]]&lt;=D$434,D$434,IF(Tabell2[[#This Row],[Beftettotal]]&gt;=D$435,D$435,Tabell2[[#This Row],[Beftettotal]]))</f>
        <v>7.4148175093973565</v>
      </c>
      <c r="N350" s="51">
        <f>IF(Tabell2[[#This Row],[Befvekst10]]&lt;=E$434,E$434,IF(Tabell2[[#This Row],[Befvekst10]]&gt;=E$435,E$435,Tabell2[[#This Row],[Befvekst10]]))</f>
        <v>-8.0785862785862778E-2</v>
      </c>
      <c r="O350" s="51">
        <f>IF(Tabell2[[#This Row],[Kvinneandel]]&lt;=F$434,F$434,IF(Tabell2[[#This Row],[Kvinneandel]]&gt;=F$435,F$435,Tabell2[[#This Row],[Kvinneandel]]))</f>
        <v>9.0760425183973828E-2</v>
      </c>
      <c r="P350" s="51">
        <f>IF(Tabell2[[#This Row],[Eldreandel]]&lt;=G$434,G$434,IF(Tabell2[[#This Row],[Eldreandel]]&gt;=G$435,G$435,Tabell2[[#This Row],[Eldreandel]]))</f>
        <v>0.19950940310711365</v>
      </c>
      <c r="Q350" s="51">
        <f>IF(Tabell2[[#This Row],[Sysselsettingsvekst10]]&lt;=H$434,H$434,IF(Tabell2[[#This Row],[Sysselsettingsvekst10]]&gt;=H$435,H$435,Tabell2[[#This Row],[Sysselsettingsvekst10]]))</f>
        <v>-2.8056112224448926E-2</v>
      </c>
      <c r="R350" s="51">
        <f>IF(Tabell2[[#This Row],[Yrkesaktivandel]]&lt;=I$434,I$434,IF(Tabell2[[#This Row],[Yrkesaktivandel]]&gt;=I$435,I$435,Tabell2[[#This Row],[Yrkesaktivandel]]))</f>
        <v>0.92716236722306522</v>
      </c>
      <c r="S350" s="52">
        <f>IF(Tabell2[[#This Row],[Inntekt]]&lt;=J$434,J$434,IF(Tabell2[[#This Row],[Inntekt]]&gt;=J$435,J$435,Tabell2[[#This Row],[Inntekt]]))</f>
        <v>334700</v>
      </c>
      <c r="T350" s="9">
        <f>IF(Tabell2[[#This Row],[NIBR11-T]]&lt;=K$437,100,IF(Tabell2[[#This Row],[NIBR11-T]]&gt;=K$436,0,100*(K$436-Tabell2[[#This Row],[NIBR11-T]])/K$439))</f>
        <v>20</v>
      </c>
      <c r="U350" s="9">
        <f>(L$436-Tabell2[[#This Row],[ReisetidOslo-T]])*100/L$439</f>
        <v>2.8455989335385148</v>
      </c>
      <c r="V350" s="9">
        <f>100-(M$436-Tabell2[[#This Row],[Beftettotal-T]])*100/M$439</f>
        <v>4.785116827270727</v>
      </c>
      <c r="W350" s="9">
        <f>100-(N$436-Tabell2[[#This Row],[Befvekst10-T]])*100/N$439</f>
        <v>0</v>
      </c>
      <c r="X350" s="9">
        <f>100-(O$436-Tabell2[[#This Row],[Kvinneandel-T]])*100/O$439</f>
        <v>1.3177486361764608</v>
      </c>
      <c r="Y350" s="9">
        <f>(P$436-Tabell2[[#This Row],[Eldreandel-T]])*100/P$439</f>
        <v>9.9664986537322502</v>
      </c>
      <c r="Z350" s="9">
        <f>100-(Q$436-Tabell2[[#This Row],[Sysselsettingsvekst10-T]])*100/Q$439</f>
        <v>13.043108319893733</v>
      </c>
      <c r="AA350" s="9">
        <f>100-(R$436-Tabell2[[#This Row],[Yrkesaktivandel-T]])*100/R$439</f>
        <v>73.896578795034713</v>
      </c>
      <c r="AB350" s="9">
        <f>100-(S$436-Tabell2[[#This Row],[Inntekt-T]])*100/S$439</f>
        <v>17.892619137432419</v>
      </c>
      <c r="AC350" s="48">
        <f>Tabell2[[#This Row],[NIBR11-I]]*Vekter!$B$3</f>
        <v>4</v>
      </c>
      <c r="AD350" s="48">
        <f>Tabell2[[#This Row],[ReisetidOslo-I]]*Vekter!$C$3</f>
        <v>0.28455989335385151</v>
      </c>
      <c r="AE350" s="48">
        <f>Tabell2[[#This Row],[Beftettotal-I]]*Vekter!$D$3</f>
        <v>0.47851168272707273</v>
      </c>
      <c r="AF350" s="48">
        <f>Tabell2[[#This Row],[Befvekst10-I]]*Vekter!$E$3</f>
        <v>0</v>
      </c>
      <c r="AG350" s="48">
        <f>Tabell2[[#This Row],[Kvinneandel-I]]*Vekter!$F$3</f>
        <v>6.5887431808823047E-2</v>
      </c>
      <c r="AH350" s="48">
        <f>Tabell2[[#This Row],[Eldreandel-I]]*Vekter!$G$3</f>
        <v>0.49832493268661254</v>
      </c>
      <c r="AI350" s="48">
        <f>Tabell2[[#This Row],[Sysselsettingsvekst10-I]]*Vekter!$H$3</f>
        <v>1.3043108319893735</v>
      </c>
      <c r="AJ350" s="48">
        <f>Tabell2[[#This Row],[Yrkesaktivandel-I]]*Vekter!$J$3</f>
        <v>7.3896578795034715</v>
      </c>
      <c r="AK350" s="48">
        <f>Tabell2[[#This Row],[Inntekt-I]]*Vekter!$L$3</f>
        <v>1.7892619137432419</v>
      </c>
      <c r="AL350" s="37">
        <f>SUM(Tabell2[[#This Row],[NIBR11-v]:[Inntekt-v]])</f>
        <v>15.810514565812447</v>
      </c>
    </row>
    <row r="351" spans="1:38">
      <c r="A351" s="2" t="s">
        <v>348</v>
      </c>
      <c r="B351">
        <f>'Rådata-K'!M350</f>
        <v>7</v>
      </c>
      <c r="C351" s="9">
        <f>'Rådata-K'!L350</f>
        <v>242.3409988976</v>
      </c>
      <c r="D351" s="51">
        <f>'Rådata-K'!N350</f>
        <v>0.91853776210799776</v>
      </c>
      <c r="E351" s="51">
        <f>'Rådata-K'!O350</f>
        <v>-5.7142857142857162E-2</v>
      </c>
      <c r="F351" s="51">
        <f>'Rådata-K'!P350</f>
        <v>0.10303030303030303</v>
      </c>
      <c r="G351" s="51">
        <f>'Rådata-K'!Q350</f>
        <v>0.20202020202020202</v>
      </c>
      <c r="H351" s="51">
        <f>'Rådata-K'!R350</f>
        <v>-8.181818181818179E-2</v>
      </c>
      <c r="I351" s="51">
        <f>'Rådata-K'!S350</f>
        <v>0.9375</v>
      </c>
      <c r="J351" s="52">
        <f>'Rådata-K'!K350</f>
        <v>320100</v>
      </c>
      <c r="K351" s="26">
        <f>Tabell2[[#This Row],[NIBR11]]</f>
        <v>7</v>
      </c>
      <c r="L351" s="52">
        <f>IF(Tabell2[[#This Row],[ReisetidOslo]]&lt;=C$434,C$434,IF(Tabell2[[#This Row],[ReisetidOslo]]&gt;=C$435,C$435,Tabell2[[#This Row],[ReisetidOslo]]))</f>
        <v>242.3409988976</v>
      </c>
      <c r="M351" s="51">
        <f>IF(Tabell2[[#This Row],[Beftettotal]]&lt;=D$434,D$434,IF(Tabell2[[#This Row],[Beftettotal]]&gt;=D$435,D$435,Tabell2[[#This Row],[Beftettotal]]))</f>
        <v>1.3397285732306117</v>
      </c>
      <c r="N351" s="51">
        <f>IF(Tabell2[[#This Row],[Befvekst10]]&lt;=E$434,E$434,IF(Tabell2[[#This Row],[Befvekst10]]&gt;=E$435,E$435,Tabell2[[#This Row],[Befvekst10]]))</f>
        <v>-5.7142857142857162E-2</v>
      </c>
      <c r="O351" s="51">
        <f>IF(Tabell2[[#This Row],[Kvinneandel]]&lt;=F$434,F$434,IF(Tabell2[[#This Row],[Kvinneandel]]&gt;=F$435,F$435,Tabell2[[#This Row],[Kvinneandel]]))</f>
        <v>0.10303030303030303</v>
      </c>
      <c r="P351" s="51">
        <f>IF(Tabell2[[#This Row],[Eldreandel]]&lt;=G$434,G$434,IF(Tabell2[[#This Row],[Eldreandel]]&gt;=G$435,G$435,Tabell2[[#This Row],[Eldreandel]]))</f>
        <v>0.20202020202020202</v>
      </c>
      <c r="Q351" s="51">
        <f>IF(Tabell2[[#This Row],[Sysselsettingsvekst10]]&lt;=H$434,H$434,IF(Tabell2[[#This Row],[Sysselsettingsvekst10]]&gt;=H$435,H$435,Tabell2[[#This Row],[Sysselsettingsvekst10]]))</f>
        <v>-6.8692498376029434E-2</v>
      </c>
      <c r="R351" s="51">
        <f>IF(Tabell2[[#This Row],[Yrkesaktivandel]]&lt;=I$434,I$434,IF(Tabell2[[#This Row],[Yrkesaktivandel]]&gt;=I$435,I$435,Tabell2[[#This Row],[Yrkesaktivandel]]))</f>
        <v>0.9375</v>
      </c>
      <c r="S351" s="52">
        <f>IF(Tabell2[[#This Row],[Inntekt]]&lt;=J$434,J$434,IF(Tabell2[[#This Row],[Inntekt]]&gt;=J$435,J$435,Tabell2[[#This Row],[Inntekt]]))</f>
        <v>320470</v>
      </c>
      <c r="T351" s="9">
        <f>IF(Tabell2[[#This Row],[NIBR11-T]]&lt;=K$437,100,IF(Tabell2[[#This Row],[NIBR11-T]]&gt;=K$436,0,100*(K$436-Tabell2[[#This Row],[NIBR11-T]])/K$439))</f>
        <v>40</v>
      </c>
      <c r="U351" s="9">
        <f>(L$436-Tabell2[[#This Row],[ReisetidOslo-T]])*100/L$439</f>
        <v>16.299458025699067</v>
      </c>
      <c r="V351" s="9">
        <f>100-(M$436-Tabell2[[#This Row],[Beftettotal-T]])*100/M$439</f>
        <v>0</v>
      </c>
      <c r="W351" s="9">
        <f>100-(N$436-Tabell2[[#This Row],[Befvekst10-T]])*100/N$439</f>
        <v>9.5672776543944025</v>
      </c>
      <c r="X351" s="9">
        <f>100-(O$436-Tabell2[[#This Row],[Kvinneandel-T]])*100/O$439</f>
        <v>33.816946926051514</v>
      </c>
      <c r="Y351" s="9">
        <f>(P$436-Tabell2[[#This Row],[Eldreandel-T]])*100/P$439</f>
        <v>7.1200399223167299</v>
      </c>
      <c r="Z351" s="9">
        <f>100-(Q$436-Tabell2[[#This Row],[Sysselsettingsvekst10-T]])*100/Q$439</f>
        <v>0</v>
      </c>
      <c r="AA351" s="9">
        <f>100-(R$436-Tabell2[[#This Row],[Yrkesaktivandel-T]])*100/R$439</f>
        <v>81.603033230699367</v>
      </c>
      <c r="AB351" s="9">
        <f>100-(S$436-Tabell2[[#This Row],[Inntekt-T]])*100/S$439</f>
        <v>0</v>
      </c>
      <c r="AC351" s="48">
        <f>Tabell2[[#This Row],[NIBR11-I]]*Vekter!$B$3</f>
        <v>8</v>
      </c>
      <c r="AD351" s="48">
        <f>Tabell2[[#This Row],[ReisetidOslo-I]]*Vekter!$C$3</f>
        <v>1.6299458025699067</v>
      </c>
      <c r="AE351" s="48">
        <f>Tabell2[[#This Row],[Beftettotal-I]]*Vekter!$D$3</f>
        <v>0</v>
      </c>
      <c r="AF351" s="48">
        <f>Tabell2[[#This Row],[Befvekst10-I]]*Vekter!$E$3</f>
        <v>1.9134555308788805</v>
      </c>
      <c r="AG351" s="48">
        <f>Tabell2[[#This Row],[Kvinneandel-I]]*Vekter!$F$3</f>
        <v>1.6908473463025757</v>
      </c>
      <c r="AH351" s="48">
        <f>Tabell2[[#This Row],[Eldreandel-I]]*Vekter!$G$3</f>
        <v>0.35600199611583649</v>
      </c>
      <c r="AI351" s="48">
        <f>Tabell2[[#This Row],[Sysselsettingsvekst10-I]]*Vekter!$H$3</f>
        <v>0</v>
      </c>
      <c r="AJ351" s="48">
        <f>Tabell2[[#This Row],[Yrkesaktivandel-I]]*Vekter!$J$3</f>
        <v>8.1603033230699378</v>
      </c>
      <c r="AK351" s="48">
        <f>Tabell2[[#This Row],[Inntekt-I]]*Vekter!$L$3</f>
        <v>0</v>
      </c>
      <c r="AL351" s="37">
        <f>SUM(Tabell2[[#This Row],[NIBR11-v]:[Inntekt-v]])</f>
        <v>21.750553998937136</v>
      </c>
    </row>
    <row r="352" spans="1:38">
      <c r="A352" s="2" t="s">
        <v>349</v>
      </c>
      <c r="B352">
        <f>'Rådata-K'!M351</f>
        <v>9</v>
      </c>
      <c r="C352" s="9">
        <f>'Rådata-K'!L351</f>
        <v>270.98604873260001</v>
      </c>
      <c r="D352" s="51">
        <f>'Rådata-K'!N351</f>
        <v>26.92247941587696</v>
      </c>
      <c r="E352" s="51">
        <f>'Rådata-K'!O351</f>
        <v>-8.581235697940448E-3</v>
      </c>
      <c r="F352" s="51">
        <f>'Rådata-K'!P351</f>
        <v>9.8095787651471436E-2</v>
      </c>
      <c r="G352" s="51">
        <f>'Rådata-K'!Q351</f>
        <v>0.1840738603577611</v>
      </c>
      <c r="H352" s="51">
        <f>'Rådata-K'!R351</f>
        <v>5.9493670886076044E-2</v>
      </c>
      <c r="I352" s="51">
        <f>'Rådata-K'!S351</f>
        <v>0.844758064516129</v>
      </c>
      <c r="J352" s="52">
        <f>'Rådata-K'!K351</f>
        <v>329700</v>
      </c>
      <c r="K352" s="26">
        <f>Tabell2[[#This Row],[NIBR11]]</f>
        <v>9</v>
      </c>
      <c r="L352" s="52">
        <f>IF(Tabell2[[#This Row],[ReisetidOslo]]&lt;=C$434,C$434,IF(Tabell2[[#This Row],[ReisetidOslo]]&gt;=C$435,C$435,Tabell2[[#This Row],[ReisetidOslo]]))</f>
        <v>270.98604873260001</v>
      </c>
      <c r="M352" s="51">
        <f>IF(Tabell2[[#This Row],[Beftettotal]]&lt;=D$434,D$434,IF(Tabell2[[#This Row],[Beftettotal]]&gt;=D$435,D$435,Tabell2[[#This Row],[Beftettotal]]))</f>
        <v>26.92247941587696</v>
      </c>
      <c r="N352" s="51">
        <f>IF(Tabell2[[#This Row],[Befvekst10]]&lt;=E$434,E$434,IF(Tabell2[[#This Row],[Befvekst10]]&gt;=E$435,E$435,Tabell2[[#This Row],[Befvekst10]]))</f>
        <v>-8.581235697940448E-3</v>
      </c>
      <c r="O352" s="51">
        <f>IF(Tabell2[[#This Row],[Kvinneandel]]&lt;=F$434,F$434,IF(Tabell2[[#This Row],[Kvinneandel]]&gt;=F$435,F$435,Tabell2[[#This Row],[Kvinneandel]]))</f>
        <v>9.8095787651471436E-2</v>
      </c>
      <c r="P352" s="51">
        <f>IF(Tabell2[[#This Row],[Eldreandel]]&lt;=G$434,G$434,IF(Tabell2[[#This Row],[Eldreandel]]&gt;=G$435,G$435,Tabell2[[#This Row],[Eldreandel]]))</f>
        <v>0.1840738603577611</v>
      </c>
      <c r="Q352" s="51">
        <f>IF(Tabell2[[#This Row],[Sysselsettingsvekst10]]&lt;=H$434,H$434,IF(Tabell2[[#This Row],[Sysselsettingsvekst10]]&gt;=H$435,H$435,Tabell2[[#This Row],[Sysselsettingsvekst10]]))</f>
        <v>5.9493670886076044E-2</v>
      </c>
      <c r="R352" s="51">
        <f>IF(Tabell2[[#This Row],[Yrkesaktivandel]]&lt;=I$434,I$434,IF(Tabell2[[#This Row],[Yrkesaktivandel]]&gt;=I$435,I$435,Tabell2[[#This Row],[Yrkesaktivandel]]))</f>
        <v>0.844758064516129</v>
      </c>
      <c r="S352" s="52">
        <f>IF(Tabell2[[#This Row],[Inntekt]]&lt;=J$434,J$434,IF(Tabell2[[#This Row],[Inntekt]]&gt;=J$435,J$435,Tabell2[[#This Row],[Inntekt]]))</f>
        <v>329700</v>
      </c>
      <c r="T352" s="9">
        <f>IF(Tabell2[[#This Row],[NIBR11-T]]&lt;=K$437,100,IF(Tabell2[[#This Row],[NIBR11-T]]&gt;=K$436,0,100*(K$436-Tabell2[[#This Row],[NIBR11-T]])/K$439))</f>
        <v>20</v>
      </c>
      <c r="U352" s="9">
        <f>(L$436-Tabell2[[#This Row],[ReisetidOslo-T]])*100/L$439</f>
        <v>3.582471197853101</v>
      </c>
      <c r="V352" s="9">
        <f>100-(M$436-Tabell2[[#This Row],[Beftettotal-T]])*100/M$439</f>
        <v>20.150561223267232</v>
      </c>
      <c r="W352" s="9">
        <f>100-(N$436-Tabell2[[#This Row],[Befvekst10-T]])*100/N$439</f>
        <v>29.218015920345664</v>
      </c>
      <c r="X352" s="9">
        <f>100-(O$436-Tabell2[[#This Row],[Kvinneandel-T]])*100/O$439</f>
        <v>20.746906965624092</v>
      </c>
      <c r="Y352" s="9">
        <f>(P$436-Tabell2[[#This Row],[Eldreandel-T]])*100/P$439</f>
        <v>27.465564470591559</v>
      </c>
      <c r="Z352" s="9">
        <f>100-(Q$436-Tabell2[[#This Row],[Sysselsettingsvekst10-T]])*100/Q$439</f>
        <v>41.144064449068793</v>
      </c>
      <c r="AA352" s="9">
        <f>100-(R$436-Tabell2[[#This Row],[Yrkesaktivandel-T]])*100/R$439</f>
        <v>12.466170323703949</v>
      </c>
      <c r="AB352" s="9">
        <f>100-(S$436-Tabell2[[#This Row],[Inntekt-T]])*100/S$439</f>
        <v>11.605683389915754</v>
      </c>
      <c r="AC352" s="48">
        <f>Tabell2[[#This Row],[NIBR11-I]]*Vekter!$B$3</f>
        <v>4</v>
      </c>
      <c r="AD352" s="48">
        <f>Tabell2[[#This Row],[ReisetidOslo-I]]*Vekter!$C$3</f>
        <v>0.3582471197853101</v>
      </c>
      <c r="AE352" s="48">
        <f>Tabell2[[#This Row],[Beftettotal-I]]*Vekter!$D$3</f>
        <v>2.0150561223267234</v>
      </c>
      <c r="AF352" s="48">
        <f>Tabell2[[#This Row],[Befvekst10-I]]*Vekter!$E$3</f>
        <v>5.8436031840691331</v>
      </c>
      <c r="AG352" s="48">
        <f>Tabell2[[#This Row],[Kvinneandel-I]]*Vekter!$F$3</f>
        <v>1.0373453482812047</v>
      </c>
      <c r="AH352" s="48">
        <f>Tabell2[[#This Row],[Eldreandel-I]]*Vekter!$G$3</f>
        <v>1.373278223529578</v>
      </c>
      <c r="AI352" s="48">
        <f>Tabell2[[#This Row],[Sysselsettingsvekst10-I]]*Vekter!$H$3</f>
        <v>4.1144064449068791</v>
      </c>
      <c r="AJ352" s="48">
        <f>Tabell2[[#This Row],[Yrkesaktivandel-I]]*Vekter!$J$3</f>
        <v>1.2466170323703949</v>
      </c>
      <c r="AK352" s="48">
        <f>Tabell2[[#This Row],[Inntekt-I]]*Vekter!$L$3</f>
        <v>1.1605683389915755</v>
      </c>
      <c r="AL352" s="37">
        <f>SUM(Tabell2[[#This Row],[NIBR11-v]:[Inntekt-v]])</f>
        <v>21.149121814260798</v>
      </c>
    </row>
    <row r="353" spans="1:38">
      <c r="A353" s="2" t="s">
        <v>350</v>
      </c>
      <c r="B353">
        <f>'Rådata-K'!M352</f>
        <v>7</v>
      </c>
      <c r="C353" s="9">
        <f>'Rådata-K'!L352</f>
        <v>238.84614432312</v>
      </c>
      <c r="D353" s="51">
        <f>'Rådata-K'!N352</f>
        <v>39.411545226800278</v>
      </c>
      <c r="E353" s="51">
        <f>'Rådata-K'!O352</f>
        <v>2.1686093792354644E-3</v>
      </c>
      <c r="F353" s="51">
        <f>'Rådata-K'!P352</f>
        <v>0.11360562618339194</v>
      </c>
      <c r="G353" s="51">
        <f>'Rådata-K'!Q352</f>
        <v>0.14971598593454152</v>
      </c>
      <c r="H353" s="51">
        <f>'Rådata-K'!R352</f>
        <v>0.1609228140131016</v>
      </c>
      <c r="I353" s="51">
        <f>'Rådata-K'!S352</f>
        <v>0.8706735266604303</v>
      </c>
      <c r="J353" s="52">
        <f>'Rådata-K'!K352</f>
        <v>357000</v>
      </c>
      <c r="K353" s="26">
        <f>Tabell2[[#This Row],[NIBR11]]</f>
        <v>7</v>
      </c>
      <c r="L353" s="52">
        <f>IF(Tabell2[[#This Row],[ReisetidOslo]]&lt;=C$434,C$434,IF(Tabell2[[#This Row],[ReisetidOslo]]&gt;=C$435,C$435,Tabell2[[#This Row],[ReisetidOslo]]))</f>
        <v>238.84614432312</v>
      </c>
      <c r="M353" s="51">
        <f>IF(Tabell2[[#This Row],[Beftettotal]]&lt;=D$434,D$434,IF(Tabell2[[#This Row],[Beftettotal]]&gt;=D$435,D$435,Tabell2[[#This Row],[Beftettotal]]))</f>
        <v>39.411545226800278</v>
      </c>
      <c r="N353" s="51">
        <f>IF(Tabell2[[#This Row],[Befvekst10]]&lt;=E$434,E$434,IF(Tabell2[[#This Row],[Befvekst10]]&gt;=E$435,E$435,Tabell2[[#This Row],[Befvekst10]]))</f>
        <v>2.1686093792354644E-3</v>
      </c>
      <c r="O353" s="51">
        <f>IF(Tabell2[[#This Row],[Kvinneandel]]&lt;=F$434,F$434,IF(Tabell2[[#This Row],[Kvinneandel]]&gt;=F$435,F$435,Tabell2[[#This Row],[Kvinneandel]]))</f>
        <v>0.11360562618339194</v>
      </c>
      <c r="P353" s="51">
        <f>IF(Tabell2[[#This Row],[Eldreandel]]&lt;=G$434,G$434,IF(Tabell2[[#This Row],[Eldreandel]]&gt;=G$435,G$435,Tabell2[[#This Row],[Eldreandel]]))</f>
        <v>0.14971598593454152</v>
      </c>
      <c r="Q353" s="51">
        <f>IF(Tabell2[[#This Row],[Sysselsettingsvekst10]]&lt;=H$434,H$434,IF(Tabell2[[#This Row],[Sysselsettingsvekst10]]&gt;=H$435,H$435,Tabell2[[#This Row],[Sysselsettingsvekst10]]))</f>
        <v>0.1609228140131016</v>
      </c>
      <c r="R353" s="51">
        <f>IF(Tabell2[[#This Row],[Yrkesaktivandel]]&lt;=I$434,I$434,IF(Tabell2[[#This Row],[Yrkesaktivandel]]&gt;=I$435,I$435,Tabell2[[#This Row],[Yrkesaktivandel]]))</f>
        <v>0.8706735266604303</v>
      </c>
      <c r="S353" s="52">
        <f>IF(Tabell2[[#This Row],[Inntekt]]&lt;=J$434,J$434,IF(Tabell2[[#This Row],[Inntekt]]&gt;=J$435,J$435,Tabell2[[#This Row],[Inntekt]]))</f>
        <v>357000</v>
      </c>
      <c r="T353" s="9">
        <f>IF(Tabell2[[#This Row],[NIBR11-T]]&lt;=K$437,100,IF(Tabell2[[#This Row],[NIBR11-T]]&gt;=K$436,0,100*(K$436-Tabell2[[#This Row],[NIBR11-T]])/K$439))</f>
        <v>40</v>
      </c>
      <c r="U353" s="9">
        <f>(L$436-Tabell2[[#This Row],[ReisetidOslo-T]])*100/L$439</f>
        <v>17.851000782472191</v>
      </c>
      <c r="V353" s="9">
        <f>100-(M$436-Tabell2[[#This Row],[Beftettotal-T]])*100/M$439</f>
        <v>29.987724036302353</v>
      </c>
      <c r="W353" s="9">
        <f>100-(N$436-Tabell2[[#This Row],[Befvekst10-T]])*100/N$439</f>
        <v>33.568002303125738</v>
      </c>
      <c r="X353" s="9">
        <f>100-(O$436-Tabell2[[#This Row],[Kvinneandel-T]])*100/O$439</f>
        <v>61.827781951158606</v>
      </c>
      <c r="Y353" s="9">
        <f>(P$436-Tabell2[[#This Row],[Eldreandel-T]])*100/P$439</f>
        <v>66.416621496722072</v>
      </c>
      <c r="Z353" s="9">
        <f>100-(Q$436-Tabell2[[#This Row],[Sysselsettingsvekst10-T]])*100/Q$439</f>
        <v>73.699894971619955</v>
      </c>
      <c r="AA353" s="9">
        <f>100-(R$436-Tabell2[[#This Row],[Yrkesaktivandel-T]])*100/R$439</f>
        <v>31.785518621687103</v>
      </c>
      <c r="AB353" s="9">
        <f>100-(S$436-Tabell2[[#This Row],[Inntekt-T]])*100/S$439</f>
        <v>45.932352571356724</v>
      </c>
      <c r="AC353" s="48">
        <f>Tabell2[[#This Row],[NIBR11-I]]*Vekter!$B$3</f>
        <v>8</v>
      </c>
      <c r="AD353" s="48">
        <f>Tabell2[[#This Row],[ReisetidOslo-I]]*Vekter!$C$3</f>
        <v>1.7851000782472193</v>
      </c>
      <c r="AE353" s="48">
        <f>Tabell2[[#This Row],[Beftettotal-I]]*Vekter!$D$3</f>
        <v>2.9987724036302357</v>
      </c>
      <c r="AF353" s="48">
        <f>Tabell2[[#This Row],[Befvekst10-I]]*Vekter!$E$3</f>
        <v>6.7136004606251483</v>
      </c>
      <c r="AG353" s="48">
        <f>Tabell2[[#This Row],[Kvinneandel-I]]*Vekter!$F$3</f>
        <v>3.0913890975579306</v>
      </c>
      <c r="AH353" s="48">
        <f>Tabell2[[#This Row],[Eldreandel-I]]*Vekter!$G$3</f>
        <v>3.3208310748361036</v>
      </c>
      <c r="AI353" s="48">
        <f>Tabell2[[#This Row],[Sysselsettingsvekst10-I]]*Vekter!$H$3</f>
        <v>7.3699894971619955</v>
      </c>
      <c r="AJ353" s="48">
        <f>Tabell2[[#This Row],[Yrkesaktivandel-I]]*Vekter!$J$3</f>
        <v>3.1785518621687103</v>
      </c>
      <c r="AK353" s="48">
        <f>Tabell2[[#This Row],[Inntekt-I]]*Vekter!$L$3</f>
        <v>4.5932352571356727</v>
      </c>
      <c r="AL353" s="37">
        <f>SUM(Tabell2[[#This Row],[NIBR11-v]:[Inntekt-v]])</f>
        <v>41.051469731363021</v>
      </c>
    </row>
    <row r="354" spans="1:38">
      <c r="A354" s="2" t="s">
        <v>351</v>
      </c>
      <c r="B354">
        <f>'Rådata-K'!M353</f>
        <v>7</v>
      </c>
      <c r="C354" s="9">
        <f>'Rådata-K'!L353</f>
        <v>252.1181483842</v>
      </c>
      <c r="D354" s="51">
        <f>'Rådata-K'!N353</f>
        <v>4.7030501042495105</v>
      </c>
      <c r="E354" s="51">
        <f>'Rådata-K'!O353</f>
        <v>-1.7512348450830717E-2</v>
      </c>
      <c r="F354" s="51">
        <f>'Rådata-K'!P353</f>
        <v>0.11014625228519195</v>
      </c>
      <c r="G354" s="51">
        <f>'Rådata-K'!Q353</f>
        <v>0.15493601462522852</v>
      </c>
      <c r="H354" s="51">
        <f>'Rådata-K'!R353</f>
        <v>-2.8089887640449396E-2</v>
      </c>
      <c r="I354" s="51">
        <f>'Rådata-K'!S353</f>
        <v>0.84621451104100942</v>
      </c>
      <c r="J354" s="52">
        <f>'Rådata-K'!K353</f>
        <v>331000</v>
      </c>
      <c r="K354" s="26">
        <f>Tabell2[[#This Row],[NIBR11]]</f>
        <v>7</v>
      </c>
      <c r="L354" s="52">
        <f>IF(Tabell2[[#This Row],[ReisetidOslo]]&lt;=C$434,C$434,IF(Tabell2[[#This Row],[ReisetidOslo]]&gt;=C$435,C$435,Tabell2[[#This Row],[ReisetidOslo]]))</f>
        <v>252.1181483842</v>
      </c>
      <c r="M354" s="51">
        <f>IF(Tabell2[[#This Row],[Beftettotal]]&lt;=D$434,D$434,IF(Tabell2[[#This Row],[Beftettotal]]&gt;=D$435,D$435,Tabell2[[#This Row],[Beftettotal]]))</f>
        <v>4.7030501042495105</v>
      </c>
      <c r="N354" s="51">
        <f>IF(Tabell2[[#This Row],[Befvekst10]]&lt;=E$434,E$434,IF(Tabell2[[#This Row],[Befvekst10]]&gt;=E$435,E$435,Tabell2[[#This Row],[Befvekst10]]))</f>
        <v>-1.7512348450830717E-2</v>
      </c>
      <c r="O354" s="51">
        <f>IF(Tabell2[[#This Row],[Kvinneandel]]&lt;=F$434,F$434,IF(Tabell2[[#This Row],[Kvinneandel]]&gt;=F$435,F$435,Tabell2[[#This Row],[Kvinneandel]]))</f>
        <v>0.11014625228519195</v>
      </c>
      <c r="P354" s="51">
        <f>IF(Tabell2[[#This Row],[Eldreandel]]&lt;=G$434,G$434,IF(Tabell2[[#This Row],[Eldreandel]]&gt;=G$435,G$435,Tabell2[[#This Row],[Eldreandel]]))</f>
        <v>0.15493601462522852</v>
      </c>
      <c r="Q354" s="51">
        <f>IF(Tabell2[[#This Row],[Sysselsettingsvekst10]]&lt;=H$434,H$434,IF(Tabell2[[#This Row],[Sysselsettingsvekst10]]&gt;=H$435,H$435,Tabell2[[#This Row],[Sysselsettingsvekst10]]))</f>
        <v>-2.8089887640449396E-2</v>
      </c>
      <c r="R354" s="51">
        <f>IF(Tabell2[[#This Row],[Yrkesaktivandel]]&lt;=I$434,I$434,IF(Tabell2[[#This Row],[Yrkesaktivandel]]&gt;=I$435,I$435,Tabell2[[#This Row],[Yrkesaktivandel]]))</f>
        <v>0.84621451104100942</v>
      </c>
      <c r="S354" s="52">
        <f>IF(Tabell2[[#This Row],[Inntekt]]&lt;=J$434,J$434,IF(Tabell2[[#This Row],[Inntekt]]&gt;=J$435,J$435,Tabell2[[#This Row],[Inntekt]]))</f>
        <v>331000</v>
      </c>
      <c r="T354" s="9">
        <f>IF(Tabell2[[#This Row],[NIBR11-T]]&lt;=K$437,100,IF(Tabell2[[#This Row],[NIBR11-T]]&gt;=K$436,0,100*(K$436-Tabell2[[#This Row],[NIBR11-T]])/K$439))</f>
        <v>40</v>
      </c>
      <c r="U354" s="9">
        <f>(L$436-Tabell2[[#This Row],[ReisetidOslo-T]])*100/L$439</f>
        <v>11.958886724508554</v>
      </c>
      <c r="V354" s="9">
        <f>100-(M$436-Tabell2[[#This Row],[Beftettotal-T]])*100/M$439</f>
        <v>2.6491606333183029</v>
      </c>
      <c r="W354" s="9">
        <f>100-(N$436-Tabell2[[#This Row],[Befvekst10-T]])*100/N$439</f>
        <v>25.603989989810799</v>
      </c>
      <c r="X354" s="9">
        <f>100-(O$436-Tabell2[[#This Row],[Kvinneandel-T]])*100/O$439</f>
        <v>52.664945964975217</v>
      </c>
      <c r="Y354" s="9">
        <f>(P$436-Tabell2[[#This Row],[Eldreandel-T]])*100/P$439</f>
        <v>60.498745649560355</v>
      </c>
      <c r="Z354" s="9">
        <f>100-(Q$436-Tabell2[[#This Row],[Sysselsettingsvekst10-T]])*100/Q$439</f>
        <v>13.032267385175771</v>
      </c>
      <c r="AA354" s="9">
        <f>100-(R$436-Tabell2[[#This Row],[Yrkesaktivandel-T]])*100/R$439</f>
        <v>13.551915873402322</v>
      </c>
      <c r="AB354" s="9">
        <f>100-(S$436-Tabell2[[#This Row],[Inntekt-T]])*100/S$439</f>
        <v>13.240286684270089</v>
      </c>
      <c r="AC354" s="48">
        <f>Tabell2[[#This Row],[NIBR11-I]]*Vekter!$B$3</f>
        <v>8</v>
      </c>
      <c r="AD354" s="48">
        <f>Tabell2[[#This Row],[ReisetidOslo-I]]*Vekter!$C$3</f>
        <v>1.1958886724508555</v>
      </c>
      <c r="AE354" s="48">
        <f>Tabell2[[#This Row],[Beftettotal-I]]*Vekter!$D$3</f>
        <v>0.26491606333183032</v>
      </c>
      <c r="AF354" s="48">
        <f>Tabell2[[#This Row],[Befvekst10-I]]*Vekter!$E$3</f>
        <v>5.1207979979621605</v>
      </c>
      <c r="AG354" s="48">
        <f>Tabell2[[#This Row],[Kvinneandel-I]]*Vekter!$F$3</f>
        <v>2.6332472982487611</v>
      </c>
      <c r="AH354" s="48">
        <f>Tabell2[[#This Row],[Eldreandel-I]]*Vekter!$G$3</f>
        <v>3.0249372824780179</v>
      </c>
      <c r="AI354" s="48">
        <f>Tabell2[[#This Row],[Sysselsettingsvekst10-I]]*Vekter!$H$3</f>
        <v>1.3032267385175773</v>
      </c>
      <c r="AJ354" s="48">
        <f>Tabell2[[#This Row],[Yrkesaktivandel-I]]*Vekter!$J$3</f>
        <v>1.3551915873402323</v>
      </c>
      <c r="AK354" s="48">
        <f>Tabell2[[#This Row],[Inntekt-I]]*Vekter!$L$3</f>
        <v>1.3240286684270091</v>
      </c>
      <c r="AL354" s="37">
        <f>SUM(Tabell2[[#This Row],[NIBR11-v]:[Inntekt-v]])</f>
        <v>24.222234308756441</v>
      </c>
    </row>
    <row r="355" spans="1:38">
      <c r="A355" s="2" t="s">
        <v>352</v>
      </c>
      <c r="B355">
        <f>'Rådata-K'!M354</f>
        <v>6</v>
      </c>
      <c r="C355" s="9">
        <f>'Rådata-K'!L354</f>
        <v>236.07147719433999</v>
      </c>
      <c r="D355" s="51">
        <f>'Rådata-K'!N354</f>
        <v>6.8881849430477864</v>
      </c>
      <c r="E355" s="51">
        <f>'Rådata-K'!O354</f>
        <v>-1.387961107399982E-2</v>
      </c>
      <c r="F355" s="51">
        <f>'Rådata-K'!P354</f>
        <v>0.10943850669878068</v>
      </c>
      <c r="G355" s="51">
        <f>'Rådata-K'!Q354</f>
        <v>0.16987806713834111</v>
      </c>
      <c r="H355" s="51">
        <f>'Rådata-K'!R354</f>
        <v>3.9609993906154717E-2</v>
      </c>
      <c r="I355" s="51">
        <f>'Rådata-K'!S354</f>
        <v>0.8789834079536476</v>
      </c>
      <c r="J355" s="52">
        <f>'Rådata-K'!K354</f>
        <v>353600</v>
      </c>
      <c r="K355" s="26">
        <f>Tabell2[[#This Row],[NIBR11]]</f>
        <v>6</v>
      </c>
      <c r="L355" s="52">
        <f>IF(Tabell2[[#This Row],[ReisetidOslo]]&lt;=C$434,C$434,IF(Tabell2[[#This Row],[ReisetidOslo]]&gt;=C$435,C$435,Tabell2[[#This Row],[ReisetidOslo]]))</f>
        <v>236.07147719433999</v>
      </c>
      <c r="M355" s="51">
        <f>IF(Tabell2[[#This Row],[Beftettotal]]&lt;=D$434,D$434,IF(Tabell2[[#This Row],[Beftettotal]]&gt;=D$435,D$435,Tabell2[[#This Row],[Beftettotal]]))</f>
        <v>6.8881849430477864</v>
      </c>
      <c r="N355" s="51">
        <f>IF(Tabell2[[#This Row],[Befvekst10]]&lt;=E$434,E$434,IF(Tabell2[[#This Row],[Befvekst10]]&gt;=E$435,E$435,Tabell2[[#This Row],[Befvekst10]]))</f>
        <v>-1.387961107399982E-2</v>
      </c>
      <c r="O355" s="51">
        <f>IF(Tabell2[[#This Row],[Kvinneandel]]&lt;=F$434,F$434,IF(Tabell2[[#This Row],[Kvinneandel]]&gt;=F$435,F$435,Tabell2[[#This Row],[Kvinneandel]]))</f>
        <v>0.10943850669878068</v>
      </c>
      <c r="P355" s="51">
        <f>IF(Tabell2[[#This Row],[Eldreandel]]&lt;=G$434,G$434,IF(Tabell2[[#This Row],[Eldreandel]]&gt;=G$435,G$435,Tabell2[[#This Row],[Eldreandel]]))</f>
        <v>0.16987806713834111</v>
      </c>
      <c r="Q355" s="51">
        <f>IF(Tabell2[[#This Row],[Sysselsettingsvekst10]]&lt;=H$434,H$434,IF(Tabell2[[#This Row],[Sysselsettingsvekst10]]&gt;=H$435,H$435,Tabell2[[#This Row],[Sysselsettingsvekst10]]))</f>
        <v>3.9609993906154717E-2</v>
      </c>
      <c r="R355" s="51">
        <f>IF(Tabell2[[#This Row],[Yrkesaktivandel]]&lt;=I$434,I$434,IF(Tabell2[[#This Row],[Yrkesaktivandel]]&gt;=I$435,I$435,Tabell2[[#This Row],[Yrkesaktivandel]]))</f>
        <v>0.8789834079536476</v>
      </c>
      <c r="S355" s="52">
        <f>IF(Tabell2[[#This Row],[Inntekt]]&lt;=J$434,J$434,IF(Tabell2[[#This Row],[Inntekt]]&gt;=J$435,J$435,Tabell2[[#This Row],[Inntekt]]))</f>
        <v>353600</v>
      </c>
      <c r="T355" s="9">
        <f>IF(Tabell2[[#This Row],[NIBR11-T]]&lt;=K$437,100,IF(Tabell2[[#This Row],[NIBR11-T]]&gt;=K$436,0,100*(K$436-Tabell2[[#This Row],[NIBR11-T]])/K$439))</f>
        <v>50</v>
      </c>
      <c r="U355" s="9">
        <f>(L$436-Tabell2[[#This Row],[ReisetidOslo-T]])*100/L$439</f>
        <v>19.082815896483236</v>
      </c>
      <c r="V355" s="9">
        <f>100-(M$436-Tabell2[[#This Row],[Beftettotal-T]])*100/M$439</f>
        <v>4.3703083559040294</v>
      </c>
      <c r="W355" s="9">
        <f>100-(N$436-Tabell2[[#This Row],[Befvekst10-T]])*100/N$439</f>
        <v>27.073997976714935</v>
      </c>
      <c r="X355" s="9">
        <f>100-(O$436-Tabell2[[#This Row],[Kvinneandel-T]])*100/O$439</f>
        <v>50.790341796976492</v>
      </c>
      <c r="Y355" s="9">
        <f>(P$436-Tabell2[[#This Row],[Eldreandel-T]])*100/P$439</f>
        <v>43.55914303164186</v>
      </c>
      <c r="Z355" s="9">
        <f>100-(Q$436-Tabell2[[#This Row],[Sysselsettingsvekst10-T]])*100/Q$439</f>
        <v>34.761977427858497</v>
      </c>
      <c r="AA355" s="9">
        <f>100-(R$436-Tabell2[[#This Row],[Yrkesaktivandel-T]])*100/R$439</f>
        <v>37.980333521172227</v>
      </c>
      <c r="AB355" s="9">
        <f>100-(S$436-Tabell2[[#This Row],[Inntekt-T]])*100/S$439</f>
        <v>41.657236263045391</v>
      </c>
      <c r="AC355" s="48">
        <f>Tabell2[[#This Row],[NIBR11-I]]*Vekter!$B$3</f>
        <v>10</v>
      </c>
      <c r="AD355" s="48">
        <f>Tabell2[[#This Row],[ReisetidOslo-I]]*Vekter!$C$3</f>
        <v>1.9082815896483236</v>
      </c>
      <c r="AE355" s="48">
        <f>Tabell2[[#This Row],[Beftettotal-I]]*Vekter!$D$3</f>
        <v>0.43703083559040296</v>
      </c>
      <c r="AF355" s="48">
        <f>Tabell2[[#This Row],[Befvekst10-I]]*Vekter!$E$3</f>
        <v>5.4147995953429877</v>
      </c>
      <c r="AG355" s="48">
        <f>Tabell2[[#This Row],[Kvinneandel-I]]*Vekter!$F$3</f>
        <v>2.5395170898488248</v>
      </c>
      <c r="AH355" s="48">
        <f>Tabell2[[#This Row],[Eldreandel-I]]*Vekter!$G$3</f>
        <v>2.1779571515820932</v>
      </c>
      <c r="AI355" s="48">
        <f>Tabell2[[#This Row],[Sysselsettingsvekst10-I]]*Vekter!$H$3</f>
        <v>3.4761977427858497</v>
      </c>
      <c r="AJ355" s="48">
        <f>Tabell2[[#This Row],[Yrkesaktivandel-I]]*Vekter!$J$3</f>
        <v>3.7980333521172227</v>
      </c>
      <c r="AK355" s="48">
        <f>Tabell2[[#This Row],[Inntekt-I]]*Vekter!$L$3</f>
        <v>4.1657236263045396</v>
      </c>
      <c r="AL355" s="37">
        <f>SUM(Tabell2[[#This Row],[NIBR11-v]:[Inntekt-v]])</f>
        <v>33.917540983220242</v>
      </c>
    </row>
    <row r="356" spans="1:38">
      <c r="A356" s="2" t="s">
        <v>353</v>
      </c>
      <c r="B356">
        <f>'Rådata-K'!M355</f>
        <v>6</v>
      </c>
      <c r="C356" s="9">
        <f>'Rådata-K'!L355</f>
        <v>260.79449851359999</v>
      </c>
      <c r="D356" s="51">
        <f>'Rådata-K'!N355</f>
        <v>0.73098320983958287</v>
      </c>
      <c r="E356" s="51">
        <f>'Rådata-K'!O355</f>
        <v>-4.622395833333337E-2</v>
      </c>
      <c r="F356" s="51">
        <f>'Rådata-K'!P355</f>
        <v>9.4197952218430039E-2</v>
      </c>
      <c r="G356" s="51">
        <f>'Rådata-K'!Q355</f>
        <v>0.20819112627986347</v>
      </c>
      <c r="H356" s="51">
        <f>'Rådata-K'!R355</f>
        <v>-7.8324225865209485E-2</v>
      </c>
      <c r="I356" s="51">
        <f>'Rådata-K'!S355</f>
        <v>0.89886219974715553</v>
      </c>
      <c r="J356" s="52">
        <f>'Rådata-K'!K355</f>
        <v>328100</v>
      </c>
      <c r="K356" s="26">
        <f>Tabell2[[#This Row],[NIBR11]]</f>
        <v>6</v>
      </c>
      <c r="L356" s="52">
        <f>IF(Tabell2[[#This Row],[ReisetidOslo]]&lt;=C$434,C$434,IF(Tabell2[[#This Row],[ReisetidOslo]]&gt;=C$435,C$435,Tabell2[[#This Row],[ReisetidOslo]]))</f>
        <v>260.79449851359999</v>
      </c>
      <c r="M356" s="51">
        <f>IF(Tabell2[[#This Row],[Beftettotal]]&lt;=D$434,D$434,IF(Tabell2[[#This Row],[Beftettotal]]&gt;=D$435,D$435,Tabell2[[#This Row],[Beftettotal]]))</f>
        <v>1.3397285732306117</v>
      </c>
      <c r="N356" s="51">
        <f>IF(Tabell2[[#This Row],[Befvekst10]]&lt;=E$434,E$434,IF(Tabell2[[#This Row],[Befvekst10]]&gt;=E$435,E$435,Tabell2[[#This Row],[Befvekst10]]))</f>
        <v>-4.622395833333337E-2</v>
      </c>
      <c r="O356" s="51">
        <f>IF(Tabell2[[#This Row],[Kvinneandel]]&lt;=F$434,F$434,IF(Tabell2[[#This Row],[Kvinneandel]]&gt;=F$435,F$435,Tabell2[[#This Row],[Kvinneandel]]))</f>
        <v>9.4197952218430039E-2</v>
      </c>
      <c r="P356" s="51">
        <f>IF(Tabell2[[#This Row],[Eldreandel]]&lt;=G$434,G$434,IF(Tabell2[[#This Row],[Eldreandel]]&gt;=G$435,G$435,Tabell2[[#This Row],[Eldreandel]]))</f>
        <v>0.20819112627986347</v>
      </c>
      <c r="Q356" s="51">
        <f>IF(Tabell2[[#This Row],[Sysselsettingsvekst10]]&lt;=H$434,H$434,IF(Tabell2[[#This Row],[Sysselsettingsvekst10]]&gt;=H$435,H$435,Tabell2[[#This Row],[Sysselsettingsvekst10]]))</f>
        <v>-6.8692498376029434E-2</v>
      </c>
      <c r="R356" s="51">
        <f>IF(Tabell2[[#This Row],[Yrkesaktivandel]]&lt;=I$434,I$434,IF(Tabell2[[#This Row],[Yrkesaktivandel]]&gt;=I$435,I$435,Tabell2[[#This Row],[Yrkesaktivandel]]))</f>
        <v>0.89886219974715553</v>
      </c>
      <c r="S356" s="52">
        <f>IF(Tabell2[[#This Row],[Inntekt]]&lt;=J$434,J$434,IF(Tabell2[[#This Row],[Inntekt]]&gt;=J$435,J$435,Tabell2[[#This Row],[Inntekt]]))</f>
        <v>328100</v>
      </c>
      <c r="T356" s="9">
        <f>IF(Tabell2[[#This Row],[NIBR11-T]]&lt;=K$437,100,IF(Tabell2[[#This Row],[NIBR11-T]]&gt;=K$436,0,100*(K$436-Tabell2[[#This Row],[NIBR11-T]])/K$439))</f>
        <v>50</v>
      </c>
      <c r="U356" s="9">
        <f>(L$436-Tabell2[[#This Row],[ReisetidOslo-T]])*100/L$439</f>
        <v>8.1070159494560414</v>
      </c>
      <c r="V356" s="9">
        <f>100-(M$436-Tabell2[[#This Row],[Beftettotal-T]])*100/M$439</f>
        <v>0</v>
      </c>
      <c r="W356" s="9">
        <f>100-(N$436-Tabell2[[#This Row],[Befvekst10-T]])*100/N$439</f>
        <v>13.9856725982646</v>
      </c>
      <c r="X356" s="9">
        <f>100-(O$436-Tabell2[[#This Row],[Kvinneandel-T]])*100/O$439</f>
        <v>10.422718882723871</v>
      </c>
      <c r="Y356" s="9">
        <f>(P$436-Tabell2[[#This Row],[Eldreandel-T]])*100/P$439</f>
        <v>0.12414664378597805</v>
      </c>
      <c r="Z356" s="9">
        <f>100-(Q$436-Tabell2[[#This Row],[Sysselsettingsvekst10-T]])*100/Q$439</f>
        <v>0</v>
      </c>
      <c r="AA356" s="9">
        <f>100-(R$436-Tabell2[[#This Row],[Yrkesaktivandel-T]])*100/R$439</f>
        <v>52.799490527265569</v>
      </c>
      <c r="AB356" s="9">
        <f>100-(S$436-Tabell2[[#This Row],[Inntekt-T]])*100/S$439</f>
        <v>9.5938639507104284</v>
      </c>
      <c r="AC356" s="48">
        <f>Tabell2[[#This Row],[NIBR11-I]]*Vekter!$B$3</f>
        <v>10</v>
      </c>
      <c r="AD356" s="48">
        <f>Tabell2[[#This Row],[ReisetidOslo-I]]*Vekter!$C$3</f>
        <v>0.81070159494560423</v>
      </c>
      <c r="AE356" s="48">
        <f>Tabell2[[#This Row],[Beftettotal-I]]*Vekter!$D$3</f>
        <v>0</v>
      </c>
      <c r="AF356" s="48">
        <f>Tabell2[[#This Row],[Befvekst10-I]]*Vekter!$E$3</f>
        <v>2.79713451965292</v>
      </c>
      <c r="AG356" s="48">
        <f>Tabell2[[#This Row],[Kvinneandel-I]]*Vekter!$F$3</f>
        <v>0.52113594413619357</v>
      </c>
      <c r="AH356" s="48">
        <f>Tabell2[[#This Row],[Eldreandel-I]]*Vekter!$G$3</f>
        <v>6.2073321892989024E-3</v>
      </c>
      <c r="AI356" s="48">
        <f>Tabell2[[#This Row],[Sysselsettingsvekst10-I]]*Vekter!$H$3</f>
        <v>0</v>
      </c>
      <c r="AJ356" s="48">
        <f>Tabell2[[#This Row],[Yrkesaktivandel-I]]*Vekter!$J$3</f>
        <v>5.2799490527265576</v>
      </c>
      <c r="AK356" s="48">
        <f>Tabell2[[#This Row],[Inntekt-I]]*Vekter!$L$3</f>
        <v>0.95938639507104284</v>
      </c>
      <c r="AL356" s="37">
        <f>SUM(Tabell2[[#This Row],[NIBR11-v]:[Inntekt-v]])</f>
        <v>20.374514838721616</v>
      </c>
    </row>
    <row r="357" spans="1:38">
      <c r="A357" s="2" t="s">
        <v>354</v>
      </c>
      <c r="B357">
        <f>'Rådata-K'!M356</f>
        <v>11</v>
      </c>
      <c r="C357" s="9">
        <f>'Rådata-K'!L356</f>
        <v>286.58460247689999</v>
      </c>
      <c r="D357" s="51">
        <f>'Rådata-K'!N356</f>
        <v>0.55880073910711103</v>
      </c>
      <c r="E357" s="51">
        <f>'Rådata-K'!O356</f>
        <v>-3.9692701664532648E-2</v>
      </c>
      <c r="F357" s="51">
        <f>'Rådata-K'!P356</f>
        <v>9.3333333333333338E-2</v>
      </c>
      <c r="G357" s="51">
        <f>'Rådata-K'!Q356</f>
        <v>0.20799999999999999</v>
      </c>
      <c r="H357" s="51">
        <f>'Rådata-K'!R356</f>
        <v>5.4237288135593253E-2</v>
      </c>
      <c r="I357" s="51">
        <f>'Rådata-K'!S356</f>
        <v>0.89209535759096614</v>
      </c>
      <c r="J357" s="52">
        <f>'Rådata-K'!K356</f>
        <v>296400</v>
      </c>
      <c r="K357" s="26">
        <f>Tabell2[[#This Row],[NIBR11]]</f>
        <v>11</v>
      </c>
      <c r="L357" s="52">
        <f>IF(Tabell2[[#This Row],[ReisetidOslo]]&lt;=C$434,C$434,IF(Tabell2[[#This Row],[ReisetidOslo]]&gt;=C$435,C$435,Tabell2[[#This Row],[ReisetidOslo]]))</f>
        <v>279.05557553043002</v>
      </c>
      <c r="M357" s="51">
        <f>IF(Tabell2[[#This Row],[Beftettotal]]&lt;=D$434,D$434,IF(Tabell2[[#This Row],[Beftettotal]]&gt;=D$435,D$435,Tabell2[[#This Row],[Beftettotal]]))</f>
        <v>1.3397285732306117</v>
      </c>
      <c r="N357" s="51">
        <f>IF(Tabell2[[#This Row],[Befvekst10]]&lt;=E$434,E$434,IF(Tabell2[[#This Row],[Befvekst10]]&gt;=E$435,E$435,Tabell2[[#This Row],[Befvekst10]]))</f>
        <v>-3.9692701664532648E-2</v>
      </c>
      <c r="O357" s="51">
        <f>IF(Tabell2[[#This Row],[Kvinneandel]]&lt;=F$434,F$434,IF(Tabell2[[#This Row],[Kvinneandel]]&gt;=F$435,F$435,Tabell2[[#This Row],[Kvinneandel]]))</f>
        <v>9.3333333333333338E-2</v>
      </c>
      <c r="P357" s="51">
        <f>IF(Tabell2[[#This Row],[Eldreandel]]&lt;=G$434,G$434,IF(Tabell2[[#This Row],[Eldreandel]]&gt;=G$435,G$435,Tabell2[[#This Row],[Eldreandel]]))</f>
        <v>0.20799999999999999</v>
      </c>
      <c r="Q357" s="51">
        <f>IF(Tabell2[[#This Row],[Sysselsettingsvekst10]]&lt;=H$434,H$434,IF(Tabell2[[#This Row],[Sysselsettingsvekst10]]&gt;=H$435,H$435,Tabell2[[#This Row],[Sysselsettingsvekst10]]))</f>
        <v>5.4237288135593253E-2</v>
      </c>
      <c r="R357" s="51">
        <f>IF(Tabell2[[#This Row],[Yrkesaktivandel]]&lt;=I$434,I$434,IF(Tabell2[[#This Row],[Yrkesaktivandel]]&gt;=I$435,I$435,Tabell2[[#This Row],[Yrkesaktivandel]]))</f>
        <v>0.89209535759096614</v>
      </c>
      <c r="S357" s="52">
        <f>IF(Tabell2[[#This Row],[Inntekt]]&lt;=J$434,J$434,IF(Tabell2[[#This Row],[Inntekt]]&gt;=J$435,J$435,Tabell2[[#This Row],[Inntekt]]))</f>
        <v>320470</v>
      </c>
      <c r="T357" s="9">
        <f>IF(Tabell2[[#This Row],[NIBR11-T]]&lt;=K$437,100,IF(Tabell2[[#This Row],[NIBR11-T]]&gt;=K$436,0,100*(K$436-Tabell2[[#This Row],[NIBR11-T]])/K$439))</f>
        <v>0</v>
      </c>
      <c r="U357" s="9">
        <f>(L$436-Tabell2[[#This Row],[ReisetidOslo-T]])*100/L$439</f>
        <v>0</v>
      </c>
      <c r="V357" s="9">
        <f>100-(M$436-Tabell2[[#This Row],[Beftettotal-T]])*100/M$439</f>
        <v>0</v>
      </c>
      <c r="W357" s="9">
        <f>100-(N$436-Tabell2[[#This Row],[Befvekst10-T]])*100/N$439</f>
        <v>16.628583018624681</v>
      </c>
      <c r="X357" s="9">
        <f>100-(O$436-Tabell2[[#This Row],[Kvinneandel-T]])*100/O$439</f>
        <v>8.1326047557657972</v>
      </c>
      <c r="Y357" s="9">
        <f>(P$436-Tabell2[[#This Row],[Eldreandel-T]])*100/P$439</f>
        <v>0.3408239194070628</v>
      </c>
      <c r="Z357" s="9">
        <f>100-(Q$436-Tabell2[[#This Row],[Sysselsettingsvekst10-T]])*100/Q$439</f>
        <v>39.456917139029237</v>
      </c>
      <c r="AA357" s="9">
        <f>100-(R$436-Tabell2[[#This Row],[Yrkesaktivandel-T]])*100/R$439</f>
        <v>47.754973869026244</v>
      </c>
      <c r="AB357" s="9">
        <f>100-(S$436-Tabell2[[#This Row],[Inntekt-T]])*100/S$439</f>
        <v>0</v>
      </c>
      <c r="AC357" s="48">
        <f>Tabell2[[#This Row],[NIBR11-I]]*Vekter!$B$3</f>
        <v>0</v>
      </c>
      <c r="AD357" s="48">
        <f>Tabell2[[#This Row],[ReisetidOslo-I]]*Vekter!$C$3</f>
        <v>0</v>
      </c>
      <c r="AE357" s="48">
        <f>Tabell2[[#This Row],[Beftettotal-I]]*Vekter!$D$3</f>
        <v>0</v>
      </c>
      <c r="AF357" s="48">
        <f>Tabell2[[#This Row],[Befvekst10-I]]*Vekter!$E$3</f>
        <v>3.3257166037249366</v>
      </c>
      <c r="AG357" s="48">
        <f>Tabell2[[#This Row],[Kvinneandel-I]]*Vekter!$F$3</f>
        <v>0.40663023778828988</v>
      </c>
      <c r="AH357" s="48">
        <f>Tabell2[[#This Row],[Eldreandel-I]]*Vekter!$G$3</f>
        <v>1.704119597035314E-2</v>
      </c>
      <c r="AI357" s="48">
        <f>Tabell2[[#This Row],[Sysselsettingsvekst10-I]]*Vekter!$H$3</f>
        <v>3.9456917139029239</v>
      </c>
      <c r="AJ357" s="48">
        <f>Tabell2[[#This Row],[Yrkesaktivandel-I]]*Vekter!$J$3</f>
        <v>4.7754973869026243</v>
      </c>
      <c r="AK357" s="48">
        <f>Tabell2[[#This Row],[Inntekt-I]]*Vekter!$L$3</f>
        <v>0</v>
      </c>
      <c r="AL357" s="37">
        <f>SUM(Tabell2[[#This Row],[NIBR11-v]:[Inntekt-v]])</f>
        <v>12.470577138289126</v>
      </c>
    </row>
    <row r="358" spans="1:38">
      <c r="A358" s="2" t="s">
        <v>355</v>
      </c>
      <c r="B358">
        <f>'Rådata-K'!M357</f>
        <v>7</v>
      </c>
      <c r="C358" s="9">
        <f>'Rådata-K'!L357</f>
        <v>278.3886906546</v>
      </c>
      <c r="D358" s="51">
        <f>'Rådata-K'!N357</f>
        <v>7.3981452537251222</v>
      </c>
      <c r="E358" s="51">
        <f>'Rådata-K'!O357</f>
        <v>-7.9714841218405663E-2</v>
      </c>
      <c r="F358" s="51">
        <f>'Rådata-K'!P357</f>
        <v>8.873239436619719E-2</v>
      </c>
      <c r="G358" s="51">
        <f>'Rådata-K'!Q357</f>
        <v>0.19014084507042253</v>
      </c>
      <c r="H358" s="51">
        <f>'Rådata-K'!R357</f>
        <v>-0.2009419152276295</v>
      </c>
      <c r="I358" s="51">
        <f>'Rådata-K'!S357</f>
        <v>0.85328185328185324</v>
      </c>
      <c r="J358" s="52">
        <f>'Rådata-K'!K357</f>
        <v>332700</v>
      </c>
      <c r="K358" s="26">
        <f>Tabell2[[#This Row],[NIBR11]]</f>
        <v>7</v>
      </c>
      <c r="L358" s="52">
        <f>IF(Tabell2[[#This Row],[ReisetidOslo]]&lt;=C$434,C$434,IF(Tabell2[[#This Row],[ReisetidOslo]]&gt;=C$435,C$435,Tabell2[[#This Row],[ReisetidOslo]]))</f>
        <v>278.3886906546</v>
      </c>
      <c r="M358" s="51">
        <f>IF(Tabell2[[#This Row],[Beftettotal]]&lt;=D$434,D$434,IF(Tabell2[[#This Row],[Beftettotal]]&gt;=D$435,D$435,Tabell2[[#This Row],[Beftettotal]]))</f>
        <v>7.3981452537251222</v>
      </c>
      <c r="N358" s="51">
        <f>IF(Tabell2[[#This Row],[Befvekst10]]&lt;=E$434,E$434,IF(Tabell2[[#This Row],[Befvekst10]]&gt;=E$435,E$435,Tabell2[[#This Row],[Befvekst10]]))</f>
        <v>-7.9714841218405663E-2</v>
      </c>
      <c r="O358" s="51">
        <f>IF(Tabell2[[#This Row],[Kvinneandel]]&lt;=F$434,F$434,IF(Tabell2[[#This Row],[Kvinneandel]]&gt;=F$435,F$435,Tabell2[[#This Row],[Kvinneandel]]))</f>
        <v>9.0262917071501733E-2</v>
      </c>
      <c r="P358" s="51">
        <f>IF(Tabell2[[#This Row],[Eldreandel]]&lt;=G$434,G$434,IF(Tabell2[[#This Row],[Eldreandel]]&gt;=G$435,G$435,Tabell2[[#This Row],[Eldreandel]]))</f>
        <v>0.19014084507042253</v>
      </c>
      <c r="Q358" s="51">
        <f>IF(Tabell2[[#This Row],[Sysselsettingsvekst10]]&lt;=H$434,H$434,IF(Tabell2[[#This Row],[Sysselsettingsvekst10]]&gt;=H$435,H$435,Tabell2[[#This Row],[Sysselsettingsvekst10]]))</f>
        <v>-6.8692498376029434E-2</v>
      </c>
      <c r="R358" s="51">
        <f>IF(Tabell2[[#This Row],[Yrkesaktivandel]]&lt;=I$434,I$434,IF(Tabell2[[#This Row],[Yrkesaktivandel]]&gt;=I$435,I$435,Tabell2[[#This Row],[Yrkesaktivandel]]))</f>
        <v>0.85328185328185324</v>
      </c>
      <c r="S358" s="52">
        <f>IF(Tabell2[[#This Row],[Inntekt]]&lt;=J$434,J$434,IF(Tabell2[[#This Row],[Inntekt]]&gt;=J$435,J$435,Tabell2[[#This Row],[Inntekt]]))</f>
        <v>332700</v>
      </c>
      <c r="T358" s="9">
        <f>IF(Tabell2[[#This Row],[NIBR11-T]]&lt;=K$437,100,IF(Tabell2[[#This Row],[NIBR11-T]]&gt;=K$436,0,100*(K$436-Tabell2[[#This Row],[NIBR11-T]])/K$439))</f>
        <v>40</v>
      </c>
      <c r="U358" s="9">
        <f>(L$436-Tabell2[[#This Row],[ReisetidOslo-T]])*100/L$439</f>
        <v>0.29606393532113306</v>
      </c>
      <c r="V358" s="9">
        <f>100-(M$436-Tabell2[[#This Row],[Beftettotal-T]])*100/M$439</f>
        <v>4.7719847246786316</v>
      </c>
      <c r="W358" s="9">
        <f>100-(N$436-Tabell2[[#This Row],[Befvekst10-T]])*100/N$439</f>
        <v>0.43339501180292928</v>
      </c>
      <c r="X358" s="9">
        <f>100-(O$436-Tabell2[[#This Row],[Kvinneandel-T]])*100/O$439</f>
        <v>0</v>
      </c>
      <c r="Y358" s="9">
        <f>(P$436-Tabell2[[#This Row],[Eldreandel-T]])*100/P$439</f>
        <v>20.587506049147663</v>
      </c>
      <c r="Z358" s="9">
        <f>100-(Q$436-Tabell2[[#This Row],[Sysselsettingsvekst10-T]])*100/Q$439</f>
        <v>0</v>
      </c>
      <c r="AA358" s="9">
        <f>100-(R$436-Tabell2[[#This Row],[Yrkesaktivandel-T]])*100/R$439</f>
        <v>18.820448054370374</v>
      </c>
      <c r="AB358" s="9">
        <f>100-(S$436-Tabell2[[#This Row],[Inntekt-T]])*100/S$439</f>
        <v>15.377844838425744</v>
      </c>
      <c r="AC358" s="48">
        <f>Tabell2[[#This Row],[NIBR11-I]]*Vekter!$B$3</f>
        <v>8</v>
      </c>
      <c r="AD358" s="48">
        <f>Tabell2[[#This Row],[ReisetidOslo-I]]*Vekter!$C$3</f>
        <v>2.9606393532113306E-2</v>
      </c>
      <c r="AE358" s="48">
        <f>Tabell2[[#This Row],[Beftettotal-I]]*Vekter!$D$3</f>
        <v>0.47719847246786318</v>
      </c>
      <c r="AF358" s="48">
        <f>Tabell2[[#This Row],[Befvekst10-I]]*Vekter!$E$3</f>
        <v>8.6679002360585858E-2</v>
      </c>
      <c r="AG358" s="48">
        <f>Tabell2[[#This Row],[Kvinneandel-I]]*Vekter!$F$3</f>
        <v>0</v>
      </c>
      <c r="AH358" s="48">
        <f>Tabell2[[#This Row],[Eldreandel-I]]*Vekter!$G$3</f>
        <v>1.0293753024573833</v>
      </c>
      <c r="AI358" s="48">
        <f>Tabell2[[#This Row],[Sysselsettingsvekst10-I]]*Vekter!$H$3</f>
        <v>0</v>
      </c>
      <c r="AJ358" s="48">
        <f>Tabell2[[#This Row],[Yrkesaktivandel-I]]*Vekter!$J$3</f>
        <v>1.8820448054370376</v>
      </c>
      <c r="AK358" s="48">
        <f>Tabell2[[#This Row],[Inntekt-I]]*Vekter!$L$3</f>
        <v>1.5377844838425745</v>
      </c>
      <c r="AL358" s="37">
        <f>SUM(Tabell2[[#This Row],[NIBR11-v]:[Inntekt-v]])</f>
        <v>13.042688460097558</v>
      </c>
    </row>
    <row r="359" spans="1:38">
      <c r="A359" s="2" t="s">
        <v>356</v>
      </c>
      <c r="B359">
        <f>'Rådata-K'!M358</f>
        <v>5</v>
      </c>
      <c r="C359" s="9">
        <f>'Rådata-K'!L358</f>
        <v>297.9812655298</v>
      </c>
      <c r="D359" s="51">
        <f>'Rådata-K'!N358</f>
        <v>10.383229610219455</v>
      </c>
      <c r="E359" s="51">
        <f>'Rådata-K'!O358</f>
        <v>4.3907793633369829E-2</v>
      </c>
      <c r="F359" s="51">
        <f>'Rådata-K'!P358</f>
        <v>0.13038906414300735</v>
      </c>
      <c r="G359" s="51">
        <f>'Rådata-K'!Q358</f>
        <v>0.15036803364879076</v>
      </c>
      <c r="H359" s="51">
        <f>'Rådata-K'!R358</f>
        <v>5.7803468208093012E-3</v>
      </c>
      <c r="I359" s="51">
        <f>'Rådata-K'!S358</f>
        <v>0.79014598540145986</v>
      </c>
      <c r="J359" s="52">
        <f>'Rådata-K'!K358</f>
        <v>310400</v>
      </c>
      <c r="K359" s="26">
        <f>Tabell2[[#This Row],[NIBR11]]</f>
        <v>5</v>
      </c>
      <c r="L359" s="52">
        <f>IF(Tabell2[[#This Row],[ReisetidOslo]]&lt;=C$434,C$434,IF(Tabell2[[#This Row],[ReisetidOslo]]&gt;=C$435,C$435,Tabell2[[#This Row],[ReisetidOslo]]))</f>
        <v>279.05557553043002</v>
      </c>
      <c r="M359" s="51">
        <f>IF(Tabell2[[#This Row],[Beftettotal]]&lt;=D$434,D$434,IF(Tabell2[[#This Row],[Beftettotal]]&gt;=D$435,D$435,Tabell2[[#This Row],[Beftettotal]]))</f>
        <v>10.383229610219455</v>
      </c>
      <c r="N359" s="51">
        <f>IF(Tabell2[[#This Row],[Befvekst10]]&lt;=E$434,E$434,IF(Tabell2[[#This Row],[Befvekst10]]&gt;=E$435,E$435,Tabell2[[#This Row],[Befvekst10]]))</f>
        <v>4.3907793633369829E-2</v>
      </c>
      <c r="O359" s="51">
        <f>IF(Tabell2[[#This Row],[Kvinneandel]]&lt;=F$434,F$434,IF(Tabell2[[#This Row],[Kvinneandel]]&gt;=F$435,F$435,Tabell2[[#This Row],[Kvinneandel]]))</f>
        <v>0.12801731869362362</v>
      </c>
      <c r="P359" s="51">
        <f>IF(Tabell2[[#This Row],[Eldreandel]]&lt;=G$434,G$434,IF(Tabell2[[#This Row],[Eldreandel]]&gt;=G$435,G$435,Tabell2[[#This Row],[Eldreandel]]))</f>
        <v>0.15036803364879076</v>
      </c>
      <c r="Q359" s="51">
        <f>IF(Tabell2[[#This Row],[Sysselsettingsvekst10]]&lt;=H$434,H$434,IF(Tabell2[[#This Row],[Sysselsettingsvekst10]]&gt;=H$435,H$435,Tabell2[[#This Row],[Sysselsettingsvekst10]]))</f>
        <v>5.7803468208093012E-3</v>
      </c>
      <c r="R359" s="51">
        <f>IF(Tabell2[[#This Row],[Yrkesaktivandel]]&lt;=I$434,I$434,IF(Tabell2[[#This Row],[Yrkesaktivandel]]&gt;=I$435,I$435,Tabell2[[#This Row],[Yrkesaktivandel]]))</f>
        <v>0.82803562853509294</v>
      </c>
      <c r="S359" s="52">
        <f>IF(Tabell2[[#This Row],[Inntekt]]&lt;=J$434,J$434,IF(Tabell2[[#This Row],[Inntekt]]&gt;=J$435,J$435,Tabell2[[#This Row],[Inntekt]]))</f>
        <v>320470</v>
      </c>
      <c r="T359" s="9">
        <f>IF(Tabell2[[#This Row],[NIBR11-T]]&lt;=K$437,100,IF(Tabell2[[#This Row],[NIBR11-T]]&gt;=K$436,0,100*(K$436-Tabell2[[#This Row],[NIBR11-T]])/K$439))</f>
        <v>60</v>
      </c>
      <c r="U359" s="9">
        <f>(L$436-Tabell2[[#This Row],[ReisetidOslo-T]])*100/L$439</f>
        <v>0</v>
      </c>
      <c r="V359" s="9">
        <f>100-(M$436-Tabell2[[#This Row],[Beftettotal-T]])*100/M$439</f>
        <v>7.1232223008146889</v>
      </c>
      <c r="W359" s="9">
        <f>100-(N$436-Tabell2[[#This Row],[Befvekst10-T]])*100/N$439</f>
        <v>50.458002282691169</v>
      </c>
      <c r="X359" s="9">
        <f>100-(O$436-Tabell2[[#This Row],[Kvinneandel-T]])*100/O$439</f>
        <v>100</v>
      </c>
      <c r="Y359" s="9">
        <f>(P$436-Tabell2[[#This Row],[Eldreandel-T]])*100/P$439</f>
        <v>65.677403831838959</v>
      </c>
      <c r="Z359" s="9">
        <f>100-(Q$436-Tabell2[[#This Row],[Sysselsettingsvekst10-T]])*100/Q$439</f>
        <v>23.903636095240373</v>
      </c>
      <c r="AA359" s="9">
        <f>100-(R$436-Tabell2[[#This Row],[Yrkesaktivandel-T]])*100/R$439</f>
        <v>0</v>
      </c>
      <c r="AB359" s="9">
        <f>100-(S$436-Tabell2[[#This Row],[Inntekt-T]])*100/S$439</f>
        <v>0</v>
      </c>
      <c r="AC359" s="48">
        <f>Tabell2[[#This Row],[NIBR11-I]]*Vekter!$B$3</f>
        <v>12</v>
      </c>
      <c r="AD359" s="48">
        <f>Tabell2[[#This Row],[ReisetidOslo-I]]*Vekter!$C$3</f>
        <v>0</v>
      </c>
      <c r="AE359" s="48">
        <f>Tabell2[[#This Row],[Beftettotal-I]]*Vekter!$D$3</f>
        <v>0.71232223008146889</v>
      </c>
      <c r="AF359" s="48">
        <f>Tabell2[[#This Row],[Befvekst10-I]]*Vekter!$E$3</f>
        <v>10.091600456538234</v>
      </c>
      <c r="AG359" s="48">
        <f>Tabell2[[#This Row],[Kvinneandel-I]]*Vekter!$F$3</f>
        <v>5</v>
      </c>
      <c r="AH359" s="48">
        <f>Tabell2[[#This Row],[Eldreandel-I]]*Vekter!$G$3</f>
        <v>3.2838701915919479</v>
      </c>
      <c r="AI359" s="48">
        <f>Tabell2[[#This Row],[Sysselsettingsvekst10-I]]*Vekter!$H$3</f>
        <v>2.3903636095240373</v>
      </c>
      <c r="AJ359" s="48">
        <f>Tabell2[[#This Row],[Yrkesaktivandel-I]]*Vekter!$J$3</f>
        <v>0</v>
      </c>
      <c r="AK359" s="48">
        <f>Tabell2[[#This Row],[Inntekt-I]]*Vekter!$L$3</f>
        <v>0</v>
      </c>
      <c r="AL359" s="37">
        <f>SUM(Tabell2[[#This Row],[NIBR11-v]:[Inntekt-v]])</f>
        <v>33.478156487735689</v>
      </c>
    </row>
    <row r="360" spans="1:38">
      <c r="A360" s="2" t="s">
        <v>357</v>
      </c>
      <c r="B360">
        <f>'Rådata-K'!M359</f>
        <v>5</v>
      </c>
      <c r="C360" s="9">
        <f>'Rådata-K'!L359</f>
        <v>275.5096024769</v>
      </c>
      <c r="D360" s="51">
        <f>'Rådata-K'!N359</f>
        <v>2.8658110566301387</v>
      </c>
      <c r="E360" s="51">
        <f>'Rådata-K'!O359</f>
        <v>-1.9728189390617601E-3</v>
      </c>
      <c r="F360" s="51">
        <f>'Rådata-K'!P359</f>
        <v>0.10103228640456842</v>
      </c>
      <c r="G360" s="51">
        <f>'Rådata-K'!Q359</f>
        <v>0.19174170876345267</v>
      </c>
      <c r="H360" s="51">
        <f>'Rådata-K'!R359</f>
        <v>5.721716514954478E-2</v>
      </c>
      <c r="I360" s="51">
        <f>'Rådata-K'!S359</f>
        <v>0.86734279918864099</v>
      </c>
      <c r="J360" s="52">
        <f>'Rådata-K'!K359</f>
        <v>326500</v>
      </c>
      <c r="K360" s="26">
        <f>Tabell2[[#This Row],[NIBR11]]</f>
        <v>5</v>
      </c>
      <c r="L360" s="52">
        <f>IF(Tabell2[[#This Row],[ReisetidOslo]]&lt;=C$434,C$434,IF(Tabell2[[#This Row],[ReisetidOslo]]&gt;=C$435,C$435,Tabell2[[#This Row],[ReisetidOslo]]))</f>
        <v>275.5096024769</v>
      </c>
      <c r="M360" s="51">
        <f>IF(Tabell2[[#This Row],[Beftettotal]]&lt;=D$434,D$434,IF(Tabell2[[#This Row],[Beftettotal]]&gt;=D$435,D$435,Tabell2[[#This Row],[Beftettotal]]))</f>
        <v>2.8658110566301387</v>
      </c>
      <c r="N360" s="51">
        <f>IF(Tabell2[[#This Row],[Befvekst10]]&lt;=E$434,E$434,IF(Tabell2[[#This Row],[Befvekst10]]&gt;=E$435,E$435,Tabell2[[#This Row],[Befvekst10]]))</f>
        <v>-1.9728189390617601E-3</v>
      </c>
      <c r="O360" s="51">
        <f>IF(Tabell2[[#This Row],[Kvinneandel]]&lt;=F$434,F$434,IF(Tabell2[[#This Row],[Kvinneandel]]&gt;=F$435,F$435,Tabell2[[#This Row],[Kvinneandel]]))</f>
        <v>0.10103228640456842</v>
      </c>
      <c r="P360" s="51">
        <f>IF(Tabell2[[#This Row],[Eldreandel]]&lt;=G$434,G$434,IF(Tabell2[[#This Row],[Eldreandel]]&gt;=G$435,G$435,Tabell2[[#This Row],[Eldreandel]]))</f>
        <v>0.19174170876345267</v>
      </c>
      <c r="Q360" s="51">
        <f>IF(Tabell2[[#This Row],[Sysselsettingsvekst10]]&lt;=H$434,H$434,IF(Tabell2[[#This Row],[Sysselsettingsvekst10]]&gt;=H$435,H$435,Tabell2[[#This Row],[Sysselsettingsvekst10]]))</f>
        <v>5.721716514954478E-2</v>
      </c>
      <c r="R360" s="51">
        <f>IF(Tabell2[[#This Row],[Yrkesaktivandel]]&lt;=I$434,I$434,IF(Tabell2[[#This Row],[Yrkesaktivandel]]&gt;=I$435,I$435,Tabell2[[#This Row],[Yrkesaktivandel]]))</f>
        <v>0.86734279918864099</v>
      </c>
      <c r="S360" s="52">
        <f>IF(Tabell2[[#This Row],[Inntekt]]&lt;=J$434,J$434,IF(Tabell2[[#This Row],[Inntekt]]&gt;=J$435,J$435,Tabell2[[#This Row],[Inntekt]]))</f>
        <v>326500</v>
      </c>
      <c r="T360" s="9">
        <f>IF(Tabell2[[#This Row],[NIBR11-T]]&lt;=K$437,100,IF(Tabell2[[#This Row],[NIBR11-T]]&gt;=K$436,0,100*(K$436-Tabell2[[#This Row],[NIBR11-T]])/K$439))</f>
        <v>60</v>
      </c>
      <c r="U360" s="9">
        <f>(L$436-Tabell2[[#This Row],[ReisetidOslo-T]])*100/L$439</f>
        <v>1.5742368358018948</v>
      </c>
      <c r="V360" s="9">
        <f>100-(M$436-Tabell2[[#This Row],[Beftettotal-T]])*100/M$439</f>
        <v>1.2020372125985403</v>
      </c>
      <c r="W360" s="9">
        <f>100-(N$436-Tabell2[[#This Row],[Befvekst10-T]])*100/N$439</f>
        <v>31.892149613108586</v>
      </c>
      <c r="X360" s="9">
        <f>100-(O$436-Tabell2[[#This Row],[Kvinneandel-T]])*100/O$439</f>
        <v>28.524804712456259</v>
      </c>
      <c r="Y360" s="9">
        <f>(P$436-Tabell2[[#This Row],[Eldreandel-T]])*100/P$439</f>
        <v>18.77262855614017</v>
      </c>
      <c r="Z360" s="9">
        <f>100-(Q$436-Tabell2[[#This Row],[Sysselsettingsvekst10-T]])*100/Q$439</f>
        <v>40.413371744218566</v>
      </c>
      <c r="AA360" s="9">
        <f>100-(R$436-Tabell2[[#This Row],[Yrkesaktivandel-T]])*100/R$439</f>
        <v>29.302542097677559</v>
      </c>
      <c r="AB360" s="9">
        <f>100-(S$436-Tabell2[[#This Row],[Inntekt-T]])*100/S$439</f>
        <v>7.5820445115050887</v>
      </c>
      <c r="AC360" s="48">
        <f>Tabell2[[#This Row],[NIBR11-I]]*Vekter!$B$3</f>
        <v>12</v>
      </c>
      <c r="AD360" s="48">
        <f>Tabell2[[#This Row],[ReisetidOslo-I]]*Vekter!$C$3</f>
        <v>0.15742368358018949</v>
      </c>
      <c r="AE360" s="48">
        <f>Tabell2[[#This Row],[Beftettotal-I]]*Vekter!$D$3</f>
        <v>0.12020372125985404</v>
      </c>
      <c r="AF360" s="48">
        <f>Tabell2[[#This Row],[Befvekst10-I]]*Vekter!$E$3</f>
        <v>6.3784299226217174</v>
      </c>
      <c r="AG360" s="48">
        <f>Tabell2[[#This Row],[Kvinneandel-I]]*Vekter!$F$3</f>
        <v>1.426240235622813</v>
      </c>
      <c r="AH360" s="48">
        <f>Tabell2[[#This Row],[Eldreandel-I]]*Vekter!$G$3</f>
        <v>0.93863142780700848</v>
      </c>
      <c r="AI360" s="48">
        <f>Tabell2[[#This Row],[Sysselsettingsvekst10-I]]*Vekter!$H$3</f>
        <v>4.0413371744218569</v>
      </c>
      <c r="AJ360" s="48">
        <f>Tabell2[[#This Row],[Yrkesaktivandel-I]]*Vekter!$J$3</f>
        <v>2.9302542097677562</v>
      </c>
      <c r="AK360" s="48">
        <f>Tabell2[[#This Row],[Inntekt-I]]*Vekter!$L$3</f>
        <v>0.75820445115050894</v>
      </c>
      <c r="AL360" s="37">
        <f>SUM(Tabell2[[#This Row],[NIBR11-v]:[Inntekt-v]])</f>
        <v>28.750724826231703</v>
      </c>
    </row>
    <row r="361" spans="1:38">
      <c r="A361" s="2" t="s">
        <v>358</v>
      </c>
      <c r="B361">
        <f>'Rådata-K'!M360</f>
        <v>5</v>
      </c>
      <c r="C361" s="9">
        <f>'Rådata-K'!L360</f>
        <v>254.2271157701</v>
      </c>
      <c r="D361" s="51">
        <f>'Rådata-K'!N360</f>
        <v>5.8170378691564482</v>
      </c>
      <c r="E361" s="51">
        <f>'Rådata-K'!O360</f>
        <v>2.5050377336125473E-2</v>
      </c>
      <c r="F361" s="51">
        <f>'Rådata-K'!P360</f>
        <v>0.11128242685888294</v>
      </c>
      <c r="G361" s="51">
        <f>'Rådata-K'!Q360</f>
        <v>0.15426126508113941</v>
      </c>
      <c r="H361" s="51">
        <f>'Rådata-K'!R360</f>
        <v>0.13917571264672146</v>
      </c>
      <c r="I361" s="51">
        <f>'Rådata-K'!S360</f>
        <v>0.85796480899177097</v>
      </c>
      <c r="J361" s="52">
        <f>'Rådata-K'!K360</f>
        <v>354800</v>
      </c>
      <c r="K361" s="26">
        <f>Tabell2[[#This Row],[NIBR11]]</f>
        <v>5</v>
      </c>
      <c r="L361" s="52">
        <f>IF(Tabell2[[#This Row],[ReisetidOslo]]&lt;=C$434,C$434,IF(Tabell2[[#This Row],[ReisetidOslo]]&gt;=C$435,C$435,Tabell2[[#This Row],[ReisetidOslo]]))</f>
        <v>254.2271157701</v>
      </c>
      <c r="M361" s="51">
        <f>IF(Tabell2[[#This Row],[Beftettotal]]&lt;=D$434,D$434,IF(Tabell2[[#This Row],[Beftettotal]]&gt;=D$435,D$435,Tabell2[[#This Row],[Beftettotal]]))</f>
        <v>5.8170378691564482</v>
      </c>
      <c r="N361" s="51">
        <f>IF(Tabell2[[#This Row],[Befvekst10]]&lt;=E$434,E$434,IF(Tabell2[[#This Row],[Befvekst10]]&gt;=E$435,E$435,Tabell2[[#This Row],[Befvekst10]]))</f>
        <v>2.5050377336125473E-2</v>
      </c>
      <c r="O361" s="51">
        <f>IF(Tabell2[[#This Row],[Kvinneandel]]&lt;=F$434,F$434,IF(Tabell2[[#This Row],[Kvinneandel]]&gt;=F$435,F$435,Tabell2[[#This Row],[Kvinneandel]]))</f>
        <v>0.11128242685888294</v>
      </c>
      <c r="P361" s="51">
        <f>IF(Tabell2[[#This Row],[Eldreandel]]&lt;=G$434,G$434,IF(Tabell2[[#This Row],[Eldreandel]]&gt;=G$435,G$435,Tabell2[[#This Row],[Eldreandel]]))</f>
        <v>0.15426126508113941</v>
      </c>
      <c r="Q361" s="51">
        <f>IF(Tabell2[[#This Row],[Sysselsettingsvekst10]]&lt;=H$434,H$434,IF(Tabell2[[#This Row],[Sysselsettingsvekst10]]&gt;=H$435,H$435,Tabell2[[#This Row],[Sysselsettingsvekst10]]))</f>
        <v>0.13917571264672146</v>
      </c>
      <c r="R361" s="51">
        <f>IF(Tabell2[[#This Row],[Yrkesaktivandel]]&lt;=I$434,I$434,IF(Tabell2[[#This Row],[Yrkesaktivandel]]&gt;=I$435,I$435,Tabell2[[#This Row],[Yrkesaktivandel]]))</f>
        <v>0.85796480899177097</v>
      </c>
      <c r="S361" s="52">
        <f>IF(Tabell2[[#This Row],[Inntekt]]&lt;=J$434,J$434,IF(Tabell2[[#This Row],[Inntekt]]&gt;=J$435,J$435,Tabell2[[#This Row],[Inntekt]]))</f>
        <v>354800</v>
      </c>
      <c r="T361" s="9">
        <f>IF(Tabell2[[#This Row],[NIBR11-T]]&lt;=K$437,100,IF(Tabell2[[#This Row],[NIBR11-T]]&gt;=K$436,0,100*(K$436-Tabell2[[#This Row],[NIBR11-T]])/K$439))</f>
        <v>60</v>
      </c>
      <c r="U361" s="9">
        <f>(L$436-Tabell2[[#This Row],[ReisetidOslo-T]])*100/L$439</f>
        <v>11.022609405344063</v>
      </c>
      <c r="V361" s="9">
        <f>100-(M$436-Tabell2[[#This Row],[Beftettotal-T]])*100/M$439</f>
        <v>3.5266064872374869</v>
      </c>
      <c r="W361" s="9">
        <f>100-(N$436-Tabell2[[#This Row],[Befvekst10-T]])*100/N$439</f>
        <v>42.827240767663092</v>
      </c>
      <c r="X361" s="9">
        <f>100-(O$436-Tabell2[[#This Row],[Kvinneandel-T]])*100/O$439</f>
        <v>55.67432904317306</v>
      </c>
      <c r="Y361" s="9">
        <f>(P$436-Tabell2[[#This Row],[Eldreandel-T]])*100/P$439</f>
        <v>61.263700071548953</v>
      </c>
      <c r="Z361" s="9">
        <f>100-(Q$436-Tabell2[[#This Row],[Sysselsettingsvekst10-T]])*100/Q$439</f>
        <v>66.719702448905366</v>
      </c>
      <c r="AA361" s="9">
        <f>100-(R$436-Tabell2[[#This Row],[Yrkesaktivandel-T]])*100/R$439</f>
        <v>22.311477923726727</v>
      </c>
      <c r="AB361" s="9">
        <f>100-(S$436-Tabell2[[#This Row],[Inntekt-T]])*100/S$439</f>
        <v>43.166100842449389</v>
      </c>
      <c r="AC361" s="48">
        <f>Tabell2[[#This Row],[NIBR11-I]]*Vekter!$B$3</f>
        <v>12</v>
      </c>
      <c r="AD361" s="48">
        <f>Tabell2[[#This Row],[ReisetidOslo-I]]*Vekter!$C$3</f>
        <v>1.1022609405344064</v>
      </c>
      <c r="AE361" s="48">
        <f>Tabell2[[#This Row],[Beftettotal-I]]*Vekter!$D$3</f>
        <v>0.35266064872374869</v>
      </c>
      <c r="AF361" s="48">
        <f>Tabell2[[#This Row],[Befvekst10-I]]*Vekter!$E$3</f>
        <v>8.5654481535326195</v>
      </c>
      <c r="AG361" s="48">
        <f>Tabell2[[#This Row],[Kvinneandel-I]]*Vekter!$F$3</f>
        <v>2.7837164521586533</v>
      </c>
      <c r="AH361" s="48">
        <f>Tabell2[[#This Row],[Eldreandel-I]]*Vekter!$G$3</f>
        <v>3.0631850035774479</v>
      </c>
      <c r="AI361" s="48">
        <f>Tabell2[[#This Row],[Sysselsettingsvekst10-I]]*Vekter!$H$3</f>
        <v>6.6719702448905371</v>
      </c>
      <c r="AJ361" s="48">
        <f>Tabell2[[#This Row],[Yrkesaktivandel-I]]*Vekter!$J$3</f>
        <v>2.2311477923726728</v>
      </c>
      <c r="AK361" s="48">
        <f>Tabell2[[#This Row],[Inntekt-I]]*Vekter!$L$3</f>
        <v>4.3166100842449389</v>
      </c>
      <c r="AL361" s="37">
        <f>SUM(Tabell2[[#This Row],[NIBR11-v]:[Inntekt-v]])</f>
        <v>41.086999320035034</v>
      </c>
    </row>
    <row r="362" spans="1:38">
      <c r="A362" s="2" t="s">
        <v>359</v>
      </c>
      <c r="B362">
        <f>'Rådata-K'!M361</f>
        <v>11</v>
      </c>
      <c r="C362" s="9">
        <f>'Rådata-K'!L361</f>
        <v>367.19264821299998</v>
      </c>
      <c r="D362" s="51">
        <f>'Rådata-K'!N361</f>
        <v>7.168715589410966</v>
      </c>
      <c r="E362" s="51">
        <f>'Rådata-K'!O361</f>
        <v>-6.077075098814233E-2</v>
      </c>
      <c r="F362" s="51">
        <f>'Rådata-K'!P361</f>
        <v>9.4687006838506046E-2</v>
      </c>
      <c r="G362" s="51">
        <f>'Rådata-K'!Q361</f>
        <v>0.20094687006838505</v>
      </c>
      <c r="H362" s="51">
        <f>'Rådata-K'!R361</f>
        <v>3.8915094339622591E-2</v>
      </c>
      <c r="I362" s="51">
        <f>'Rådata-K'!S361</f>
        <v>0.91078431372549018</v>
      </c>
      <c r="J362" s="52">
        <f>'Rådata-K'!K361</f>
        <v>358100</v>
      </c>
      <c r="K362" s="26">
        <f>Tabell2[[#This Row],[NIBR11]]</f>
        <v>11</v>
      </c>
      <c r="L362" s="52">
        <f>IF(Tabell2[[#This Row],[ReisetidOslo]]&lt;=C$434,C$434,IF(Tabell2[[#This Row],[ReisetidOslo]]&gt;=C$435,C$435,Tabell2[[#This Row],[ReisetidOslo]]))</f>
        <v>279.05557553043002</v>
      </c>
      <c r="M362" s="51">
        <f>IF(Tabell2[[#This Row],[Beftettotal]]&lt;=D$434,D$434,IF(Tabell2[[#This Row],[Beftettotal]]&gt;=D$435,D$435,Tabell2[[#This Row],[Beftettotal]]))</f>
        <v>7.168715589410966</v>
      </c>
      <c r="N362" s="51">
        <f>IF(Tabell2[[#This Row],[Befvekst10]]&lt;=E$434,E$434,IF(Tabell2[[#This Row],[Befvekst10]]&gt;=E$435,E$435,Tabell2[[#This Row],[Befvekst10]]))</f>
        <v>-6.077075098814233E-2</v>
      </c>
      <c r="O362" s="51">
        <f>IF(Tabell2[[#This Row],[Kvinneandel]]&lt;=F$434,F$434,IF(Tabell2[[#This Row],[Kvinneandel]]&gt;=F$435,F$435,Tabell2[[#This Row],[Kvinneandel]]))</f>
        <v>9.4687006838506046E-2</v>
      </c>
      <c r="P362" s="51">
        <f>IF(Tabell2[[#This Row],[Eldreandel]]&lt;=G$434,G$434,IF(Tabell2[[#This Row],[Eldreandel]]&gt;=G$435,G$435,Tabell2[[#This Row],[Eldreandel]]))</f>
        <v>0.20094687006838505</v>
      </c>
      <c r="Q362" s="51">
        <f>IF(Tabell2[[#This Row],[Sysselsettingsvekst10]]&lt;=H$434,H$434,IF(Tabell2[[#This Row],[Sysselsettingsvekst10]]&gt;=H$435,H$435,Tabell2[[#This Row],[Sysselsettingsvekst10]]))</f>
        <v>3.8915094339622591E-2</v>
      </c>
      <c r="R362" s="51">
        <f>IF(Tabell2[[#This Row],[Yrkesaktivandel]]&lt;=I$434,I$434,IF(Tabell2[[#This Row],[Yrkesaktivandel]]&gt;=I$435,I$435,Tabell2[[#This Row],[Yrkesaktivandel]]))</f>
        <v>0.91078431372549018</v>
      </c>
      <c r="S362" s="52">
        <f>IF(Tabell2[[#This Row],[Inntekt]]&lt;=J$434,J$434,IF(Tabell2[[#This Row],[Inntekt]]&gt;=J$435,J$435,Tabell2[[#This Row],[Inntekt]]))</f>
        <v>358100</v>
      </c>
      <c r="T362" s="9">
        <f>IF(Tabell2[[#This Row],[NIBR11-T]]&lt;=K$437,100,IF(Tabell2[[#This Row],[NIBR11-T]]&gt;=K$436,0,100*(K$436-Tabell2[[#This Row],[NIBR11-T]])/K$439))</f>
        <v>0</v>
      </c>
      <c r="U362" s="9">
        <f>(L$436-Tabell2[[#This Row],[ReisetidOslo-T]])*100/L$439</f>
        <v>0</v>
      </c>
      <c r="V362" s="9">
        <f>100-(M$436-Tabell2[[#This Row],[Beftettotal-T]])*100/M$439</f>
        <v>4.5912716916810581</v>
      </c>
      <c r="W362" s="9">
        <f>100-(N$436-Tabell2[[#This Row],[Befvekst10-T]])*100/N$439</f>
        <v>8.0992296302727453</v>
      </c>
      <c r="X362" s="9">
        <f>100-(O$436-Tabell2[[#This Row],[Kvinneandel-T]])*100/O$439</f>
        <v>11.718076772304215</v>
      </c>
      <c r="Y362" s="9">
        <f>(P$436-Tabell2[[#This Row],[Eldreandel-T]])*100/P$439</f>
        <v>8.3368618231190865</v>
      </c>
      <c r="Z362" s="9">
        <f>100-(Q$436-Tabell2[[#This Row],[Sysselsettingsvekst10-T]])*100/Q$439</f>
        <v>34.538934702456771</v>
      </c>
      <c r="AA362" s="9">
        <f>100-(R$436-Tabell2[[#This Row],[Yrkesaktivandel-T]])*100/R$439</f>
        <v>61.687137257746464</v>
      </c>
      <c r="AB362" s="9">
        <f>100-(S$436-Tabell2[[#This Row],[Inntekt-T]])*100/S$439</f>
        <v>47.315478435810384</v>
      </c>
      <c r="AC362" s="48">
        <f>Tabell2[[#This Row],[NIBR11-I]]*Vekter!$B$3</f>
        <v>0</v>
      </c>
      <c r="AD362" s="48">
        <f>Tabell2[[#This Row],[ReisetidOslo-I]]*Vekter!$C$3</f>
        <v>0</v>
      </c>
      <c r="AE362" s="48">
        <f>Tabell2[[#This Row],[Beftettotal-I]]*Vekter!$D$3</f>
        <v>0.45912716916810581</v>
      </c>
      <c r="AF362" s="48">
        <f>Tabell2[[#This Row],[Befvekst10-I]]*Vekter!$E$3</f>
        <v>1.6198459260545492</v>
      </c>
      <c r="AG362" s="48">
        <f>Tabell2[[#This Row],[Kvinneandel-I]]*Vekter!$F$3</f>
        <v>0.58590383861521078</v>
      </c>
      <c r="AH362" s="48">
        <f>Tabell2[[#This Row],[Eldreandel-I]]*Vekter!$G$3</f>
        <v>0.41684309115595436</v>
      </c>
      <c r="AI362" s="48">
        <f>Tabell2[[#This Row],[Sysselsettingsvekst10-I]]*Vekter!$H$3</f>
        <v>3.4538934702456774</v>
      </c>
      <c r="AJ362" s="48">
        <f>Tabell2[[#This Row],[Yrkesaktivandel-I]]*Vekter!$J$3</f>
        <v>6.1687137257746469</v>
      </c>
      <c r="AK362" s="48">
        <f>Tabell2[[#This Row],[Inntekt-I]]*Vekter!$L$3</f>
        <v>4.7315478435810387</v>
      </c>
      <c r="AL362" s="37">
        <f>SUM(Tabell2[[#This Row],[NIBR11-v]:[Inntekt-v]])</f>
        <v>17.43587506459518</v>
      </c>
    </row>
    <row r="363" spans="1:38">
      <c r="A363" s="2" t="s">
        <v>360</v>
      </c>
      <c r="B363">
        <f>'Rådata-K'!M362</f>
        <v>11</v>
      </c>
      <c r="C363" s="9">
        <f>'Rådata-K'!L362</f>
        <v>399</v>
      </c>
      <c r="D363" s="51">
        <f>'Rådata-K'!N362</f>
        <v>29.600484261501212</v>
      </c>
      <c r="E363" s="51">
        <f>'Rådata-K'!O362</f>
        <v>7.2368421052631637E-2</v>
      </c>
      <c r="F363" s="51">
        <f>'Rådata-K'!P362</f>
        <v>0.11860940695296524</v>
      </c>
      <c r="G363" s="51">
        <f>'Rådata-K'!Q362</f>
        <v>0.14519427402862986</v>
      </c>
      <c r="H363" s="51">
        <f>'Rådata-K'!R362</f>
        <v>6.2222222222222179E-2</v>
      </c>
      <c r="I363" s="51">
        <f>'Rådata-K'!S362</f>
        <v>0.93501805054151621</v>
      </c>
      <c r="J363" s="52">
        <f>'Rådata-K'!K362</f>
        <v>386000</v>
      </c>
      <c r="K363" s="26">
        <f>Tabell2[[#This Row],[NIBR11]]</f>
        <v>11</v>
      </c>
      <c r="L363" s="52">
        <f>IF(Tabell2[[#This Row],[ReisetidOslo]]&lt;=C$434,C$434,IF(Tabell2[[#This Row],[ReisetidOslo]]&gt;=C$435,C$435,Tabell2[[#This Row],[ReisetidOslo]]))</f>
        <v>279.05557553043002</v>
      </c>
      <c r="M363" s="51">
        <f>IF(Tabell2[[#This Row],[Beftettotal]]&lt;=D$434,D$434,IF(Tabell2[[#This Row],[Beftettotal]]&gt;=D$435,D$435,Tabell2[[#This Row],[Beftettotal]]))</f>
        <v>29.600484261501212</v>
      </c>
      <c r="N363" s="51">
        <f>IF(Tabell2[[#This Row],[Befvekst10]]&lt;=E$434,E$434,IF(Tabell2[[#This Row],[Befvekst10]]&gt;=E$435,E$435,Tabell2[[#This Row],[Befvekst10]]))</f>
        <v>7.2368421052631637E-2</v>
      </c>
      <c r="O363" s="51">
        <f>IF(Tabell2[[#This Row],[Kvinneandel]]&lt;=F$434,F$434,IF(Tabell2[[#This Row],[Kvinneandel]]&gt;=F$435,F$435,Tabell2[[#This Row],[Kvinneandel]]))</f>
        <v>0.11860940695296524</v>
      </c>
      <c r="P363" s="51">
        <f>IF(Tabell2[[#This Row],[Eldreandel]]&lt;=G$434,G$434,IF(Tabell2[[#This Row],[Eldreandel]]&gt;=G$435,G$435,Tabell2[[#This Row],[Eldreandel]]))</f>
        <v>0.14519427402862986</v>
      </c>
      <c r="Q363" s="51">
        <f>IF(Tabell2[[#This Row],[Sysselsettingsvekst10]]&lt;=H$434,H$434,IF(Tabell2[[#This Row],[Sysselsettingsvekst10]]&gt;=H$435,H$435,Tabell2[[#This Row],[Sysselsettingsvekst10]]))</f>
        <v>6.2222222222222179E-2</v>
      </c>
      <c r="R363" s="51">
        <f>IF(Tabell2[[#This Row],[Yrkesaktivandel]]&lt;=I$434,I$434,IF(Tabell2[[#This Row],[Yrkesaktivandel]]&gt;=I$435,I$435,Tabell2[[#This Row],[Yrkesaktivandel]]))</f>
        <v>0.93501805054151621</v>
      </c>
      <c r="S363" s="52">
        <f>IF(Tabell2[[#This Row],[Inntekt]]&lt;=J$434,J$434,IF(Tabell2[[#This Row],[Inntekt]]&gt;=J$435,J$435,Tabell2[[#This Row],[Inntekt]]))</f>
        <v>386000</v>
      </c>
      <c r="T363" s="9">
        <f>IF(Tabell2[[#This Row],[NIBR11-T]]&lt;=K$437,100,IF(Tabell2[[#This Row],[NIBR11-T]]&gt;=K$436,0,100*(K$436-Tabell2[[#This Row],[NIBR11-T]])/K$439))</f>
        <v>0</v>
      </c>
      <c r="U363" s="9">
        <f>(L$436-Tabell2[[#This Row],[ReisetidOslo-T]])*100/L$439</f>
        <v>0</v>
      </c>
      <c r="V363" s="9">
        <f>100-(M$436-Tabell2[[#This Row],[Beftettotal-T]])*100/M$439</f>
        <v>22.259923931361968</v>
      </c>
      <c r="W363" s="9">
        <f>100-(N$436-Tabell2[[#This Row],[Befvekst10-T]])*100/N$439</f>
        <v>61.974758182925058</v>
      </c>
      <c r="X363" s="9">
        <f>100-(O$436-Tabell2[[#This Row],[Kvinneandel-T]])*100/O$439</f>
        <v>75.081284998711524</v>
      </c>
      <c r="Y363" s="9">
        <f>(P$436-Tabell2[[#This Row],[Eldreandel-T]])*100/P$439</f>
        <v>71.542825060230939</v>
      </c>
      <c r="Z363" s="9">
        <f>100-(Q$436-Tabell2[[#This Row],[Sysselsettingsvekst10-T]])*100/Q$439</f>
        <v>42.01985075794461</v>
      </c>
      <c r="AA363" s="9">
        <f>100-(R$436-Tabell2[[#This Row],[Yrkesaktivandel-T]])*100/R$439</f>
        <v>79.752800123550912</v>
      </c>
      <c r="AB363" s="9">
        <f>100-(S$436-Tabell2[[#This Row],[Inntekt-T]])*100/S$439</f>
        <v>82.396579906953349</v>
      </c>
      <c r="AC363" s="48">
        <f>Tabell2[[#This Row],[NIBR11-I]]*Vekter!$B$3</f>
        <v>0</v>
      </c>
      <c r="AD363" s="48">
        <f>Tabell2[[#This Row],[ReisetidOslo-I]]*Vekter!$C$3</f>
        <v>0</v>
      </c>
      <c r="AE363" s="48">
        <f>Tabell2[[#This Row],[Beftettotal-I]]*Vekter!$D$3</f>
        <v>2.2259923931361967</v>
      </c>
      <c r="AF363" s="48">
        <f>Tabell2[[#This Row],[Befvekst10-I]]*Vekter!$E$3</f>
        <v>12.394951636585013</v>
      </c>
      <c r="AG363" s="48">
        <f>Tabell2[[#This Row],[Kvinneandel-I]]*Vekter!$F$3</f>
        <v>3.7540642499355763</v>
      </c>
      <c r="AH363" s="48">
        <f>Tabell2[[#This Row],[Eldreandel-I]]*Vekter!$G$3</f>
        <v>3.577141253011547</v>
      </c>
      <c r="AI363" s="48">
        <f>Tabell2[[#This Row],[Sysselsettingsvekst10-I]]*Vekter!$H$3</f>
        <v>4.201985075794461</v>
      </c>
      <c r="AJ363" s="48">
        <f>Tabell2[[#This Row],[Yrkesaktivandel-I]]*Vekter!$J$3</f>
        <v>7.9752800123550918</v>
      </c>
      <c r="AK363" s="48">
        <f>Tabell2[[#This Row],[Inntekt-I]]*Vekter!$L$3</f>
        <v>8.2396579906953349</v>
      </c>
      <c r="AL363" s="37">
        <f>SUM(Tabell2[[#This Row],[NIBR11-v]:[Inntekt-v]])</f>
        <v>42.369072611513218</v>
      </c>
    </row>
    <row r="364" spans="1:38">
      <c r="A364" s="2" t="s">
        <v>361</v>
      </c>
      <c r="B364">
        <f>'Rådata-K'!M363</f>
        <v>11</v>
      </c>
      <c r="C364" s="9">
        <f>'Rådata-K'!L363</f>
        <v>356.49084885899998</v>
      </c>
      <c r="D364" s="51">
        <f>'Rådata-K'!N363</f>
        <v>1.8346947096121133</v>
      </c>
      <c r="E364" s="51">
        <f>'Rådata-K'!O363</f>
        <v>-9.4378903539208858E-2</v>
      </c>
      <c r="F364" s="51">
        <f>'Rådata-K'!P363</f>
        <v>9.8084291187739467E-2</v>
      </c>
      <c r="G364" s="51">
        <f>'Rådata-K'!Q363</f>
        <v>0.16704980842911876</v>
      </c>
      <c r="H364" s="51">
        <f>'Rådata-K'!R363</f>
        <v>-3.2815198618307395E-2</v>
      </c>
      <c r="I364" s="51">
        <f>'Rådata-K'!S363</f>
        <v>0.93886462882096067</v>
      </c>
      <c r="J364" s="52">
        <f>'Rådata-K'!K363</f>
        <v>334800</v>
      </c>
      <c r="K364" s="26">
        <f>Tabell2[[#This Row],[NIBR11]]</f>
        <v>11</v>
      </c>
      <c r="L364" s="52">
        <f>IF(Tabell2[[#This Row],[ReisetidOslo]]&lt;=C$434,C$434,IF(Tabell2[[#This Row],[ReisetidOslo]]&gt;=C$435,C$435,Tabell2[[#This Row],[ReisetidOslo]]))</f>
        <v>279.05557553043002</v>
      </c>
      <c r="M364" s="51">
        <f>IF(Tabell2[[#This Row],[Beftettotal]]&lt;=D$434,D$434,IF(Tabell2[[#This Row],[Beftettotal]]&gt;=D$435,D$435,Tabell2[[#This Row],[Beftettotal]]))</f>
        <v>1.8346947096121133</v>
      </c>
      <c r="N364" s="51">
        <f>IF(Tabell2[[#This Row],[Befvekst10]]&lt;=E$434,E$434,IF(Tabell2[[#This Row],[Befvekst10]]&gt;=E$435,E$435,Tabell2[[#This Row],[Befvekst10]]))</f>
        <v>-8.0785862785862778E-2</v>
      </c>
      <c r="O364" s="51">
        <f>IF(Tabell2[[#This Row],[Kvinneandel]]&lt;=F$434,F$434,IF(Tabell2[[#This Row],[Kvinneandel]]&gt;=F$435,F$435,Tabell2[[#This Row],[Kvinneandel]]))</f>
        <v>9.8084291187739467E-2</v>
      </c>
      <c r="P364" s="51">
        <f>IF(Tabell2[[#This Row],[Eldreandel]]&lt;=G$434,G$434,IF(Tabell2[[#This Row],[Eldreandel]]&gt;=G$435,G$435,Tabell2[[#This Row],[Eldreandel]]))</f>
        <v>0.16704980842911876</v>
      </c>
      <c r="Q364" s="51">
        <f>IF(Tabell2[[#This Row],[Sysselsettingsvekst10]]&lt;=H$434,H$434,IF(Tabell2[[#This Row],[Sysselsettingsvekst10]]&gt;=H$435,H$435,Tabell2[[#This Row],[Sysselsettingsvekst10]]))</f>
        <v>-3.2815198618307395E-2</v>
      </c>
      <c r="R364" s="51">
        <f>IF(Tabell2[[#This Row],[Yrkesaktivandel]]&lt;=I$434,I$434,IF(Tabell2[[#This Row],[Yrkesaktivandel]]&gt;=I$435,I$435,Tabell2[[#This Row],[Yrkesaktivandel]]))</f>
        <v>0.93886462882096067</v>
      </c>
      <c r="S364" s="52">
        <f>IF(Tabell2[[#This Row],[Inntekt]]&lt;=J$434,J$434,IF(Tabell2[[#This Row],[Inntekt]]&gt;=J$435,J$435,Tabell2[[#This Row],[Inntekt]]))</f>
        <v>334800</v>
      </c>
      <c r="T364" s="9">
        <f>IF(Tabell2[[#This Row],[NIBR11-T]]&lt;=K$437,100,IF(Tabell2[[#This Row],[NIBR11-T]]&gt;=K$436,0,100*(K$436-Tabell2[[#This Row],[NIBR11-T]])/K$439))</f>
        <v>0</v>
      </c>
      <c r="U364" s="9">
        <f>(L$436-Tabell2[[#This Row],[ReisetidOslo-T]])*100/L$439</f>
        <v>0</v>
      </c>
      <c r="V364" s="9">
        <f>100-(M$436-Tabell2[[#This Row],[Beftettotal-T]])*100/M$439</f>
        <v>0.38986602715031893</v>
      </c>
      <c r="W364" s="9">
        <f>100-(N$436-Tabell2[[#This Row],[Befvekst10-T]])*100/N$439</f>
        <v>0</v>
      </c>
      <c r="X364" s="9">
        <f>100-(O$436-Tabell2[[#This Row],[Kvinneandel-T]])*100/O$439</f>
        <v>20.716456307586839</v>
      </c>
      <c r="Y364" s="9">
        <f>(P$436-Tabell2[[#This Row],[Eldreandel-T]])*100/P$439</f>
        <v>46.765501635511704</v>
      </c>
      <c r="Z364" s="9">
        <f>100-(Q$436-Tabell2[[#This Row],[Sysselsettingsvekst10-T]])*100/Q$439</f>
        <v>11.515578802202754</v>
      </c>
      <c r="AA364" s="9">
        <f>100-(R$436-Tabell2[[#This Row],[Yrkesaktivandel-T]])*100/R$439</f>
        <v>82.620330909699192</v>
      </c>
      <c r="AB364" s="9">
        <f>100-(S$436-Tabell2[[#This Row],[Inntekt-T]])*100/S$439</f>
        <v>18.018357852382749</v>
      </c>
      <c r="AC364" s="48">
        <f>Tabell2[[#This Row],[NIBR11-I]]*Vekter!$B$3</f>
        <v>0</v>
      </c>
      <c r="AD364" s="48">
        <f>Tabell2[[#This Row],[ReisetidOslo-I]]*Vekter!$C$3</f>
        <v>0</v>
      </c>
      <c r="AE364" s="48">
        <f>Tabell2[[#This Row],[Beftettotal-I]]*Vekter!$D$3</f>
        <v>3.8986602715031897E-2</v>
      </c>
      <c r="AF364" s="48">
        <f>Tabell2[[#This Row],[Befvekst10-I]]*Vekter!$E$3</f>
        <v>0</v>
      </c>
      <c r="AG364" s="48">
        <f>Tabell2[[#This Row],[Kvinneandel-I]]*Vekter!$F$3</f>
        <v>1.0358228153793421</v>
      </c>
      <c r="AH364" s="48">
        <f>Tabell2[[#This Row],[Eldreandel-I]]*Vekter!$G$3</f>
        <v>2.3382750817755853</v>
      </c>
      <c r="AI364" s="48">
        <f>Tabell2[[#This Row],[Sysselsettingsvekst10-I]]*Vekter!$H$3</f>
        <v>1.1515578802202755</v>
      </c>
      <c r="AJ364" s="48">
        <f>Tabell2[[#This Row],[Yrkesaktivandel-I]]*Vekter!$J$3</f>
        <v>8.2620330909699202</v>
      </c>
      <c r="AK364" s="48">
        <f>Tabell2[[#This Row],[Inntekt-I]]*Vekter!$L$3</f>
        <v>1.8018357852382749</v>
      </c>
      <c r="AL364" s="37">
        <f>SUM(Tabell2[[#This Row],[NIBR11-v]:[Inntekt-v]])</f>
        <v>14.628511256298431</v>
      </c>
    </row>
    <row r="365" spans="1:38">
      <c r="A365" s="2" t="s">
        <v>362</v>
      </c>
      <c r="B365">
        <f>'Rådata-K'!M364</f>
        <v>10</v>
      </c>
      <c r="C365" s="9">
        <f>'Rådata-K'!L364</f>
        <v>289.23257691110001</v>
      </c>
      <c r="D365" s="51">
        <f>'Rådata-K'!N364</f>
        <v>7.4282183033313114</v>
      </c>
      <c r="E365" s="51">
        <f>'Rådata-K'!O364</f>
        <v>-4.1494388659184867E-2</v>
      </c>
      <c r="F365" s="51">
        <f>'Rådata-K'!P364</f>
        <v>0.10244954552457249</v>
      </c>
      <c r="G365" s="51">
        <f>'Rådata-K'!Q364</f>
        <v>0.17054382991834849</v>
      </c>
      <c r="H365" s="51">
        <f>'Rådata-K'!R364</f>
        <v>-1.3978861234231199E-2</v>
      </c>
      <c r="I365" s="51">
        <f>'Rådata-K'!S364</f>
        <v>0.865046102263202</v>
      </c>
      <c r="J365" s="52">
        <f>'Rådata-K'!K364</f>
        <v>372300</v>
      </c>
      <c r="K365" s="26">
        <f>Tabell2[[#This Row],[NIBR11]]</f>
        <v>10</v>
      </c>
      <c r="L365" s="52">
        <f>IF(Tabell2[[#This Row],[ReisetidOslo]]&lt;=C$434,C$434,IF(Tabell2[[#This Row],[ReisetidOslo]]&gt;=C$435,C$435,Tabell2[[#This Row],[ReisetidOslo]]))</f>
        <v>279.05557553043002</v>
      </c>
      <c r="M365" s="51">
        <f>IF(Tabell2[[#This Row],[Beftettotal]]&lt;=D$434,D$434,IF(Tabell2[[#This Row],[Beftettotal]]&gt;=D$435,D$435,Tabell2[[#This Row],[Beftettotal]]))</f>
        <v>7.4282183033313114</v>
      </c>
      <c r="N365" s="51">
        <f>IF(Tabell2[[#This Row],[Befvekst10]]&lt;=E$434,E$434,IF(Tabell2[[#This Row],[Befvekst10]]&gt;=E$435,E$435,Tabell2[[#This Row],[Befvekst10]]))</f>
        <v>-4.1494388659184867E-2</v>
      </c>
      <c r="O365" s="51">
        <f>IF(Tabell2[[#This Row],[Kvinneandel]]&lt;=F$434,F$434,IF(Tabell2[[#This Row],[Kvinneandel]]&gt;=F$435,F$435,Tabell2[[#This Row],[Kvinneandel]]))</f>
        <v>0.10244954552457249</v>
      </c>
      <c r="P365" s="51">
        <f>IF(Tabell2[[#This Row],[Eldreandel]]&lt;=G$434,G$434,IF(Tabell2[[#This Row],[Eldreandel]]&gt;=G$435,G$435,Tabell2[[#This Row],[Eldreandel]]))</f>
        <v>0.17054382991834849</v>
      </c>
      <c r="Q365" s="51">
        <f>IF(Tabell2[[#This Row],[Sysselsettingsvekst10]]&lt;=H$434,H$434,IF(Tabell2[[#This Row],[Sysselsettingsvekst10]]&gt;=H$435,H$435,Tabell2[[#This Row],[Sysselsettingsvekst10]]))</f>
        <v>-1.3978861234231199E-2</v>
      </c>
      <c r="R365" s="51">
        <f>IF(Tabell2[[#This Row],[Yrkesaktivandel]]&lt;=I$434,I$434,IF(Tabell2[[#This Row],[Yrkesaktivandel]]&gt;=I$435,I$435,Tabell2[[#This Row],[Yrkesaktivandel]]))</f>
        <v>0.865046102263202</v>
      </c>
      <c r="S365" s="52">
        <f>IF(Tabell2[[#This Row],[Inntekt]]&lt;=J$434,J$434,IF(Tabell2[[#This Row],[Inntekt]]&gt;=J$435,J$435,Tabell2[[#This Row],[Inntekt]]))</f>
        <v>372300</v>
      </c>
      <c r="T365" s="9">
        <f>IF(Tabell2[[#This Row],[NIBR11-T]]&lt;=K$437,100,IF(Tabell2[[#This Row],[NIBR11-T]]&gt;=K$436,0,100*(K$436-Tabell2[[#This Row],[NIBR11-T]])/K$439))</f>
        <v>10</v>
      </c>
      <c r="U365" s="9">
        <f>(L$436-Tabell2[[#This Row],[ReisetidOslo-T]])*100/L$439</f>
        <v>0</v>
      </c>
      <c r="V365" s="9">
        <f>100-(M$436-Tabell2[[#This Row],[Beftettotal-T]])*100/M$439</f>
        <v>4.7956721236994468</v>
      </c>
      <c r="W365" s="9">
        <f>100-(N$436-Tabell2[[#This Row],[Befvekst10-T]])*100/N$439</f>
        <v>15.899520056646807</v>
      </c>
      <c r="X365" s="9">
        <f>100-(O$436-Tabell2[[#This Row],[Kvinneandel-T]])*100/O$439</f>
        <v>32.27869580623971</v>
      </c>
      <c r="Y365" s="9">
        <f>(P$436-Tabell2[[#This Row],[Eldreandel-T]])*100/P$439</f>
        <v>42.80437678241146</v>
      </c>
      <c r="Z365" s="9">
        <f>100-(Q$436-Tabell2[[#This Row],[Sysselsettingsvekst10-T]])*100/Q$439</f>
        <v>17.561500010208945</v>
      </c>
      <c r="AA365" s="9">
        <f>100-(R$436-Tabell2[[#This Row],[Yrkesaktivandel-T]])*100/R$439</f>
        <v>27.590410259533968</v>
      </c>
      <c r="AB365" s="9">
        <f>100-(S$436-Tabell2[[#This Row],[Inntekt-T]])*100/S$439</f>
        <v>65.170375958757703</v>
      </c>
      <c r="AC365" s="48">
        <f>Tabell2[[#This Row],[NIBR11-I]]*Vekter!$B$3</f>
        <v>2</v>
      </c>
      <c r="AD365" s="48">
        <f>Tabell2[[#This Row],[ReisetidOslo-I]]*Vekter!$C$3</f>
        <v>0</v>
      </c>
      <c r="AE365" s="48">
        <f>Tabell2[[#This Row],[Beftettotal-I]]*Vekter!$D$3</f>
        <v>0.47956721236994471</v>
      </c>
      <c r="AF365" s="48">
        <f>Tabell2[[#This Row],[Befvekst10-I]]*Vekter!$E$3</f>
        <v>3.1799040113293615</v>
      </c>
      <c r="AG365" s="48">
        <f>Tabell2[[#This Row],[Kvinneandel-I]]*Vekter!$F$3</f>
        <v>1.6139347903119856</v>
      </c>
      <c r="AH365" s="48">
        <f>Tabell2[[#This Row],[Eldreandel-I]]*Vekter!$G$3</f>
        <v>2.140218839120573</v>
      </c>
      <c r="AI365" s="48">
        <f>Tabell2[[#This Row],[Sysselsettingsvekst10-I]]*Vekter!$H$3</f>
        <v>1.7561500010208946</v>
      </c>
      <c r="AJ365" s="48">
        <f>Tabell2[[#This Row],[Yrkesaktivandel-I]]*Vekter!$J$3</f>
        <v>2.7590410259533971</v>
      </c>
      <c r="AK365" s="48">
        <f>Tabell2[[#This Row],[Inntekt-I]]*Vekter!$L$3</f>
        <v>6.5170375958757703</v>
      </c>
      <c r="AL365" s="37">
        <f>SUM(Tabell2[[#This Row],[NIBR11-v]:[Inntekt-v]])</f>
        <v>20.445853475981927</v>
      </c>
    </row>
    <row r="366" spans="1:38">
      <c r="A366" s="2" t="s">
        <v>363</v>
      </c>
      <c r="B366">
        <f>'Rådata-K'!M365</f>
        <v>8</v>
      </c>
      <c r="C366" s="9">
        <f>'Rådata-K'!L365</f>
        <v>266.56705235760001</v>
      </c>
      <c r="D366" s="51">
        <f>'Rådata-K'!N365</f>
        <v>3.0437072143233284</v>
      </c>
      <c r="E366" s="51">
        <f>'Rådata-K'!O365</f>
        <v>-8.6681715575620766E-2</v>
      </c>
      <c r="F366" s="51">
        <f>'Rådata-K'!P365</f>
        <v>9.836875926841325E-2</v>
      </c>
      <c r="G366" s="51">
        <f>'Rådata-K'!Q365</f>
        <v>0.20464656450815621</v>
      </c>
      <c r="H366" s="51">
        <f>'Rådata-K'!R365</f>
        <v>-1.3906447534766109E-2</v>
      </c>
      <c r="I366" s="51">
        <f>'Rådata-K'!S365</f>
        <v>0.8786496350364964</v>
      </c>
      <c r="J366" s="52">
        <f>'Rådata-K'!K365</f>
        <v>334500</v>
      </c>
      <c r="K366" s="26">
        <f>Tabell2[[#This Row],[NIBR11]]</f>
        <v>8</v>
      </c>
      <c r="L366" s="52">
        <f>IF(Tabell2[[#This Row],[ReisetidOslo]]&lt;=C$434,C$434,IF(Tabell2[[#This Row],[ReisetidOslo]]&gt;=C$435,C$435,Tabell2[[#This Row],[ReisetidOslo]]))</f>
        <v>266.56705235760001</v>
      </c>
      <c r="M366" s="51">
        <f>IF(Tabell2[[#This Row],[Beftettotal]]&lt;=D$434,D$434,IF(Tabell2[[#This Row],[Beftettotal]]&gt;=D$435,D$435,Tabell2[[#This Row],[Beftettotal]]))</f>
        <v>3.0437072143233284</v>
      </c>
      <c r="N366" s="51">
        <f>IF(Tabell2[[#This Row],[Befvekst10]]&lt;=E$434,E$434,IF(Tabell2[[#This Row],[Befvekst10]]&gt;=E$435,E$435,Tabell2[[#This Row],[Befvekst10]]))</f>
        <v>-8.0785862785862778E-2</v>
      </c>
      <c r="O366" s="51">
        <f>IF(Tabell2[[#This Row],[Kvinneandel]]&lt;=F$434,F$434,IF(Tabell2[[#This Row],[Kvinneandel]]&gt;=F$435,F$435,Tabell2[[#This Row],[Kvinneandel]]))</f>
        <v>9.836875926841325E-2</v>
      </c>
      <c r="P366" s="51">
        <f>IF(Tabell2[[#This Row],[Eldreandel]]&lt;=G$434,G$434,IF(Tabell2[[#This Row],[Eldreandel]]&gt;=G$435,G$435,Tabell2[[#This Row],[Eldreandel]]))</f>
        <v>0.20464656450815621</v>
      </c>
      <c r="Q366" s="51">
        <f>IF(Tabell2[[#This Row],[Sysselsettingsvekst10]]&lt;=H$434,H$434,IF(Tabell2[[#This Row],[Sysselsettingsvekst10]]&gt;=H$435,H$435,Tabell2[[#This Row],[Sysselsettingsvekst10]]))</f>
        <v>-1.3906447534766109E-2</v>
      </c>
      <c r="R366" s="51">
        <f>IF(Tabell2[[#This Row],[Yrkesaktivandel]]&lt;=I$434,I$434,IF(Tabell2[[#This Row],[Yrkesaktivandel]]&gt;=I$435,I$435,Tabell2[[#This Row],[Yrkesaktivandel]]))</f>
        <v>0.8786496350364964</v>
      </c>
      <c r="S366" s="52">
        <f>IF(Tabell2[[#This Row],[Inntekt]]&lt;=J$434,J$434,IF(Tabell2[[#This Row],[Inntekt]]&gt;=J$435,J$435,Tabell2[[#This Row],[Inntekt]]))</f>
        <v>334500</v>
      </c>
      <c r="T366" s="9">
        <f>IF(Tabell2[[#This Row],[NIBR11-T]]&lt;=K$437,100,IF(Tabell2[[#This Row],[NIBR11-T]]&gt;=K$436,0,100*(K$436-Tabell2[[#This Row],[NIBR11-T]])/K$439))</f>
        <v>30</v>
      </c>
      <c r="U366" s="9">
        <f>(L$436-Tabell2[[#This Row],[ReisetidOslo-T]])*100/L$439</f>
        <v>5.54428725392121</v>
      </c>
      <c r="V366" s="9">
        <f>100-(M$436-Tabell2[[#This Row],[Beftettotal-T]])*100/M$439</f>
        <v>1.3421592596383363</v>
      </c>
      <c r="W366" s="9">
        <f>100-(N$436-Tabell2[[#This Row],[Befvekst10-T]])*100/N$439</f>
        <v>0</v>
      </c>
      <c r="X366" s="9">
        <f>100-(O$436-Tabell2[[#This Row],[Kvinneandel-T]])*100/O$439</f>
        <v>21.469926283143536</v>
      </c>
      <c r="Y366" s="9">
        <f>(P$436-Tabell2[[#This Row],[Eldreandel-T]])*100/P$439</f>
        <v>4.1425683308128525</v>
      </c>
      <c r="Z366" s="9">
        <f>100-(Q$436-Tabell2[[#This Row],[Sysselsettingsvekst10-T]])*100/Q$439</f>
        <v>17.58474271989391</v>
      </c>
      <c r="AA366" s="9">
        <f>100-(R$436-Tabell2[[#This Row],[Yrkesaktivandel-T]])*100/R$439</f>
        <v>37.731513909043649</v>
      </c>
      <c r="AB366" s="9">
        <f>100-(S$436-Tabell2[[#This Row],[Inntekt-T]])*100/S$439</f>
        <v>17.641141707531744</v>
      </c>
      <c r="AC366" s="48">
        <f>Tabell2[[#This Row],[NIBR11-I]]*Vekter!$B$3</f>
        <v>6</v>
      </c>
      <c r="AD366" s="48">
        <f>Tabell2[[#This Row],[ReisetidOslo-I]]*Vekter!$C$3</f>
        <v>0.55442872539212107</v>
      </c>
      <c r="AE366" s="48">
        <f>Tabell2[[#This Row],[Beftettotal-I]]*Vekter!$D$3</f>
        <v>0.13421592596383364</v>
      </c>
      <c r="AF366" s="48">
        <f>Tabell2[[#This Row],[Befvekst10-I]]*Vekter!$E$3</f>
        <v>0</v>
      </c>
      <c r="AG366" s="48">
        <f>Tabell2[[#This Row],[Kvinneandel-I]]*Vekter!$F$3</f>
        <v>1.0734963141571769</v>
      </c>
      <c r="AH366" s="48">
        <f>Tabell2[[#This Row],[Eldreandel-I]]*Vekter!$G$3</f>
        <v>0.20712841654064262</v>
      </c>
      <c r="AI366" s="48">
        <f>Tabell2[[#This Row],[Sysselsettingsvekst10-I]]*Vekter!$H$3</f>
        <v>1.7584742719893911</v>
      </c>
      <c r="AJ366" s="48">
        <f>Tabell2[[#This Row],[Yrkesaktivandel-I]]*Vekter!$J$3</f>
        <v>3.7731513909043652</v>
      </c>
      <c r="AK366" s="48">
        <f>Tabell2[[#This Row],[Inntekt-I]]*Vekter!$L$3</f>
        <v>1.7641141707531744</v>
      </c>
      <c r="AL366" s="37">
        <f>SUM(Tabell2[[#This Row],[NIBR11-v]:[Inntekt-v]])</f>
        <v>15.265009215700706</v>
      </c>
    </row>
    <row r="367" spans="1:38">
      <c r="A367" s="2" t="s">
        <v>364</v>
      </c>
      <c r="B367">
        <f>'Rådata-K'!M366</f>
        <v>11</v>
      </c>
      <c r="C367" s="9">
        <f>'Rådata-K'!L366</f>
        <v>280.86956907180002</v>
      </c>
      <c r="D367" s="51">
        <f>'Rådata-K'!N366</f>
        <v>0.89051859612362494</v>
      </c>
      <c r="E367" s="51">
        <f>'Rådata-K'!O366</f>
        <v>-8.0304311073541856E-2</v>
      </c>
      <c r="F367" s="51">
        <f>'Rådata-K'!P366</f>
        <v>7.8125E-2</v>
      </c>
      <c r="G367" s="51">
        <f>'Rådata-K'!Q366</f>
        <v>0.23529411764705882</v>
      </c>
      <c r="H367" s="51">
        <f>'Rådata-K'!R366</f>
        <v>7.9136690647481966E-2</v>
      </c>
      <c r="I367" s="51">
        <f>'Rådata-K'!S366</f>
        <v>0.90467937608318894</v>
      </c>
      <c r="J367" s="52">
        <f>'Rådata-K'!K366</f>
        <v>301600</v>
      </c>
      <c r="K367" s="26">
        <f>Tabell2[[#This Row],[NIBR11]]</f>
        <v>11</v>
      </c>
      <c r="L367" s="52">
        <f>IF(Tabell2[[#This Row],[ReisetidOslo]]&lt;=C$434,C$434,IF(Tabell2[[#This Row],[ReisetidOslo]]&gt;=C$435,C$435,Tabell2[[#This Row],[ReisetidOslo]]))</f>
        <v>279.05557553043002</v>
      </c>
      <c r="M367" s="51">
        <f>IF(Tabell2[[#This Row],[Beftettotal]]&lt;=D$434,D$434,IF(Tabell2[[#This Row],[Beftettotal]]&gt;=D$435,D$435,Tabell2[[#This Row],[Beftettotal]]))</f>
        <v>1.3397285732306117</v>
      </c>
      <c r="N367" s="51">
        <f>IF(Tabell2[[#This Row],[Befvekst10]]&lt;=E$434,E$434,IF(Tabell2[[#This Row],[Befvekst10]]&gt;=E$435,E$435,Tabell2[[#This Row],[Befvekst10]]))</f>
        <v>-8.0304311073541856E-2</v>
      </c>
      <c r="O367" s="51">
        <f>IF(Tabell2[[#This Row],[Kvinneandel]]&lt;=F$434,F$434,IF(Tabell2[[#This Row],[Kvinneandel]]&gt;=F$435,F$435,Tabell2[[#This Row],[Kvinneandel]]))</f>
        <v>9.0262917071501733E-2</v>
      </c>
      <c r="P367" s="51">
        <f>IF(Tabell2[[#This Row],[Eldreandel]]&lt;=G$434,G$434,IF(Tabell2[[#This Row],[Eldreandel]]&gt;=G$435,G$435,Tabell2[[#This Row],[Eldreandel]]))</f>
        <v>0.20830063331569054</v>
      </c>
      <c r="Q367" s="51">
        <f>IF(Tabell2[[#This Row],[Sysselsettingsvekst10]]&lt;=H$434,H$434,IF(Tabell2[[#This Row],[Sysselsettingsvekst10]]&gt;=H$435,H$435,Tabell2[[#This Row],[Sysselsettingsvekst10]]))</f>
        <v>7.9136690647481966E-2</v>
      </c>
      <c r="R367" s="51">
        <f>IF(Tabell2[[#This Row],[Yrkesaktivandel]]&lt;=I$434,I$434,IF(Tabell2[[#This Row],[Yrkesaktivandel]]&gt;=I$435,I$435,Tabell2[[#This Row],[Yrkesaktivandel]]))</f>
        <v>0.90467937608318894</v>
      </c>
      <c r="S367" s="52">
        <f>IF(Tabell2[[#This Row],[Inntekt]]&lt;=J$434,J$434,IF(Tabell2[[#This Row],[Inntekt]]&gt;=J$435,J$435,Tabell2[[#This Row],[Inntekt]]))</f>
        <v>320470</v>
      </c>
      <c r="T367" s="9">
        <f>IF(Tabell2[[#This Row],[NIBR11-T]]&lt;=K$437,100,IF(Tabell2[[#This Row],[NIBR11-T]]&gt;=K$436,0,100*(K$436-Tabell2[[#This Row],[NIBR11-T]])/K$439))</f>
        <v>0</v>
      </c>
      <c r="U367" s="9">
        <f>(L$436-Tabell2[[#This Row],[ReisetidOslo-T]])*100/L$439</f>
        <v>0</v>
      </c>
      <c r="V367" s="9">
        <f>100-(M$436-Tabell2[[#This Row],[Beftettotal-T]])*100/M$439</f>
        <v>0</v>
      </c>
      <c r="W367" s="9">
        <f>100-(N$436-Tabell2[[#This Row],[Befvekst10-T]])*100/N$439</f>
        <v>0.19486265859291052</v>
      </c>
      <c r="X367" s="9">
        <f>100-(O$436-Tabell2[[#This Row],[Kvinneandel-T]])*100/O$439</f>
        <v>0</v>
      </c>
      <c r="Y367" s="9">
        <f>(P$436-Tabell2[[#This Row],[Eldreandel-T]])*100/P$439</f>
        <v>0</v>
      </c>
      <c r="Z367" s="9">
        <f>100-(Q$436-Tabell2[[#This Row],[Sysselsettingsvekst10-T]])*100/Q$439</f>
        <v>47.44890744180293</v>
      </c>
      <c r="AA367" s="9">
        <f>100-(R$436-Tabell2[[#This Row],[Yrkesaktivandel-T]])*100/R$439</f>
        <v>57.136054356258583</v>
      </c>
      <c r="AB367" s="9">
        <f>100-(S$436-Tabell2[[#This Row],[Inntekt-T]])*100/S$439</f>
        <v>0</v>
      </c>
      <c r="AC367" s="48">
        <f>Tabell2[[#This Row],[NIBR11-I]]*Vekter!$B$3</f>
        <v>0</v>
      </c>
      <c r="AD367" s="48">
        <f>Tabell2[[#This Row],[ReisetidOslo-I]]*Vekter!$C$3</f>
        <v>0</v>
      </c>
      <c r="AE367" s="48">
        <f>Tabell2[[#This Row],[Beftettotal-I]]*Vekter!$D$3</f>
        <v>0</v>
      </c>
      <c r="AF367" s="48">
        <f>Tabell2[[#This Row],[Befvekst10-I]]*Vekter!$E$3</f>
        <v>3.8972531718582108E-2</v>
      </c>
      <c r="AG367" s="48">
        <f>Tabell2[[#This Row],[Kvinneandel-I]]*Vekter!$F$3</f>
        <v>0</v>
      </c>
      <c r="AH367" s="48">
        <f>Tabell2[[#This Row],[Eldreandel-I]]*Vekter!$G$3</f>
        <v>0</v>
      </c>
      <c r="AI367" s="48">
        <f>Tabell2[[#This Row],[Sysselsettingsvekst10-I]]*Vekter!$H$3</f>
        <v>4.7448907441802932</v>
      </c>
      <c r="AJ367" s="48">
        <f>Tabell2[[#This Row],[Yrkesaktivandel-I]]*Vekter!$J$3</f>
        <v>5.7136054356258583</v>
      </c>
      <c r="AK367" s="48">
        <f>Tabell2[[#This Row],[Inntekt-I]]*Vekter!$L$3</f>
        <v>0</v>
      </c>
      <c r="AL367" s="37">
        <f>SUM(Tabell2[[#This Row],[NIBR11-v]:[Inntekt-v]])</f>
        <v>10.497468711524734</v>
      </c>
    </row>
    <row r="368" spans="1:38">
      <c r="A368" s="2" t="s">
        <v>365</v>
      </c>
      <c r="B368">
        <f>'Rådata-K'!M367</f>
        <v>6</v>
      </c>
      <c r="C368" s="9">
        <f>'Rådata-K'!L367</f>
        <v>265.28826460210001</v>
      </c>
      <c r="D368" s="51">
        <f>'Rådata-K'!N367</f>
        <v>2.116273193271244</v>
      </c>
      <c r="E368" s="51">
        <f>'Rådata-K'!O367</f>
        <v>-2.7576197387518153E-2</v>
      </c>
      <c r="F368" s="51">
        <f>'Rådata-K'!P367</f>
        <v>0.10405117270788912</v>
      </c>
      <c r="G368" s="51">
        <f>'Rådata-K'!Q367</f>
        <v>0.17377398720682302</v>
      </c>
      <c r="H368" s="51">
        <f>'Rådata-K'!R367</f>
        <v>1.9733596447952584E-2</v>
      </c>
      <c r="I368" s="51">
        <f>'Rådata-K'!S367</f>
        <v>0.84675036927621861</v>
      </c>
      <c r="J368" s="52">
        <f>'Rådata-K'!K367</f>
        <v>324000</v>
      </c>
      <c r="K368" s="26">
        <f>Tabell2[[#This Row],[NIBR11]]</f>
        <v>6</v>
      </c>
      <c r="L368" s="52">
        <f>IF(Tabell2[[#This Row],[ReisetidOslo]]&lt;=C$434,C$434,IF(Tabell2[[#This Row],[ReisetidOslo]]&gt;=C$435,C$435,Tabell2[[#This Row],[ReisetidOslo]]))</f>
        <v>265.28826460210001</v>
      </c>
      <c r="M368" s="51">
        <f>IF(Tabell2[[#This Row],[Beftettotal]]&lt;=D$434,D$434,IF(Tabell2[[#This Row],[Beftettotal]]&gt;=D$435,D$435,Tabell2[[#This Row],[Beftettotal]]))</f>
        <v>2.116273193271244</v>
      </c>
      <c r="N368" s="51">
        <f>IF(Tabell2[[#This Row],[Befvekst10]]&lt;=E$434,E$434,IF(Tabell2[[#This Row],[Befvekst10]]&gt;=E$435,E$435,Tabell2[[#This Row],[Befvekst10]]))</f>
        <v>-2.7576197387518153E-2</v>
      </c>
      <c r="O368" s="51">
        <f>IF(Tabell2[[#This Row],[Kvinneandel]]&lt;=F$434,F$434,IF(Tabell2[[#This Row],[Kvinneandel]]&gt;=F$435,F$435,Tabell2[[#This Row],[Kvinneandel]]))</f>
        <v>0.10405117270788912</v>
      </c>
      <c r="P368" s="51">
        <f>IF(Tabell2[[#This Row],[Eldreandel]]&lt;=G$434,G$434,IF(Tabell2[[#This Row],[Eldreandel]]&gt;=G$435,G$435,Tabell2[[#This Row],[Eldreandel]]))</f>
        <v>0.17377398720682302</v>
      </c>
      <c r="Q368" s="51">
        <f>IF(Tabell2[[#This Row],[Sysselsettingsvekst10]]&lt;=H$434,H$434,IF(Tabell2[[#This Row],[Sysselsettingsvekst10]]&gt;=H$435,H$435,Tabell2[[#This Row],[Sysselsettingsvekst10]]))</f>
        <v>1.9733596447952584E-2</v>
      </c>
      <c r="R368" s="51">
        <f>IF(Tabell2[[#This Row],[Yrkesaktivandel]]&lt;=I$434,I$434,IF(Tabell2[[#This Row],[Yrkesaktivandel]]&gt;=I$435,I$435,Tabell2[[#This Row],[Yrkesaktivandel]]))</f>
        <v>0.84675036927621861</v>
      </c>
      <c r="S368" s="52">
        <f>IF(Tabell2[[#This Row],[Inntekt]]&lt;=J$434,J$434,IF(Tabell2[[#This Row],[Inntekt]]&gt;=J$435,J$435,Tabell2[[#This Row],[Inntekt]]))</f>
        <v>324000</v>
      </c>
      <c r="T368" s="9">
        <f>IF(Tabell2[[#This Row],[NIBR11-T]]&lt;=K$437,100,IF(Tabell2[[#This Row],[NIBR11-T]]&gt;=K$436,0,100*(K$436-Tabell2[[#This Row],[NIBR11-T]])/K$439))</f>
        <v>50</v>
      </c>
      <c r="U368" s="9">
        <f>(L$436-Tabell2[[#This Row],[ReisetidOslo-T]])*100/L$439</f>
        <v>6.1120058348270794</v>
      </c>
      <c r="V368" s="9">
        <f>100-(M$436-Tabell2[[#This Row],[Beftettotal-T]])*100/M$439</f>
        <v>0.61165470456924709</v>
      </c>
      <c r="W368" s="9">
        <f>100-(N$436-Tabell2[[#This Row],[Befvekst10-T]])*100/N$439</f>
        <v>21.531595874485859</v>
      </c>
      <c r="X368" s="9">
        <f>100-(O$436-Tabell2[[#This Row],[Kvinneandel-T]])*100/O$439</f>
        <v>36.52092218118554</v>
      </c>
      <c r="Y368" s="9">
        <f>(P$436-Tabell2[[#This Row],[Eldreandel-T]])*100/P$439</f>
        <v>39.142391200971858</v>
      </c>
      <c r="Z368" s="9">
        <f>100-(Q$436-Tabell2[[#This Row],[Sysselsettingsvekst10-T]])*100/Q$439</f>
        <v>28.382226923235748</v>
      </c>
      <c r="AA368" s="9">
        <f>100-(R$436-Tabell2[[#This Row],[Yrkesaktivandel-T]])*100/R$439</f>
        <v>13.95138518738581</v>
      </c>
      <c r="AB368" s="9">
        <f>100-(S$436-Tabell2[[#This Row],[Inntekt-T]])*100/S$439</f>
        <v>4.4385766377467633</v>
      </c>
      <c r="AC368" s="48">
        <f>Tabell2[[#This Row],[NIBR11-I]]*Vekter!$B$3</f>
        <v>10</v>
      </c>
      <c r="AD368" s="48">
        <f>Tabell2[[#This Row],[ReisetidOslo-I]]*Vekter!$C$3</f>
        <v>0.611200583482708</v>
      </c>
      <c r="AE368" s="48">
        <f>Tabell2[[#This Row],[Beftettotal-I]]*Vekter!$D$3</f>
        <v>6.1165470456924713E-2</v>
      </c>
      <c r="AF368" s="48">
        <f>Tabell2[[#This Row],[Befvekst10-I]]*Vekter!$E$3</f>
        <v>4.3063191748971716</v>
      </c>
      <c r="AG368" s="48">
        <f>Tabell2[[#This Row],[Kvinneandel-I]]*Vekter!$F$3</f>
        <v>1.826046109059277</v>
      </c>
      <c r="AH368" s="48">
        <f>Tabell2[[#This Row],[Eldreandel-I]]*Vekter!$G$3</f>
        <v>1.9571195600485929</v>
      </c>
      <c r="AI368" s="48">
        <f>Tabell2[[#This Row],[Sysselsettingsvekst10-I]]*Vekter!$H$3</f>
        <v>2.8382226923235749</v>
      </c>
      <c r="AJ368" s="48">
        <f>Tabell2[[#This Row],[Yrkesaktivandel-I]]*Vekter!$J$3</f>
        <v>1.3951385187385812</v>
      </c>
      <c r="AK368" s="48">
        <f>Tabell2[[#This Row],[Inntekt-I]]*Vekter!$L$3</f>
        <v>0.44385766377467634</v>
      </c>
      <c r="AL368" s="37">
        <f>SUM(Tabell2[[#This Row],[NIBR11-v]:[Inntekt-v]])</f>
        <v>23.439069772781504</v>
      </c>
    </row>
    <row r="369" spans="1:38">
      <c r="A369" s="2" t="s">
        <v>366</v>
      </c>
      <c r="B369">
        <f>'Rådata-K'!M368</f>
        <v>5</v>
      </c>
      <c r="C369" s="9">
        <f>'Rådata-K'!L368</f>
        <v>239.2403969138</v>
      </c>
      <c r="D369" s="51">
        <f>'Rådata-K'!N368</f>
        <v>7.900262901172308</v>
      </c>
      <c r="E369" s="51">
        <f>'Rådata-K'!O368</f>
        <v>-7.3750908902046053E-3</v>
      </c>
      <c r="F369" s="51">
        <f>'Rådata-K'!P368</f>
        <v>0.1061113436584345</v>
      </c>
      <c r="G369" s="51">
        <f>'Rådata-K'!Q368</f>
        <v>0.1709920468815404</v>
      </c>
      <c r="H369" s="51">
        <f>'Rådata-K'!R368</f>
        <v>0.1210526315789473</v>
      </c>
      <c r="I369" s="51">
        <f>'Rådata-K'!S368</f>
        <v>0.8618275607958733</v>
      </c>
      <c r="J369" s="52">
        <f>'Rådata-K'!K368</f>
        <v>350300</v>
      </c>
      <c r="K369" s="26">
        <f>Tabell2[[#This Row],[NIBR11]]</f>
        <v>5</v>
      </c>
      <c r="L369" s="52">
        <f>IF(Tabell2[[#This Row],[ReisetidOslo]]&lt;=C$434,C$434,IF(Tabell2[[#This Row],[ReisetidOslo]]&gt;=C$435,C$435,Tabell2[[#This Row],[ReisetidOslo]]))</f>
        <v>239.2403969138</v>
      </c>
      <c r="M369" s="51">
        <f>IF(Tabell2[[#This Row],[Beftettotal]]&lt;=D$434,D$434,IF(Tabell2[[#This Row],[Beftettotal]]&gt;=D$435,D$435,Tabell2[[#This Row],[Beftettotal]]))</f>
        <v>7.900262901172308</v>
      </c>
      <c r="N369" s="51">
        <f>IF(Tabell2[[#This Row],[Befvekst10]]&lt;=E$434,E$434,IF(Tabell2[[#This Row],[Befvekst10]]&gt;=E$435,E$435,Tabell2[[#This Row],[Befvekst10]]))</f>
        <v>-7.3750908902046053E-3</v>
      </c>
      <c r="O369" s="51">
        <f>IF(Tabell2[[#This Row],[Kvinneandel]]&lt;=F$434,F$434,IF(Tabell2[[#This Row],[Kvinneandel]]&gt;=F$435,F$435,Tabell2[[#This Row],[Kvinneandel]]))</f>
        <v>0.1061113436584345</v>
      </c>
      <c r="P369" s="51">
        <f>IF(Tabell2[[#This Row],[Eldreandel]]&lt;=G$434,G$434,IF(Tabell2[[#This Row],[Eldreandel]]&gt;=G$435,G$435,Tabell2[[#This Row],[Eldreandel]]))</f>
        <v>0.1709920468815404</v>
      </c>
      <c r="Q369" s="51">
        <f>IF(Tabell2[[#This Row],[Sysselsettingsvekst10]]&lt;=H$434,H$434,IF(Tabell2[[#This Row],[Sysselsettingsvekst10]]&gt;=H$435,H$435,Tabell2[[#This Row],[Sysselsettingsvekst10]]))</f>
        <v>0.1210526315789473</v>
      </c>
      <c r="R369" s="51">
        <f>IF(Tabell2[[#This Row],[Yrkesaktivandel]]&lt;=I$434,I$434,IF(Tabell2[[#This Row],[Yrkesaktivandel]]&gt;=I$435,I$435,Tabell2[[#This Row],[Yrkesaktivandel]]))</f>
        <v>0.8618275607958733</v>
      </c>
      <c r="S369" s="52">
        <f>IF(Tabell2[[#This Row],[Inntekt]]&lt;=J$434,J$434,IF(Tabell2[[#This Row],[Inntekt]]&gt;=J$435,J$435,Tabell2[[#This Row],[Inntekt]]))</f>
        <v>350300</v>
      </c>
      <c r="T369" s="9">
        <f>IF(Tabell2[[#This Row],[NIBR11-T]]&lt;=K$437,100,IF(Tabell2[[#This Row],[NIBR11-T]]&gt;=K$436,0,100*(K$436-Tabell2[[#This Row],[NIBR11-T]])/K$439))</f>
        <v>60</v>
      </c>
      <c r="U369" s="9">
        <f>(L$436-Tabell2[[#This Row],[ReisetidOslo-T]])*100/L$439</f>
        <v>17.675972111501068</v>
      </c>
      <c r="V369" s="9">
        <f>100-(M$436-Tabell2[[#This Row],[Beftettotal-T]])*100/M$439</f>
        <v>5.1674837254858943</v>
      </c>
      <c r="W369" s="9">
        <f>100-(N$436-Tabell2[[#This Row],[Befvekst10-T]])*100/N$439</f>
        <v>29.706089325277944</v>
      </c>
      <c r="X369" s="9">
        <f>100-(O$436-Tabell2[[#This Row],[Kvinneandel-T]])*100/O$439</f>
        <v>41.977692417316732</v>
      </c>
      <c r="Y369" s="9">
        <f>(P$436-Tabell2[[#This Row],[Eldreandel-T]])*100/P$439</f>
        <v>42.296239280122649</v>
      </c>
      <c r="Z369" s="9">
        <f>100-(Q$436-Tabell2[[#This Row],[Sysselsettingsvekst10-T]])*100/Q$439</f>
        <v>60.902715953712303</v>
      </c>
      <c r="AA369" s="9">
        <f>100-(R$436-Tabell2[[#This Row],[Yrkesaktivandel-T]])*100/R$439</f>
        <v>25.191065680124339</v>
      </c>
      <c r="AB369" s="9">
        <f>100-(S$436-Tabell2[[#This Row],[Inntekt-T]])*100/S$439</f>
        <v>37.507858669684396</v>
      </c>
      <c r="AC369" s="48">
        <f>Tabell2[[#This Row],[NIBR11-I]]*Vekter!$B$3</f>
        <v>12</v>
      </c>
      <c r="AD369" s="48">
        <f>Tabell2[[#This Row],[ReisetidOslo-I]]*Vekter!$C$3</f>
        <v>1.7675972111501068</v>
      </c>
      <c r="AE369" s="48">
        <f>Tabell2[[#This Row],[Beftettotal-I]]*Vekter!$D$3</f>
        <v>0.51674837254858941</v>
      </c>
      <c r="AF369" s="48">
        <f>Tabell2[[#This Row],[Befvekst10-I]]*Vekter!$E$3</f>
        <v>5.9412178650555889</v>
      </c>
      <c r="AG369" s="48">
        <f>Tabell2[[#This Row],[Kvinneandel-I]]*Vekter!$F$3</f>
        <v>2.0988846208658365</v>
      </c>
      <c r="AH369" s="48">
        <f>Tabell2[[#This Row],[Eldreandel-I]]*Vekter!$G$3</f>
        <v>2.1148119640061327</v>
      </c>
      <c r="AI369" s="48">
        <f>Tabell2[[#This Row],[Sysselsettingsvekst10-I]]*Vekter!$H$3</f>
        <v>6.090271595371231</v>
      </c>
      <c r="AJ369" s="48">
        <f>Tabell2[[#This Row],[Yrkesaktivandel-I]]*Vekter!$J$3</f>
        <v>2.5191065680124343</v>
      </c>
      <c r="AK369" s="48">
        <f>Tabell2[[#This Row],[Inntekt-I]]*Vekter!$L$3</f>
        <v>3.7507858669684397</v>
      </c>
      <c r="AL369" s="37">
        <f>SUM(Tabell2[[#This Row],[NIBR11-v]:[Inntekt-v]])</f>
        <v>36.799424063978364</v>
      </c>
    </row>
    <row r="370" spans="1:38">
      <c r="A370" s="2" t="s">
        <v>367</v>
      </c>
      <c r="B370">
        <f>'Rådata-K'!M369</f>
        <v>6</v>
      </c>
      <c r="C370" s="9">
        <f>'Rådata-K'!L369</f>
        <v>252.41741302689999</v>
      </c>
      <c r="D370" s="51">
        <f>'Rådata-K'!N369</f>
        <v>1.2132721100065944</v>
      </c>
      <c r="E370" s="51">
        <f>'Rådata-K'!O369</f>
        <v>-9.0201465201465214E-2</v>
      </c>
      <c r="F370" s="51">
        <f>'Rådata-K'!P369</f>
        <v>9.0588827377956718E-2</v>
      </c>
      <c r="G370" s="51">
        <f>'Rådata-K'!Q369</f>
        <v>0.20332159033719174</v>
      </c>
      <c r="H370" s="51">
        <f>'Rådata-K'!R369</f>
        <v>7.5887392900856776E-2</v>
      </c>
      <c r="I370" s="51">
        <f>'Rådata-K'!S369</f>
        <v>0.84220354808590103</v>
      </c>
      <c r="J370" s="52">
        <f>'Rådata-K'!K369</f>
        <v>329600</v>
      </c>
      <c r="K370" s="26">
        <f>Tabell2[[#This Row],[NIBR11]]</f>
        <v>6</v>
      </c>
      <c r="L370" s="52">
        <f>IF(Tabell2[[#This Row],[ReisetidOslo]]&lt;=C$434,C$434,IF(Tabell2[[#This Row],[ReisetidOslo]]&gt;=C$435,C$435,Tabell2[[#This Row],[ReisetidOslo]]))</f>
        <v>252.41741302689999</v>
      </c>
      <c r="M370" s="51">
        <f>IF(Tabell2[[#This Row],[Beftettotal]]&lt;=D$434,D$434,IF(Tabell2[[#This Row],[Beftettotal]]&gt;=D$435,D$435,Tabell2[[#This Row],[Beftettotal]]))</f>
        <v>1.3397285732306117</v>
      </c>
      <c r="N370" s="51">
        <f>IF(Tabell2[[#This Row],[Befvekst10]]&lt;=E$434,E$434,IF(Tabell2[[#This Row],[Befvekst10]]&gt;=E$435,E$435,Tabell2[[#This Row],[Befvekst10]]))</f>
        <v>-8.0785862785862778E-2</v>
      </c>
      <c r="O370" s="51">
        <f>IF(Tabell2[[#This Row],[Kvinneandel]]&lt;=F$434,F$434,IF(Tabell2[[#This Row],[Kvinneandel]]&gt;=F$435,F$435,Tabell2[[#This Row],[Kvinneandel]]))</f>
        <v>9.0588827377956718E-2</v>
      </c>
      <c r="P370" s="51">
        <f>IF(Tabell2[[#This Row],[Eldreandel]]&lt;=G$434,G$434,IF(Tabell2[[#This Row],[Eldreandel]]&gt;=G$435,G$435,Tabell2[[#This Row],[Eldreandel]]))</f>
        <v>0.20332159033719174</v>
      </c>
      <c r="Q370" s="51">
        <f>IF(Tabell2[[#This Row],[Sysselsettingsvekst10]]&lt;=H$434,H$434,IF(Tabell2[[#This Row],[Sysselsettingsvekst10]]&gt;=H$435,H$435,Tabell2[[#This Row],[Sysselsettingsvekst10]]))</f>
        <v>7.5887392900856776E-2</v>
      </c>
      <c r="R370" s="51">
        <f>IF(Tabell2[[#This Row],[Yrkesaktivandel]]&lt;=I$434,I$434,IF(Tabell2[[#This Row],[Yrkesaktivandel]]&gt;=I$435,I$435,Tabell2[[#This Row],[Yrkesaktivandel]]))</f>
        <v>0.84220354808590103</v>
      </c>
      <c r="S370" s="52">
        <f>IF(Tabell2[[#This Row],[Inntekt]]&lt;=J$434,J$434,IF(Tabell2[[#This Row],[Inntekt]]&gt;=J$435,J$435,Tabell2[[#This Row],[Inntekt]]))</f>
        <v>329600</v>
      </c>
      <c r="T370" s="9">
        <f>IF(Tabell2[[#This Row],[NIBR11-T]]&lt;=K$437,100,IF(Tabell2[[#This Row],[NIBR11-T]]&gt;=K$436,0,100*(K$436-Tabell2[[#This Row],[NIBR11-T]])/K$439))</f>
        <v>50</v>
      </c>
      <c r="U370" s="9">
        <f>(L$436-Tabell2[[#This Row],[ReisetidOslo-T]])*100/L$439</f>
        <v>11.826028009261851</v>
      </c>
      <c r="V370" s="9">
        <f>100-(M$436-Tabell2[[#This Row],[Beftettotal-T]])*100/M$439</f>
        <v>0</v>
      </c>
      <c r="W370" s="9">
        <f>100-(N$436-Tabell2[[#This Row],[Befvekst10-T]])*100/N$439</f>
        <v>0</v>
      </c>
      <c r="X370" s="9">
        <f>100-(O$436-Tabell2[[#This Row],[Kvinneandel-T]])*100/O$439</f>
        <v>0.86323790724316041</v>
      </c>
      <c r="Y370" s="9">
        <f>(P$436-Tabell2[[#This Row],[Eldreandel-T]])*100/P$439</f>
        <v>5.6446736082135072</v>
      </c>
      <c r="Z370" s="9">
        <f>100-(Q$436-Tabell2[[#This Row],[Sysselsettingsvekst10-T]])*100/Q$439</f>
        <v>46.405976549406866</v>
      </c>
      <c r="AA370" s="9">
        <f>100-(R$436-Tabell2[[#This Row],[Yrkesaktivandel-T]])*100/R$439</f>
        <v>10.56184029965506</v>
      </c>
      <c r="AB370" s="9">
        <f>100-(S$436-Tabell2[[#This Row],[Inntekt-T]])*100/S$439</f>
        <v>11.479944674965424</v>
      </c>
      <c r="AC370" s="48">
        <f>Tabell2[[#This Row],[NIBR11-I]]*Vekter!$B$3</f>
        <v>10</v>
      </c>
      <c r="AD370" s="48">
        <f>Tabell2[[#This Row],[ReisetidOslo-I]]*Vekter!$C$3</f>
        <v>1.1826028009261851</v>
      </c>
      <c r="AE370" s="48">
        <f>Tabell2[[#This Row],[Beftettotal-I]]*Vekter!$D$3</f>
        <v>0</v>
      </c>
      <c r="AF370" s="48">
        <f>Tabell2[[#This Row],[Befvekst10-I]]*Vekter!$E$3</f>
        <v>0</v>
      </c>
      <c r="AG370" s="48">
        <f>Tabell2[[#This Row],[Kvinneandel-I]]*Vekter!$F$3</f>
        <v>4.3161895362158025E-2</v>
      </c>
      <c r="AH370" s="48">
        <f>Tabell2[[#This Row],[Eldreandel-I]]*Vekter!$G$3</f>
        <v>0.28223368041067537</v>
      </c>
      <c r="AI370" s="48">
        <f>Tabell2[[#This Row],[Sysselsettingsvekst10-I]]*Vekter!$H$3</f>
        <v>4.6405976549406871</v>
      </c>
      <c r="AJ370" s="48">
        <f>Tabell2[[#This Row],[Yrkesaktivandel-I]]*Vekter!$J$3</f>
        <v>1.0561840299655061</v>
      </c>
      <c r="AK370" s="48">
        <f>Tabell2[[#This Row],[Inntekt-I]]*Vekter!$L$3</f>
        <v>1.1479944674965423</v>
      </c>
      <c r="AL370" s="37">
        <f>SUM(Tabell2[[#This Row],[NIBR11-v]:[Inntekt-v]])</f>
        <v>18.352774529101755</v>
      </c>
    </row>
    <row r="371" spans="1:38">
      <c r="A371" s="2" t="s">
        <v>368</v>
      </c>
      <c r="B371">
        <f>'Rådata-K'!M370</f>
        <v>11</v>
      </c>
      <c r="C371" s="9">
        <f>'Rådata-K'!L370</f>
        <v>361.76036978000002</v>
      </c>
      <c r="D371" s="51">
        <f>'Rådata-K'!N370</f>
        <v>2.5557933959646411</v>
      </c>
      <c r="E371" s="51">
        <f>'Rådata-K'!O370</f>
        <v>-9.9196646873908501E-2</v>
      </c>
      <c r="F371" s="51">
        <f>'Rådata-K'!P370</f>
        <v>8.9181853431562624E-2</v>
      </c>
      <c r="G371" s="51">
        <f>'Rådata-K'!Q370</f>
        <v>0.20550601008142691</v>
      </c>
      <c r="H371" s="51">
        <f>'Rådata-K'!R370</f>
        <v>1.3464991023339312E-2</v>
      </c>
      <c r="I371" s="51">
        <f>'Rådata-K'!S370</f>
        <v>0.8784452296819788</v>
      </c>
      <c r="J371" s="52">
        <f>'Rådata-K'!K370</f>
        <v>329600</v>
      </c>
      <c r="K371" s="26">
        <f>Tabell2[[#This Row],[NIBR11]]</f>
        <v>11</v>
      </c>
      <c r="L371" s="52">
        <f>IF(Tabell2[[#This Row],[ReisetidOslo]]&lt;=C$434,C$434,IF(Tabell2[[#This Row],[ReisetidOslo]]&gt;=C$435,C$435,Tabell2[[#This Row],[ReisetidOslo]]))</f>
        <v>279.05557553043002</v>
      </c>
      <c r="M371" s="51">
        <f>IF(Tabell2[[#This Row],[Beftettotal]]&lt;=D$434,D$434,IF(Tabell2[[#This Row],[Beftettotal]]&gt;=D$435,D$435,Tabell2[[#This Row],[Beftettotal]]))</f>
        <v>2.5557933959646411</v>
      </c>
      <c r="N371" s="51">
        <f>IF(Tabell2[[#This Row],[Befvekst10]]&lt;=E$434,E$434,IF(Tabell2[[#This Row],[Befvekst10]]&gt;=E$435,E$435,Tabell2[[#This Row],[Befvekst10]]))</f>
        <v>-8.0785862785862778E-2</v>
      </c>
      <c r="O371" s="51">
        <f>IF(Tabell2[[#This Row],[Kvinneandel]]&lt;=F$434,F$434,IF(Tabell2[[#This Row],[Kvinneandel]]&gt;=F$435,F$435,Tabell2[[#This Row],[Kvinneandel]]))</f>
        <v>9.0262917071501733E-2</v>
      </c>
      <c r="P371" s="51">
        <f>IF(Tabell2[[#This Row],[Eldreandel]]&lt;=G$434,G$434,IF(Tabell2[[#This Row],[Eldreandel]]&gt;=G$435,G$435,Tabell2[[#This Row],[Eldreandel]]))</f>
        <v>0.20550601008142691</v>
      </c>
      <c r="Q371" s="51">
        <f>IF(Tabell2[[#This Row],[Sysselsettingsvekst10]]&lt;=H$434,H$434,IF(Tabell2[[#This Row],[Sysselsettingsvekst10]]&gt;=H$435,H$435,Tabell2[[#This Row],[Sysselsettingsvekst10]]))</f>
        <v>1.3464991023339312E-2</v>
      </c>
      <c r="R371" s="51">
        <f>IF(Tabell2[[#This Row],[Yrkesaktivandel]]&lt;=I$434,I$434,IF(Tabell2[[#This Row],[Yrkesaktivandel]]&gt;=I$435,I$435,Tabell2[[#This Row],[Yrkesaktivandel]]))</f>
        <v>0.8784452296819788</v>
      </c>
      <c r="S371" s="52">
        <f>IF(Tabell2[[#This Row],[Inntekt]]&lt;=J$434,J$434,IF(Tabell2[[#This Row],[Inntekt]]&gt;=J$435,J$435,Tabell2[[#This Row],[Inntekt]]))</f>
        <v>329600</v>
      </c>
      <c r="T371" s="9">
        <f>IF(Tabell2[[#This Row],[NIBR11-T]]&lt;=K$437,100,IF(Tabell2[[#This Row],[NIBR11-T]]&gt;=K$436,0,100*(K$436-Tabell2[[#This Row],[NIBR11-T]])/K$439))</f>
        <v>0</v>
      </c>
      <c r="U371" s="9">
        <f>(L$436-Tabell2[[#This Row],[ReisetidOslo-T]])*100/L$439</f>
        <v>0</v>
      </c>
      <c r="V371" s="9">
        <f>100-(M$436-Tabell2[[#This Row],[Beftettotal-T]])*100/M$439</f>
        <v>0.95784807555233442</v>
      </c>
      <c r="W371" s="9">
        <f>100-(N$436-Tabell2[[#This Row],[Befvekst10-T]])*100/N$439</f>
        <v>0</v>
      </c>
      <c r="X371" s="9">
        <f>100-(O$436-Tabell2[[#This Row],[Kvinneandel-T]])*100/O$439</f>
        <v>0</v>
      </c>
      <c r="Y371" s="9">
        <f>(P$436-Tabell2[[#This Row],[Eldreandel-T]])*100/P$439</f>
        <v>3.1682265213352996</v>
      </c>
      <c r="Z371" s="9">
        <f>100-(Q$436-Tabell2[[#This Row],[Sysselsettingsvekst10-T]])*100/Q$439</f>
        <v>26.370185319365802</v>
      </c>
      <c r="AA371" s="9">
        <f>100-(R$436-Tabell2[[#This Row],[Yrkesaktivandel-T]])*100/R$439</f>
        <v>37.579134676294103</v>
      </c>
      <c r="AB371" s="9">
        <f>100-(S$436-Tabell2[[#This Row],[Inntekt-T]])*100/S$439</f>
        <v>11.479944674965424</v>
      </c>
      <c r="AC371" s="48">
        <f>Tabell2[[#This Row],[NIBR11-I]]*Vekter!$B$3</f>
        <v>0</v>
      </c>
      <c r="AD371" s="48">
        <f>Tabell2[[#This Row],[ReisetidOslo-I]]*Vekter!$C$3</f>
        <v>0</v>
      </c>
      <c r="AE371" s="48">
        <f>Tabell2[[#This Row],[Beftettotal-I]]*Vekter!$D$3</f>
        <v>9.5784807555233442E-2</v>
      </c>
      <c r="AF371" s="48">
        <f>Tabell2[[#This Row],[Befvekst10-I]]*Vekter!$E$3</f>
        <v>0</v>
      </c>
      <c r="AG371" s="48">
        <f>Tabell2[[#This Row],[Kvinneandel-I]]*Vekter!$F$3</f>
        <v>0</v>
      </c>
      <c r="AH371" s="48">
        <f>Tabell2[[#This Row],[Eldreandel-I]]*Vekter!$G$3</f>
        <v>0.158411326066765</v>
      </c>
      <c r="AI371" s="48">
        <f>Tabell2[[#This Row],[Sysselsettingsvekst10-I]]*Vekter!$H$3</f>
        <v>2.6370185319365804</v>
      </c>
      <c r="AJ371" s="48">
        <f>Tabell2[[#This Row],[Yrkesaktivandel-I]]*Vekter!$J$3</f>
        <v>3.7579134676294106</v>
      </c>
      <c r="AK371" s="48">
        <f>Tabell2[[#This Row],[Inntekt-I]]*Vekter!$L$3</f>
        <v>1.1479944674965423</v>
      </c>
      <c r="AL371" s="37">
        <f>SUM(Tabell2[[#This Row],[NIBR11-v]:[Inntekt-v]])</f>
        <v>7.7971226006845322</v>
      </c>
    </row>
    <row r="372" spans="1:38">
      <c r="A372" s="2" t="s">
        <v>369</v>
      </c>
      <c r="B372">
        <f>'Rådata-K'!M371</f>
        <v>11</v>
      </c>
      <c r="C372" s="9">
        <f>'Rådata-K'!L371</f>
        <v>362.16962157699999</v>
      </c>
      <c r="D372" s="51">
        <f>'Rådata-K'!N371</f>
        <v>1.760921097189299</v>
      </c>
      <c r="E372" s="51">
        <f>'Rådata-K'!O371</f>
        <v>-2.777777777777779E-2</v>
      </c>
      <c r="F372" s="51">
        <f>'Rådata-K'!P371</f>
        <v>0.1021978021978022</v>
      </c>
      <c r="G372" s="51">
        <f>'Rådata-K'!Q371</f>
        <v>0.19945054945054946</v>
      </c>
      <c r="H372" s="51">
        <f>'Rådata-K'!R371</f>
        <v>0.10171730515191535</v>
      </c>
      <c r="I372" s="51">
        <f>'Rådata-K'!S371</f>
        <v>0.87599206349206349</v>
      </c>
      <c r="J372" s="52">
        <f>'Rådata-K'!K371</f>
        <v>331100</v>
      </c>
      <c r="K372" s="26">
        <f>Tabell2[[#This Row],[NIBR11]]</f>
        <v>11</v>
      </c>
      <c r="L372" s="52">
        <f>IF(Tabell2[[#This Row],[ReisetidOslo]]&lt;=C$434,C$434,IF(Tabell2[[#This Row],[ReisetidOslo]]&gt;=C$435,C$435,Tabell2[[#This Row],[ReisetidOslo]]))</f>
        <v>279.05557553043002</v>
      </c>
      <c r="M372" s="51">
        <f>IF(Tabell2[[#This Row],[Beftettotal]]&lt;=D$434,D$434,IF(Tabell2[[#This Row],[Beftettotal]]&gt;=D$435,D$435,Tabell2[[#This Row],[Beftettotal]]))</f>
        <v>1.760921097189299</v>
      </c>
      <c r="N372" s="51">
        <f>IF(Tabell2[[#This Row],[Befvekst10]]&lt;=E$434,E$434,IF(Tabell2[[#This Row],[Befvekst10]]&gt;=E$435,E$435,Tabell2[[#This Row],[Befvekst10]]))</f>
        <v>-2.777777777777779E-2</v>
      </c>
      <c r="O372" s="51">
        <f>IF(Tabell2[[#This Row],[Kvinneandel]]&lt;=F$434,F$434,IF(Tabell2[[#This Row],[Kvinneandel]]&gt;=F$435,F$435,Tabell2[[#This Row],[Kvinneandel]]))</f>
        <v>0.1021978021978022</v>
      </c>
      <c r="P372" s="51">
        <f>IF(Tabell2[[#This Row],[Eldreandel]]&lt;=G$434,G$434,IF(Tabell2[[#This Row],[Eldreandel]]&gt;=G$435,G$435,Tabell2[[#This Row],[Eldreandel]]))</f>
        <v>0.19945054945054946</v>
      </c>
      <c r="Q372" s="51">
        <f>IF(Tabell2[[#This Row],[Sysselsettingsvekst10]]&lt;=H$434,H$434,IF(Tabell2[[#This Row],[Sysselsettingsvekst10]]&gt;=H$435,H$435,Tabell2[[#This Row],[Sysselsettingsvekst10]]))</f>
        <v>0.10171730515191535</v>
      </c>
      <c r="R372" s="51">
        <f>IF(Tabell2[[#This Row],[Yrkesaktivandel]]&lt;=I$434,I$434,IF(Tabell2[[#This Row],[Yrkesaktivandel]]&gt;=I$435,I$435,Tabell2[[#This Row],[Yrkesaktivandel]]))</f>
        <v>0.87599206349206349</v>
      </c>
      <c r="S372" s="52">
        <f>IF(Tabell2[[#This Row],[Inntekt]]&lt;=J$434,J$434,IF(Tabell2[[#This Row],[Inntekt]]&gt;=J$435,J$435,Tabell2[[#This Row],[Inntekt]]))</f>
        <v>331100</v>
      </c>
      <c r="T372" s="9">
        <f>IF(Tabell2[[#This Row],[NIBR11-T]]&lt;=K$437,100,IF(Tabell2[[#This Row],[NIBR11-T]]&gt;=K$436,0,100*(K$436-Tabell2[[#This Row],[NIBR11-T]])/K$439))</f>
        <v>0</v>
      </c>
      <c r="U372" s="9">
        <f>(L$436-Tabell2[[#This Row],[ReisetidOslo-T]])*100/L$439</f>
        <v>0</v>
      </c>
      <c r="V372" s="9">
        <f>100-(M$436-Tabell2[[#This Row],[Beftettotal-T]])*100/M$439</f>
        <v>0.33175735451652599</v>
      </c>
      <c r="W372" s="9">
        <f>100-(N$436-Tabell2[[#This Row],[Befvekst10-T]])*100/N$439</f>
        <v>21.450025214967553</v>
      </c>
      <c r="X372" s="9">
        <f>100-(O$436-Tabell2[[#This Row],[Kvinneandel-T]])*100/O$439</f>
        <v>31.611903813904732</v>
      </c>
      <c r="Y372" s="9">
        <f>(P$436-Tabell2[[#This Row],[Eldreandel-T]])*100/P$439</f>
        <v>10.033220247297386</v>
      </c>
      <c r="Z372" s="9">
        <f>100-(Q$436-Tabell2[[#This Row],[Sysselsettingsvekst10-T]])*100/Q$439</f>
        <v>54.696633649848948</v>
      </c>
      <c r="AA372" s="9">
        <f>100-(R$436-Tabell2[[#This Row],[Yrkesaktivandel-T]])*100/R$439</f>
        <v>35.750358797557482</v>
      </c>
      <c r="AB372" s="9">
        <f>100-(S$436-Tabell2[[#This Row],[Inntekt-T]])*100/S$439</f>
        <v>13.366025399220419</v>
      </c>
      <c r="AC372" s="48">
        <f>Tabell2[[#This Row],[NIBR11-I]]*Vekter!$B$3</f>
        <v>0</v>
      </c>
      <c r="AD372" s="48">
        <f>Tabell2[[#This Row],[ReisetidOslo-I]]*Vekter!$C$3</f>
        <v>0</v>
      </c>
      <c r="AE372" s="48">
        <f>Tabell2[[#This Row],[Beftettotal-I]]*Vekter!$D$3</f>
        <v>3.3175735451652602E-2</v>
      </c>
      <c r="AF372" s="48">
        <f>Tabell2[[#This Row],[Befvekst10-I]]*Vekter!$E$3</f>
        <v>4.2900050429935108</v>
      </c>
      <c r="AG372" s="48">
        <f>Tabell2[[#This Row],[Kvinneandel-I]]*Vekter!$F$3</f>
        <v>1.5805951906952367</v>
      </c>
      <c r="AH372" s="48">
        <f>Tabell2[[#This Row],[Eldreandel-I]]*Vekter!$G$3</f>
        <v>0.50166101236486937</v>
      </c>
      <c r="AI372" s="48">
        <f>Tabell2[[#This Row],[Sysselsettingsvekst10-I]]*Vekter!$H$3</f>
        <v>5.4696633649848954</v>
      </c>
      <c r="AJ372" s="48">
        <f>Tabell2[[#This Row],[Yrkesaktivandel-I]]*Vekter!$J$3</f>
        <v>3.5750358797557484</v>
      </c>
      <c r="AK372" s="48">
        <f>Tabell2[[#This Row],[Inntekt-I]]*Vekter!$L$3</f>
        <v>1.336602539922042</v>
      </c>
      <c r="AL372" s="37">
        <f>SUM(Tabell2[[#This Row],[NIBR11-v]:[Inntekt-v]])</f>
        <v>16.786738766167954</v>
      </c>
    </row>
    <row r="373" spans="1:38">
      <c r="A373" s="2" t="s">
        <v>370</v>
      </c>
      <c r="B373">
        <f>'Rådata-K'!M372</f>
        <v>11</v>
      </c>
      <c r="C373" s="9">
        <f>'Rådata-K'!L372</f>
        <v>333.8756979186</v>
      </c>
      <c r="D373" s="51">
        <f>'Rådata-K'!N372</f>
        <v>1.366465568483838</v>
      </c>
      <c r="E373" s="51">
        <f>'Rådata-K'!O372</f>
        <v>-9.4612947034857453E-2</v>
      </c>
      <c r="F373" s="51">
        <f>'Rådata-K'!P372</f>
        <v>9.5000000000000001E-2</v>
      </c>
      <c r="G373" s="51">
        <f>'Rådata-K'!Q372</f>
        <v>0.192</v>
      </c>
      <c r="H373" s="51">
        <f>'Rådata-K'!R372</f>
        <v>-1.5312131919905769E-2</v>
      </c>
      <c r="I373" s="51">
        <f>'Rådata-K'!S372</f>
        <v>0.79752431476569408</v>
      </c>
      <c r="J373" s="52">
        <f>'Rådata-K'!K372</f>
        <v>318400</v>
      </c>
      <c r="K373" s="26">
        <f>Tabell2[[#This Row],[NIBR11]]</f>
        <v>11</v>
      </c>
      <c r="L373" s="52">
        <f>IF(Tabell2[[#This Row],[ReisetidOslo]]&lt;=C$434,C$434,IF(Tabell2[[#This Row],[ReisetidOslo]]&gt;=C$435,C$435,Tabell2[[#This Row],[ReisetidOslo]]))</f>
        <v>279.05557553043002</v>
      </c>
      <c r="M373" s="51">
        <f>IF(Tabell2[[#This Row],[Beftettotal]]&lt;=D$434,D$434,IF(Tabell2[[#This Row],[Beftettotal]]&gt;=D$435,D$435,Tabell2[[#This Row],[Beftettotal]]))</f>
        <v>1.366465568483838</v>
      </c>
      <c r="N373" s="51">
        <f>IF(Tabell2[[#This Row],[Befvekst10]]&lt;=E$434,E$434,IF(Tabell2[[#This Row],[Befvekst10]]&gt;=E$435,E$435,Tabell2[[#This Row],[Befvekst10]]))</f>
        <v>-8.0785862785862778E-2</v>
      </c>
      <c r="O373" s="51">
        <f>IF(Tabell2[[#This Row],[Kvinneandel]]&lt;=F$434,F$434,IF(Tabell2[[#This Row],[Kvinneandel]]&gt;=F$435,F$435,Tabell2[[#This Row],[Kvinneandel]]))</f>
        <v>9.5000000000000001E-2</v>
      </c>
      <c r="P373" s="51">
        <f>IF(Tabell2[[#This Row],[Eldreandel]]&lt;=G$434,G$434,IF(Tabell2[[#This Row],[Eldreandel]]&gt;=G$435,G$435,Tabell2[[#This Row],[Eldreandel]]))</f>
        <v>0.192</v>
      </c>
      <c r="Q373" s="51">
        <f>IF(Tabell2[[#This Row],[Sysselsettingsvekst10]]&lt;=H$434,H$434,IF(Tabell2[[#This Row],[Sysselsettingsvekst10]]&gt;=H$435,H$435,Tabell2[[#This Row],[Sysselsettingsvekst10]]))</f>
        <v>-1.5312131919905769E-2</v>
      </c>
      <c r="R373" s="51">
        <f>IF(Tabell2[[#This Row],[Yrkesaktivandel]]&lt;=I$434,I$434,IF(Tabell2[[#This Row],[Yrkesaktivandel]]&gt;=I$435,I$435,Tabell2[[#This Row],[Yrkesaktivandel]]))</f>
        <v>0.82803562853509294</v>
      </c>
      <c r="S373" s="52">
        <f>IF(Tabell2[[#This Row],[Inntekt]]&lt;=J$434,J$434,IF(Tabell2[[#This Row],[Inntekt]]&gt;=J$435,J$435,Tabell2[[#This Row],[Inntekt]]))</f>
        <v>320470</v>
      </c>
      <c r="T373" s="9">
        <f>IF(Tabell2[[#This Row],[NIBR11-T]]&lt;=K$437,100,IF(Tabell2[[#This Row],[NIBR11-T]]&gt;=K$436,0,100*(K$436-Tabell2[[#This Row],[NIBR11-T]])/K$439))</f>
        <v>0</v>
      </c>
      <c r="U373" s="9">
        <f>(L$436-Tabell2[[#This Row],[ReisetidOslo-T]])*100/L$439</f>
        <v>0</v>
      </c>
      <c r="V373" s="9">
        <f>100-(M$436-Tabell2[[#This Row],[Beftettotal-T]])*100/M$439</f>
        <v>2.1059715708062754E-2</v>
      </c>
      <c r="W373" s="9">
        <f>100-(N$436-Tabell2[[#This Row],[Befvekst10-T]])*100/N$439</f>
        <v>0</v>
      </c>
      <c r="X373" s="9">
        <f>100-(O$436-Tabell2[[#This Row],[Kvinneandel-T]])*100/O$439</f>
        <v>12.547101066283659</v>
      </c>
      <c r="Y373" s="9">
        <f>(P$436-Tabell2[[#This Row],[Eldreandel-T]])*100/P$439</f>
        <v>18.479807278543742</v>
      </c>
      <c r="Z373" s="9">
        <f>100-(Q$436-Tabell2[[#This Row],[Sysselsettingsvekst10-T]])*100/Q$439</f>
        <v>17.133558561180365</v>
      </c>
      <c r="AA373" s="9">
        <f>100-(R$436-Tabell2[[#This Row],[Yrkesaktivandel-T]])*100/R$439</f>
        <v>0</v>
      </c>
      <c r="AB373" s="9">
        <f>100-(S$436-Tabell2[[#This Row],[Inntekt-T]])*100/S$439</f>
        <v>0</v>
      </c>
      <c r="AC373" s="48">
        <f>Tabell2[[#This Row],[NIBR11-I]]*Vekter!$B$3</f>
        <v>0</v>
      </c>
      <c r="AD373" s="48">
        <f>Tabell2[[#This Row],[ReisetidOslo-I]]*Vekter!$C$3</f>
        <v>0</v>
      </c>
      <c r="AE373" s="48">
        <f>Tabell2[[#This Row],[Beftettotal-I]]*Vekter!$D$3</f>
        <v>2.1059715708062754E-3</v>
      </c>
      <c r="AF373" s="48">
        <f>Tabell2[[#This Row],[Befvekst10-I]]*Vekter!$E$3</f>
        <v>0</v>
      </c>
      <c r="AG373" s="48">
        <f>Tabell2[[#This Row],[Kvinneandel-I]]*Vekter!$F$3</f>
        <v>0.62735505331418295</v>
      </c>
      <c r="AH373" s="48">
        <f>Tabell2[[#This Row],[Eldreandel-I]]*Vekter!$G$3</f>
        <v>0.92399036392718714</v>
      </c>
      <c r="AI373" s="48">
        <f>Tabell2[[#This Row],[Sysselsettingsvekst10-I]]*Vekter!$H$3</f>
        <v>1.7133558561180366</v>
      </c>
      <c r="AJ373" s="48">
        <f>Tabell2[[#This Row],[Yrkesaktivandel-I]]*Vekter!$J$3</f>
        <v>0</v>
      </c>
      <c r="AK373" s="48">
        <f>Tabell2[[#This Row],[Inntekt-I]]*Vekter!$L$3</f>
        <v>0</v>
      </c>
      <c r="AL373" s="37">
        <f>SUM(Tabell2[[#This Row],[NIBR11-v]:[Inntekt-v]])</f>
        <v>3.266807244930213</v>
      </c>
    </row>
    <row r="374" spans="1:38">
      <c r="A374" s="2" t="s">
        <v>371</v>
      </c>
      <c r="B374">
        <f>'Rådata-K'!M373</f>
        <v>11</v>
      </c>
      <c r="C374" s="9">
        <f>'Rådata-K'!L373</f>
        <v>258.49374085709997</v>
      </c>
      <c r="D374" s="51">
        <f>'Rådata-K'!N373</f>
        <v>4.261772958216425</v>
      </c>
      <c r="E374" s="51">
        <f>'Rådata-K'!O373</f>
        <v>-5.7837384744341969E-2</v>
      </c>
      <c r="F374" s="51">
        <f>'Rådata-K'!P373</f>
        <v>9.1192170818505336E-2</v>
      </c>
      <c r="G374" s="51">
        <f>'Rådata-K'!Q373</f>
        <v>0.21352313167259787</v>
      </c>
      <c r="H374" s="51">
        <f>'Rådata-K'!R373</f>
        <v>-3.9473684210526327E-2</v>
      </c>
      <c r="I374" s="51">
        <f>'Rådata-K'!S373</f>
        <v>0.81168831168831168</v>
      </c>
      <c r="J374" s="52">
        <f>'Rådata-K'!K373</f>
        <v>327200</v>
      </c>
      <c r="K374" s="26">
        <f>Tabell2[[#This Row],[NIBR11]]</f>
        <v>11</v>
      </c>
      <c r="L374" s="52">
        <f>IF(Tabell2[[#This Row],[ReisetidOslo]]&lt;=C$434,C$434,IF(Tabell2[[#This Row],[ReisetidOslo]]&gt;=C$435,C$435,Tabell2[[#This Row],[ReisetidOslo]]))</f>
        <v>258.49374085709997</v>
      </c>
      <c r="M374" s="51">
        <f>IF(Tabell2[[#This Row],[Beftettotal]]&lt;=D$434,D$434,IF(Tabell2[[#This Row],[Beftettotal]]&gt;=D$435,D$435,Tabell2[[#This Row],[Beftettotal]]))</f>
        <v>4.261772958216425</v>
      </c>
      <c r="N374" s="51">
        <f>IF(Tabell2[[#This Row],[Befvekst10]]&lt;=E$434,E$434,IF(Tabell2[[#This Row],[Befvekst10]]&gt;=E$435,E$435,Tabell2[[#This Row],[Befvekst10]]))</f>
        <v>-5.7837384744341969E-2</v>
      </c>
      <c r="O374" s="51">
        <f>IF(Tabell2[[#This Row],[Kvinneandel]]&lt;=F$434,F$434,IF(Tabell2[[#This Row],[Kvinneandel]]&gt;=F$435,F$435,Tabell2[[#This Row],[Kvinneandel]]))</f>
        <v>9.1192170818505336E-2</v>
      </c>
      <c r="P374" s="51">
        <f>IF(Tabell2[[#This Row],[Eldreandel]]&lt;=G$434,G$434,IF(Tabell2[[#This Row],[Eldreandel]]&gt;=G$435,G$435,Tabell2[[#This Row],[Eldreandel]]))</f>
        <v>0.20830063331569054</v>
      </c>
      <c r="Q374" s="51">
        <f>IF(Tabell2[[#This Row],[Sysselsettingsvekst10]]&lt;=H$434,H$434,IF(Tabell2[[#This Row],[Sysselsettingsvekst10]]&gt;=H$435,H$435,Tabell2[[#This Row],[Sysselsettingsvekst10]]))</f>
        <v>-3.9473684210526327E-2</v>
      </c>
      <c r="R374" s="51">
        <f>IF(Tabell2[[#This Row],[Yrkesaktivandel]]&lt;=I$434,I$434,IF(Tabell2[[#This Row],[Yrkesaktivandel]]&gt;=I$435,I$435,Tabell2[[#This Row],[Yrkesaktivandel]]))</f>
        <v>0.82803562853509294</v>
      </c>
      <c r="S374" s="52">
        <f>IF(Tabell2[[#This Row],[Inntekt]]&lt;=J$434,J$434,IF(Tabell2[[#This Row],[Inntekt]]&gt;=J$435,J$435,Tabell2[[#This Row],[Inntekt]]))</f>
        <v>327200</v>
      </c>
      <c r="T374" s="9">
        <f>IF(Tabell2[[#This Row],[NIBR11-T]]&lt;=K$437,100,IF(Tabell2[[#This Row],[NIBR11-T]]&gt;=K$436,0,100*(K$436-Tabell2[[#This Row],[NIBR11-T]])/K$439))</f>
        <v>0</v>
      </c>
      <c r="U374" s="9">
        <f>(L$436-Tabell2[[#This Row],[ReisetidOslo-T]])*100/L$439</f>
        <v>9.128438672764652</v>
      </c>
      <c r="V374" s="9">
        <f>100-(M$436-Tabell2[[#This Row],[Beftettotal-T]])*100/M$439</f>
        <v>2.3015833847940428</v>
      </c>
      <c r="W374" s="9">
        <f>100-(N$436-Tabell2[[#This Row],[Befvekst10-T]])*100/N$439</f>
        <v>9.2862330823811448</v>
      </c>
      <c r="X374" s="9">
        <f>100-(O$436-Tabell2[[#This Row],[Kvinneandel-T]])*100/O$439</f>
        <v>2.4613123426093892</v>
      </c>
      <c r="Y374" s="9">
        <f>(P$436-Tabell2[[#This Row],[Eldreandel-T]])*100/P$439</f>
        <v>0</v>
      </c>
      <c r="Z374" s="9">
        <f>100-(Q$436-Tabell2[[#This Row],[Sysselsettingsvekst10-T]])*100/Q$439</f>
        <v>9.3783969056185299</v>
      </c>
      <c r="AA374" s="9">
        <f>100-(R$436-Tabell2[[#This Row],[Yrkesaktivandel-T]])*100/R$439</f>
        <v>0</v>
      </c>
      <c r="AB374" s="9">
        <f>100-(S$436-Tabell2[[#This Row],[Inntekt-T]])*100/S$439</f>
        <v>8.4622155161574284</v>
      </c>
      <c r="AC374" s="48">
        <f>Tabell2[[#This Row],[NIBR11-I]]*Vekter!$B$3</f>
        <v>0</v>
      </c>
      <c r="AD374" s="48">
        <f>Tabell2[[#This Row],[ReisetidOslo-I]]*Vekter!$C$3</f>
        <v>0.91284386727646527</v>
      </c>
      <c r="AE374" s="48">
        <f>Tabell2[[#This Row],[Beftettotal-I]]*Vekter!$D$3</f>
        <v>0.23015833847940428</v>
      </c>
      <c r="AF374" s="48">
        <f>Tabell2[[#This Row],[Befvekst10-I]]*Vekter!$E$3</f>
        <v>1.8572466164762291</v>
      </c>
      <c r="AG374" s="48">
        <f>Tabell2[[#This Row],[Kvinneandel-I]]*Vekter!$F$3</f>
        <v>0.12306561713046947</v>
      </c>
      <c r="AH374" s="48">
        <f>Tabell2[[#This Row],[Eldreandel-I]]*Vekter!$G$3</f>
        <v>0</v>
      </c>
      <c r="AI374" s="48">
        <f>Tabell2[[#This Row],[Sysselsettingsvekst10-I]]*Vekter!$H$3</f>
        <v>0.93783969056185301</v>
      </c>
      <c r="AJ374" s="48">
        <f>Tabell2[[#This Row],[Yrkesaktivandel-I]]*Vekter!$J$3</f>
        <v>0</v>
      </c>
      <c r="AK374" s="48">
        <f>Tabell2[[#This Row],[Inntekt-I]]*Vekter!$L$3</f>
        <v>0.84622155161574286</v>
      </c>
      <c r="AL374" s="37">
        <f>SUM(Tabell2[[#This Row],[NIBR11-v]:[Inntekt-v]])</f>
        <v>4.9073756815401639</v>
      </c>
    </row>
    <row r="375" spans="1:38">
      <c r="A375" s="2" t="s">
        <v>372</v>
      </c>
      <c r="B375">
        <f>'Rådata-K'!M374</f>
        <v>5</v>
      </c>
      <c r="C375" s="9">
        <f>'Rådata-K'!L374</f>
        <v>223.53373469069999</v>
      </c>
      <c r="D375" s="51">
        <f>'Rådata-K'!N374</f>
        <v>3.9339743790522133</v>
      </c>
      <c r="E375" s="51">
        <f>'Rådata-K'!O374</f>
        <v>-0.13259668508287292</v>
      </c>
      <c r="F375" s="51">
        <f>'Rådata-K'!P374</f>
        <v>7.9617834394904455E-2</v>
      </c>
      <c r="G375" s="51">
        <f>'Rådata-K'!Q374</f>
        <v>0.23964968152866242</v>
      </c>
      <c r="H375" s="51">
        <f>'Rådata-K'!R374</f>
        <v>-5.1233396584440261E-2</v>
      </c>
      <c r="I375" s="51">
        <f>'Rådata-K'!S374</f>
        <v>0.86425339366515841</v>
      </c>
      <c r="J375" s="52">
        <f>'Rådata-K'!K374</f>
        <v>331100</v>
      </c>
      <c r="K375" s="26">
        <f>Tabell2[[#This Row],[NIBR11]]</f>
        <v>5</v>
      </c>
      <c r="L375" s="52">
        <f>IF(Tabell2[[#This Row],[ReisetidOslo]]&lt;=C$434,C$434,IF(Tabell2[[#This Row],[ReisetidOslo]]&gt;=C$435,C$435,Tabell2[[#This Row],[ReisetidOslo]]))</f>
        <v>223.53373469069999</v>
      </c>
      <c r="M375" s="51">
        <f>IF(Tabell2[[#This Row],[Beftettotal]]&lt;=D$434,D$434,IF(Tabell2[[#This Row],[Beftettotal]]&gt;=D$435,D$435,Tabell2[[#This Row],[Beftettotal]]))</f>
        <v>3.9339743790522133</v>
      </c>
      <c r="N375" s="51">
        <f>IF(Tabell2[[#This Row],[Befvekst10]]&lt;=E$434,E$434,IF(Tabell2[[#This Row],[Befvekst10]]&gt;=E$435,E$435,Tabell2[[#This Row],[Befvekst10]]))</f>
        <v>-8.0785862785862778E-2</v>
      </c>
      <c r="O375" s="51">
        <f>IF(Tabell2[[#This Row],[Kvinneandel]]&lt;=F$434,F$434,IF(Tabell2[[#This Row],[Kvinneandel]]&gt;=F$435,F$435,Tabell2[[#This Row],[Kvinneandel]]))</f>
        <v>9.0262917071501733E-2</v>
      </c>
      <c r="P375" s="51">
        <f>IF(Tabell2[[#This Row],[Eldreandel]]&lt;=G$434,G$434,IF(Tabell2[[#This Row],[Eldreandel]]&gt;=G$435,G$435,Tabell2[[#This Row],[Eldreandel]]))</f>
        <v>0.20830063331569054</v>
      </c>
      <c r="Q375" s="51">
        <f>IF(Tabell2[[#This Row],[Sysselsettingsvekst10]]&lt;=H$434,H$434,IF(Tabell2[[#This Row],[Sysselsettingsvekst10]]&gt;=H$435,H$435,Tabell2[[#This Row],[Sysselsettingsvekst10]]))</f>
        <v>-5.1233396584440261E-2</v>
      </c>
      <c r="R375" s="51">
        <f>IF(Tabell2[[#This Row],[Yrkesaktivandel]]&lt;=I$434,I$434,IF(Tabell2[[#This Row],[Yrkesaktivandel]]&gt;=I$435,I$435,Tabell2[[#This Row],[Yrkesaktivandel]]))</f>
        <v>0.86425339366515841</v>
      </c>
      <c r="S375" s="52">
        <f>IF(Tabell2[[#This Row],[Inntekt]]&lt;=J$434,J$434,IF(Tabell2[[#This Row],[Inntekt]]&gt;=J$435,J$435,Tabell2[[#This Row],[Inntekt]]))</f>
        <v>331100</v>
      </c>
      <c r="T375" s="9">
        <f>IF(Tabell2[[#This Row],[NIBR11-T]]&lt;=K$437,100,IF(Tabell2[[#This Row],[NIBR11-T]]&gt;=K$436,0,100*(K$436-Tabell2[[#This Row],[NIBR11-T]])/K$439))</f>
        <v>60</v>
      </c>
      <c r="U375" s="9">
        <f>(L$436-Tabell2[[#This Row],[ReisetidOslo-T]])*100/L$439</f>
        <v>24.648954101448044</v>
      </c>
      <c r="V375" s="9">
        <f>100-(M$436-Tabell2[[#This Row],[Beftettotal-T]])*100/M$439</f>
        <v>2.0433888935535833</v>
      </c>
      <c r="W375" s="9">
        <f>100-(N$436-Tabell2[[#This Row],[Befvekst10-T]])*100/N$439</f>
        <v>0</v>
      </c>
      <c r="X375" s="9">
        <f>100-(O$436-Tabell2[[#This Row],[Kvinneandel-T]])*100/O$439</f>
        <v>0</v>
      </c>
      <c r="Y375" s="9">
        <f>(P$436-Tabell2[[#This Row],[Eldreandel-T]])*100/P$439</f>
        <v>0</v>
      </c>
      <c r="Z375" s="9">
        <f>100-(Q$436-Tabell2[[#This Row],[Sysselsettingsvekst10-T]])*100/Q$439</f>
        <v>5.6038682914940097</v>
      </c>
      <c r="AA375" s="9">
        <f>100-(R$436-Tabell2[[#This Row],[Yrkesaktivandel-T]])*100/R$439</f>
        <v>26.999465231460164</v>
      </c>
      <c r="AB375" s="9">
        <f>100-(S$436-Tabell2[[#This Row],[Inntekt-T]])*100/S$439</f>
        <v>13.366025399220419</v>
      </c>
      <c r="AC375" s="48">
        <f>Tabell2[[#This Row],[NIBR11-I]]*Vekter!$B$3</f>
        <v>12</v>
      </c>
      <c r="AD375" s="48">
        <f>Tabell2[[#This Row],[ReisetidOslo-I]]*Vekter!$C$3</f>
        <v>2.4648954101448046</v>
      </c>
      <c r="AE375" s="48">
        <f>Tabell2[[#This Row],[Beftettotal-I]]*Vekter!$D$3</f>
        <v>0.20433888935535835</v>
      </c>
      <c r="AF375" s="48">
        <f>Tabell2[[#This Row],[Befvekst10-I]]*Vekter!$E$3</f>
        <v>0</v>
      </c>
      <c r="AG375" s="48">
        <f>Tabell2[[#This Row],[Kvinneandel-I]]*Vekter!$F$3</f>
        <v>0</v>
      </c>
      <c r="AH375" s="48">
        <f>Tabell2[[#This Row],[Eldreandel-I]]*Vekter!$G$3</f>
        <v>0</v>
      </c>
      <c r="AI375" s="48">
        <f>Tabell2[[#This Row],[Sysselsettingsvekst10-I]]*Vekter!$H$3</f>
        <v>0.56038682914940097</v>
      </c>
      <c r="AJ375" s="48">
        <f>Tabell2[[#This Row],[Yrkesaktivandel-I]]*Vekter!$J$3</f>
        <v>2.6999465231460165</v>
      </c>
      <c r="AK375" s="48">
        <f>Tabell2[[#This Row],[Inntekt-I]]*Vekter!$L$3</f>
        <v>1.336602539922042</v>
      </c>
      <c r="AL375" s="37">
        <f>SUM(Tabell2[[#This Row],[NIBR11-v]:[Inntekt-v]])</f>
        <v>19.266170191717624</v>
      </c>
    </row>
    <row r="376" spans="1:38">
      <c r="A376" s="2" t="s">
        <v>373</v>
      </c>
      <c r="B376">
        <f>'Rådata-K'!M375</f>
        <v>5</v>
      </c>
      <c r="C376" s="9">
        <f>'Rådata-K'!L375</f>
        <v>210.87046246760002</v>
      </c>
      <c r="D376" s="51">
        <f>'Rådata-K'!N375</f>
        <v>5.5030264667484268</v>
      </c>
      <c r="E376" s="51">
        <f>'Rådata-K'!O375</f>
        <v>-3.6703601108033279E-2</v>
      </c>
      <c r="F376" s="51">
        <f>'Rådata-K'!P375</f>
        <v>9.4895758447160319E-2</v>
      </c>
      <c r="G376" s="51">
        <f>'Rådata-K'!Q375</f>
        <v>0.2113587347232207</v>
      </c>
      <c r="H376" s="51">
        <f>'Rådata-K'!R375</f>
        <v>-6.7278287461773667E-2</v>
      </c>
      <c r="I376" s="51">
        <f>'Rådata-K'!S375</f>
        <v>0.79889807162534432</v>
      </c>
      <c r="J376" s="52">
        <f>'Rådata-K'!K375</f>
        <v>328000</v>
      </c>
      <c r="K376" s="26">
        <f>Tabell2[[#This Row],[NIBR11]]</f>
        <v>5</v>
      </c>
      <c r="L376" s="52">
        <f>IF(Tabell2[[#This Row],[ReisetidOslo]]&lt;=C$434,C$434,IF(Tabell2[[#This Row],[ReisetidOslo]]&gt;=C$435,C$435,Tabell2[[#This Row],[ReisetidOslo]]))</f>
        <v>210.87046246760002</v>
      </c>
      <c r="M376" s="51">
        <f>IF(Tabell2[[#This Row],[Beftettotal]]&lt;=D$434,D$434,IF(Tabell2[[#This Row],[Beftettotal]]&gt;=D$435,D$435,Tabell2[[#This Row],[Beftettotal]]))</f>
        <v>5.5030264667484268</v>
      </c>
      <c r="N376" s="51">
        <f>IF(Tabell2[[#This Row],[Befvekst10]]&lt;=E$434,E$434,IF(Tabell2[[#This Row],[Befvekst10]]&gt;=E$435,E$435,Tabell2[[#This Row],[Befvekst10]]))</f>
        <v>-3.6703601108033279E-2</v>
      </c>
      <c r="O376" s="51">
        <f>IF(Tabell2[[#This Row],[Kvinneandel]]&lt;=F$434,F$434,IF(Tabell2[[#This Row],[Kvinneandel]]&gt;=F$435,F$435,Tabell2[[#This Row],[Kvinneandel]]))</f>
        <v>9.4895758447160319E-2</v>
      </c>
      <c r="P376" s="51">
        <f>IF(Tabell2[[#This Row],[Eldreandel]]&lt;=G$434,G$434,IF(Tabell2[[#This Row],[Eldreandel]]&gt;=G$435,G$435,Tabell2[[#This Row],[Eldreandel]]))</f>
        <v>0.20830063331569054</v>
      </c>
      <c r="Q376" s="51">
        <f>IF(Tabell2[[#This Row],[Sysselsettingsvekst10]]&lt;=H$434,H$434,IF(Tabell2[[#This Row],[Sysselsettingsvekst10]]&gt;=H$435,H$435,Tabell2[[#This Row],[Sysselsettingsvekst10]]))</f>
        <v>-6.7278287461773667E-2</v>
      </c>
      <c r="R376" s="51">
        <f>IF(Tabell2[[#This Row],[Yrkesaktivandel]]&lt;=I$434,I$434,IF(Tabell2[[#This Row],[Yrkesaktivandel]]&gt;=I$435,I$435,Tabell2[[#This Row],[Yrkesaktivandel]]))</f>
        <v>0.82803562853509294</v>
      </c>
      <c r="S376" s="52">
        <f>IF(Tabell2[[#This Row],[Inntekt]]&lt;=J$434,J$434,IF(Tabell2[[#This Row],[Inntekt]]&gt;=J$435,J$435,Tabell2[[#This Row],[Inntekt]]))</f>
        <v>328000</v>
      </c>
      <c r="T376" s="9">
        <f>IF(Tabell2[[#This Row],[NIBR11-T]]&lt;=K$437,100,IF(Tabell2[[#This Row],[NIBR11-T]]&gt;=K$436,0,100*(K$436-Tabell2[[#This Row],[NIBR11-T]])/K$439))</f>
        <v>60</v>
      </c>
      <c r="U376" s="9">
        <f>(L$436-Tabell2[[#This Row],[ReisetidOslo-T]])*100/L$439</f>
        <v>30.270821299661975</v>
      </c>
      <c r="V376" s="9">
        <f>100-(M$436-Tabell2[[#This Row],[Beftettotal-T]])*100/M$439</f>
        <v>3.2792716315002792</v>
      </c>
      <c r="W376" s="9">
        <f>100-(N$436-Tabell2[[#This Row],[Befvekst10-T]])*100/N$439</f>
        <v>17.838139679598299</v>
      </c>
      <c r="X376" s="9">
        <f>100-(O$436-Tabell2[[#This Row],[Kvinneandel-T]])*100/O$439</f>
        <v>12.270996696035596</v>
      </c>
      <c r="Y376" s="9">
        <f>(P$436-Tabell2[[#This Row],[Eldreandel-T]])*100/P$439</f>
        <v>0</v>
      </c>
      <c r="Z376" s="9">
        <f>100-(Q$436-Tabell2[[#This Row],[Sysselsettingsvekst10-T]])*100/Q$439</f>
        <v>0.45392092872157264</v>
      </c>
      <c r="AA376" s="9">
        <f>100-(R$436-Tabell2[[#This Row],[Yrkesaktivandel-T]])*100/R$439</f>
        <v>0</v>
      </c>
      <c r="AB376" s="9">
        <f>100-(S$436-Tabell2[[#This Row],[Inntekt-T]])*100/S$439</f>
        <v>9.468125235760084</v>
      </c>
      <c r="AC376" s="48">
        <f>Tabell2[[#This Row],[NIBR11-I]]*Vekter!$B$3</f>
        <v>12</v>
      </c>
      <c r="AD376" s="48">
        <f>Tabell2[[#This Row],[ReisetidOslo-I]]*Vekter!$C$3</f>
        <v>3.0270821299661979</v>
      </c>
      <c r="AE376" s="48">
        <f>Tabell2[[#This Row],[Beftettotal-I]]*Vekter!$D$3</f>
        <v>0.32792716315002796</v>
      </c>
      <c r="AF376" s="48">
        <f>Tabell2[[#This Row],[Befvekst10-I]]*Vekter!$E$3</f>
        <v>3.5676279359196599</v>
      </c>
      <c r="AG376" s="48">
        <f>Tabell2[[#This Row],[Kvinneandel-I]]*Vekter!$F$3</f>
        <v>0.61354983480177983</v>
      </c>
      <c r="AH376" s="48">
        <f>Tabell2[[#This Row],[Eldreandel-I]]*Vekter!$G$3</f>
        <v>0</v>
      </c>
      <c r="AI376" s="48">
        <f>Tabell2[[#This Row],[Sysselsettingsvekst10-I]]*Vekter!$H$3</f>
        <v>4.5392092872157265E-2</v>
      </c>
      <c r="AJ376" s="48">
        <f>Tabell2[[#This Row],[Yrkesaktivandel-I]]*Vekter!$J$3</f>
        <v>0</v>
      </c>
      <c r="AK376" s="48">
        <f>Tabell2[[#This Row],[Inntekt-I]]*Vekter!$L$3</f>
        <v>0.94681252357600842</v>
      </c>
      <c r="AL376" s="37">
        <f>SUM(Tabell2[[#This Row],[NIBR11-v]:[Inntekt-v]])</f>
        <v>20.528391680285829</v>
      </c>
    </row>
    <row r="377" spans="1:38">
      <c r="A377" s="2" t="s">
        <v>374</v>
      </c>
      <c r="B377">
        <f>'Rådata-K'!M376</f>
        <v>5</v>
      </c>
      <c r="C377" s="9">
        <f>'Rådata-K'!L376</f>
        <v>292.82049093099999</v>
      </c>
      <c r="D377" s="51">
        <f>'Rådata-K'!N376</f>
        <v>2.7794464707144391</v>
      </c>
      <c r="E377" s="51">
        <f>'Rådata-K'!O376</f>
        <v>-3.7875974749350116E-2</v>
      </c>
      <c r="F377" s="51">
        <f>'Rådata-K'!P376</f>
        <v>9.7259745272095716E-2</v>
      </c>
      <c r="G377" s="51">
        <f>'Rådata-K'!Q376</f>
        <v>0.19451949054419143</v>
      </c>
      <c r="H377" s="51">
        <f>'Rådata-K'!R376</f>
        <v>-7.420091324200917E-2</v>
      </c>
      <c r="I377" s="51">
        <f>'Rådata-K'!S376</f>
        <v>0.78802816901408446</v>
      </c>
      <c r="J377" s="52">
        <f>'Rådata-K'!K376</f>
        <v>320800</v>
      </c>
      <c r="K377" s="26">
        <f>Tabell2[[#This Row],[NIBR11]]</f>
        <v>5</v>
      </c>
      <c r="L377" s="52">
        <f>IF(Tabell2[[#This Row],[ReisetidOslo]]&lt;=C$434,C$434,IF(Tabell2[[#This Row],[ReisetidOslo]]&gt;=C$435,C$435,Tabell2[[#This Row],[ReisetidOslo]]))</f>
        <v>279.05557553043002</v>
      </c>
      <c r="M377" s="51">
        <f>IF(Tabell2[[#This Row],[Beftettotal]]&lt;=D$434,D$434,IF(Tabell2[[#This Row],[Beftettotal]]&gt;=D$435,D$435,Tabell2[[#This Row],[Beftettotal]]))</f>
        <v>2.7794464707144391</v>
      </c>
      <c r="N377" s="51">
        <f>IF(Tabell2[[#This Row],[Befvekst10]]&lt;=E$434,E$434,IF(Tabell2[[#This Row],[Befvekst10]]&gt;=E$435,E$435,Tabell2[[#This Row],[Befvekst10]]))</f>
        <v>-3.7875974749350116E-2</v>
      </c>
      <c r="O377" s="51">
        <f>IF(Tabell2[[#This Row],[Kvinneandel]]&lt;=F$434,F$434,IF(Tabell2[[#This Row],[Kvinneandel]]&gt;=F$435,F$435,Tabell2[[#This Row],[Kvinneandel]]))</f>
        <v>9.7259745272095716E-2</v>
      </c>
      <c r="P377" s="51">
        <f>IF(Tabell2[[#This Row],[Eldreandel]]&lt;=G$434,G$434,IF(Tabell2[[#This Row],[Eldreandel]]&gt;=G$435,G$435,Tabell2[[#This Row],[Eldreandel]]))</f>
        <v>0.19451949054419143</v>
      </c>
      <c r="Q377" s="51">
        <f>IF(Tabell2[[#This Row],[Sysselsettingsvekst10]]&lt;=H$434,H$434,IF(Tabell2[[#This Row],[Sysselsettingsvekst10]]&gt;=H$435,H$435,Tabell2[[#This Row],[Sysselsettingsvekst10]]))</f>
        <v>-6.8692498376029434E-2</v>
      </c>
      <c r="R377" s="51">
        <f>IF(Tabell2[[#This Row],[Yrkesaktivandel]]&lt;=I$434,I$434,IF(Tabell2[[#This Row],[Yrkesaktivandel]]&gt;=I$435,I$435,Tabell2[[#This Row],[Yrkesaktivandel]]))</f>
        <v>0.82803562853509294</v>
      </c>
      <c r="S377" s="52">
        <f>IF(Tabell2[[#This Row],[Inntekt]]&lt;=J$434,J$434,IF(Tabell2[[#This Row],[Inntekt]]&gt;=J$435,J$435,Tabell2[[#This Row],[Inntekt]]))</f>
        <v>320800</v>
      </c>
      <c r="T377" s="9">
        <f>IF(Tabell2[[#This Row],[NIBR11-T]]&lt;=K$437,100,IF(Tabell2[[#This Row],[NIBR11-T]]&gt;=K$436,0,100*(K$436-Tabell2[[#This Row],[NIBR11-T]])/K$439))</f>
        <v>60</v>
      </c>
      <c r="U377" s="9">
        <f>(L$436-Tabell2[[#This Row],[ReisetidOslo-T]])*100/L$439</f>
        <v>0</v>
      </c>
      <c r="V377" s="9">
        <f>100-(M$436-Tabell2[[#This Row],[Beftettotal-T]])*100/M$439</f>
        <v>1.1340111083409994</v>
      </c>
      <c r="W377" s="9">
        <f>100-(N$436-Tabell2[[#This Row],[Befvekst10-T]])*100/N$439</f>
        <v>17.363731970589868</v>
      </c>
      <c r="X377" s="9">
        <f>100-(O$436-Tabell2[[#This Row],[Kvinneandel-T]])*100/O$439</f>
        <v>18.532483366109673</v>
      </c>
      <c r="Y377" s="9">
        <f>(P$436-Tabell2[[#This Row],[Eldreandel-T]])*100/P$439</f>
        <v>15.623494962631833</v>
      </c>
      <c r="Z377" s="9">
        <f>100-(Q$436-Tabell2[[#This Row],[Sysselsettingsvekst10-T]])*100/Q$439</f>
        <v>0</v>
      </c>
      <c r="AA377" s="9">
        <f>100-(R$436-Tabell2[[#This Row],[Yrkesaktivandel-T]])*100/R$439</f>
        <v>0</v>
      </c>
      <c r="AB377" s="9">
        <f>100-(S$436-Tabell2[[#This Row],[Inntekt-T]])*100/S$439</f>
        <v>0.41493775933609811</v>
      </c>
      <c r="AC377" s="48">
        <f>Tabell2[[#This Row],[NIBR11-I]]*Vekter!$B$3</f>
        <v>12</v>
      </c>
      <c r="AD377" s="48">
        <f>Tabell2[[#This Row],[ReisetidOslo-I]]*Vekter!$C$3</f>
        <v>0</v>
      </c>
      <c r="AE377" s="48">
        <f>Tabell2[[#This Row],[Beftettotal-I]]*Vekter!$D$3</f>
        <v>0.11340111083409994</v>
      </c>
      <c r="AF377" s="48">
        <f>Tabell2[[#This Row],[Befvekst10-I]]*Vekter!$E$3</f>
        <v>3.4727463941179737</v>
      </c>
      <c r="AG377" s="48">
        <f>Tabell2[[#This Row],[Kvinneandel-I]]*Vekter!$F$3</f>
        <v>0.92662416830548366</v>
      </c>
      <c r="AH377" s="48">
        <f>Tabell2[[#This Row],[Eldreandel-I]]*Vekter!$G$3</f>
        <v>0.78117474813159171</v>
      </c>
      <c r="AI377" s="48">
        <f>Tabell2[[#This Row],[Sysselsettingsvekst10-I]]*Vekter!$H$3</f>
        <v>0</v>
      </c>
      <c r="AJ377" s="48">
        <f>Tabell2[[#This Row],[Yrkesaktivandel-I]]*Vekter!$J$3</f>
        <v>0</v>
      </c>
      <c r="AK377" s="48">
        <f>Tabell2[[#This Row],[Inntekt-I]]*Vekter!$L$3</f>
        <v>4.1493775933609811E-2</v>
      </c>
      <c r="AL377" s="37">
        <f>SUM(Tabell2[[#This Row],[NIBR11-v]:[Inntekt-v]])</f>
        <v>17.335440197322757</v>
      </c>
    </row>
    <row r="378" spans="1:38">
      <c r="A378" s="2" t="s">
        <v>375</v>
      </c>
      <c r="B378">
        <f>'Rådata-K'!M377</f>
        <v>11</v>
      </c>
      <c r="C378" s="9">
        <f>'Rådata-K'!L377</f>
        <v>241.53038907685001</v>
      </c>
      <c r="D378" s="51">
        <f>'Rådata-K'!N377</f>
        <v>55.873642645607106</v>
      </c>
      <c r="E378" s="51">
        <f>'Rådata-K'!O377</f>
        <v>-8.2658022690437649E-2</v>
      </c>
      <c r="F378" s="51">
        <f>'Rådata-K'!P377</f>
        <v>9.7173144876325085E-2</v>
      </c>
      <c r="G378" s="51">
        <f>'Rådata-K'!Q377</f>
        <v>0.16607773851590105</v>
      </c>
      <c r="H378" s="51">
        <f>'Rådata-K'!R377</f>
        <v>-0.112540192926045</v>
      </c>
      <c r="I378" s="51">
        <f>'Rådata-K'!S377</f>
        <v>0.88323353293413176</v>
      </c>
      <c r="J378" s="52">
        <f>'Rådata-K'!K377</f>
        <v>359800</v>
      </c>
      <c r="K378" s="26">
        <f>Tabell2[[#This Row],[NIBR11]]</f>
        <v>11</v>
      </c>
      <c r="L378" s="52">
        <f>IF(Tabell2[[#This Row],[ReisetidOslo]]&lt;=C$434,C$434,IF(Tabell2[[#This Row],[ReisetidOslo]]&gt;=C$435,C$435,Tabell2[[#This Row],[ReisetidOslo]]))</f>
        <v>241.53038907685001</v>
      </c>
      <c r="M378" s="51">
        <f>IF(Tabell2[[#This Row],[Beftettotal]]&lt;=D$434,D$434,IF(Tabell2[[#This Row],[Beftettotal]]&gt;=D$435,D$435,Tabell2[[#This Row],[Beftettotal]]))</f>
        <v>55.873642645607106</v>
      </c>
      <c r="N378" s="51">
        <f>IF(Tabell2[[#This Row],[Befvekst10]]&lt;=E$434,E$434,IF(Tabell2[[#This Row],[Befvekst10]]&gt;=E$435,E$435,Tabell2[[#This Row],[Befvekst10]]))</f>
        <v>-8.0785862785862778E-2</v>
      </c>
      <c r="O378" s="51">
        <f>IF(Tabell2[[#This Row],[Kvinneandel]]&lt;=F$434,F$434,IF(Tabell2[[#This Row],[Kvinneandel]]&gt;=F$435,F$435,Tabell2[[#This Row],[Kvinneandel]]))</f>
        <v>9.7173144876325085E-2</v>
      </c>
      <c r="P378" s="51">
        <f>IF(Tabell2[[#This Row],[Eldreandel]]&lt;=G$434,G$434,IF(Tabell2[[#This Row],[Eldreandel]]&gt;=G$435,G$435,Tabell2[[#This Row],[Eldreandel]]))</f>
        <v>0.16607773851590105</v>
      </c>
      <c r="Q378" s="51">
        <f>IF(Tabell2[[#This Row],[Sysselsettingsvekst10]]&lt;=H$434,H$434,IF(Tabell2[[#This Row],[Sysselsettingsvekst10]]&gt;=H$435,H$435,Tabell2[[#This Row],[Sysselsettingsvekst10]]))</f>
        <v>-6.8692498376029434E-2</v>
      </c>
      <c r="R378" s="51">
        <f>IF(Tabell2[[#This Row],[Yrkesaktivandel]]&lt;=I$434,I$434,IF(Tabell2[[#This Row],[Yrkesaktivandel]]&gt;=I$435,I$435,Tabell2[[#This Row],[Yrkesaktivandel]]))</f>
        <v>0.88323353293413176</v>
      </c>
      <c r="S378" s="52">
        <f>IF(Tabell2[[#This Row],[Inntekt]]&lt;=J$434,J$434,IF(Tabell2[[#This Row],[Inntekt]]&gt;=J$435,J$435,Tabell2[[#This Row],[Inntekt]]))</f>
        <v>359800</v>
      </c>
      <c r="T378" s="9">
        <f>IF(Tabell2[[#This Row],[NIBR11-T]]&lt;=K$437,100,IF(Tabell2[[#This Row],[NIBR11-T]]&gt;=K$436,0,100*(K$436-Tabell2[[#This Row],[NIBR11-T]])/K$439))</f>
        <v>0</v>
      </c>
      <c r="U378" s="9">
        <f>(L$436-Tabell2[[#This Row],[ReisetidOslo-T]])*100/L$439</f>
        <v>16.659328735381155</v>
      </c>
      <c r="V378" s="9">
        <f>100-(M$436-Tabell2[[#This Row],[Beftettotal-T]])*100/M$439</f>
        <v>42.954292953827803</v>
      </c>
      <c r="W378" s="9">
        <f>100-(N$436-Tabell2[[#This Row],[Befvekst10-T]])*100/N$439</f>
        <v>0</v>
      </c>
      <c r="X378" s="9">
        <f>100-(O$436-Tabell2[[#This Row],[Kvinneandel-T]])*100/O$439</f>
        <v>18.303105089538377</v>
      </c>
      <c r="Y378" s="9">
        <f>(P$436-Tabell2[[#This Row],[Eldreandel-T]])*100/P$439</f>
        <v>47.86752413424756</v>
      </c>
      <c r="Z378" s="9">
        <f>100-(Q$436-Tabell2[[#This Row],[Sysselsettingsvekst10-T]])*100/Q$439</f>
        <v>0</v>
      </c>
      <c r="AA378" s="9">
        <f>100-(R$436-Tabell2[[#This Row],[Yrkesaktivandel-T]])*100/R$439</f>
        <v>41.148698582568123</v>
      </c>
      <c r="AB378" s="9">
        <f>100-(S$436-Tabell2[[#This Row],[Inntekt-T]])*100/S$439</f>
        <v>49.453036589966054</v>
      </c>
      <c r="AC378" s="48">
        <f>Tabell2[[#This Row],[NIBR11-I]]*Vekter!$B$3</f>
        <v>0</v>
      </c>
      <c r="AD378" s="48">
        <f>Tabell2[[#This Row],[ReisetidOslo-I]]*Vekter!$C$3</f>
        <v>1.6659328735381156</v>
      </c>
      <c r="AE378" s="48">
        <f>Tabell2[[#This Row],[Beftettotal-I]]*Vekter!$D$3</f>
        <v>4.2954292953827808</v>
      </c>
      <c r="AF378" s="48">
        <f>Tabell2[[#This Row],[Befvekst10-I]]*Vekter!$E$3</f>
        <v>0</v>
      </c>
      <c r="AG378" s="48">
        <f>Tabell2[[#This Row],[Kvinneandel-I]]*Vekter!$F$3</f>
        <v>0.91515525447691892</v>
      </c>
      <c r="AH378" s="48">
        <f>Tabell2[[#This Row],[Eldreandel-I]]*Vekter!$G$3</f>
        <v>2.3933762067123783</v>
      </c>
      <c r="AI378" s="48">
        <f>Tabell2[[#This Row],[Sysselsettingsvekst10-I]]*Vekter!$H$3</f>
        <v>0</v>
      </c>
      <c r="AJ378" s="48">
        <f>Tabell2[[#This Row],[Yrkesaktivandel-I]]*Vekter!$J$3</f>
        <v>4.1148698582568128</v>
      </c>
      <c r="AK378" s="48">
        <f>Tabell2[[#This Row],[Inntekt-I]]*Vekter!$L$3</f>
        <v>4.9453036589966057</v>
      </c>
      <c r="AL378" s="37">
        <f>SUM(Tabell2[[#This Row],[NIBR11-v]:[Inntekt-v]])</f>
        <v>18.330067147363614</v>
      </c>
    </row>
    <row r="379" spans="1:38">
      <c r="A379" s="2" t="s">
        <v>376</v>
      </c>
      <c r="B379">
        <f>'Rådata-K'!M378</f>
        <v>11</v>
      </c>
      <c r="C379" s="9">
        <f>'Rådata-K'!L378</f>
        <v>248.39309006892</v>
      </c>
      <c r="D379" s="51">
        <f>'Rådata-K'!N378</f>
        <v>41.684549356223172</v>
      </c>
      <c r="E379" s="51">
        <f>'Rådata-K'!O378</f>
        <v>2.3715415019762931E-2</v>
      </c>
      <c r="F379" s="51">
        <f>'Rådata-K'!P378</f>
        <v>0.11068211068211069</v>
      </c>
      <c r="G379" s="51">
        <f>'Rådata-K'!Q378</f>
        <v>0.16602316602316602</v>
      </c>
      <c r="H379" s="51">
        <f>'Rådata-K'!R378</f>
        <v>4.3126684636118684E-2</v>
      </c>
      <c r="I379" s="51">
        <f>'Rådata-K'!S378</f>
        <v>0.93577981651376152</v>
      </c>
      <c r="J379" s="52">
        <f>'Rådata-K'!K378</f>
        <v>347700</v>
      </c>
      <c r="K379" s="26">
        <f>Tabell2[[#This Row],[NIBR11]]</f>
        <v>11</v>
      </c>
      <c r="L379" s="52">
        <f>IF(Tabell2[[#This Row],[ReisetidOslo]]&lt;=C$434,C$434,IF(Tabell2[[#This Row],[ReisetidOslo]]&gt;=C$435,C$435,Tabell2[[#This Row],[ReisetidOslo]]))</f>
        <v>248.39309006892</v>
      </c>
      <c r="M379" s="51">
        <f>IF(Tabell2[[#This Row],[Beftettotal]]&lt;=D$434,D$434,IF(Tabell2[[#This Row],[Beftettotal]]&gt;=D$435,D$435,Tabell2[[#This Row],[Beftettotal]]))</f>
        <v>41.684549356223172</v>
      </c>
      <c r="N379" s="51">
        <f>IF(Tabell2[[#This Row],[Befvekst10]]&lt;=E$434,E$434,IF(Tabell2[[#This Row],[Befvekst10]]&gt;=E$435,E$435,Tabell2[[#This Row],[Befvekst10]]))</f>
        <v>2.3715415019762931E-2</v>
      </c>
      <c r="O379" s="51">
        <f>IF(Tabell2[[#This Row],[Kvinneandel]]&lt;=F$434,F$434,IF(Tabell2[[#This Row],[Kvinneandel]]&gt;=F$435,F$435,Tabell2[[#This Row],[Kvinneandel]]))</f>
        <v>0.11068211068211069</v>
      </c>
      <c r="P379" s="51">
        <f>IF(Tabell2[[#This Row],[Eldreandel]]&lt;=G$434,G$434,IF(Tabell2[[#This Row],[Eldreandel]]&gt;=G$435,G$435,Tabell2[[#This Row],[Eldreandel]]))</f>
        <v>0.16602316602316602</v>
      </c>
      <c r="Q379" s="51">
        <f>IF(Tabell2[[#This Row],[Sysselsettingsvekst10]]&lt;=H$434,H$434,IF(Tabell2[[#This Row],[Sysselsettingsvekst10]]&gt;=H$435,H$435,Tabell2[[#This Row],[Sysselsettingsvekst10]]))</f>
        <v>4.3126684636118684E-2</v>
      </c>
      <c r="R379" s="51">
        <f>IF(Tabell2[[#This Row],[Yrkesaktivandel]]&lt;=I$434,I$434,IF(Tabell2[[#This Row],[Yrkesaktivandel]]&gt;=I$435,I$435,Tabell2[[#This Row],[Yrkesaktivandel]]))</f>
        <v>0.93577981651376152</v>
      </c>
      <c r="S379" s="52">
        <f>IF(Tabell2[[#This Row],[Inntekt]]&lt;=J$434,J$434,IF(Tabell2[[#This Row],[Inntekt]]&gt;=J$435,J$435,Tabell2[[#This Row],[Inntekt]]))</f>
        <v>347700</v>
      </c>
      <c r="T379" s="9">
        <f>IF(Tabell2[[#This Row],[NIBR11-T]]&lt;=K$437,100,IF(Tabell2[[#This Row],[NIBR11-T]]&gt;=K$436,0,100*(K$436-Tabell2[[#This Row],[NIBR11-T]])/K$439))</f>
        <v>0</v>
      </c>
      <c r="U379" s="9">
        <f>(L$436-Tabell2[[#This Row],[ReisetidOslo-T]])*100/L$439</f>
        <v>13.612628568256119</v>
      </c>
      <c r="V379" s="9">
        <f>100-(M$436-Tabell2[[#This Row],[Beftettotal-T]])*100/M$439</f>
        <v>31.778083061897163</v>
      </c>
      <c r="W379" s="9">
        <f>100-(N$436-Tabell2[[#This Row],[Befvekst10-T]])*100/N$439</f>
        <v>42.287040620032023</v>
      </c>
      <c r="X379" s="9">
        <f>100-(O$436-Tabell2[[#This Row],[Kvinneandel-T]])*100/O$439</f>
        <v>54.084272914669882</v>
      </c>
      <c r="Y379" s="9">
        <f>(P$436-Tabell2[[#This Row],[Eldreandel-T]])*100/P$439</f>
        <v>47.929392230346764</v>
      </c>
      <c r="Z379" s="9">
        <f>100-(Q$436-Tabell2[[#This Row],[Sysselsettingsvekst10-T]])*100/Q$439</f>
        <v>35.890733758389203</v>
      </c>
      <c r="AA379" s="9">
        <f>100-(R$436-Tabell2[[#This Row],[Yrkesaktivandel-T]])*100/R$439</f>
        <v>80.320678174785854</v>
      </c>
      <c r="AB379" s="9">
        <f>100-(S$436-Tabell2[[#This Row],[Inntekt-T]])*100/S$439</f>
        <v>34.238652080975726</v>
      </c>
      <c r="AC379" s="48">
        <f>Tabell2[[#This Row],[NIBR11-I]]*Vekter!$B$3</f>
        <v>0</v>
      </c>
      <c r="AD379" s="48">
        <f>Tabell2[[#This Row],[ReisetidOslo-I]]*Vekter!$C$3</f>
        <v>1.361262856825612</v>
      </c>
      <c r="AE379" s="48">
        <f>Tabell2[[#This Row],[Beftettotal-I]]*Vekter!$D$3</f>
        <v>3.1778083061897164</v>
      </c>
      <c r="AF379" s="48">
        <f>Tabell2[[#This Row],[Befvekst10-I]]*Vekter!$E$3</f>
        <v>8.4574081240064043</v>
      </c>
      <c r="AG379" s="48">
        <f>Tabell2[[#This Row],[Kvinneandel-I]]*Vekter!$F$3</f>
        <v>2.7042136457334944</v>
      </c>
      <c r="AH379" s="48">
        <f>Tabell2[[#This Row],[Eldreandel-I]]*Vekter!$G$3</f>
        <v>2.3964696115173383</v>
      </c>
      <c r="AI379" s="48">
        <f>Tabell2[[#This Row],[Sysselsettingsvekst10-I]]*Vekter!$H$3</f>
        <v>3.5890733758389204</v>
      </c>
      <c r="AJ379" s="48">
        <f>Tabell2[[#This Row],[Yrkesaktivandel-I]]*Vekter!$J$3</f>
        <v>8.0320678174785858</v>
      </c>
      <c r="AK379" s="48">
        <f>Tabell2[[#This Row],[Inntekt-I]]*Vekter!$L$3</f>
        <v>3.4238652080975727</v>
      </c>
      <c r="AL379" s="37">
        <f>SUM(Tabell2[[#This Row],[NIBR11-v]:[Inntekt-v]])</f>
        <v>33.142168945687644</v>
      </c>
    </row>
    <row r="380" spans="1:38">
      <c r="A380" s="2" t="s">
        <v>377</v>
      </c>
      <c r="B380">
        <f>'Rådata-K'!M379</f>
        <v>9</v>
      </c>
      <c r="C380" s="9">
        <f>'Rådata-K'!L379</f>
        <v>267.30795825280001</v>
      </c>
      <c r="D380" s="51">
        <f>'Rådata-K'!N379</f>
        <v>7.6690211907164478</v>
      </c>
      <c r="E380" s="51">
        <f>'Rådata-K'!O379</f>
        <v>-7.816711590296499E-2</v>
      </c>
      <c r="F380" s="51">
        <f>'Rådata-K'!P379</f>
        <v>9.3567251461988299E-2</v>
      </c>
      <c r="G380" s="51">
        <f>'Rådata-K'!Q379</f>
        <v>0.20248538011695907</v>
      </c>
      <c r="H380" s="51">
        <f>'Rådata-K'!R379</f>
        <v>-7.6797385620914982E-2</v>
      </c>
      <c r="I380" s="51">
        <f>'Rådata-K'!S379</f>
        <v>0.86950549450549453</v>
      </c>
      <c r="J380" s="52">
        <f>'Rådata-K'!K379</f>
        <v>337100</v>
      </c>
      <c r="K380" s="26">
        <f>Tabell2[[#This Row],[NIBR11]]</f>
        <v>9</v>
      </c>
      <c r="L380" s="52">
        <f>IF(Tabell2[[#This Row],[ReisetidOslo]]&lt;=C$434,C$434,IF(Tabell2[[#This Row],[ReisetidOslo]]&gt;=C$435,C$435,Tabell2[[#This Row],[ReisetidOslo]]))</f>
        <v>267.30795825280001</v>
      </c>
      <c r="M380" s="51">
        <f>IF(Tabell2[[#This Row],[Beftettotal]]&lt;=D$434,D$434,IF(Tabell2[[#This Row],[Beftettotal]]&gt;=D$435,D$435,Tabell2[[#This Row],[Beftettotal]]))</f>
        <v>7.6690211907164478</v>
      </c>
      <c r="N380" s="51">
        <f>IF(Tabell2[[#This Row],[Befvekst10]]&lt;=E$434,E$434,IF(Tabell2[[#This Row],[Befvekst10]]&gt;=E$435,E$435,Tabell2[[#This Row],[Befvekst10]]))</f>
        <v>-7.816711590296499E-2</v>
      </c>
      <c r="O380" s="51">
        <f>IF(Tabell2[[#This Row],[Kvinneandel]]&lt;=F$434,F$434,IF(Tabell2[[#This Row],[Kvinneandel]]&gt;=F$435,F$435,Tabell2[[#This Row],[Kvinneandel]]))</f>
        <v>9.3567251461988299E-2</v>
      </c>
      <c r="P380" s="51">
        <f>IF(Tabell2[[#This Row],[Eldreandel]]&lt;=G$434,G$434,IF(Tabell2[[#This Row],[Eldreandel]]&gt;=G$435,G$435,Tabell2[[#This Row],[Eldreandel]]))</f>
        <v>0.20248538011695907</v>
      </c>
      <c r="Q380" s="51">
        <f>IF(Tabell2[[#This Row],[Sysselsettingsvekst10]]&lt;=H$434,H$434,IF(Tabell2[[#This Row],[Sysselsettingsvekst10]]&gt;=H$435,H$435,Tabell2[[#This Row],[Sysselsettingsvekst10]]))</f>
        <v>-6.8692498376029434E-2</v>
      </c>
      <c r="R380" s="51">
        <f>IF(Tabell2[[#This Row],[Yrkesaktivandel]]&lt;=I$434,I$434,IF(Tabell2[[#This Row],[Yrkesaktivandel]]&gt;=I$435,I$435,Tabell2[[#This Row],[Yrkesaktivandel]]))</f>
        <v>0.86950549450549453</v>
      </c>
      <c r="S380" s="52">
        <f>IF(Tabell2[[#This Row],[Inntekt]]&lt;=J$434,J$434,IF(Tabell2[[#This Row],[Inntekt]]&gt;=J$435,J$435,Tabell2[[#This Row],[Inntekt]]))</f>
        <v>337100</v>
      </c>
      <c r="T380" s="9">
        <f>IF(Tabell2[[#This Row],[NIBR11-T]]&lt;=K$437,100,IF(Tabell2[[#This Row],[NIBR11-T]]&gt;=K$436,0,100*(K$436-Tabell2[[#This Row],[NIBR11-T]])/K$439))</f>
        <v>20</v>
      </c>
      <c r="U380" s="9">
        <f>(L$436-Tabell2[[#This Row],[ReisetidOslo-T]])*100/L$439</f>
        <v>5.2153616432413701</v>
      </c>
      <c r="V380" s="9">
        <f>100-(M$436-Tabell2[[#This Row],[Beftettotal-T]])*100/M$439</f>
        <v>4.98534341256277</v>
      </c>
      <c r="W380" s="9">
        <f>100-(N$436-Tabell2[[#This Row],[Befvekst10-T]])*100/N$439</f>
        <v>1.059690925661755</v>
      </c>
      <c r="X380" s="9">
        <f>100-(O$436-Tabell2[[#This Row],[Kvinneandel-T]])*100/O$439</f>
        <v>8.7521831853121341</v>
      </c>
      <c r="Y380" s="9">
        <f>(P$436-Tabell2[[#This Row],[Eldreandel-T]])*100/P$439</f>
        <v>6.5926738125597835</v>
      </c>
      <c r="Z380" s="9">
        <f>100-(Q$436-Tabell2[[#This Row],[Sysselsettingsvekst10-T]])*100/Q$439</f>
        <v>0</v>
      </c>
      <c r="AA380" s="9">
        <f>100-(R$436-Tabell2[[#This Row],[Yrkesaktivandel-T]])*100/R$439</f>
        <v>30.914778987610788</v>
      </c>
      <c r="AB380" s="9">
        <f>100-(S$436-Tabell2[[#This Row],[Inntekt-T]])*100/S$439</f>
        <v>20.910348296240414</v>
      </c>
      <c r="AC380" s="48">
        <f>Tabell2[[#This Row],[NIBR11-I]]*Vekter!$B$3</f>
        <v>4</v>
      </c>
      <c r="AD380" s="48">
        <f>Tabell2[[#This Row],[ReisetidOslo-I]]*Vekter!$C$3</f>
        <v>0.52153616432413707</v>
      </c>
      <c r="AE380" s="48">
        <f>Tabell2[[#This Row],[Beftettotal-I]]*Vekter!$D$3</f>
        <v>0.49853434125627705</v>
      </c>
      <c r="AF380" s="48">
        <f>Tabell2[[#This Row],[Befvekst10-I]]*Vekter!$E$3</f>
        <v>0.21193818513235102</v>
      </c>
      <c r="AG380" s="48">
        <f>Tabell2[[#This Row],[Kvinneandel-I]]*Vekter!$F$3</f>
        <v>0.43760915926560673</v>
      </c>
      <c r="AH380" s="48">
        <f>Tabell2[[#This Row],[Eldreandel-I]]*Vekter!$G$3</f>
        <v>0.3296336906279892</v>
      </c>
      <c r="AI380" s="48">
        <f>Tabell2[[#This Row],[Sysselsettingsvekst10-I]]*Vekter!$H$3</f>
        <v>0</v>
      </c>
      <c r="AJ380" s="48">
        <f>Tabell2[[#This Row],[Yrkesaktivandel-I]]*Vekter!$J$3</f>
        <v>3.0914778987610791</v>
      </c>
      <c r="AK380" s="48">
        <f>Tabell2[[#This Row],[Inntekt-I]]*Vekter!$L$3</f>
        <v>2.0910348296240415</v>
      </c>
      <c r="AL380" s="37">
        <f>SUM(Tabell2[[#This Row],[NIBR11-v]:[Inntekt-v]])</f>
        <v>11.181764268991481</v>
      </c>
    </row>
    <row r="381" spans="1:38">
      <c r="A381" s="2" t="s">
        <v>378</v>
      </c>
      <c r="B381">
        <f>'Rådata-K'!M380</f>
        <v>9</v>
      </c>
      <c r="C381" s="9">
        <f>'Rådata-K'!L380</f>
        <v>241.53765751212001</v>
      </c>
      <c r="D381" s="51">
        <f>'Rådata-K'!N380</f>
        <v>25.897840472882276</v>
      </c>
      <c r="E381" s="51">
        <f>'Rådata-K'!O380</f>
        <v>1.7016554147785135E-2</v>
      </c>
      <c r="F381" s="51">
        <f>'Rådata-K'!P380</f>
        <v>0.11212148767845777</v>
      </c>
      <c r="G381" s="51">
        <f>'Rådata-K'!Q380</f>
        <v>0.15604255706101663</v>
      </c>
      <c r="H381" s="51">
        <f>'Rådata-K'!R380</f>
        <v>0.22201622247972197</v>
      </c>
      <c r="I381" s="51">
        <f>'Rådata-K'!S380</f>
        <v>0.87842242503259449</v>
      </c>
      <c r="J381" s="52">
        <f>'Rådata-K'!K380</f>
        <v>344100</v>
      </c>
      <c r="K381" s="26">
        <f>Tabell2[[#This Row],[NIBR11]]</f>
        <v>9</v>
      </c>
      <c r="L381" s="52">
        <f>IF(Tabell2[[#This Row],[ReisetidOslo]]&lt;=C$434,C$434,IF(Tabell2[[#This Row],[ReisetidOslo]]&gt;=C$435,C$435,Tabell2[[#This Row],[ReisetidOslo]]))</f>
        <v>241.53765751212001</v>
      </c>
      <c r="M381" s="51">
        <f>IF(Tabell2[[#This Row],[Beftettotal]]&lt;=D$434,D$434,IF(Tabell2[[#This Row],[Beftettotal]]&gt;=D$435,D$435,Tabell2[[#This Row],[Beftettotal]]))</f>
        <v>25.897840472882276</v>
      </c>
      <c r="N381" s="51">
        <f>IF(Tabell2[[#This Row],[Befvekst10]]&lt;=E$434,E$434,IF(Tabell2[[#This Row],[Befvekst10]]&gt;=E$435,E$435,Tabell2[[#This Row],[Befvekst10]]))</f>
        <v>1.7016554147785135E-2</v>
      </c>
      <c r="O381" s="51">
        <f>IF(Tabell2[[#This Row],[Kvinneandel]]&lt;=F$434,F$434,IF(Tabell2[[#This Row],[Kvinneandel]]&gt;=F$435,F$435,Tabell2[[#This Row],[Kvinneandel]]))</f>
        <v>0.11212148767845777</v>
      </c>
      <c r="P381" s="51">
        <f>IF(Tabell2[[#This Row],[Eldreandel]]&lt;=G$434,G$434,IF(Tabell2[[#This Row],[Eldreandel]]&gt;=G$435,G$435,Tabell2[[#This Row],[Eldreandel]]))</f>
        <v>0.15604255706101663</v>
      </c>
      <c r="Q381" s="51">
        <f>IF(Tabell2[[#This Row],[Sysselsettingsvekst10]]&lt;=H$434,H$434,IF(Tabell2[[#This Row],[Sysselsettingsvekst10]]&gt;=H$435,H$435,Tabell2[[#This Row],[Sysselsettingsvekst10]]))</f>
        <v>0.22201622247972197</v>
      </c>
      <c r="R381" s="51">
        <f>IF(Tabell2[[#This Row],[Yrkesaktivandel]]&lt;=I$434,I$434,IF(Tabell2[[#This Row],[Yrkesaktivandel]]&gt;=I$435,I$435,Tabell2[[#This Row],[Yrkesaktivandel]]))</f>
        <v>0.87842242503259449</v>
      </c>
      <c r="S381" s="52">
        <f>IF(Tabell2[[#This Row],[Inntekt]]&lt;=J$434,J$434,IF(Tabell2[[#This Row],[Inntekt]]&gt;=J$435,J$435,Tabell2[[#This Row],[Inntekt]]))</f>
        <v>344100</v>
      </c>
      <c r="T381" s="9">
        <f>IF(Tabell2[[#This Row],[NIBR11-T]]&lt;=K$437,100,IF(Tabell2[[#This Row],[NIBR11-T]]&gt;=K$436,0,100*(K$436-Tabell2[[#This Row],[NIBR11-T]])/K$439))</f>
        <v>20</v>
      </c>
      <c r="U381" s="9">
        <f>(L$436-Tabell2[[#This Row],[ReisetidOslo-T]])*100/L$439</f>
        <v>16.656101909241212</v>
      </c>
      <c r="V381" s="9">
        <f>100-(M$436-Tabell2[[#This Row],[Beftettotal-T]])*100/M$439</f>
        <v>19.343492042960804</v>
      </c>
      <c r="W381" s="9">
        <f>100-(N$436-Tabell2[[#This Row],[Befvekst10-T]])*100/N$439</f>
        <v>39.576308198863309</v>
      </c>
      <c r="X381" s="9">
        <f>100-(O$436-Tabell2[[#This Row],[Kvinneandel-T]])*100/O$439</f>
        <v>57.896747578560962</v>
      </c>
      <c r="Y381" s="9">
        <f>(P$436-Tabell2[[#This Row],[Eldreandel-T]])*100/P$439</f>
        <v>59.244273472751651</v>
      </c>
      <c r="Z381" s="9">
        <f>100-(Q$436-Tabell2[[#This Row],[Sysselsettingsvekst10-T]])*100/Q$439</f>
        <v>93.30911763451293</v>
      </c>
      <c r="AA381" s="9">
        <f>100-(R$436-Tabell2[[#This Row],[Yrkesaktivandel-T]])*100/R$439</f>
        <v>37.562134363437806</v>
      </c>
      <c r="AB381" s="9">
        <f>100-(S$436-Tabell2[[#This Row],[Inntekt-T]])*100/S$439</f>
        <v>29.71205834276374</v>
      </c>
      <c r="AC381" s="48">
        <f>Tabell2[[#This Row],[NIBR11-I]]*Vekter!$B$3</f>
        <v>4</v>
      </c>
      <c r="AD381" s="48">
        <f>Tabell2[[#This Row],[ReisetidOslo-I]]*Vekter!$C$3</f>
        <v>1.6656101909241212</v>
      </c>
      <c r="AE381" s="48">
        <f>Tabell2[[#This Row],[Beftettotal-I]]*Vekter!$D$3</f>
        <v>1.9343492042960806</v>
      </c>
      <c r="AF381" s="48">
        <f>Tabell2[[#This Row],[Befvekst10-I]]*Vekter!$E$3</f>
        <v>7.9152616397726625</v>
      </c>
      <c r="AG381" s="48">
        <f>Tabell2[[#This Row],[Kvinneandel-I]]*Vekter!$F$3</f>
        <v>2.8948373789280484</v>
      </c>
      <c r="AH381" s="48">
        <f>Tabell2[[#This Row],[Eldreandel-I]]*Vekter!$G$3</f>
        <v>2.9622136736375828</v>
      </c>
      <c r="AI381" s="48">
        <f>Tabell2[[#This Row],[Sysselsettingsvekst10-I]]*Vekter!$H$3</f>
        <v>9.3309117634512937</v>
      </c>
      <c r="AJ381" s="48">
        <f>Tabell2[[#This Row],[Yrkesaktivandel-I]]*Vekter!$J$3</f>
        <v>3.7562134363437809</v>
      </c>
      <c r="AK381" s="48">
        <f>Tabell2[[#This Row],[Inntekt-I]]*Vekter!$L$3</f>
        <v>2.9712058342763741</v>
      </c>
      <c r="AL381" s="37">
        <f>SUM(Tabell2[[#This Row],[NIBR11-v]:[Inntekt-v]])</f>
        <v>37.430603121629943</v>
      </c>
    </row>
    <row r="382" spans="1:38">
      <c r="A382" s="2" t="s">
        <v>379</v>
      </c>
      <c r="B382">
        <f>'Rådata-K'!M381</f>
        <v>7</v>
      </c>
      <c r="C382" s="9">
        <f>'Rådata-K'!L381</f>
        <v>245.31326180874001</v>
      </c>
      <c r="D382" s="51">
        <f>'Rådata-K'!N381</f>
        <v>19.249473003151547</v>
      </c>
      <c r="E382" s="51">
        <f>'Rådata-K'!O381</f>
        <v>1.8890852850198758E-2</v>
      </c>
      <c r="F382" s="51">
        <f>'Rådata-K'!P381</f>
        <v>0.1172069825436409</v>
      </c>
      <c r="G382" s="51">
        <f>'Rådata-K'!Q381</f>
        <v>0.15656510896671366</v>
      </c>
      <c r="H382" s="51">
        <f>'Rådata-K'!R381</f>
        <v>8.5392708588206467E-2</v>
      </c>
      <c r="I382" s="51">
        <f>'Rådata-K'!S381</f>
        <v>0.86284010436079017</v>
      </c>
      <c r="J382" s="52">
        <f>'Rådata-K'!K381</f>
        <v>344600</v>
      </c>
      <c r="K382" s="26">
        <f>Tabell2[[#This Row],[NIBR11]]</f>
        <v>7</v>
      </c>
      <c r="L382" s="52">
        <f>IF(Tabell2[[#This Row],[ReisetidOslo]]&lt;=C$434,C$434,IF(Tabell2[[#This Row],[ReisetidOslo]]&gt;=C$435,C$435,Tabell2[[#This Row],[ReisetidOslo]]))</f>
        <v>245.31326180874001</v>
      </c>
      <c r="M382" s="51">
        <f>IF(Tabell2[[#This Row],[Beftettotal]]&lt;=D$434,D$434,IF(Tabell2[[#This Row],[Beftettotal]]&gt;=D$435,D$435,Tabell2[[#This Row],[Beftettotal]]))</f>
        <v>19.249473003151547</v>
      </c>
      <c r="N382" s="51">
        <f>IF(Tabell2[[#This Row],[Befvekst10]]&lt;=E$434,E$434,IF(Tabell2[[#This Row],[Befvekst10]]&gt;=E$435,E$435,Tabell2[[#This Row],[Befvekst10]]))</f>
        <v>1.8890852850198758E-2</v>
      </c>
      <c r="O382" s="51">
        <f>IF(Tabell2[[#This Row],[Kvinneandel]]&lt;=F$434,F$434,IF(Tabell2[[#This Row],[Kvinneandel]]&gt;=F$435,F$435,Tabell2[[#This Row],[Kvinneandel]]))</f>
        <v>0.1172069825436409</v>
      </c>
      <c r="P382" s="51">
        <f>IF(Tabell2[[#This Row],[Eldreandel]]&lt;=G$434,G$434,IF(Tabell2[[#This Row],[Eldreandel]]&gt;=G$435,G$435,Tabell2[[#This Row],[Eldreandel]]))</f>
        <v>0.15656510896671366</v>
      </c>
      <c r="Q382" s="51">
        <f>IF(Tabell2[[#This Row],[Sysselsettingsvekst10]]&lt;=H$434,H$434,IF(Tabell2[[#This Row],[Sysselsettingsvekst10]]&gt;=H$435,H$435,Tabell2[[#This Row],[Sysselsettingsvekst10]]))</f>
        <v>8.5392708588206467E-2</v>
      </c>
      <c r="R382" s="51">
        <f>IF(Tabell2[[#This Row],[Yrkesaktivandel]]&lt;=I$434,I$434,IF(Tabell2[[#This Row],[Yrkesaktivandel]]&gt;=I$435,I$435,Tabell2[[#This Row],[Yrkesaktivandel]]))</f>
        <v>0.86284010436079017</v>
      </c>
      <c r="S382" s="52">
        <f>IF(Tabell2[[#This Row],[Inntekt]]&lt;=J$434,J$434,IF(Tabell2[[#This Row],[Inntekt]]&gt;=J$435,J$435,Tabell2[[#This Row],[Inntekt]]))</f>
        <v>344600</v>
      </c>
      <c r="T382" s="9">
        <f>IF(Tabell2[[#This Row],[NIBR11-T]]&lt;=K$437,100,IF(Tabell2[[#This Row],[NIBR11-T]]&gt;=K$436,0,100*(K$436-Tabell2[[#This Row],[NIBR11-T]])/K$439))</f>
        <v>40</v>
      </c>
      <c r="U382" s="9">
        <f>(L$436-Tabell2[[#This Row],[ReisetidOslo-T]])*100/L$439</f>
        <v>14.979920147162069</v>
      </c>
      <c r="V382" s="9">
        <f>100-(M$436-Tabell2[[#This Row],[Beftettotal-T]])*100/M$439</f>
        <v>14.106825487530699</v>
      </c>
      <c r="W382" s="9">
        <f>100-(N$436-Tabell2[[#This Row],[Befvekst10-T]])*100/N$439</f>
        <v>40.334753904287702</v>
      </c>
      <c r="X382" s="9">
        <f>100-(O$436-Tabell2[[#This Row],[Kvinneandel-T]])*100/O$439</f>
        <v>71.36668657026604</v>
      </c>
      <c r="Y382" s="9">
        <f>(P$436-Tabell2[[#This Row],[Eldreandel-T]])*100/P$439</f>
        <v>58.651863452643937</v>
      </c>
      <c r="Z382" s="9">
        <f>100-(Q$436-Tabell2[[#This Row],[Sysselsettingsvekst10-T]])*100/Q$439</f>
        <v>49.456908826268915</v>
      </c>
      <c r="AA382" s="9">
        <f>100-(R$436-Tabell2[[#This Row],[Yrkesaktivandel-T]])*100/R$439</f>
        <v>25.945892342623665</v>
      </c>
      <c r="AB382" s="9">
        <f>100-(S$436-Tabell2[[#This Row],[Inntekt-T]])*100/S$439</f>
        <v>30.340751917515405</v>
      </c>
      <c r="AC382" s="48">
        <f>Tabell2[[#This Row],[NIBR11-I]]*Vekter!$B$3</f>
        <v>8</v>
      </c>
      <c r="AD382" s="48">
        <f>Tabell2[[#This Row],[ReisetidOslo-I]]*Vekter!$C$3</f>
        <v>1.4979920147162069</v>
      </c>
      <c r="AE382" s="48">
        <f>Tabell2[[#This Row],[Beftettotal-I]]*Vekter!$D$3</f>
        <v>1.4106825487530701</v>
      </c>
      <c r="AF382" s="48">
        <f>Tabell2[[#This Row],[Befvekst10-I]]*Vekter!$E$3</f>
        <v>8.0669507808575407</v>
      </c>
      <c r="AG382" s="48">
        <f>Tabell2[[#This Row],[Kvinneandel-I]]*Vekter!$F$3</f>
        <v>3.568334328513302</v>
      </c>
      <c r="AH382" s="48">
        <f>Tabell2[[#This Row],[Eldreandel-I]]*Vekter!$G$3</f>
        <v>2.9325931726321972</v>
      </c>
      <c r="AI382" s="48">
        <f>Tabell2[[#This Row],[Sysselsettingsvekst10-I]]*Vekter!$H$3</f>
        <v>4.9456908826268915</v>
      </c>
      <c r="AJ382" s="48">
        <f>Tabell2[[#This Row],[Yrkesaktivandel-I]]*Vekter!$J$3</f>
        <v>2.5945892342623669</v>
      </c>
      <c r="AK382" s="48">
        <f>Tabell2[[#This Row],[Inntekt-I]]*Vekter!$L$3</f>
        <v>3.0340751917515405</v>
      </c>
      <c r="AL382" s="37">
        <f>SUM(Tabell2[[#This Row],[NIBR11-v]:[Inntekt-v]])</f>
        <v>36.05090815411311</v>
      </c>
    </row>
    <row r="383" spans="1:38">
      <c r="A383" s="2" t="s">
        <v>380</v>
      </c>
      <c r="B383">
        <f>'Rådata-K'!M382</f>
        <v>8</v>
      </c>
      <c r="C383" s="9">
        <f>'Rådata-K'!L382</f>
        <v>253.85781869707</v>
      </c>
      <c r="D383" s="51">
        <f>'Rådata-K'!N382</f>
        <v>14.317989268568203</v>
      </c>
      <c r="E383" s="51">
        <f>'Rådata-K'!O382</f>
        <v>9.080731434258027E-3</v>
      </c>
      <c r="F383" s="51">
        <f>'Rådata-K'!P382</f>
        <v>0.10367357001972387</v>
      </c>
      <c r="G383" s="51">
        <f>'Rådata-K'!Q382</f>
        <v>0.17677514792899407</v>
      </c>
      <c r="H383" s="51">
        <f>'Rådata-K'!R382</f>
        <v>8.3357792779571449E-2</v>
      </c>
      <c r="I383" s="51">
        <f>'Rådata-K'!S382</f>
        <v>0.86209179170344219</v>
      </c>
      <c r="J383" s="52">
        <f>'Rådata-K'!K382</f>
        <v>344100</v>
      </c>
      <c r="K383" s="26">
        <f>Tabell2[[#This Row],[NIBR11]]</f>
        <v>8</v>
      </c>
      <c r="L383" s="52">
        <f>IF(Tabell2[[#This Row],[ReisetidOslo]]&lt;=C$434,C$434,IF(Tabell2[[#This Row],[ReisetidOslo]]&gt;=C$435,C$435,Tabell2[[#This Row],[ReisetidOslo]]))</f>
        <v>253.85781869707</v>
      </c>
      <c r="M383" s="51">
        <f>IF(Tabell2[[#This Row],[Beftettotal]]&lt;=D$434,D$434,IF(Tabell2[[#This Row],[Beftettotal]]&gt;=D$435,D$435,Tabell2[[#This Row],[Beftettotal]]))</f>
        <v>14.317989268568203</v>
      </c>
      <c r="N383" s="51">
        <f>IF(Tabell2[[#This Row],[Befvekst10]]&lt;=E$434,E$434,IF(Tabell2[[#This Row],[Befvekst10]]&gt;=E$435,E$435,Tabell2[[#This Row],[Befvekst10]]))</f>
        <v>9.080731434258027E-3</v>
      </c>
      <c r="O383" s="51">
        <f>IF(Tabell2[[#This Row],[Kvinneandel]]&lt;=F$434,F$434,IF(Tabell2[[#This Row],[Kvinneandel]]&gt;=F$435,F$435,Tabell2[[#This Row],[Kvinneandel]]))</f>
        <v>0.10367357001972387</v>
      </c>
      <c r="P383" s="51">
        <f>IF(Tabell2[[#This Row],[Eldreandel]]&lt;=G$434,G$434,IF(Tabell2[[#This Row],[Eldreandel]]&gt;=G$435,G$435,Tabell2[[#This Row],[Eldreandel]]))</f>
        <v>0.17677514792899407</v>
      </c>
      <c r="Q383" s="51">
        <f>IF(Tabell2[[#This Row],[Sysselsettingsvekst10]]&lt;=H$434,H$434,IF(Tabell2[[#This Row],[Sysselsettingsvekst10]]&gt;=H$435,H$435,Tabell2[[#This Row],[Sysselsettingsvekst10]]))</f>
        <v>8.3357792779571449E-2</v>
      </c>
      <c r="R383" s="51">
        <f>IF(Tabell2[[#This Row],[Yrkesaktivandel]]&lt;=I$434,I$434,IF(Tabell2[[#This Row],[Yrkesaktivandel]]&gt;=I$435,I$435,Tabell2[[#This Row],[Yrkesaktivandel]]))</f>
        <v>0.86209179170344219</v>
      </c>
      <c r="S383" s="52">
        <f>IF(Tabell2[[#This Row],[Inntekt]]&lt;=J$434,J$434,IF(Tabell2[[#This Row],[Inntekt]]&gt;=J$435,J$435,Tabell2[[#This Row],[Inntekt]]))</f>
        <v>344100</v>
      </c>
      <c r="T383" s="9">
        <f>IF(Tabell2[[#This Row],[NIBR11-T]]&lt;=K$437,100,IF(Tabell2[[#This Row],[NIBR11-T]]&gt;=K$436,0,100*(K$436-Tabell2[[#This Row],[NIBR11-T]])/K$439))</f>
        <v>30</v>
      </c>
      <c r="U383" s="9">
        <f>(L$436-Tabell2[[#This Row],[ReisetidOslo-T]])*100/L$439</f>
        <v>11.186559059484525</v>
      </c>
      <c r="V383" s="9">
        <f>100-(M$436-Tabell2[[#This Row],[Beftettotal-T]])*100/M$439</f>
        <v>10.222483044199095</v>
      </c>
      <c r="W383" s="9">
        <f>100-(N$436-Tabell2[[#This Row],[Befvekst10-T]])*100/N$439</f>
        <v>36.365032083517782</v>
      </c>
      <c r="X383" s="9">
        <f>100-(O$436-Tabell2[[#This Row],[Kvinneandel-T]])*100/O$439</f>
        <v>35.520766776937265</v>
      </c>
      <c r="Y383" s="9">
        <f>(P$436-Tabell2[[#This Row],[Eldreandel-T]])*100/P$439</f>
        <v>35.740015926124649</v>
      </c>
      <c r="Z383" s="9">
        <f>100-(Q$436-Tabell2[[#This Row],[Sysselsettingsvekst10-T]])*100/Q$439</f>
        <v>48.803759522714074</v>
      </c>
      <c r="AA383" s="9">
        <f>100-(R$436-Tabell2[[#This Row],[Yrkesaktivandel-T]])*100/R$439</f>
        <v>25.388043411256092</v>
      </c>
      <c r="AB383" s="9">
        <f>100-(S$436-Tabell2[[#This Row],[Inntekt-T]])*100/S$439</f>
        <v>29.71205834276374</v>
      </c>
      <c r="AC383" s="48">
        <f>Tabell2[[#This Row],[NIBR11-I]]*Vekter!$B$3</f>
        <v>6</v>
      </c>
      <c r="AD383" s="48">
        <f>Tabell2[[#This Row],[ReisetidOslo-I]]*Vekter!$C$3</f>
        <v>1.1186559059484524</v>
      </c>
      <c r="AE383" s="48">
        <f>Tabell2[[#This Row],[Beftettotal-I]]*Vekter!$D$3</f>
        <v>1.0222483044199095</v>
      </c>
      <c r="AF383" s="48">
        <f>Tabell2[[#This Row],[Befvekst10-I]]*Vekter!$E$3</f>
        <v>7.2730064167035566</v>
      </c>
      <c r="AG383" s="48">
        <f>Tabell2[[#This Row],[Kvinneandel-I]]*Vekter!$F$3</f>
        <v>1.7760383388468632</v>
      </c>
      <c r="AH383" s="48">
        <f>Tabell2[[#This Row],[Eldreandel-I]]*Vekter!$G$3</f>
        <v>1.7870007963062324</v>
      </c>
      <c r="AI383" s="48">
        <f>Tabell2[[#This Row],[Sysselsettingsvekst10-I]]*Vekter!$H$3</f>
        <v>4.8803759522714074</v>
      </c>
      <c r="AJ383" s="48">
        <f>Tabell2[[#This Row],[Yrkesaktivandel-I]]*Vekter!$J$3</f>
        <v>2.5388043411256094</v>
      </c>
      <c r="AK383" s="48">
        <f>Tabell2[[#This Row],[Inntekt-I]]*Vekter!$L$3</f>
        <v>2.9712058342763741</v>
      </c>
      <c r="AL383" s="37">
        <f>SUM(Tabell2[[#This Row],[NIBR11-v]:[Inntekt-v]])</f>
        <v>29.367335889898403</v>
      </c>
    </row>
    <row r="384" spans="1:38">
      <c r="A384" s="2" t="s">
        <v>381</v>
      </c>
      <c r="B384">
        <f>'Rådata-K'!M383</f>
        <v>8</v>
      </c>
      <c r="C384" s="9">
        <f>'Rådata-K'!L383</f>
        <v>311.784187116</v>
      </c>
      <c r="D384" s="51">
        <f>'Rådata-K'!N383</f>
        <v>10.710666072080107</v>
      </c>
      <c r="E384" s="51">
        <f>'Rådata-K'!O383</f>
        <v>-0.13120683985531079</v>
      </c>
      <c r="F384" s="51">
        <f>'Rådata-K'!P383</f>
        <v>7.8728236184708561E-2</v>
      </c>
      <c r="G384" s="51">
        <f>'Rådata-K'!Q383</f>
        <v>0.25889477668433003</v>
      </c>
      <c r="H384" s="51">
        <f>'Rådata-K'!R383</f>
        <v>-0.11592836946277096</v>
      </c>
      <c r="I384" s="51">
        <f>'Rådata-K'!S383</f>
        <v>0.82650073206442165</v>
      </c>
      <c r="J384" s="52">
        <f>'Rådata-K'!K383</f>
        <v>309300</v>
      </c>
      <c r="K384" s="26">
        <f>Tabell2[[#This Row],[NIBR11]]</f>
        <v>8</v>
      </c>
      <c r="L384" s="52">
        <f>IF(Tabell2[[#This Row],[ReisetidOslo]]&lt;=C$434,C$434,IF(Tabell2[[#This Row],[ReisetidOslo]]&gt;=C$435,C$435,Tabell2[[#This Row],[ReisetidOslo]]))</f>
        <v>279.05557553043002</v>
      </c>
      <c r="M384" s="51">
        <f>IF(Tabell2[[#This Row],[Beftettotal]]&lt;=D$434,D$434,IF(Tabell2[[#This Row],[Beftettotal]]&gt;=D$435,D$435,Tabell2[[#This Row],[Beftettotal]]))</f>
        <v>10.710666072080107</v>
      </c>
      <c r="N384" s="51">
        <f>IF(Tabell2[[#This Row],[Befvekst10]]&lt;=E$434,E$434,IF(Tabell2[[#This Row],[Befvekst10]]&gt;=E$435,E$435,Tabell2[[#This Row],[Befvekst10]]))</f>
        <v>-8.0785862785862778E-2</v>
      </c>
      <c r="O384" s="51">
        <f>IF(Tabell2[[#This Row],[Kvinneandel]]&lt;=F$434,F$434,IF(Tabell2[[#This Row],[Kvinneandel]]&gt;=F$435,F$435,Tabell2[[#This Row],[Kvinneandel]]))</f>
        <v>9.0262917071501733E-2</v>
      </c>
      <c r="P384" s="51">
        <f>IF(Tabell2[[#This Row],[Eldreandel]]&lt;=G$434,G$434,IF(Tabell2[[#This Row],[Eldreandel]]&gt;=G$435,G$435,Tabell2[[#This Row],[Eldreandel]]))</f>
        <v>0.20830063331569054</v>
      </c>
      <c r="Q384" s="51">
        <f>IF(Tabell2[[#This Row],[Sysselsettingsvekst10]]&lt;=H$434,H$434,IF(Tabell2[[#This Row],[Sysselsettingsvekst10]]&gt;=H$435,H$435,Tabell2[[#This Row],[Sysselsettingsvekst10]]))</f>
        <v>-6.8692498376029434E-2</v>
      </c>
      <c r="R384" s="51">
        <f>IF(Tabell2[[#This Row],[Yrkesaktivandel]]&lt;=I$434,I$434,IF(Tabell2[[#This Row],[Yrkesaktivandel]]&gt;=I$435,I$435,Tabell2[[#This Row],[Yrkesaktivandel]]))</f>
        <v>0.82803562853509294</v>
      </c>
      <c r="S384" s="52">
        <f>IF(Tabell2[[#This Row],[Inntekt]]&lt;=J$434,J$434,IF(Tabell2[[#This Row],[Inntekt]]&gt;=J$435,J$435,Tabell2[[#This Row],[Inntekt]]))</f>
        <v>320470</v>
      </c>
      <c r="T384" s="9">
        <f>IF(Tabell2[[#This Row],[NIBR11-T]]&lt;=K$437,100,IF(Tabell2[[#This Row],[NIBR11-T]]&gt;=K$436,0,100*(K$436-Tabell2[[#This Row],[NIBR11-T]])/K$439))</f>
        <v>30</v>
      </c>
      <c r="U384" s="9">
        <f>(L$436-Tabell2[[#This Row],[ReisetidOslo-T]])*100/L$439</f>
        <v>0</v>
      </c>
      <c r="V384" s="9">
        <f>100-(M$436-Tabell2[[#This Row],[Beftettotal-T]])*100/M$439</f>
        <v>7.3811315660081078</v>
      </c>
      <c r="W384" s="9">
        <f>100-(N$436-Tabell2[[#This Row],[Befvekst10-T]])*100/N$439</f>
        <v>0</v>
      </c>
      <c r="X384" s="9">
        <f>100-(O$436-Tabell2[[#This Row],[Kvinneandel-T]])*100/O$439</f>
        <v>0</v>
      </c>
      <c r="Y384" s="9">
        <f>(P$436-Tabell2[[#This Row],[Eldreandel-T]])*100/P$439</f>
        <v>0</v>
      </c>
      <c r="Z384" s="9">
        <f>100-(Q$436-Tabell2[[#This Row],[Sysselsettingsvekst10-T]])*100/Q$439</f>
        <v>0</v>
      </c>
      <c r="AA384" s="9">
        <f>100-(R$436-Tabell2[[#This Row],[Yrkesaktivandel-T]])*100/R$439</f>
        <v>0</v>
      </c>
      <c r="AB384" s="9">
        <f>100-(S$436-Tabell2[[#This Row],[Inntekt-T]])*100/S$439</f>
        <v>0</v>
      </c>
      <c r="AC384" s="48">
        <f>Tabell2[[#This Row],[NIBR11-I]]*Vekter!$B$3</f>
        <v>6</v>
      </c>
      <c r="AD384" s="48">
        <f>Tabell2[[#This Row],[ReisetidOslo-I]]*Vekter!$C$3</f>
        <v>0</v>
      </c>
      <c r="AE384" s="48">
        <f>Tabell2[[#This Row],[Beftettotal-I]]*Vekter!$D$3</f>
        <v>0.73811315660081078</v>
      </c>
      <c r="AF384" s="48">
        <f>Tabell2[[#This Row],[Befvekst10-I]]*Vekter!$E$3</f>
        <v>0</v>
      </c>
      <c r="AG384" s="48">
        <f>Tabell2[[#This Row],[Kvinneandel-I]]*Vekter!$F$3</f>
        <v>0</v>
      </c>
      <c r="AH384" s="48">
        <f>Tabell2[[#This Row],[Eldreandel-I]]*Vekter!$G$3</f>
        <v>0</v>
      </c>
      <c r="AI384" s="48">
        <f>Tabell2[[#This Row],[Sysselsettingsvekst10-I]]*Vekter!$H$3</f>
        <v>0</v>
      </c>
      <c r="AJ384" s="48">
        <f>Tabell2[[#This Row],[Yrkesaktivandel-I]]*Vekter!$J$3</f>
        <v>0</v>
      </c>
      <c r="AK384" s="48">
        <f>Tabell2[[#This Row],[Inntekt-I]]*Vekter!$L$3</f>
        <v>0</v>
      </c>
      <c r="AL384" s="37">
        <f>SUM(Tabell2[[#This Row],[NIBR11-v]:[Inntekt-v]])</f>
        <v>6.7381131566008108</v>
      </c>
    </row>
    <row r="385" spans="1:38">
      <c r="A385" s="2" t="s">
        <v>382</v>
      </c>
      <c r="B385">
        <f>'Rådata-K'!M384</f>
        <v>8</v>
      </c>
      <c r="C385" s="9">
        <f>'Rådata-K'!L384</f>
        <v>301.65483854989998</v>
      </c>
      <c r="D385" s="51">
        <f>'Rådata-K'!N384</f>
        <v>14.278560250391235</v>
      </c>
      <c r="E385" s="51">
        <f>'Rådata-K'!O384</f>
        <v>-1.5324843513921826E-2</v>
      </c>
      <c r="F385" s="51">
        <f>'Rådata-K'!P384</f>
        <v>0.10894344585708023</v>
      </c>
      <c r="G385" s="51">
        <f>'Rådata-K'!Q384</f>
        <v>0.15629110039456379</v>
      </c>
      <c r="H385" s="51">
        <f>'Rådata-K'!R384</f>
        <v>9.1139240506328267E-3</v>
      </c>
      <c r="I385" s="51">
        <f>'Rådata-K'!S384</f>
        <v>0.84550345887778633</v>
      </c>
      <c r="J385" s="52">
        <f>'Rådata-K'!K384</f>
        <v>351300</v>
      </c>
      <c r="K385" s="26">
        <f>Tabell2[[#This Row],[NIBR11]]</f>
        <v>8</v>
      </c>
      <c r="L385" s="52">
        <f>IF(Tabell2[[#This Row],[ReisetidOslo]]&lt;=C$434,C$434,IF(Tabell2[[#This Row],[ReisetidOslo]]&gt;=C$435,C$435,Tabell2[[#This Row],[ReisetidOslo]]))</f>
        <v>279.05557553043002</v>
      </c>
      <c r="M385" s="51">
        <f>IF(Tabell2[[#This Row],[Beftettotal]]&lt;=D$434,D$434,IF(Tabell2[[#This Row],[Beftettotal]]&gt;=D$435,D$435,Tabell2[[#This Row],[Beftettotal]]))</f>
        <v>14.278560250391235</v>
      </c>
      <c r="N385" s="51">
        <f>IF(Tabell2[[#This Row],[Befvekst10]]&lt;=E$434,E$434,IF(Tabell2[[#This Row],[Befvekst10]]&gt;=E$435,E$435,Tabell2[[#This Row],[Befvekst10]]))</f>
        <v>-1.5324843513921826E-2</v>
      </c>
      <c r="O385" s="51">
        <f>IF(Tabell2[[#This Row],[Kvinneandel]]&lt;=F$434,F$434,IF(Tabell2[[#This Row],[Kvinneandel]]&gt;=F$435,F$435,Tabell2[[#This Row],[Kvinneandel]]))</f>
        <v>0.10894344585708023</v>
      </c>
      <c r="P385" s="51">
        <f>IF(Tabell2[[#This Row],[Eldreandel]]&lt;=G$434,G$434,IF(Tabell2[[#This Row],[Eldreandel]]&gt;=G$435,G$435,Tabell2[[#This Row],[Eldreandel]]))</f>
        <v>0.15629110039456379</v>
      </c>
      <c r="Q385" s="51">
        <f>IF(Tabell2[[#This Row],[Sysselsettingsvekst10]]&lt;=H$434,H$434,IF(Tabell2[[#This Row],[Sysselsettingsvekst10]]&gt;=H$435,H$435,Tabell2[[#This Row],[Sysselsettingsvekst10]]))</f>
        <v>9.1139240506328267E-3</v>
      </c>
      <c r="R385" s="51">
        <f>IF(Tabell2[[#This Row],[Yrkesaktivandel]]&lt;=I$434,I$434,IF(Tabell2[[#This Row],[Yrkesaktivandel]]&gt;=I$435,I$435,Tabell2[[#This Row],[Yrkesaktivandel]]))</f>
        <v>0.84550345887778633</v>
      </c>
      <c r="S385" s="52">
        <f>IF(Tabell2[[#This Row],[Inntekt]]&lt;=J$434,J$434,IF(Tabell2[[#This Row],[Inntekt]]&gt;=J$435,J$435,Tabell2[[#This Row],[Inntekt]]))</f>
        <v>351300</v>
      </c>
      <c r="T385" s="9">
        <f>IF(Tabell2[[#This Row],[NIBR11-T]]&lt;=K$437,100,IF(Tabell2[[#This Row],[NIBR11-T]]&gt;=K$436,0,100*(K$436-Tabell2[[#This Row],[NIBR11-T]])/K$439))</f>
        <v>30</v>
      </c>
      <c r="U385" s="9">
        <f>(L$436-Tabell2[[#This Row],[ReisetidOslo-T]])*100/L$439</f>
        <v>0</v>
      </c>
      <c r="V385" s="9">
        <f>100-(M$436-Tabell2[[#This Row],[Beftettotal-T]])*100/M$439</f>
        <v>10.191426304068415</v>
      </c>
      <c r="W385" s="9">
        <f>100-(N$436-Tabell2[[#This Row],[Befvekst10-T]])*100/N$439</f>
        <v>26.489176391987101</v>
      </c>
      <c r="X385" s="9">
        <f>100-(O$436-Tabell2[[#This Row],[Kvinneandel-T]])*100/O$439</f>
        <v>49.479075241475385</v>
      </c>
      <c r="Y385" s="9">
        <f>(P$436-Tabell2[[#This Row],[Eldreandel-T]])*100/P$439</f>
        <v>58.962503260799394</v>
      </c>
      <c r="Z385" s="9">
        <f>100-(Q$436-Tabell2[[#This Row],[Sysselsettingsvekst10-T]])*100/Q$439</f>
        <v>24.973618271783607</v>
      </c>
      <c r="AA385" s="9">
        <f>100-(R$436-Tabell2[[#This Row],[Yrkesaktivandel-T]])*100/R$439</f>
        <v>13.021843736434391</v>
      </c>
      <c r="AB385" s="9">
        <f>100-(S$436-Tabell2[[#This Row],[Inntekt-T]])*100/S$439</f>
        <v>38.765245819187726</v>
      </c>
      <c r="AC385" s="48">
        <f>Tabell2[[#This Row],[NIBR11-I]]*Vekter!$B$3</f>
        <v>6</v>
      </c>
      <c r="AD385" s="48">
        <f>Tabell2[[#This Row],[ReisetidOslo-I]]*Vekter!$C$3</f>
        <v>0</v>
      </c>
      <c r="AE385" s="48">
        <f>Tabell2[[#This Row],[Beftettotal-I]]*Vekter!$D$3</f>
        <v>1.0191426304068416</v>
      </c>
      <c r="AF385" s="48">
        <f>Tabell2[[#This Row],[Befvekst10-I]]*Vekter!$E$3</f>
        <v>5.2978352783974207</v>
      </c>
      <c r="AG385" s="48">
        <f>Tabell2[[#This Row],[Kvinneandel-I]]*Vekter!$F$3</f>
        <v>2.4739537620737693</v>
      </c>
      <c r="AH385" s="48">
        <f>Tabell2[[#This Row],[Eldreandel-I]]*Vekter!$G$3</f>
        <v>2.9481251630399701</v>
      </c>
      <c r="AI385" s="48">
        <f>Tabell2[[#This Row],[Sysselsettingsvekst10-I]]*Vekter!$H$3</f>
        <v>2.4973618271783611</v>
      </c>
      <c r="AJ385" s="48">
        <f>Tabell2[[#This Row],[Yrkesaktivandel-I]]*Vekter!$J$3</f>
        <v>1.3021843736434393</v>
      </c>
      <c r="AK385" s="48">
        <f>Tabell2[[#This Row],[Inntekt-I]]*Vekter!$L$3</f>
        <v>3.8765245819187726</v>
      </c>
      <c r="AL385" s="37">
        <f>SUM(Tabell2[[#This Row],[NIBR11-v]:[Inntekt-v]])</f>
        <v>25.41512761665857</v>
      </c>
    </row>
    <row r="386" spans="1:38">
      <c r="A386" s="2" t="s">
        <v>383</v>
      </c>
      <c r="B386">
        <f>'Rådata-K'!M385</f>
        <v>8</v>
      </c>
      <c r="C386" s="9">
        <f>'Rådata-K'!L385</f>
        <v>266.07809050419996</v>
      </c>
      <c r="D386" s="51">
        <f>'Rådata-K'!N385</f>
        <v>14.030834868612432</v>
      </c>
      <c r="E386" s="51">
        <f>'Rådata-K'!O385</f>
        <v>6.5201388158586671E-2</v>
      </c>
      <c r="F386" s="51">
        <f>'Rådata-K'!P385</f>
        <v>0.11422647842827525</v>
      </c>
      <c r="G386" s="51">
        <f>'Rådata-K'!Q385</f>
        <v>0.13851317997828019</v>
      </c>
      <c r="H386" s="51">
        <f>'Rådata-K'!R385</f>
        <v>7.4196891191709913E-2</v>
      </c>
      <c r="I386" s="51">
        <f>'Rådata-K'!S385</f>
        <v>0.86540106037284081</v>
      </c>
      <c r="J386" s="52">
        <f>'Rådata-K'!K385</f>
        <v>351000</v>
      </c>
      <c r="K386" s="26">
        <f>Tabell2[[#This Row],[NIBR11]]</f>
        <v>8</v>
      </c>
      <c r="L386" s="52">
        <f>IF(Tabell2[[#This Row],[ReisetidOslo]]&lt;=C$434,C$434,IF(Tabell2[[#This Row],[ReisetidOslo]]&gt;=C$435,C$435,Tabell2[[#This Row],[ReisetidOslo]]))</f>
        <v>266.07809050419996</v>
      </c>
      <c r="M386" s="51">
        <f>IF(Tabell2[[#This Row],[Beftettotal]]&lt;=D$434,D$434,IF(Tabell2[[#This Row],[Beftettotal]]&gt;=D$435,D$435,Tabell2[[#This Row],[Beftettotal]]))</f>
        <v>14.030834868612432</v>
      </c>
      <c r="N386" s="51">
        <f>IF(Tabell2[[#This Row],[Befvekst10]]&lt;=E$434,E$434,IF(Tabell2[[#This Row],[Befvekst10]]&gt;=E$435,E$435,Tabell2[[#This Row],[Befvekst10]]))</f>
        <v>6.5201388158586671E-2</v>
      </c>
      <c r="O386" s="51">
        <f>IF(Tabell2[[#This Row],[Kvinneandel]]&lt;=F$434,F$434,IF(Tabell2[[#This Row],[Kvinneandel]]&gt;=F$435,F$435,Tabell2[[#This Row],[Kvinneandel]]))</f>
        <v>0.11422647842827525</v>
      </c>
      <c r="P386" s="51">
        <f>IF(Tabell2[[#This Row],[Eldreandel]]&lt;=G$434,G$434,IF(Tabell2[[#This Row],[Eldreandel]]&gt;=G$435,G$435,Tabell2[[#This Row],[Eldreandel]]))</f>
        <v>0.13851317997828019</v>
      </c>
      <c r="Q386" s="51">
        <f>IF(Tabell2[[#This Row],[Sysselsettingsvekst10]]&lt;=H$434,H$434,IF(Tabell2[[#This Row],[Sysselsettingsvekst10]]&gt;=H$435,H$435,Tabell2[[#This Row],[Sysselsettingsvekst10]]))</f>
        <v>7.4196891191709913E-2</v>
      </c>
      <c r="R386" s="51">
        <f>IF(Tabell2[[#This Row],[Yrkesaktivandel]]&lt;=I$434,I$434,IF(Tabell2[[#This Row],[Yrkesaktivandel]]&gt;=I$435,I$435,Tabell2[[#This Row],[Yrkesaktivandel]]))</f>
        <v>0.86540106037284081</v>
      </c>
      <c r="S386" s="52">
        <f>IF(Tabell2[[#This Row],[Inntekt]]&lt;=J$434,J$434,IF(Tabell2[[#This Row],[Inntekt]]&gt;=J$435,J$435,Tabell2[[#This Row],[Inntekt]]))</f>
        <v>351000</v>
      </c>
      <c r="T386" s="9">
        <f>IF(Tabell2[[#This Row],[NIBR11-T]]&lt;=K$437,100,IF(Tabell2[[#This Row],[NIBR11-T]]&gt;=K$436,0,100*(K$436-Tabell2[[#This Row],[NIBR11-T]])/K$439))</f>
        <v>30</v>
      </c>
      <c r="U386" s="9">
        <f>(L$436-Tabell2[[#This Row],[ReisetidOslo-T]])*100/L$439</f>
        <v>5.761362158130658</v>
      </c>
      <c r="V386" s="9">
        <f>100-(M$436-Tabell2[[#This Row],[Beftettotal-T]])*100/M$439</f>
        <v>9.9963024292828493</v>
      </c>
      <c r="W386" s="9">
        <f>100-(N$436-Tabell2[[#This Row],[Befvekst10-T]])*100/N$439</f>
        <v>59.074577271459987</v>
      </c>
      <c r="X386" s="9">
        <f>100-(O$436-Tabell2[[#This Row],[Kvinneandel-T]])*100/O$439</f>
        <v>63.472231917807072</v>
      </c>
      <c r="Y386" s="9">
        <f>(P$436-Tabell2[[#This Row],[Eldreandel-T]])*100/P$439</f>
        <v>79.117090922738427</v>
      </c>
      <c r="Z386" s="9">
        <f>100-(Q$436-Tabell2[[#This Row],[Sysselsettingsvekst10-T]])*100/Q$439</f>
        <v>45.86337424158549</v>
      </c>
      <c r="AA386" s="9">
        <f>100-(R$436-Tabell2[[#This Row],[Yrkesaktivandel-T]])*100/R$439</f>
        <v>27.855022918691745</v>
      </c>
      <c r="AB386" s="9">
        <f>100-(S$436-Tabell2[[#This Row],[Inntekt-T]])*100/S$439</f>
        <v>38.388029674336728</v>
      </c>
      <c r="AC386" s="48">
        <f>Tabell2[[#This Row],[NIBR11-I]]*Vekter!$B$3</f>
        <v>6</v>
      </c>
      <c r="AD386" s="48">
        <f>Tabell2[[#This Row],[ReisetidOslo-I]]*Vekter!$C$3</f>
        <v>0.57613621581306584</v>
      </c>
      <c r="AE386" s="48">
        <f>Tabell2[[#This Row],[Beftettotal-I]]*Vekter!$D$3</f>
        <v>0.99963024292828495</v>
      </c>
      <c r="AF386" s="48">
        <f>Tabell2[[#This Row],[Befvekst10-I]]*Vekter!$E$3</f>
        <v>11.814915454291999</v>
      </c>
      <c r="AG386" s="48">
        <f>Tabell2[[#This Row],[Kvinneandel-I]]*Vekter!$F$3</f>
        <v>3.1736115958903537</v>
      </c>
      <c r="AH386" s="48">
        <f>Tabell2[[#This Row],[Eldreandel-I]]*Vekter!$G$3</f>
        <v>3.9558545461369214</v>
      </c>
      <c r="AI386" s="48">
        <f>Tabell2[[#This Row],[Sysselsettingsvekst10-I]]*Vekter!$H$3</f>
        <v>4.5863374241585495</v>
      </c>
      <c r="AJ386" s="48">
        <f>Tabell2[[#This Row],[Yrkesaktivandel-I]]*Vekter!$J$3</f>
        <v>2.7855022918691748</v>
      </c>
      <c r="AK386" s="48">
        <f>Tabell2[[#This Row],[Inntekt-I]]*Vekter!$L$3</f>
        <v>3.838802967433673</v>
      </c>
      <c r="AL386" s="37">
        <f>SUM(Tabell2[[#This Row],[NIBR11-v]:[Inntekt-v]])</f>
        <v>37.730790738522025</v>
      </c>
    </row>
    <row r="387" spans="1:38">
      <c r="A387" s="2" t="s">
        <v>384</v>
      </c>
      <c r="B387">
        <f>'Rådata-K'!M386</f>
        <v>9</v>
      </c>
      <c r="C387" s="9">
        <f>'Rådata-K'!L386</f>
        <v>251.44344475393001</v>
      </c>
      <c r="D387" s="51">
        <f>'Rådata-K'!N386</f>
        <v>7.6098884350423699</v>
      </c>
      <c r="E387" s="51">
        <f>'Rådata-K'!O386</f>
        <v>-8.0478821362799269E-2</v>
      </c>
      <c r="F387" s="51">
        <f>'Rådata-K'!P386</f>
        <v>9.6134588423793313E-2</v>
      </c>
      <c r="G387" s="51">
        <f>'Rådata-K'!Q386</f>
        <v>0.19747646705387542</v>
      </c>
      <c r="H387" s="51">
        <f>'Rådata-K'!R386</f>
        <v>-3.7844036697247674E-2</v>
      </c>
      <c r="I387" s="51">
        <f>'Rådata-K'!S386</f>
        <v>0.862286562731997</v>
      </c>
      <c r="J387" s="52">
        <f>'Rådata-K'!K386</f>
        <v>350700</v>
      </c>
      <c r="K387" s="26">
        <f>Tabell2[[#This Row],[NIBR11]]</f>
        <v>9</v>
      </c>
      <c r="L387" s="52">
        <f>IF(Tabell2[[#This Row],[ReisetidOslo]]&lt;=C$434,C$434,IF(Tabell2[[#This Row],[ReisetidOslo]]&gt;=C$435,C$435,Tabell2[[#This Row],[ReisetidOslo]]))</f>
        <v>251.44344475393001</v>
      </c>
      <c r="M387" s="51">
        <f>IF(Tabell2[[#This Row],[Beftettotal]]&lt;=D$434,D$434,IF(Tabell2[[#This Row],[Beftettotal]]&gt;=D$435,D$435,Tabell2[[#This Row],[Beftettotal]]))</f>
        <v>7.6098884350423699</v>
      </c>
      <c r="N387" s="51">
        <f>IF(Tabell2[[#This Row],[Befvekst10]]&lt;=E$434,E$434,IF(Tabell2[[#This Row],[Befvekst10]]&gt;=E$435,E$435,Tabell2[[#This Row],[Befvekst10]]))</f>
        <v>-8.0478821362799269E-2</v>
      </c>
      <c r="O387" s="51">
        <f>IF(Tabell2[[#This Row],[Kvinneandel]]&lt;=F$434,F$434,IF(Tabell2[[#This Row],[Kvinneandel]]&gt;=F$435,F$435,Tabell2[[#This Row],[Kvinneandel]]))</f>
        <v>9.6134588423793313E-2</v>
      </c>
      <c r="P387" s="51">
        <f>IF(Tabell2[[#This Row],[Eldreandel]]&lt;=G$434,G$434,IF(Tabell2[[#This Row],[Eldreandel]]&gt;=G$435,G$435,Tabell2[[#This Row],[Eldreandel]]))</f>
        <v>0.19747646705387542</v>
      </c>
      <c r="Q387" s="51">
        <f>IF(Tabell2[[#This Row],[Sysselsettingsvekst10]]&lt;=H$434,H$434,IF(Tabell2[[#This Row],[Sysselsettingsvekst10]]&gt;=H$435,H$435,Tabell2[[#This Row],[Sysselsettingsvekst10]]))</f>
        <v>-3.7844036697247674E-2</v>
      </c>
      <c r="R387" s="51">
        <f>IF(Tabell2[[#This Row],[Yrkesaktivandel]]&lt;=I$434,I$434,IF(Tabell2[[#This Row],[Yrkesaktivandel]]&gt;=I$435,I$435,Tabell2[[#This Row],[Yrkesaktivandel]]))</f>
        <v>0.862286562731997</v>
      </c>
      <c r="S387" s="52">
        <f>IF(Tabell2[[#This Row],[Inntekt]]&lt;=J$434,J$434,IF(Tabell2[[#This Row],[Inntekt]]&gt;=J$435,J$435,Tabell2[[#This Row],[Inntekt]]))</f>
        <v>350700</v>
      </c>
      <c r="T387" s="9">
        <f>IF(Tabell2[[#This Row],[NIBR11-T]]&lt;=K$437,100,IF(Tabell2[[#This Row],[NIBR11-T]]&gt;=K$436,0,100*(K$436-Tabell2[[#This Row],[NIBR11-T]])/K$439))</f>
        <v>20</v>
      </c>
      <c r="U387" s="9">
        <f>(L$436-Tabell2[[#This Row],[ReisetidOslo-T]])*100/L$439</f>
        <v>12.258421800490847</v>
      </c>
      <c r="V387" s="9">
        <f>100-(M$436-Tabell2[[#This Row],[Beftettotal-T]])*100/M$439</f>
        <v>4.9387667867401603</v>
      </c>
      <c r="W387" s="9">
        <f>100-(N$436-Tabell2[[#This Row],[Befvekst10-T]])*100/N$439</f>
        <v>0.12424607049560166</v>
      </c>
      <c r="X387" s="9">
        <f>100-(O$436-Tabell2[[#This Row],[Kvinneandel-T]])*100/O$439</f>
        <v>15.552282912758756</v>
      </c>
      <c r="Y387" s="9">
        <f>(P$436-Tabell2[[#This Row],[Eldreandel-T]])*100/P$439</f>
        <v>12.271210731224585</v>
      </c>
      <c r="Z387" s="9">
        <f>100-(Q$436-Tabell2[[#This Row],[Sysselsettingsvekst10-T]])*100/Q$439</f>
        <v>9.9014667711240918</v>
      </c>
      <c r="AA387" s="9">
        <f>100-(R$436-Tabell2[[#This Row],[Yrkesaktivandel-T]])*100/R$439</f>
        <v>25.533240487737118</v>
      </c>
      <c r="AB387" s="9">
        <f>100-(S$436-Tabell2[[#This Row],[Inntekt-T]])*100/S$439</f>
        <v>38.010813529485731</v>
      </c>
      <c r="AC387" s="48">
        <f>Tabell2[[#This Row],[NIBR11-I]]*Vekter!$B$3</f>
        <v>4</v>
      </c>
      <c r="AD387" s="48">
        <f>Tabell2[[#This Row],[ReisetidOslo-I]]*Vekter!$C$3</f>
        <v>1.2258421800490849</v>
      </c>
      <c r="AE387" s="48">
        <f>Tabell2[[#This Row],[Beftettotal-I]]*Vekter!$D$3</f>
        <v>0.49387667867401608</v>
      </c>
      <c r="AF387" s="48">
        <f>Tabell2[[#This Row],[Befvekst10-I]]*Vekter!$E$3</f>
        <v>2.4849214099120331E-2</v>
      </c>
      <c r="AG387" s="48">
        <f>Tabell2[[#This Row],[Kvinneandel-I]]*Vekter!$F$3</f>
        <v>0.77761414563793785</v>
      </c>
      <c r="AH387" s="48">
        <f>Tabell2[[#This Row],[Eldreandel-I]]*Vekter!$G$3</f>
        <v>0.61356053656122933</v>
      </c>
      <c r="AI387" s="48">
        <f>Tabell2[[#This Row],[Sysselsettingsvekst10-I]]*Vekter!$H$3</f>
        <v>0.99014667711240922</v>
      </c>
      <c r="AJ387" s="48">
        <f>Tabell2[[#This Row],[Yrkesaktivandel-I]]*Vekter!$J$3</f>
        <v>2.5533240487737121</v>
      </c>
      <c r="AK387" s="48">
        <f>Tabell2[[#This Row],[Inntekt-I]]*Vekter!$L$3</f>
        <v>3.8010813529485734</v>
      </c>
      <c r="AL387" s="37">
        <f>SUM(Tabell2[[#This Row],[NIBR11-v]:[Inntekt-v]])</f>
        <v>14.480294833856084</v>
      </c>
    </row>
    <row r="388" spans="1:38">
      <c r="A388" s="2" t="s">
        <v>385</v>
      </c>
      <c r="B388">
        <f>'Rådata-K'!M387</f>
        <v>11</v>
      </c>
      <c r="C388" s="9">
        <f>'Rådata-K'!L387</f>
        <v>290.22977776059997</v>
      </c>
      <c r="D388" s="51">
        <f>'Rådata-K'!N387</f>
        <v>9.3407519811161688</v>
      </c>
      <c r="E388" s="51">
        <f>'Rådata-K'!O387</f>
        <v>-8.5808580858085848E-2</v>
      </c>
      <c r="F388" s="51">
        <f>'Rådata-K'!P387</f>
        <v>9.5667870036101083E-2</v>
      </c>
      <c r="G388" s="51">
        <f>'Rådata-K'!Q387</f>
        <v>0.21841155234657039</v>
      </c>
      <c r="H388" s="51">
        <f>'Rådata-K'!R387</f>
        <v>-7.7369439071566681E-2</v>
      </c>
      <c r="I388" s="51">
        <f>'Rådata-K'!S387</f>
        <v>0.90594059405940597</v>
      </c>
      <c r="J388" s="52">
        <f>'Rådata-K'!K387</f>
        <v>349400</v>
      </c>
      <c r="K388" s="26">
        <f>Tabell2[[#This Row],[NIBR11]]</f>
        <v>11</v>
      </c>
      <c r="L388" s="52">
        <f>IF(Tabell2[[#This Row],[ReisetidOslo]]&lt;=C$434,C$434,IF(Tabell2[[#This Row],[ReisetidOslo]]&gt;=C$435,C$435,Tabell2[[#This Row],[ReisetidOslo]]))</f>
        <v>279.05557553043002</v>
      </c>
      <c r="M388" s="51">
        <f>IF(Tabell2[[#This Row],[Beftettotal]]&lt;=D$434,D$434,IF(Tabell2[[#This Row],[Beftettotal]]&gt;=D$435,D$435,Tabell2[[#This Row],[Beftettotal]]))</f>
        <v>9.3407519811161688</v>
      </c>
      <c r="N388" s="51">
        <f>IF(Tabell2[[#This Row],[Befvekst10]]&lt;=E$434,E$434,IF(Tabell2[[#This Row],[Befvekst10]]&gt;=E$435,E$435,Tabell2[[#This Row],[Befvekst10]]))</f>
        <v>-8.0785862785862778E-2</v>
      </c>
      <c r="O388" s="51">
        <f>IF(Tabell2[[#This Row],[Kvinneandel]]&lt;=F$434,F$434,IF(Tabell2[[#This Row],[Kvinneandel]]&gt;=F$435,F$435,Tabell2[[#This Row],[Kvinneandel]]))</f>
        <v>9.5667870036101083E-2</v>
      </c>
      <c r="P388" s="51">
        <f>IF(Tabell2[[#This Row],[Eldreandel]]&lt;=G$434,G$434,IF(Tabell2[[#This Row],[Eldreandel]]&gt;=G$435,G$435,Tabell2[[#This Row],[Eldreandel]]))</f>
        <v>0.20830063331569054</v>
      </c>
      <c r="Q388" s="51">
        <f>IF(Tabell2[[#This Row],[Sysselsettingsvekst10]]&lt;=H$434,H$434,IF(Tabell2[[#This Row],[Sysselsettingsvekst10]]&gt;=H$435,H$435,Tabell2[[#This Row],[Sysselsettingsvekst10]]))</f>
        <v>-6.8692498376029434E-2</v>
      </c>
      <c r="R388" s="51">
        <f>IF(Tabell2[[#This Row],[Yrkesaktivandel]]&lt;=I$434,I$434,IF(Tabell2[[#This Row],[Yrkesaktivandel]]&gt;=I$435,I$435,Tabell2[[#This Row],[Yrkesaktivandel]]))</f>
        <v>0.90594059405940597</v>
      </c>
      <c r="S388" s="52">
        <f>IF(Tabell2[[#This Row],[Inntekt]]&lt;=J$434,J$434,IF(Tabell2[[#This Row],[Inntekt]]&gt;=J$435,J$435,Tabell2[[#This Row],[Inntekt]]))</f>
        <v>349400</v>
      </c>
      <c r="T388" s="9">
        <f>IF(Tabell2[[#This Row],[NIBR11-T]]&lt;=K$437,100,IF(Tabell2[[#This Row],[NIBR11-T]]&gt;=K$436,0,100*(K$436-Tabell2[[#This Row],[NIBR11-T]])/K$439))</f>
        <v>0</v>
      </c>
      <c r="U388" s="9">
        <f>(L$436-Tabell2[[#This Row],[ReisetidOslo-T]])*100/L$439</f>
        <v>0</v>
      </c>
      <c r="V388" s="9">
        <f>100-(M$436-Tabell2[[#This Row],[Beftettotal-T]])*100/M$439</f>
        <v>6.3021022649616896</v>
      </c>
      <c r="W388" s="9">
        <f>100-(N$436-Tabell2[[#This Row],[Befvekst10-T]])*100/N$439</f>
        <v>0</v>
      </c>
      <c r="X388" s="9">
        <f>100-(O$436-Tabell2[[#This Row],[Kvinneandel-T]])*100/O$439</f>
        <v>14.316086952447847</v>
      </c>
      <c r="Y388" s="9">
        <f>(P$436-Tabell2[[#This Row],[Eldreandel-T]])*100/P$439</f>
        <v>0</v>
      </c>
      <c r="Z388" s="9">
        <f>100-(Q$436-Tabell2[[#This Row],[Sysselsettingsvekst10-T]])*100/Q$439</f>
        <v>0</v>
      </c>
      <c r="AA388" s="9">
        <f>100-(R$436-Tabell2[[#This Row],[Yrkesaktivandel-T]])*100/R$439</f>
        <v>58.076261759334834</v>
      </c>
      <c r="AB388" s="9">
        <f>100-(S$436-Tabell2[[#This Row],[Inntekt-T]])*100/S$439</f>
        <v>36.376210235131396</v>
      </c>
      <c r="AC388" s="48">
        <f>Tabell2[[#This Row],[NIBR11-I]]*Vekter!$B$3</f>
        <v>0</v>
      </c>
      <c r="AD388" s="48">
        <f>Tabell2[[#This Row],[ReisetidOslo-I]]*Vekter!$C$3</f>
        <v>0</v>
      </c>
      <c r="AE388" s="48">
        <f>Tabell2[[#This Row],[Beftettotal-I]]*Vekter!$D$3</f>
        <v>0.63021022649616898</v>
      </c>
      <c r="AF388" s="48">
        <f>Tabell2[[#This Row],[Befvekst10-I]]*Vekter!$E$3</f>
        <v>0</v>
      </c>
      <c r="AG388" s="48">
        <f>Tabell2[[#This Row],[Kvinneandel-I]]*Vekter!$F$3</f>
        <v>0.71580434762239242</v>
      </c>
      <c r="AH388" s="48">
        <f>Tabell2[[#This Row],[Eldreandel-I]]*Vekter!$G$3</f>
        <v>0</v>
      </c>
      <c r="AI388" s="48">
        <f>Tabell2[[#This Row],[Sysselsettingsvekst10-I]]*Vekter!$H$3</f>
        <v>0</v>
      </c>
      <c r="AJ388" s="48">
        <f>Tabell2[[#This Row],[Yrkesaktivandel-I]]*Vekter!$J$3</f>
        <v>5.8076261759334837</v>
      </c>
      <c r="AK388" s="48">
        <f>Tabell2[[#This Row],[Inntekt-I]]*Vekter!$L$3</f>
        <v>3.6376210235131397</v>
      </c>
      <c r="AL388" s="37">
        <f>SUM(Tabell2[[#This Row],[NIBR11-v]:[Inntekt-v]])</f>
        <v>10.791261773565184</v>
      </c>
    </row>
    <row r="389" spans="1:38">
      <c r="A389" s="2" t="s">
        <v>386</v>
      </c>
      <c r="B389">
        <f>'Rådata-K'!M388</f>
        <v>4</v>
      </c>
      <c r="C389" s="9">
        <f>'Rådata-K'!L388</f>
        <v>216.34609367482</v>
      </c>
      <c r="D389" s="51">
        <f>'Rådata-K'!N388</f>
        <v>28.401967785447905</v>
      </c>
      <c r="E389" s="51">
        <f>'Rådata-K'!O388</f>
        <v>0.15659886585779592</v>
      </c>
      <c r="F389" s="51">
        <f>'Rådata-K'!P388</f>
        <v>0.14919681519765329</v>
      </c>
      <c r="G389" s="51">
        <f>'Rådata-K'!Q388</f>
        <v>9.921776784467104E-2</v>
      </c>
      <c r="H389" s="51">
        <f>'Rådata-K'!R388</f>
        <v>0.16126966448559088</v>
      </c>
      <c r="I389" s="51">
        <f>'Rådata-K'!S388</f>
        <v>0.87248336931142345</v>
      </c>
      <c r="J389" s="52">
        <f>'Rådata-K'!K388</f>
        <v>389400</v>
      </c>
      <c r="K389" s="26">
        <f>Tabell2[[#This Row],[NIBR11]]</f>
        <v>4</v>
      </c>
      <c r="L389" s="52">
        <f>IF(Tabell2[[#This Row],[ReisetidOslo]]&lt;=C$434,C$434,IF(Tabell2[[#This Row],[ReisetidOslo]]&gt;=C$435,C$435,Tabell2[[#This Row],[ReisetidOslo]]))</f>
        <v>216.34609367482</v>
      </c>
      <c r="M389" s="51">
        <f>IF(Tabell2[[#This Row],[Beftettotal]]&lt;=D$434,D$434,IF(Tabell2[[#This Row],[Beftettotal]]&gt;=D$435,D$435,Tabell2[[#This Row],[Beftettotal]]))</f>
        <v>28.401967785447905</v>
      </c>
      <c r="N389" s="51">
        <f>IF(Tabell2[[#This Row],[Befvekst10]]&lt;=E$434,E$434,IF(Tabell2[[#This Row],[Befvekst10]]&gt;=E$435,E$435,Tabell2[[#This Row],[Befvekst10]]))</f>
        <v>0.15659886585779592</v>
      </c>
      <c r="O389" s="51">
        <f>IF(Tabell2[[#This Row],[Kvinneandel]]&lt;=F$434,F$434,IF(Tabell2[[#This Row],[Kvinneandel]]&gt;=F$435,F$435,Tabell2[[#This Row],[Kvinneandel]]))</f>
        <v>0.12801731869362362</v>
      </c>
      <c r="P389" s="51">
        <f>IF(Tabell2[[#This Row],[Eldreandel]]&lt;=G$434,G$434,IF(Tabell2[[#This Row],[Eldreandel]]&gt;=G$435,G$435,Tabell2[[#This Row],[Eldreandel]]))</f>
        <v>0.1200928231908705</v>
      </c>
      <c r="Q389" s="51">
        <f>IF(Tabell2[[#This Row],[Sysselsettingsvekst10]]&lt;=H$434,H$434,IF(Tabell2[[#This Row],[Sysselsettingsvekst10]]&gt;=H$435,H$435,Tabell2[[#This Row],[Sysselsettingsvekst10]]))</f>
        <v>0.16126966448559088</v>
      </c>
      <c r="R389" s="51">
        <f>IF(Tabell2[[#This Row],[Yrkesaktivandel]]&lt;=I$434,I$434,IF(Tabell2[[#This Row],[Yrkesaktivandel]]&gt;=I$435,I$435,Tabell2[[#This Row],[Yrkesaktivandel]]))</f>
        <v>0.87248336931142345</v>
      </c>
      <c r="S389" s="52">
        <f>IF(Tabell2[[#This Row],[Inntekt]]&lt;=J$434,J$434,IF(Tabell2[[#This Row],[Inntekt]]&gt;=J$435,J$435,Tabell2[[#This Row],[Inntekt]]))</f>
        <v>389400</v>
      </c>
      <c r="T389" s="9">
        <f>IF(Tabell2[[#This Row],[NIBR11-T]]&lt;=K$437,100,IF(Tabell2[[#This Row],[NIBR11-T]]&gt;=K$436,0,100*(K$436-Tabell2[[#This Row],[NIBR11-T]])/K$439))</f>
        <v>70</v>
      </c>
      <c r="U389" s="9">
        <f>(L$436-Tabell2[[#This Row],[ReisetidOslo-T]])*100/L$439</f>
        <v>27.839911584459564</v>
      </c>
      <c r="V389" s="9">
        <f>100-(M$436-Tabell2[[#This Row],[Beftettotal-T]])*100/M$439</f>
        <v>21.315898022015759</v>
      </c>
      <c r="W389" s="9">
        <f>100-(N$436-Tabell2[[#This Row],[Befvekst10-T]])*100/N$439</f>
        <v>96.059090123291043</v>
      </c>
      <c r="X389" s="9">
        <f>100-(O$436-Tabell2[[#This Row],[Kvinneandel-T]])*100/O$439</f>
        <v>100</v>
      </c>
      <c r="Y389" s="9">
        <f>(P$436-Tabell2[[#This Row],[Eldreandel-T]])*100/P$439</f>
        <v>100.00000000000001</v>
      </c>
      <c r="Z389" s="9">
        <f>100-(Q$436-Tabell2[[#This Row],[Sysselsettingsvekst10-T]])*100/Q$439</f>
        <v>73.811223972840907</v>
      </c>
      <c r="AA389" s="9">
        <f>100-(R$436-Tabell2[[#This Row],[Yrkesaktivandel-T]])*100/R$439</f>
        <v>33.134712409719583</v>
      </c>
      <c r="AB389" s="9">
        <f>100-(S$436-Tabell2[[#This Row],[Inntekt-T]])*100/S$439</f>
        <v>86.671696215264674</v>
      </c>
      <c r="AC389" s="48">
        <f>Tabell2[[#This Row],[NIBR11-I]]*Vekter!$B$3</f>
        <v>14</v>
      </c>
      <c r="AD389" s="48">
        <f>Tabell2[[#This Row],[ReisetidOslo-I]]*Vekter!$C$3</f>
        <v>2.7839911584459567</v>
      </c>
      <c r="AE389" s="48">
        <f>Tabell2[[#This Row],[Beftettotal-I]]*Vekter!$D$3</f>
        <v>2.1315898022015758</v>
      </c>
      <c r="AF389" s="48">
        <f>Tabell2[[#This Row],[Befvekst10-I]]*Vekter!$E$3</f>
        <v>19.211818024658211</v>
      </c>
      <c r="AG389" s="48">
        <f>Tabell2[[#This Row],[Kvinneandel-I]]*Vekter!$F$3</f>
        <v>5</v>
      </c>
      <c r="AH389" s="48">
        <f>Tabell2[[#This Row],[Eldreandel-I]]*Vekter!$G$3</f>
        <v>5.0000000000000009</v>
      </c>
      <c r="AI389" s="48">
        <f>Tabell2[[#This Row],[Sysselsettingsvekst10-I]]*Vekter!$H$3</f>
        <v>7.3811223972840914</v>
      </c>
      <c r="AJ389" s="48">
        <f>Tabell2[[#This Row],[Yrkesaktivandel-I]]*Vekter!$J$3</f>
        <v>3.3134712409719587</v>
      </c>
      <c r="AK389" s="48">
        <f>Tabell2[[#This Row],[Inntekt-I]]*Vekter!$L$3</f>
        <v>8.6671696215264671</v>
      </c>
      <c r="AL389" s="37">
        <f>SUM(Tabell2[[#This Row],[NIBR11-v]:[Inntekt-v]])</f>
        <v>67.489162245088252</v>
      </c>
    </row>
    <row r="390" spans="1:38">
      <c r="A390" s="2" t="s">
        <v>387</v>
      </c>
      <c r="B390">
        <f>'Rådata-K'!M389</f>
        <v>5</v>
      </c>
      <c r="C390" s="9">
        <f>'Rådata-K'!L389</f>
        <v>235.3452336666</v>
      </c>
      <c r="D390" s="51">
        <f>'Rådata-K'!N389</f>
        <v>54.90632160668553</v>
      </c>
      <c r="E390" s="51">
        <f>'Rådata-K'!O389</f>
        <v>3.1614046935674489E-2</v>
      </c>
      <c r="F390" s="51">
        <f>'Rådata-K'!P389</f>
        <v>0.1226218239842887</v>
      </c>
      <c r="G390" s="51">
        <f>'Rådata-K'!Q389</f>
        <v>0.14839818338038541</v>
      </c>
      <c r="H390" s="51">
        <f>'Rådata-K'!R389</f>
        <v>6.1624409110442535E-2</v>
      </c>
      <c r="I390" s="51">
        <f>'Rådata-K'!S389</f>
        <v>0.8635791241080174</v>
      </c>
      <c r="J390" s="52">
        <f>'Rådata-K'!K389</f>
        <v>369000</v>
      </c>
      <c r="K390" s="26">
        <f>Tabell2[[#This Row],[NIBR11]]</f>
        <v>5</v>
      </c>
      <c r="L390" s="52">
        <f>IF(Tabell2[[#This Row],[ReisetidOslo]]&lt;=C$434,C$434,IF(Tabell2[[#This Row],[ReisetidOslo]]&gt;=C$435,C$435,Tabell2[[#This Row],[ReisetidOslo]]))</f>
        <v>235.3452336666</v>
      </c>
      <c r="M390" s="51">
        <f>IF(Tabell2[[#This Row],[Beftettotal]]&lt;=D$434,D$434,IF(Tabell2[[#This Row],[Beftettotal]]&gt;=D$435,D$435,Tabell2[[#This Row],[Beftettotal]]))</f>
        <v>54.90632160668553</v>
      </c>
      <c r="N390" s="51">
        <f>IF(Tabell2[[#This Row],[Befvekst10]]&lt;=E$434,E$434,IF(Tabell2[[#This Row],[Befvekst10]]&gt;=E$435,E$435,Tabell2[[#This Row],[Befvekst10]]))</f>
        <v>3.1614046935674489E-2</v>
      </c>
      <c r="O390" s="51">
        <f>IF(Tabell2[[#This Row],[Kvinneandel]]&lt;=F$434,F$434,IF(Tabell2[[#This Row],[Kvinneandel]]&gt;=F$435,F$435,Tabell2[[#This Row],[Kvinneandel]]))</f>
        <v>0.1226218239842887</v>
      </c>
      <c r="P390" s="51">
        <f>IF(Tabell2[[#This Row],[Eldreandel]]&lt;=G$434,G$434,IF(Tabell2[[#This Row],[Eldreandel]]&gt;=G$435,G$435,Tabell2[[#This Row],[Eldreandel]]))</f>
        <v>0.14839818338038541</v>
      </c>
      <c r="Q390" s="51">
        <f>IF(Tabell2[[#This Row],[Sysselsettingsvekst10]]&lt;=H$434,H$434,IF(Tabell2[[#This Row],[Sysselsettingsvekst10]]&gt;=H$435,H$435,Tabell2[[#This Row],[Sysselsettingsvekst10]]))</f>
        <v>6.1624409110442535E-2</v>
      </c>
      <c r="R390" s="51">
        <f>IF(Tabell2[[#This Row],[Yrkesaktivandel]]&lt;=I$434,I$434,IF(Tabell2[[#This Row],[Yrkesaktivandel]]&gt;=I$435,I$435,Tabell2[[#This Row],[Yrkesaktivandel]]))</f>
        <v>0.8635791241080174</v>
      </c>
      <c r="S390" s="52">
        <f>IF(Tabell2[[#This Row],[Inntekt]]&lt;=J$434,J$434,IF(Tabell2[[#This Row],[Inntekt]]&gt;=J$435,J$435,Tabell2[[#This Row],[Inntekt]]))</f>
        <v>369000</v>
      </c>
      <c r="T390" s="9">
        <f>IF(Tabell2[[#This Row],[NIBR11-T]]&lt;=K$437,100,IF(Tabell2[[#This Row],[NIBR11-T]]&gt;=K$436,0,100*(K$436-Tabell2[[#This Row],[NIBR11-T]])/K$439))</f>
        <v>60</v>
      </c>
      <c r="U390" s="9">
        <f>(L$436-Tabell2[[#This Row],[ReisetidOslo-T]])*100/L$439</f>
        <v>19.405232140451272</v>
      </c>
      <c r="V390" s="9">
        <f>100-(M$436-Tabell2[[#This Row],[Beftettotal-T]])*100/M$439</f>
        <v>42.192370909664746</v>
      </c>
      <c r="W390" s="9">
        <f>100-(N$436-Tabell2[[#This Row],[Befvekst10-T]])*100/N$439</f>
        <v>45.483267266103255</v>
      </c>
      <c r="X390" s="9">
        <f>100-(O$436-Tabell2[[#This Row],[Kvinneandel-T]])*100/O$439</f>
        <v>85.708965107333398</v>
      </c>
      <c r="Y390" s="9">
        <f>(P$436-Tabell2[[#This Row],[Eldreandel-T]])*100/P$439</f>
        <v>67.910596409251184</v>
      </c>
      <c r="Z390" s="9">
        <f>100-(Q$436-Tabell2[[#This Row],[Sysselsettingsvekst10-T]])*100/Q$439</f>
        <v>41.827969985306282</v>
      </c>
      <c r="AA390" s="9">
        <f>100-(R$436-Tabell2[[#This Row],[Yrkesaktivandel-T]])*100/R$439</f>
        <v>26.496813634949902</v>
      </c>
      <c r="AB390" s="9">
        <f>100-(S$436-Tabell2[[#This Row],[Inntekt-T]])*100/S$439</f>
        <v>61.020998365396707</v>
      </c>
      <c r="AC390" s="48">
        <f>Tabell2[[#This Row],[NIBR11-I]]*Vekter!$B$3</f>
        <v>12</v>
      </c>
      <c r="AD390" s="48">
        <f>Tabell2[[#This Row],[ReisetidOslo-I]]*Vekter!$C$3</f>
        <v>1.9405232140451272</v>
      </c>
      <c r="AE390" s="48">
        <f>Tabell2[[#This Row],[Beftettotal-I]]*Vekter!$D$3</f>
        <v>4.2192370909664749</v>
      </c>
      <c r="AF390" s="48">
        <f>Tabell2[[#This Row],[Befvekst10-I]]*Vekter!$E$3</f>
        <v>9.096653453220652</v>
      </c>
      <c r="AG390" s="48">
        <f>Tabell2[[#This Row],[Kvinneandel-I]]*Vekter!$F$3</f>
        <v>4.2854482553666697</v>
      </c>
      <c r="AH390" s="48">
        <f>Tabell2[[#This Row],[Eldreandel-I]]*Vekter!$G$3</f>
        <v>3.3955298204625595</v>
      </c>
      <c r="AI390" s="48">
        <f>Tabell2[[#This Row],[Sysselsettingsvekst10-I]]*Vekter!$H$3</f>
        <v>4.1827969985306286</v>
      </c>
      <c r="AJ390" s="48">
        <f>Tabell2[[#This Row],[Yrkesaktivandel-I]]*Vekter!$J$3</f>
        <v>2.6496813634949903</v>
      </c>
      <c r="AK390" s="48">
        <f>Tabell2[[#This Row],[Inntekt-I]]*Vekter!$L$3</f>
        <v>6.1020998365396713</v>
      </c>
      <c r="AL390" s="37">
        <f>SUM(Tabell2[[#This Row],[NIBR11-v]:[Inntekt-v]])</f>
        <v>47.871970032626777</v>
      </c>
    </row>
    <row r="391" spans="1:38">
      <c r="A391" s="2" t="s">
        <v>388</v>
      </c>
      <c r="B391">
        <f>'Rådata-K'!M390</f>
        <v>5</v>
      </c>
      <c r="C391" s="9">
        <f>'Rådata-K'!L390</f>
        <v>248.80440292559999</v>
      </c>
      <c r="D391" s="51">
        <f>'Rådata-K'!N390</f>
        <v>6.0618476246219872</v>
      </c>
      <c r="E391" s="51">
        <f>'Rådata-K'!O390</f>
        <v>1.1393229166666741E-2</v>
      </c>
      <c r="F391" s="51">
        <f>'Rådata-K'!P390</f>
        <v>0.1107177341486965</v>
      </c>
      <c r="G391" s="51">
        <f>'Rådata-K'!Q390</f>
        <v>0.16478918570968781</v>
      </c>
      <c r="H391" s="51">
        <f>'Rådata-K'!R390</f>
        <v>-9.2920353982300918E-2</v>
      </c>
      <c r="I391" s="51">
        <f>'Rådata-K'!S390</f>
        <v>0.82718894009216593</v>
      </c>
      <c r="J391" s="52">
        <f>'Rådata-K'!K390</f>
        <v>324000</v>
      </c>
      <c r="K391" s="26">
        <f>Tabell2[[#This Row],[NIBR11]]</f>
        <v>5</v>
      </c>
      <c r="L391" s="52">
        <f>IF(Tabell2[[#This Row],[ReisetidOslo]]&lt;=C$434,C$434,IF(Tabell2[[#This Row],[ReisetidOslo]]&gt;=C$435,C$435,Tabell2[[#This Row],[ReisetidOslo]]))</f>
        <v>248.80440292559999</v>
      </c>
      <c r="M391" s="51">
        <f>IF(Tabell2[[#This Row],[Beftettotal]]&lt;=D$434,D$434,IF(Tabell2[[#This Row],[Beftettotal]]&gt;=D$435,D$435,Tabell2[[#This Row],[Beftettotal]]))</f>
        <v>6.0618476246219872</v>
      </c>
      <c r="N391" s="51">
        <f>IF(Tabell2[[#This Row],[Befvekst10]]&lt;=E$434,E$434,IF(Tabell2[[#This Row],[Befvekst10]]&gt;=E$435,E$435,Tabell2[[#This Row],[Befvekst10]]))</f>
        <v>1.1393229166666741E-2</v>
      </c>
      <c r="O391" s="51">
        <f>IF(Tabell2[[#This Row],[Kvinneandel]]&lt;=F$434,F$434,IF(Tabell2[[#This Row],[Kvinneandel]]&gt;=F$435,F$435,Tabell2[[#This Row],[Kvinneandel]]))</f>
        <v>0.1107177341486965</v>
      </c>
      <c r="P391" s="51">
        <f>IF(Tabell2[[#This Row],[Eldreandel]]&lt;=G$434,G$434,IF(Tabell2[[#This Row],[Eldreandel]]&gt;=G$435,G$435,Tabell2[[#This Row],[Eldreandel]]))</f>
        <v>0.16478918570968781</v>
      </c>
      <c r="Q391" s="51">
        <f>IF(Tabell2[[#This Row],[Sysselsettingsvekst10]]&lt;=H$434,H$434,IF(Tabell2[[#This Row],[Sysselsettingsvekst10]]&gt;=H$435,H$435,Tabell2[[#This Row],[Sysselsettingsvekst10]]))</f>
        <v>-6.8692498376029434E-2</v>
      </c>
      <c r="R391" s="51">
        <f>IF(Tabell2[[#This Row],[Yrkesaktivandel]]&lt;=I$434,I$434,IF(Tabell2[[#This Row],[Yrkesaktivandel]]&gt;=I$435,I$435,Tabell2[[#This Row],[Yrkesaktivandel]]))</f>
        <v>0.82803562853509294</v>
      </c>
      <c r="S391" s="52">
        <f>IF(Tabell2[[#This Row],[Inntekt]]&lt;=J$434,J$434,IF(Tabell2[[#This Row],[Inntekt]]&gt;=J$435,J$435,Tabell2[[#This Row],[Inntekt]]))</f>
        <v>324000</v>
      </c>
      <c r="T391" s="9">
        <f>IF(Tabell2[[#This Row],[NIBR11-T]]&lt;=K$437,100,IF(Tabell2[[#This Row],[NIBR11-T]]&gt;=K$436,0,100*(K$436-Tabell2[[#This Row],[NIBR11-T]])/K$439))</f>
        <v>60</v>
      </c>
      <c r="U391" s="9">
        <f>(L$436-Tabell2[[#This Row],[ReisetidOslo-T]])*100/L$439</f>
        <v>13.430025982097167</v>
      </c>
      <c r="V391" s="9">
        <f>100-(M$436-Tabell2[[#This Row],[Beftettotal-T]])*100/M$439</f>
        <v>3.7194338339096049</v>
      </c>
      <c r="W391" s="9">
        <f>100-(N$436-Tabell2[[#This Row],[Befvekst10-T]])*100/N$439</f>
        <v>37.300797536319109</v>
      </c>
      <c r="X391" s="9">
        <f>100-(O$436-Tabell2[[#This Row],[Kvinneandel-T]])*100/O$439</f>
        <v>54.178628711756424</v>
      </c>
      <c r="Y391" s="9">
        <f>(P$436-Tabell2[[#This Row],[Eldreandel-T]])*100/P$439</f>
        <v>49.328339003576986</v>
      </c>
      <c r="Z391" s="9">
        <f>100-(Q$436-Tabell2[[#This Row],[Sysselsettingsvekst10-T]])*100/Q$439</f>
        <v>0</v>
      </c>
      <c r="AA391" s="9">
        <f>100-(R$436-Tabell2[[#This Row],[Yrkesaktivandel-T]])*100/R$439</f>
        <v>0</v>
      </c>
      <c r="AB391" s="9">
        <f>100-(S$436-Tabell2[[#This Row],[Inntekt-T]])*100/S$439</f>
        <v>4.4385766377467633</v>
      </c>
      <c r="AC391" s="48">
        <f>Tabell2[[#This Row],[NIBR11-I]]*Vekter!$B$3</f>
        <v>12</v>
      </c>
      <c r="AD391" s="48">
        <f>Tabell2[[#This Row],[ReisetidOslo-I]]*Vekter!$C$3</f>
        <v>1.3430025982097167</v>
      </c>
      <c r="AE391" s="48">
        <f>Tabell2[[#This Row],[Beftettotal-I]]*Vekter!$D$3</f>
        <v>0.3719433833909605</v>
      </c>
      <c r="AF391" s="48">
        <f>Tabell2[[#This Row],[Befvekst10-I]]*Vekter!$E$3</f>
        <v>7.460159507263822</v>
      </c>
      <c r="AG391" s="48">
        <f>Tabell2[[#This Row],[Kvinneandel-I]]*Vekter!$F$3</f>
        <v>2.7089314355878216</v>
      </c>
      <c r="AH391" s="48">
        <f>Tabell2[[#This Row],[Eldreandel-I]]*Vekter!$G$3</f>
        <v>2.4664169501788495</v>
      </c>
      <c r="AI391" s="48">
        <f>Tabell2[[#This Row],[Sysselsettingsvekst10-I]]*Vekter!$H$3</f>
        <v>0</v>
      </c>
      <c r="AJ391" s="48">
        <f>Tabell2[[#This Row],[Yrkesaktivandel-I]]*Vekter!$J$3</f>
        <v>0</v>
      </c>
      <c r="AK391" s="48">
        <f>Tabell2[[#This Row],[Inntekt-I]]*Vekter!$L$3</f>
        <v>0.44385766377467634</v>
      </c>
      <c r="AL391" s="37">
        <f>SUM(Tabell2[[#This Row],[NIBR11-v]:[Inntekt-v]])</f>
        <v>26.794311538405847</v>
      </c>
    </row>
    <row r="392" spans="1:38">
      <c r="A392" s="2" t="s">
        <v>389</v>
      </c>
      <c r="B392">
        <f>'Rådata-K'!M391</f>
        <v>5</v>
      </c>
      <c r="C392" s="9">
        <f>'Rådata-K'!L391</f>
        <v>212.67000667799999</v>
      </c>
      <c r="D392" s="51">
        <f>'Rådata-K'!N391</f>
        <v>5.9617366007394086</v>
      </c>
      <c r="E392" s="51">
        <f>'Rådata-K'!O391</f>
        <v>-1.7970049916805286E-2</v>
      </c>
      <c r="F392" s="51">
        <f>'Rådata-K'!P391</f>
        <v>0.10267705862419518</v>
      </c>
      <c r="G392" s="51">
        <f>'Rådata-K'!Q391</f>
        <v>0.18637749915282956</v>
      </c>
      <c r="H392" s="51">
        <f>'Rådata-K'!R391</f>
        <v>-0.11004784688995217</v>
      </c>
      <c r="I392" s="51">
        <f>'Rådata-K'!S391</f>
        <v>0.83633093525179858</v>
      </c>
      <c r="J392" s="52">
        <f>'Rådata-K'!K391</f>
        <v>334000</v>
      </c>
      <c r="K392" s="26">
        <f>Tabell2[[#This Row],[NIBR11]]</f>
        <v>5</v>
      </c>
      <c r="L392" s="52">
        <f>IF(Tabell2[[#This Row],[ReisetidOslo]]&lt;=C$434,C$434,IF(Tabell2[[#This Row],[ReisetidOslo]]&gt;=C$435,C$435,Tabell2[[#This Row],[ReisetidOslo]]))</f>
        <v>212.67000667799999</v>
      </c>
      <c r="M392" s="51">
        <f>IF(Tabell2[[#This Row],[Beftettotal]]&lt;=D$434,D$434,IF(Tabell2[[#This Row],[Beftettotal]]&gt;=D$435,D$435,Tabell2[[#This Row],[Beftettotal]]))</f>
        <v>5.9617366007394086</v>
      </c>
      <c r="N392" s="51">
        <f>IF(Tabell2[[#This Row],[Befvekst10]]&lt;=E$434,E$434,IF(Tabell2[[#This Row],[Befvekst10]]&gt;=E$435,E$435,Tabell2[[#This Row],[Befvekst10]]))</f>
        <v>-1.7970049916805286E-2</v>
      </c>
      <c r="O392" s="51">
        <f>IF(Tabell2[[#This Row],[Kvinneandel]]&lt;=F$434,F$434,IF(Tabell2[[#This Row],[Kvinneandel]]&gt;=F$435,F$435,Tabell2[[#This Row],[Kvinneandel]]))</f>
        <v>0.10267705862419518</v>
      </c>
      <c r="P392" s="51">
        <f>IF(Tabell2[[#This Row],[Eldreandel]]&lt;=G$434,G$434,IF(Tabell2[[#This Row],[Eldreandel]]&gt;=G$435,G$435,Tabell2[[#This Row],[Eldreandel]]))</f>
        <v>0.18637749915282956</v>
      </c>
      <c r="Q392" s="51">
        <f>IF(Tabell2[[#This Row],[Sysselsettingsvekst10]]&lt;=H$434,H$434,IF(Tabell2[[#This Row],[Sysselsettingsvekst10]]&gt;=H$435,H$435,Tabell2[[#This Row],[Sysselsettingsvekst10]]))</f>
        <v>-6.8692498376029434E-2</v>
      </c>
      <c r="R392" s="51">
        <f>IF(Tabell2[[#This Row],[Yrkesaktivandel]]&lt;=I$434,I$434,IF(Tabell2[[#This Row],[Yrkesaktivandel]]&gt;=I$435,I$435,Tabell2[[#This Row],[Yrkesaktivandel]]))</f>
        <v>0.83633093525179858</v>
      </c>
      <c r="S392" s="52">
        <f>IF(Tabell2[[#This Row],[Inntekt]]&lt;=J$434,J$434,IF(Tabell2[[#This Row],[Inntekt]]&gt;=J$435,J$435,Tabell2[[#This Row],[Inntekt]]))</f>
        <v>334000</v>
      </c>
      <c r="T392" s="9">
        <f>IF(Tabell2[[#This Row],[NIBR11-T]]&lt;=K$437,100,IF(Tabell2[[#This Row],[NIBR11-T]]&gt;=K$436,0,100*(K$436-Tabell2[[#This Row],[NIBR11-T]])/K$439))</f>
        <v>60</v>
      </c>
      <c r="U392" s="9">
        <f>(L$436-Tabell2[[#This Row],[ReisetidOslo-T]])*100/L$439</f>
        <v>29.471912582393099</v>
      </c>
      <c r="V392" s="9">
        <f>100-(M$436-Tabell2[[#This Row],[Beftettotal-T]])*100/M$439</f>
        <v>3.6405801825459463</v>
      </c>
      <c r="W392" s="9">
        <f>100-(N$436-Tabell2[[#This Row],[Befvekst10-T]])*100/N$439</f>
        <v>25.418778470009926</v>
      </c>
      <c r="X392" s="9">
        <f>100-(O$436-Tabell2[[#This Row],[Kvinneandel-T]])*100/O$439</f>
        <v>32.881309249567025</v>
      </c>
      <c r="Y392" s="9">
        <f>(P$436-Tabell2[[#This Row],[Eldreandel-T]])*100/P$439</f>
        <v>24.853960360016035</v>
      </c>
      <c r="Z392" s="9">
        <f>100-(Q$436-Tabell2[[#This Row],[Sysselsettingsvekst10-T]])*100/Q$439</f>
        <v>0</v>
      </c>
      <c r="AA392" s="9">
        <f>100-(R$436-Tabell2[[#This Row],[Yrkesaktivandel-T]])*100/R$439</f>
        <v>6.1839499062869692</v>
      </c>
      <c r="AB392" s="9">
        <f>100-(S$436-Tabell2[[#This Row],[Inntekt-T]])*100/S$439</f>
        <v>17.012448132780079</v>
      </c>
      <c r="AC392" s="48">
        <f>Tabell2[[#This Row],[NIBR11-I]]*Vekter!$B$3</f>
        <v>12</v>
      </c>
      <c r="AD392" s="48">
        <f>Tabell2[[#This Row],[ReisetidOslo-I]]*Vekter!$C$3</f>
        <v>2.9471912582393101</v>
      </c>
      <c r="AE392" s="48">
        <f>Tabell2[[#This Row],[Beftettotal-I]]*Vekter!$D$3</f>
        <v>0.36405801825459466</v>
      </c>
      <c r="AF392" s="48">
        <f>Tabell2[[#This Row],[Befvekst10-I]]*Vekter!$E$3</f>
        <v>5.0837556940019857</v>
      </c>
      <c r="AG392" s="48">
        <f>Tabell2[[#This Row],[Kvinneandel-I]]*Vekter!$F$3</f>
        <v>1.6440654624783513</v>
      </c>
      <c r="AH392" s="48">
        <f>Tabell2[[#This Row],[Eldreandel-I]]*Vekter!$G$3</f>
        <v>1.2426980180008018</v>
      </c>
      <c r="AI392" s="48">
        <f>Tabell2[[#This Row],[Sysselsettingsvekst10-I]]*Vekter!$H$3</f>
        <v>0</v>
      </c>
      <c r="AJ392" s="48">
        <f>Tabell2[[#This Row],[Yrkesaktivandel-I]]*Vekter!$J$3</f>
        <v>0.61839499062869696</v>
      </c>
      <c r="AK392" s="48">
        <f>Tabell2[[#This Row],[Inntekt-I]]*Vekter!$L$3</f>
        <v>1.701244813278008</v>
      </c>
      <c r="AL392" s="37">
        <f>SUM(Tabell2[[#This Row],[NIBR11-v]:[Inntekt-v]])</f>
        <v>25.601408254881751</v>
      </c>
    </row>
    <row r="393" spans="1:38">
      <c r="A393" s="2" t="s">
        <v>390</v>
      </c>
      <c r="B393">
        <f>'Rådata-K'!M392</f>
        <v>11</v>
      </c>
      <c r="C393" s="9">
        <f>'Rådata-K'!L392</f>
        <v>289.06791315190003</v>
      </c>
      <c r="D393" s="51">
        <f>'Rådata-K'!N392</f>
        <v>5.9570231477640423</v>
      </c>
      <c r="E393" s="51">
        <f>'Rådata-K'!O392</f>
        <v>-0.15330188679245282</v>
      </c>
      <c r="F393" s="51">
        <f>'Rådata-K'!P392</f>
        <v>7.7994428969359333E-2</v>
      </c>
      <c r="G393" s="51">
        <f>'Rådata-K'!Q392</f>
        <v>0.26044568245125349</v>
      </c>
      <c r="H393" s="51">
        <f>'Rådata-K'!R392</f>
        <v>-9.5541401273885329E-2</v>
      </c>
      <c r="I393" s="51">
        <f>'Rådata-K'!S392</f>
        <v>0.88888888888888884</v>
      </c>
      <c r="J393" s="52">
        <f>'Rådata-K'!K392</f>
        <v>316300</v>
      </c>
      <c r="K393" s="26">
        <f>Tabell2[[#This Row],[NIBR11]]</f>
        <v>11</v>
      </c>
      <c r="L393" s="52">
        <f>IF(Tabell2[[#This Row],[ReisetidOslo]]&lt;=C$434,C$434,IF(Tabell2[[#This Row],[ReisetidOslo]]&gt;=C$435,C$435,Tabell2[[#This Row],[ReisetidOslo]]))</f>
        <v>279.05557553043002</v>
      </c>
      <c r="M393" s="51">
        <f>IF(Tabell2[[#This Row],[Beftettotal]]&lt;=D$434,D$434,IF(Tabell2[[#This Row],[Beftettotal]]&gt;=D$435,D$435,Tabell2[[#This Row],[Beftettotal]]))</f>
        <v>5.9570231477640423</v>
      </c>
      <c r="N393" s="51">
        <f>IF(Tabell2[[#This Row],[Befvekst10]]&lt;=E$434,E$434,IF(Tabell2[[#This Row],[Befvekst10]]&gt;=E$435,E$435,Tabell2[[#This Row],[Befvekst10]]))</f>
        <v>-8.0785862785862778E-2</v>
      </c>
      <c r="O393" s="51">
        <f>IF(Tabell2[[#This Row],[Kvinneandel]]&lt;=F$434,F$434,IF(Tabell2[[#This Row],[Kvinneandel]]&gt;=F$435,F$435,Tabell2[[#This Row],[Kvinneandel]]))</f>
        <v>9.0262917071501733E-2</v>
      </c>
      <c r="P393" s="51">
        <f>IF(Tabell2[[#This Row],[Eldreandel]]&lt;=G$434,G$434,IF(Tabell2[[#This Row],[Eldreandel]]&gt;=G$435,G$435,Tabell2[[#This Row],[Eldreandel]]))</f>
        <v>0.20830063331569054</v>
      </c>
      <c r="Q393" s="51">
        <f>IF(Tabell2[[#This Row],[Sysselsettingsvekst10]]&lt;=H$434,H$434,IF(Tabell2[[#This Row],[Sysselsettingsvekst10]]&gt;=H$435,H$435,Tabell2[[#This Row],[Sysselsettingsvekst10]]))</f>
        <v>-6.8692498376029434E-2</v>
      </c>
      <c r="R393" s="51">
        <f>IF(Tabell2[[#This Row],[Yrkesaktivandel]]&lt;=I$434,I$434,IF(Tabell2[[#This Row],[Yrkesaktivandel]]&gt;=I$435,I$435,Tabell2[[#This Row],[Yrkesaktivandel]]))</f>
        <v>0.88888888888888884</v>
      </c>
      <c r="S393" s="52">
        <f>IF(Tabell2[[#This Row],[Inntekt]]&lt;=J$434,J$434,IF(Tabell2[[#This Row],[Inntekt]]&gt;=J$435,J$435,Tabell2[[#This Row],[Inntekt]]))</f>
        <v>320470</v>
      </c>
      <c r="T393" s="9">
        <f>IF(Tabell2[[#This Row],[NIBR11-T]]&lt;=K$437,100,IF(Tabell2[[#This Row],[NIBR11-T]]&gt;=K$436,0,100*(K$436-Tabell2[[#This Row],[NIBR11-T]])/K$439))</f>
        <v>0</v>
      </c>
      <c r="U393" s="9">
        <f>(L$436-Tabell2[[#This Row],[ReisetidOslo-T]])*100/L$439</f>
        <v>0</v>
      </c>
      <c r="V393" s="9">
        <f>100-(M$436-Tabell2[[#This Row],[Beftettotal-T]])*100/M$439</f>
        <v>3.636867574650978</v>
      </c>
      <c r="W393" s="9">
        <f>100-(N$436-Tabell2[[#This Row],[Befvekst10-T]])*100/N$439</f>
        <v>0</v>
      </c>
      <c r="X393" s="9">
        <f>100-(O$436-Tabell2[[#This Row],[Kvinneandel-T]])*100/O$439</f>
        <v>0</v>
      </c>
      <c r="Y393" s="9">
        <f>(P$436-Tabell2[[#This Row],[Eldreandel-T]])*100/P$439</f>
        <v>0</v>
      </c>
      <c r="Z393" s="9">
        <f>100-(Q$436-Tabell2[[#This Row],[Sysselsettingsvekst10-T]])*100/Q$439</f>
        <v>0</v>
      </c>
      <c r="AA393" s="9">
        <f>100-(R$436-Tabell2[[#This Row],[Yrkesaktivandel-T]])*100/R$439</f>
        <v>45.364629243216235</v>
      </c>
      <c r="AB393" s="9">
        <f>100-(S$436-Tabell2[[#This Row],[Inntekt-T]])*100/S$439</f>
        <v>0</v>
      </c>
      <c r="AC393" s="48">
        <f>Tabell2[[#This Row],[NIBR11-I]]*Vekter!$B$3</f>
        <v>0</v>
      </c>
      <c r="AD393" s="48">
        <f>Tabell2[[#This Row],[ReisetidOslo-I]]*Vekter!$C$3</f>
        <v>0</v>
      </c>
      <c r="AE393" s="48">
        <f>Tabell2[[#This Row],[Beftettotal-I]]*Vekter!$D$3</f>
        <v>0.36368675746509782</v>
      </c>
      <c r="AF393" s="48">
        <f>Tabell2[[#This Row],[Befvekst10-I]]*Vekter!$E$3</f>
        <v>0</v>
      </c>
      <c r="AG393" s="48">
        <f>Tabell2[[#This Row],[Kvinneandel-I]]*Vekter!$F$3</f>
        <v>0</v>
      </c>
      <c r="AH393" s="48">
        <f>Tabell2[[#This Row],[Eldreandel-I]]*Vekter!$G$3</f>
        <v>0</v>
      </c>
      <c r="AI393" s="48">
        <f>Tabell2[[#This Row],[Sysselsettingsvekst10-I]]*Vekter!$H$3</f>
        <v>0</v>
      </c>
      <c r="AJ393" s="48">
        <f>Tabell2[[#This Row],[Yrkesaktivandel-I]]*Vekter!$J$3</f>
        <v>4.5364629243216239</v>
      </c>
      <c r="AK393" s="48">
        <f>Tabell2[[#This Row],[Inntekt-I]]*Vekter!$L$3</f>
        <v>0</v>
      </c>
      <c r="AL393" s="37">
        <f>SUM(Tabell2[[#This Row],[NIBR11-v]:[Inntekt-v]])</f>
        <v>4.9001496817867221</v>
      </c>
    </row>
    <row r="394" spans="1:38">
      <c r="A394" s="2" t="s">
        <v>391</v>
      </c>
      <c r="B394">
        <f>'Rådata-K'!M393</f>
        <v>5</v>
      </c>
      <c r="C394" s="9">
        <f>'Rådata-K'!L393</f>
        <v>251.9552515629</v>
      </c>
      <c r="D394" s="51">
        <f>'Rådata-K'!N393</f>
        <v>3.6292127645967902</v>
      </c>
      <c r="E394" s="51">
        <f>'Rådata-K'!O393</f>
        <v>-0.11466458658346335</v>
      </c>
      <c r="F394" s="51">
        <f>'Rådata-K'!P393</f>
        <v>8.8105726872246701E-2</v>
      </c>
      <c r="G394" s="51">
        <f>'Rådata-K'!Q393</f>
        <v>0.23259911894273128</v>
      </c>
      <c r="H394" s="51">
        <f>'Rådata-K'!R393</f>
        <v>-7.0093457943924964E-3</v>
      </c>
      <c r="I394" s="51">
        <f>'Rådata-K'!S393</f>
        <v>0.85737704918032787</v>
      </c>
      <c r="J394" s="52">
        <f>'Rådata-K'!K393</f>
        <v>309000</v>
      </c>
      <c r="K394" s="26">
        <f>Tabell2[[#This Row],[NIBR11]]</f>
        <v>5</v>
      </c>
      <c r="L394" s="52">
        <f>IF(Tabell2[[#This Row],[ReisetidOslo]]&lt;=C$434,C$434,IF(Tabell2[[#This Row],[ReisetidOslo]]&gt;=C$435,C$435,Tabell2[[#This Row],[ReisetidOslo]]))</f>
        <v>251.9552515629</v>
      </c>
      <c r="M394" s="51">
        <f>IF(Tabell2[[#This Row],[Beftettotal]]&lt;=D$434,D$434,IF(Tabell2[[#This Row],[Beftettotal]]&gt;=D$435,D$435,Tabell2[[#This Row],[Beftettotal]]))</f>
        <v>3.6292127645967902</v>
      </c>
      <c r="N394" s="51">
        <f>IF(Tabell2[[#This Row],[Befvekst10]]&lt;=E$434,E$434,IF(Tabell2[[#This Row],[Befvekst10]]&gt;=E$435,E$435,Tabell2[[#This Row],[Befvekst10]]))</f>
        <v>-8.0785862785862778E-2</v>
      </c>
      <c r="O394" s="51">
        <f>IF(Tabell2[[#This Row],[Kvinneandel]]&lt;=F$434,F$434,IF(Tabell2[[#This Row],[Kvinneandel]]&gt;=F$435,F$435,Tabell2[[#This Row],[Kvinneandel]]))</f>
        <v>9.0262917071501733E-2</v>
      </c>
      <c r="P394" s="51">
        <f>IF(Tabell2[[#This Row],[Eldreandel]]&lt;=G$434,G$434,IF(Tabell2[[#This Row],[Eldreandel]]&gt;=G$435,G$435,Tabell2[[#This Row],[Eldreandel]]))</f>
        <v>0.20830063331569054</v>
      </c>
      <c r="Q394" s="51">
        <f>IF(Tabell2[[#This Row],[Sysselsettingsvekst10]]&lt;=H$434,H$434,IF(Tabell2[[#This Row],[Sysselsettingsvekst10]]&gt;=H$435,H$435,Tabell2[[#This Row],[Sysselsettingsvekst10]]))</f>
        <v>-7.0093457943924964E-3</v>
      </c>
      <c r="R394" s="51">
        <f>IF(Tabell2[[#This Row],[Yrkesaktivandel]]&lt;=I$434,I$434,IF(Tabell2[[#This Row],[Yrkesaktivandel]]&gt;=I$435,I$435,Tabell2[[#This Row],[Yrkesaktivandel]]))</f>
        <v>0.85737704918032787</v>
      </c>
      <c r="S394" s="52">
        <f>IF(Tabell2[[#This Row],[Inntekt]]&lt;=J$434,J$434,IF(Tabell2[[#This Row],[Inntekt]]&gt;=J$435,J$435,Tabell2[[#This Row],[Inntekt]]))</f>
        <v>320470</v>
      </c>
      <c r="T394" s="9">
        <f>IF(Tabell2[[#This Row],[NIBR11-T]]&lt;=K$437,100,IF(Tabell2[[#This Row],[NIBR11-T]]&gt;=K$436,0,100*(K$436-Tabell2[[#This Row],[NIBR11-T]])/K$439))</f>
        <v>60</v>
      </c>
      <c r="U394" s="9">
        <f>(L$436-Tabell2[[#This Row],[ReisetidOslo-T]])*100/L$439</f>
        <v>12.031204864735313</v>
      </c>
      <c r="V394" s="9">
        <f>100-(M$436-Tabell2[[#This Row],[Beftettotal-T]])*100/M$439</f>
        <v>1.8033397444859958</v>
      </c>
      <c r="W394" s="9">
        <f>100-(N$436-Tabell2[[#This Row],[Befvekst10-T]])*100/N$439</f>
        <v>0</v>
      </c>
      <c r="X394" s="9">
        <f>100-(O$436-Tabell2[[#This Row],[Kvinneandel-T]])*100/O$439</f>
        <v>0</v>
      </c>
      <c r="Y394" s="9">
        <f>(P$436-Tabell2[[#This Row],[Eldreandel-T]])*100/P$439</f>
        <v>0</v>
      </c>
      <c r="Z394" s="9">
        <f>100-(Q$436-Tabell2[[#This Row],[Sysselsettingsvekst10-T]])*100/Q$439</f>
        <v>19.798513520216943</v>
      </c>
      <c r="AA394" s="9">
        <f>100-(R$436-Tabell2[[#This Row],[Yrkesaktivandel-T]])*100/R$439</f>
        <v>21.873317243836127</v>
      </c>
      <c r="AB394" s="9">
        <f>100-(S$436-Tabell2[[#This Row],[Inntekt-T]])*100/S$439</f>
        <v>0</v>
      </c>
      <c r="AC394" s="48">
        <f>Tabell2[[#This Row],[NIBR11-I]]*Vekter!$B$3</f>
        <v>12</v>
      </c>
      <c r="AD394" s="48">
        <f>Tabell2[[#This Row],[ReisetidOslo-I]]*Vekter!$C$3</f>
        <v>1.2031204864735314</v>
      </c>
      <c r="AE394" s="48">
        <f>Tabell2[[#This Row],[Beftettotal-I]]*Vekter!$D$3</f>
        <v>0.18033397444859958</v>
      </c>
      <c r="AF394" s="48">
        <f>Tabell2[[#This Row],[Befvekst10-I]]*Vekter!$E$3</f>
        <v>0</v>
      </c>
      <c r="AG394" s="48">
        <f>Tabell2[[#This Row],[Kvinneandel-I]]*Vekter!$F$3</f>
        <v>0</v>
      </c>
      <c r="AH394" s="48">
        <f>Tabell2[[#This Row],[Eldreandel-I]]*Vekter!$G$3</f>
        <v>0</v>
      </c>
      <c r="AI394" s="48">
        <f>Tabell2[[#This Row],[Sysselsettingsvekst10-I]]*Vekter!$H$3</f>
        <v>1.9798513520216945</v>
      </c>
      <c r="AJ394" s="48">
        <f>Tabell2[[#This Row],[Yrkesaktivandel-I]]*Vekter!$J$3</f>
        <v>2.1873317243836126</v>
      </c>
      <c r="AK394" s="48">
        <f>Tabell2[[#This Row],[Inntekt-I]]*Vekter!$L$3</f>
        <v>0</v>
      </c>
      <c r="AL394" s="37">
        <f>SUM(Tabell2[[#This Row],[NIBR11-v]:[Inntekt-v]])</f>
        <v>17.550637537327436</v>
      </c>
    </row>
    <row r="395" spans="1:38">
      <c r="A395" s="2" t="s">
        <v>392</v>
      </c>
      <c r="B395">
        <f>'Rådata-K'!M394</f>
        <v>11</v>
      </c>
      <c r="C395" s="9">
        <f>'Rådata-K'!L394</f>
        <v>261.32889302299998</v>
      </c>
      <c r="D395" s="51">
        <f>'Rådata-K'!N394</f>
        <v>3.3617345754732622</v>
      </c>
      <c r="E395" s="51">
        <f>'Rådata-K'!O394</f>
        <v>-4.6095954844778908E-2</v>
      </c>
      <c r="F395" s="51">
        <f>'Rådata-K'!P394</f>
        <v>9.8619329388560162E-2</v>
      </c>
      <c r="G395" s="51">
        <f>'Rådata-K'!Q394</f>
        <v>0.20512820512820512</v>
      </c>
      <c r="H395" s="51">
        <f>'Rådata-K'!R394</f>
        <v>-6.8306010928961713E-2</v>
      </c>
      <c r="I395" s="51">
        <f>'Rådata-K'!S394</f>
        <v>0.84807692307692306</v>
      </c>
      <c r="J395" s="52">
        <f>'Rådata-K'!K394</f>
        <v>308300</v>
      </c>
      <c r="K395" s="26">
        <f>Tabell2[[#This Row],[NIBR11]]</f>
        <v>11</v>
      </c>
      <c r="L395" s="52">
        <f>IF(Tabell2[[#This Row],[ReisetidOslo]]&lt;=C$434,C$434,IF(Tabell2[[#This Row],[ReisetidOslo]]&gt;=C$435,C$435,Tabell2[[#This Row],[ReisetidOslo]]))</f>
        <v>261.32889302299998</v>
      </c>
      <c r="M395" s="51">
        <f>IF(Tabell2[[#This Row],[Beftettotal]]&lt;=D$434,D$434,IF(Tabell2[[#This Row],[Beftettotal]]&gt;=D$435,D$435,Tabell2[[#This Row],[Beftettotal]]))</f>
        <v>3.3617345754732622</v>
      </c>
      <c r="N395" s="51">
        <f>IF(Tabell2[[#This Row],[Befvekst10]]&lt;=E$434,E$434,IF(Tabell2[[#This Row],[Befvekst10]]&gt;=E$435,E$435,Tabell2[[#This Row],[Befvekst10]]))</f>
        <v>-4.6095954844778908E-2</v>
      </c>
      <c r="O395" s="51">
        <f>IF(Tabell2[[#This Row],[Kvinneandel]]&lt;=F$434,F$434,IF(Tabell2[[#This Row],[Kvinneandel]]&gt;=F$435,F$435,Tabell2[[#This Row],[Kvinneandel]]))</f>
        <v>9.8619329388560162E-2</v>
      </c>
      <c r="P395" s="51">
        <f>IF(Tabell2[[#This Row],[Eldreandel]]&lt;=G$434,G$434,IF(Tabell2[[#This Row],[Eldreandel]]&gt;=G$435,G$435,Tabell2[[#This Row],[Eldreandel]]))</f>
        <v>0.20512820512820512</v>
      </c>
      <c r="Q395" s="51">
        <f>IF(Tabell2[[#This Row],[Sysselsettingsvekst10]]&lt;=H$434,H$434,IF(Tabell2[[#This Row],[Sysselsettingsvekst10]]&gt;=H$435,H$435,Tabell2[[#This Row],[Sysselsettingsvekst10]]))</f>
        <v>-6.8306010928961713E-2</v>
      </c>
      <c r="R395" s="51">
        <f>IF(Tabell2[[#This Row],[Yrkesaktivandel]]&lt;=I$434,I$434,IF(Tabell2[[#This Row],[Yrkesaktivandel]]&gt;=I$435,I$435,Tabell2[[#This Row],[Yrkesaktivandel]]))</f>
        <v>0.84807692307692306</v>
      </c>
      <c r="S395" s="52">
        <f>IF(Tabell2[[#This Row],[Inntekt]]&lt;=J$434,J$434,IF(Tabell2[[#This Row],[Inntekt]]&gt;=J$435,J$435,Tabell2[[#This Row],[Inntekt]]))</f>
        <v>320470</v>
      </c>
      <c r="T395" s="9">
        <f>IF(Tabell2[[#This Row],[NIBR11-T]]&lt;=K$437,100,IF(Tabell2[[#This Row],[NIBR11-T]]&gt;=K$436,0,100*(K$436-Tabell2[[#This Row],[NIBR11-T]])/K$439))</f>
        <v>0</v>
      </c>
      <c r="U395" s="9">
        <f>(L$436-Tabell2[[#This Row],[ReisetidOslo-T]])*100/L$439</f>
        <v>7.8697711907260608</v>
      </c>
      <c r="V395" s="9">
        <f>100-(M$436-Tabell2[[#This Row],[Beftettotal-T]])*100/M$439</f>
        <v>1.5926573335531771</v>
      </c>
      <c r="W395" s="9">
        <f>100-(N$436-Tabell2[[#This Row],[Befvekst10-T]])*100/N$439</f>
        <v>14.037469943078676</v>
      </c>
      <c r="X395" s="9">
        <f>100-(O$436-Tabell2[[#This Row],[Kvinneandel-T]])*100/O$439</f>
        <v>22.133610805692271</v>
      </c>
      <c r="Y395" s="9">
        <f>(P$436-Tabell2[[#This Row],[Eldreandel-T]])*100/P$439</f>
        <v>3.5965388813033901</v>
      </c>
      <c r="Z395" s="9">
        <f>100-(Q$436-Tabell2[[#This Row],[Sysselsettingsvekst10-T]])*100/Q$439</f>
        <v>0.12405132724104817</v>
      </c>
      <c r="AA395" s="9">
        <f>100-(R$436-Tabell2[[#This Row],[Yrkesaktivandel-T]])*100/R$439</f>
        <v>14.940298862516173</v>
      </c>
      <c r="AB395" s="9">
        <f>100-(S$436-Tabell2[[#This Row],[Inntekt-T]])*100/S$439</f>
        <v>0</v>
      </c>
      <c r="AC395" s="48">
        <f>Tabell2[[#This Row],[NIBR11-I]]*Vekter!$B$3</f>
        <v>0</v>
      </c>
      <c r="AD395" s="48">
        <f>Tabell2[[#This Row],[ReisetidOslo-I]]*Vekter!$C$3</f>
        <v>0.78697711907260615</v>
      </c>
      <c r="AE395" s="48">
        <f>Tabell2[[#This Row],[Beftettotal-I]]*Vekter!$D$3</f>
        <v>0.15926573335531771</v>
      </c>
      <c r="AF395" s="48">
        <f>Tabell2[[#This Row],[Befvekst10-I]]*Vekter!$E$3</f>
        <v>2.8074939886157355</v>
      </c>
      <c r="AG395" s="48">
        <f>Tabell2[[#This Row],[Kvinneandel-I]]*Vekter!$F$3</f>
        <v>1.1066805402846136</v>
      </c>
      <c r="AH395" s="48">
        <f>Tabell2[[#This Row],[Eldreandel-I]]*Vekter!$G$3</f>
        <v>0.17982694406516953</v>
      </c>
      <c r="AI395" s="48">
        <f>Tabell2[[#This Row],[Sysselsettingsvekst10-I]]*Vekter!$H$3</f>
        <v>1.2405132724104817E-2</v>
      </c>
      <c r="AJ395" s="48">
        <f>Tabell2[[#This Row],[Yrkesaktivandel-I]]*Vekter!$J$3</f>
        <v>1.4940298862516173</v>
      </c>
      <c r="AK395" s="48">
        <f>Tabell2[[#This Row],[Inntekt-I]]*Vekter!$L$3</f>
        <v>0</v>
      </c>
      <c r="AL395" s="37">
        <f>SUM(Tabell2[[#This Row],[NIBR11-v]:[Inntekt-v]])</f>
        <v>6.5466793443691644</v>
      </c>
    </row>
    <row r="396" spans="1:38">
      <c r="A396" s="2" t="s">
        <v>393</v>
      </c>
      <c r="B396">
        <f>'Rådata-K'!M395</f>
        <v>9</v>
      </c>
      <c r="C396" s="9">
        <f>'Rådata-K'!L395</f>
        <v>228.4405748053</v>
      </c>
      <c r="D396" s="51">
        <f>'Rådata-K'!N395</f>
        <v>1.4738134599666401</v>
      </c>
      <c r="E396" s="51">
        <f>'Rådata-K'!O395</f>
        <v>3.3722438391699194E-2</v>
      </c>
      <c r="F396" s="51">
        <f>'Rådata-K'!P395</f>
        <v>0.12321204516938519</v>
      </c>
      <c r="G396" s="51">
        <f>'Rådata-K'!Q395</f>
        <v>0.15583437892095359</v>
      </c>
      <c r="H396" s="51">
        <f>'Rådata-K'!R395</f>
        <v>6.7880794701986824E-2</v>
      </c>
      <c r="I396" s="51">
        <f>'Rådata-K'!S395</f>
        <v>0.9191304347826087</v>
      </c>
      <c r="J396" s="52">
        <f>'Rådata-K'!K395</f>
        <v>372900</v>
      </c>
      <c r="K396" s="26">
        <f>Tabell2[[#This Row],[NIBR11]]</f>
        <v>9</v>
      </c>
      <c r="L396" s="52">
        <f>IF(Tabell2[[#This Row],[ReisetidOslo]]&lt;=C$434,C$434,IF(Tabell2[[#This Row],[ReisetidOslo]]&gt;=C$435,C$435,Tabell2[[#This Row],[ReisetidOslo]]))</f>
        <v>228.4405748053</v>
      </c>
      <c r="M396" s="51">
        <f>IF(Tabell2[[#This Row],[Beftettotal]]&lt;=D$434,D$434,IF(Tabell2[[#This Row],[Beftettotal]]&gt;=D$435,D$435,Tabell2[[#This Row],[Beftettotal]]))</f>
        <v>1.4738134599666401</v>
      </c>
      <c r="N396" s="51">
        <f>IF(Tabell2[[#This Row],[Befvekst10]]&lt;=E$434,E$434,IF(Tabell2[[#This Row],[Befvekst10]]&gt;=E$435,E$435,Tabell2[[#This Row],[Befvekst10]]))</f>
        <v>3.3722438391699194E-2</v>
      </c>
      <c r="O396" s="51">
        <f>IF(Tabell2[[#This Row],[Kvinneandel]]&lt;=F$434,F$434,IF(Tabell2[[#This Row],[Kvinneandel]]&gt;=F$435,F$435,Tabell2[[#This Row],[Kvinneandel]]))</f>
        <v>0.12321204516938519</v>
      </c>
      <c r="P396" s="51">
        <f>IF(Tabell2[[#This Row],[Eldreandel]]&lt;=G$434,G$434,IF(Tabell2[[#This Row],[Eldreandel]]&gt;=G$435,G$435,Tabell2[[#This Row],[Eldreandel]]))</f>
        <v>0.15583437892095359</v>
      </c>
      <c r="Q396" s="51">
        <f>IF(Tabell2[[#This Row],[Sysselsettingsvekst10]]&lt;=H$434,H$434,IF(Tabell2[[#This Row],[Sysselsettingsvekst10]]&gt;=H$435,H$435,Tabell2[[#This Row],[Sysselsettingsvekst10]]))</f>
        <v>6.7880794701986824E-2</v>
      </c>
      <c r="R396" s="51">
        <f>IF(Tabell2[[#This Row],[Yrkesaktivandel]]&lt;=I$434,I$434,IF(Tabell2[[#This Row],[Yrkesaktivandel]]&gt;=I$435,I$435,Tabell2[[#This Row],[Yrkesaktivandel]]))</f>
        <v>0.9191304347826087</v>
      </c>
      <c r="S396" s="52">
        <f>IF(Tabell2[[#This Row],[Inntekt]]&lt;=J$434,J$434,IF(Tabell2[[#This Row],[Inntekt]]&gt;=J$435,J$435,Tabell2[[#This Row],[Inntekt]]))</f>
        <v>372900</v>
      </c>
      <c r="T396" s="9">
        <f>IF(Tabell2[[#This Row],[NIBR11-T]]&lt;=K$437,100,IF(Tabell2[[#This Row],[NIBR11-T]]&gt;=K$436,0,100*(K$436-Tabell2[[#This Row],[NIBR11-T]])/K$439))</f>
        <v>20</v>
      </c>
      <c r="U396" s="9">
        <f>(L$436-Tabell2[[#This Row],[ReisetidOslo-T]])*100/L$439</f>
        <v>22.470559528453766</v>
      </c>
      <c r="V396" s="9">
        <f>100-(M$436-Tabell2[[#This Row],[Beftettotal-T]])*100/M$439</f>
        <v>0.10561357282911388</v>
      </c>
      <c r="W396" s="9">
        <f>100-(N$436-Tabell2[[#This Row],[Befvekst10-T]])*100/N$439</f>
        <v>46.336439945098434</v>
      </c>
      <c r="X396" s="9">
        <f>100-(O$436-Tabell2[[#This Row],[Kvinneandel-T]])*100/O$439</f>
        <v>87.272282653732177</v>
      </c>
      <c r="Y396" s="9">
        <f>(P$436-Tabell2[[#This Row],[Eldreandel-T]])*100/P$439</f>
        <v>59.480282211397885</v>
      </c>
      <c r="Z396" s="9">
        <f>100-(Q$436-Tabell2[[#This Row],[Sysselsettingsvekst10-T]])*100/Q$439</f>
        <v>43.836089375085258</v>
      </c>
      <c r="AA396" s="9">
        <f>100-(R$436-Tabell2[[#This Row],[Yrkesaktivandel-T]])*100/R$439</f>
        <v>67.908968022013212</v>
      </c>
      <c r="AB396" s="9">
        <f>100-(S$436-Tabell2[[#This Row],[Inntekt-T]])*100/S$439</f>
        <v>65.924808248459698</v>
      </c>
      <c r="AC396" s="48">
        <f>Tabell2[[#This Row],[NIBR11-I]]*Vekter!$B$3</f>
        <v>4</v>
      </c>
      <c r="AD396" s="48">
        <f>Tabell2[[#This Row],[ReisetidOslo-I]]*Vekter!$C$3</f>
        <v>2.2470559528453768</v>
      </c>
      <c r="AE396" s="48">
        <f>Tabell2[[#This Row],[Beftettotal-I]]*Vekter!$D$3</f>
        <v>1.0561357282911389E-2</v>
      </c>
      <c r="AF396" s="48">
        <f>Tabell2[[#This Row],[Befvekst10-I]]*Vekter!$E$3</f>
        <v>9.2672879890196871</v>
      </c>
      <c r="AG396" s="48">
        <f>Tabell2[[#This Row],[Kvinneandel-I]]*Vekter!$F$3</f>
        <v>4.3636141326866094</v>
      </c>
      <c r="AH396" s="48">
        <f>Tabell2[[#This Row],[Eldreandel-I]]*Vekter!$G$3</f>
        <v>2.9740141105698945</v>
      </c>
      <c r="AI396" s="48">
        <f>Tabell2[[#This Row],[Sysselsettingsvekst10-I]]*Vekter!$H$3</f>
        <v>4.3836089375085256</v>
      </c>
      <c r="AJ396" s="48">
        <f>Tabell2[[#This Row],[Yrkesaktivandel-I]]*Vekter!$J$3</f>
        <v>6.7908968022013214</v>
      </c>
      <c r="AK396" s="48">
        <f>Tabell2[[#This Row],[Inntekt-I]]*Vekter!$L$3</f>
        <v>6.5924808248459703</v>
      </c>
      <c r="AL396" s="37">
        <f>SUM(Tabell2[[#This Row],[NIBR11-v]:[Inntekt-v]])</f>
        <v>40.6295201069603</v>
      </c>
    </row>
    <row r="397" spans="1:38">
      <c r="A397" s="2" t="s">
        <v>394</v>
      </c>
      <c r="B397">
        <f>'Rådata-K'!M396</f>
        <v>11</v>
      </c>
      <c r="C397" s="9">
        <f>'Rådata-K'!L396</f>
        <v>252.56021968030001</v>
      </c>
      <c r="D397" s="51">
        <f>'Rådata-K'!N396</f>
        <v>4.8542417294464455</v>
      </c>
      <c r="E397" s="51">
        <f>'Rådata-K'!O396</f>
        <v>-1.8543046357615944E-2</v>
      </c>
      <c r="F397" s="51">
        <f>'Rådata-K'!P396</f>
        <v>0.10076473234367971</v>
      </c>
      <c r="G397" s="51">
        <f>'Rådata-K'!Q396</f>
        <v>0.16779127305443095</v>
      </c>
      <c r="H397" s="51">
        <f>'Rådata-K'!R396</f>
        <v>7.6243093922651939E-2</v>
      </c>
      <c r="I397" s="51">
        <f>'Rådata-K'!S396</f>
        <v>0.87768595041322317</v>
      </c>
      <c r="J397" s="52">
        <f>'Rådata-K'!K396</f>
        <v>313500</v>
      </c>
      <c r="K397" s="26">
        <f>Tabell2[[#This Row],[NIBR11]]</f>
        <v>11</v>
      </c>
      <c r="L397" s="52">
        <f>IF(Tabell2[[#This Row],[ReisetidOslo]]&lt;=C$434,C$434,IF(Tabell2[[#This Row],[ReisetidOslo]]&gt;=C$435,C$435,Tabell2[[#This Row],[ReisetidOslo]]))</f>
        <v>252.56021968030001</v>
      </c>
      <c r="M397" s="51">
        <f>IF(Tabell2[[#This Row],[Beftettotal]]&lt;=D$434,D$434,IF(Tabell2[[#This Row],[Beftettotal]]&gt;=D$435,D$435,Tabell2[[#This Row],[Beftettotal]]))</f>
        <v>4.8542417294464455</v>
      </c>
      <c r="N397" s="51">
        <f>IF(Tabell2[[#This Row],[Befvekst10]]&lt;=E$434,E$434,IF(Tabell2[[#This Row],[Befvekst10]]&gt;=E$435,E$435,Tabell2[[#This Row],[Befvekst10]]))</f>
        <v>-1.8543046357615944E-2</v>
      </c>
      <c r="O397" s="51">
        <f>IF(Tabell2[[#This Row],[Kvinneandel]]&lt;=F$434,F$434,IF(Tabell2[[#This Row],[Kvinneandel]]&gt;=F$435,F$435,Tabell2[[#This Row],[Kvinneandel]]))</f>
        <v>0.10076473234367971</v>
      </c>
      <c r="P397" s="51">
        <f>IF(Tabell2[[#This Row],[Eldreandel]]&lt;=G$434,G$434,IF(Tabell2[[#This Row],[Eldreandel]]&gt;=G$435,G$435,Tabell2[[#This Row],[Eldreandel]]))</f>
        <v>0.16779127305443095</v>
      </c>
      <c r="Q397" s="51">
        <f>IF(Tabell2[[#This Row],[Sysselsettingsvekst10]]&lt;=H$434,H$434,IF(Tabell2[[#This Row],[Sysselsettingsvekst10]]&gt;=H$435,H$435,Tabell2[[#This Row],[Sysselsettingsvekst10]]))</f>
        <v>7.6243093922651939E-2</v>
      </c>
      <c r="R397" s="51">
        <f>IF(Tabell2[[#This Row],[Yrkesaktivandel]]&lt;=I$434,I$434,IF(Tabell2[[#This Row],[Yrkesaktivandel]]&gt;=I$435,I$435,Tabell2[[#This Row],[Yrkesaktivandel]]))</f>
        <v>0.87768595041322317</v>
      </c>
      <c r="S397" s="52">
        <f>IF(Tabell2[[#This Row],[Inntekt]]&lt;=J$434,J$434,IF(Tabell2[[#This Row],[Inntekt]]&gt;=J$435,J$435,Tabell2[[#This Row],[Inntekt]]))</f>
        <v>320470</v>
      </c>
      <c r="T397" s="9">
        <f>IF(Tabell2[[#This Row],[NIBR11-T]]&lt;=K$437,100,IF(Tabell2[[#This Row],[NIBR11-T]]&gt;=K$436,0,100*(K$436-Tabell2[[#This Row],[NIBR11-T]])/K$439))</f>
        <v>0</v>
      </c>
      <c r="U397" s="9">
        <f>(L$436-Tabell2[[#This Row],[ReisetidOslo-T]])*100/L$439</f>
        <v>11.762628910964672</v>
      </c>
      <c r="V397" s="9">
        <f>100-(M$436-Tabell2[[#This Row],[Beftettotal-T]])*100/M$439</f>
        <v>2.7682485343307661</v>
      </c>
      <c r="W397" s="9">
        <f>100-(N$436-Tabell2[[#This Row],[Befvekst10-T]])*100/N$439</f>
        <v>25.186912178262148</v>
      </c>
      <c r="X397" s="9">
        <f>100-(O$436-Tabell2[[#This Row],[Kvinneandel-T]])*100/O$439</f>
        <v>27.816134863661887</v>
      </c>
      <c r="Y397" s="9">
        <f>(P$436-Tabell2[[#This Row],[Eldreandel-T]])*100/P$439</f>
        <v>45.924913229266316</v>
      </c>
      <c r="Z397" s="9">
        <f>100-(Q$436-Tabell2[[#This Row],[Sysselsettingsvekst10-T]])*100/Q$439</f>
        <v>46.520146321774547</v>
      </c>
      <c r="AA397" s="9">
        <f>100-(R$436-Tabell2[[#This Row],[Yrkesaktivandel-T]])*100/R$439</f>
        <v>37.013110402181233</v>
      </c>
      <c r="AB397" s="9">
        <f>100-(S$436-Tabell2[[#This Row],[Inntekt-T]])*100/S$439</f>
        <v>0</v>
      </c>
      <c r="AC397" s="48">
        <f>Tabell2[[#This Row],[NIBR11-I]]*Vekter!$B$3</f>
        <v>0</v>
      </c>
      <c r="AD397" s="48">
        <f>Tabell2[[#This Row],[ReisetidOslo-I]]*Vekter!$C$3</f>
        <v>1.1762628910964672</v>
      </c>
      <c r="AE397" s="48">
        <f>Tabell2[[#This Row],[Beftettotal-I]]*Vekter!$D$3</f>
        <v>0.27682485343307661</v>
      </c>
      <c r="AF397" s="48">
        <f>Tabell2[[#This Row],[Befvekst10-I]]*Vekter!$E$3</f>
        <v>5.0373824356524297</v>
      </c>
      <c r="AG397" s="48">
        <f>Tabell2[[#This Row],[Kvinneandel-I]]*Vekter!$F$3</f>
        <v>1.3908067431830944</v>
      </c>
      <c r="AH397" s="48">
        <f>Tabell2[[#This Row],[Eldreandel-I]]*Vekter!$G$3</f>
        <v>2.296245661463316</v>
      </c>
      <c r="AI397" s="48">
        <f>Tabell2[[#This Row],[Sysselsettingsvekst10-I]]*Vekter!$H$3</f>
        <v>4.6520146321774547</v>
      </c>
      <c r="AJ397" s="48">
        <f>Tabell2[[#This Row],[Yrkesaktivandel-I]]*Vekter!$J$3</f>
        <v>3.7013110402181235</v>
      </c>
      <c r="AK397" s="48">
        <f>Tabell2[[#This Row],[Inntekt-I]]*Vekter!$L$3</f>
        <v>0</v>
      </c>
      <c r="AL397" s="37">
        <f>SUM(Tabell2[[#This Row],[NIBR11-v]:[Inntekt-v]])</f>
        <v>18.530848257223962</v>
      </c>
    </row>
    <row r="398" spans="1:38">
      <c r="A398" s="2" t="s">
        <v>395</v>
      </c>
      <c r="B398">
        <f>'Rådata-K'!M397</f>
        <v>9</v>
      </c>
      <c r="C398" s="9">
        <f>'Rådata-K'!L397</f>
        <v>216.8616996666</v>
      </c>
      <c r="D398" s="51">
        <f>'Rådata-K'!N397</f>
        <v>1.9969356639946541</v>
      </c>
      <c r="E398" s="51">
        <f>'Rådata-K'!O397</f>
        <v>-1.5580946728001144E-2</v>
      </c>
      <c r="F398" s="51">
        <f>'Rådata-K'!P397</f>
        <v>0.11139583961410914</v>
      </c>
      <c r="G398" s="51">
        <f>'Rådata-K'!Q397</f>
        <v>0.15646668676514924</v>
      </c>
      <c r="H398" s="51">
        <f>'Rådata-K'!R397</f>
        <v>1.5967523680649576E-2</v>
      </c>
      <c r="I398" s="51">
        <f>'Rådata-K'!S397</f>
        <v>0.90515463917525774</v>
      </c>
      <c r="J398" s="52">
        <f>'Rådata-K'!K397</f>
        <v>374300</v>
      </c>
      <c r="K398" s="26">
        <f>Tabell2[[#This Row],[NIBR11]]</f>
        <v>9</v>
      </c>
      <c r="L398" s="52">
        <f>IF(Tabell2[[#This Row],[ReisetidOslo]]&lt;=C$434,C$434,IF(Tabell2[[#This Row],[ReisetidOslo]]&gt;=C$435,C$435,Tabell2[[#This Row],[ReisetidOslo]]))</f>
        <v>216.8616996666</v>
      </c>
      <c r="M398" s="51">
        <f>IF(Tabell2[[#This Row],[Beftettotal]]&lt;=D$434,D$434,IF(Tabell2[[#This Row],[Beftettotal]]&gt;=D$435,D$435,Tabell2[[#This Row],[Beftettotal]]))</f>
        <v>1.9969356639946541</v>
      </c>
      <c r="N398" s="51">
        <f>IF(Tabell2[[#This Row],[Befvekst10]]&lt;=E$434,E$434,IF(Tabell2[[#This Row],[Befvekst10]]&gt;=E$435,E$435,Tabell2[[#This Row],[Befvekst10]]))</f>
        <v>-1.5580946728001144E-2</v>
      </c>
      <c r="O398" s="51">
        <f>IF(Tabell2[[#This Row],[Kvinneandel]]&lt;=F$434,F$434,IF(Tabell2[[#This Row],[Kvinneandel]]&gt;=F$435,F$435,Tabell2[[#This Row],[Kvinneandel]]))</f>
        <v>0.11139583961410914</v>
      </c>
      <c r="P398" s="51">
        <f>IF(Tabell2[[#This Row],[Eldreandel]]&lt;=G$434,G$434,IF(Tabell2[[#This Row],[Eldreandel]]&gt;=G$435,G$435,Tabell2[[#This Row],[Eldreandel]]))</f>
        <v>0.15646668676514924</v>
      </c>
      <c r="Q398" s="51">
        <f>IF(Tabell2[[#This Row],[Sysselsettingsvekst10]]&lt;=H$434,H$434,IF(Tabell2[[#This Row],[Sysselsettingsvekst10]]&gt;=H$435,H$435,Tabell2[[#This Row],[Sysselsettingsvekst10]]))</f>
        <v>1.5967523680649576E-2</v>
      </c>
      <c r="R398" s="51">
        <f>IF(Tabell2[[#This Row],[Yrkesaktivandel]]&lt;=I$434,I$434,IF(Tabell2[[#This Row],[Yrkesaktivandel]]&gt;=I$435,I$435,Tabell2[[#This Row],[Yrkesaktivandel]]))</f>
        <v>0.90515463917525774</v>
      </c>
      <c r="S398" s="52">
        <f>IF(Tabell2[[#This Row],[Inntekt]]&lt;=J$434,J$434,IF(Tabell2[[#This Row],[Inntekt]]&gt;=J$435,J$435,Tabell2[[#This Row],[Inntekt]]))</f>
        <v>374300</v>
      </c>
      <c r="T398" s="9">
        <f>IF(Tabell2[[#This Row],[NIBR11-T]]&lt;=K$437,100,IF(Tabell2[[#This Row],[NIBR11-T]]&gt;=K$436,0,100*(K$436-Tabell2[[#This Row],[NIBR11-T]])/K$439))</f>
        <v>20</v>
      </c>
      <c r="U398" s="9">
        <f>(L$436-Tabell2[[#This Row],[ReisetidOslo-T]])*100/L$439</f>
        <v>27.611007999246976</v>
      </c>
      <c r="V398" s="9">
        <f>100-(M$436-Tabell2[[#This Row],[Beftettotal-T]])*100/M$439</f>
        <v>0.51765706511629617</v>
      </c>
      <c r="W398" s="9">
        <f>100-(N$436-Tabell2[[#This Row],[Befvekst10-T]])*100/N$439</f>
        <v>26.385542759517676</v>
      </c>
      <c r="X398" s="9">
        <f>100-(O$436-Tabell2[[#This Row],[Kvinneandel-T]])*100/O$439</f>
        <v>55.974725156880076</v>
      </c>
      <c r="Y398" s="9">
        <f>(P$436-Tabell2[[#This Row],[Eldreandel-T]])*100/P$439</f>
        <v>58.763443369915592</v>
      </c>
      <c r="Z398" s="9">
        <f>100-(Q$436-Tabell2[[#This Row],[Sysselsettingsvekst10-T]])*100/Q$439</f>
        <v>27.173426148941871</v>
      </c>
      <c r="AA398" s="9">
        <f>100-(R$436-Tabell2[[#This Row],[Yrkesaktivandel-T]])*100/R$439</f>
        <v>57.49035146111931</v>
      </c>
      <c r="AB398" s="9">
        <f>100-(S$436-Tabell2[[#This Row],[Inntekt-T]])*100/S$439</f>
        <v>67.685150257764363</v>
      </c>
      <c r="AC398" s="48">
        <f>Tabell2[[#This Row],[NIBR11-I]]*Vekter!$B$3</f>
        <v>4</v>
      </c>
      <c r="AD398" s="48">
        <f>Tabell2[[#This Row],[ReisetidOslo-I]]*Vekter!$C$3</f>
        <v>2.7611007999246979</v>
      </c>
      <c r="AE398" s="48">
        <f>Tabell2[[#This Row],[Beftettotal-I]]*Vekter!$D$3</f>
        <v>5.1765706511629622E-2</v>
      </c>
      <c r="AF398" s="48">
        <f>Tabell2[[#This Row],[Befvekst10-I]]*Vekter!$E$3</f>
        <v>5.2771085519035354</v>
      </c>
      <c r="AG398" s="48">
        <f>Tabell2[[#This Row],[Kvinneandel-I]]*Vekter!$F$3</f>
        <v>2.7987362578440038</v>
      </c>
      <c r="AH398" s="48">
        <f>Tabell2[[#This Row],[Eldreandel-I]]*Vekter!$G$3</f>
        <v>2.9381721684957798</v>
      </c>
      <c r="AI398" s="48">
        <f>Tabell2[[#This Row],[Sysselsettingsvekst10-I]]*Vekter!$H$3</f>
        <v>2.7173426148941875</v>
      </c>
      <c r="AJ398" s="48">
        <f>Tabell2[[#This Row],[Yrkesaktivandel-I]]*Vekter!$J$3</f>
        <v>5.7490351461119316</v>
      </c>
      <c r="AK398" s="48">
        <f>Tabell2[[#This Row],[Inntekt-I]]*Vekter!$L$3</f>
        <v>6.7685150257764368</v>
      </c>
      <c r="AL398" s="37">
        <f>SUM(Tabell2[[#This Row],[NIBR11-v]:[Inntekt-v]])</f>
        <v>33.0617762714622</v>
      </c>
    </row>
    <row r="399" spans="1:38">
      <c r="A399" s="2" t="s">
        <v>396</v>
      </c>
      <c r="B399">
        <f>'Rådata-K'!M398</f>
        <v>8</v>
      </c>
      <c r="C399" s="9">
        <f>'Rådata-K'!L398</f>
        <v>226.4939345464</v>
      </c>
      <c r="D399" s="51">
        <f>'Rådata-K'!N398</f>
        <v>9.5525528851478576</v>
      </c>
      <c r="E399" s="51">
        <f>'Rådata-K'!O398</f>
        <v>3.7282020444978858E-2</v>
      </c>
      <c r="F399" s="51">
        <f>'Rådata-K'!P398</f>
        <v>0.10492753623188406</v>
      </c>
      <c r="G399" s="51">
        <f>'Rådata-K'!Q398</f>
        <v>0.15478260869565216</v>
      </c>
      <c r="H399" s="51">
        <f>'Rådata-K'!R398</f>
        <v>-8.1739130434782648E-2</v>
      </c>
      <c r="I399" s="51">
        <f>'Rådata-K'!S398</f>
        <v>0.87699433865156973</v>
      </c>
      <c r="J399" s="52">
        <f>'Rådata-K'!K398</f>
        <v>355700</v>
      </c>
      <c r="K399" s="26">
        <f>Tabell2[[#This Row],[NIBR11]]</f>
        <v>8</v>
      </c>
      <c r="L399" s="52">
        <f>IF(Tabell2[[#This Row],[ReisetidOslo]]&lt;=C$434,C$434,IF(Tabell2[[#This Row],[ReisetidOslo]]&gt;=C$435,C$435,Tabell2[[#This Row],[ReisetidOslo]]))</f>
        <v>226.4939345464</v>
      </c>
      <c r="M399" s="51">
        <f>IF(Tabell2[[#This Row],[Beftettotal]]&lt;=D$434,D$434,IF(Tabell2[[#This Row],[Beftettotal]]&gt;=D$435,D$435,Tabell2[[#This Row],[Beftettotal]]))</f>
        <v>9.5525528851478576</v>
      </c>
      <c r="N399" s="51">
        <f>IF(Tabell2[[#This Row],[Befvekst10]]&lt;=E$434,E$434,IF(Tabell2[[#This Row],[Befvekst10]]&gt;=E$435,E$435,Tabell2[[#This Row],[Befvekst10]]))</f>
        <v>3.7282020444978858E-2</v>
      </c>
      <c r="O399" s="51">
        <f>IF(Tabell2[[#This Row],[Kvinneandel]]&lt;=F$434,F$434,IF(Tabell2[[#This Row],[Kvinneandel]]&gt;=F$435,F$435,Tabell2[[#This Row],[Kvinneandel]]))</f>
        <v>0.10492753623188406</v>
      </c>
      <c r="P399" s="51">
        <f>IF(Tabell2[[#This Row],[Eldreandel]]&lt;=G$434,G$434,IF(Tabell2[[#This Row],[Eldreandel]]&gt;=G$435,G$435,Tabell2[[#This Row],[Eldreandel]]))</f>
        <v>0.15478260869565216</v>
      </c>
      <c r="Q399" s="51">
        <f>IF(Tabell2[[#This Row],[Sysselsettingsvekst10]]&lt;=H$434,H$434,IF(Tabell2[[#This Row],[Sysselsettingsvekst10]]&gt;=H$435,H$435,Tabell2[[#This Row],[Sysselsettingsvekst10]]))</f>
        <v>-6.8692498376029434E-2</v>
      </c>
      <c r="R399" s="51">
        <f>IF(Tabell2[[#This Row],[Yrkesaktivandel]]&lt;=I$434,I$434,IF(Tabell2[[#This Row],[Yrkesaktivandel]]&gt;=I$435,I$435,Tabell2[[#This Row],[Yrkesaktivandel]]))</f>
        <v>0.87699433865156973</v>
      </c>
      <c r="S399" s="52">
        <f>IF(Tabell2[[#This Row],[Inntekt]]&lt;=J$434,J$434,IF(Tabell2[[#This Row],[Inntekt]]&gt;=J$435,J$435,Tabell2[[#This Row],[Inntekt]]))</f>
        <v>355700</v>
      </c>
      <c r="T399" s="9">
        <f>IF(Tabell2[[#This Row],[NIBR11-T]]&lt;=K$437,100,IF(Tabell2[[#This Row],[NIBR11-T]]&gt;=K$436,0,100*(K$436-Tabell2[[#This Row],[NIBR11-T]])/K$439))</f>
        <v>30</v>
      </c>
      <c r="U399" s="9">
        <f>(L$436-Tabell2[[#This Row],[ReisetidOslo-T]])*100/L$439</f>
        <v>23.334771623513159</v>
      </c>
      <c r="V399" s="9">
        <f>100-(M$436-Tabell2[[#This Row],[Beftettotal-T]])*100/M$439</f>
        <v>6.4689297930131033</v>
      </c>
      <c r="W399" s="9">
        <f>100-(N$436-Tabell2[[#This Row],[Befvekst10-T]])*100/N$439</f>
        <v>47.776845211313002</v>
      </c>
      <c r="X399" s="9">
        <f>100-(O$436-Tabell2[[#This Row],[Kvinneandel-T]])*100/O$439</f>
        <v>38.842144307194388</v>
      </c>
      <c r="Y399" s="9">
        <f>(P$436-Tabell2[[#This Row],[Eldreandel-T]])*100/P$439</f>
        <v>60.672659874796508</v>
      </c>
      <c r="Z399" s="9">
        <f>100-(Q$436-Tabell2[[#This Row],[Sysselsettingsvekst10-T]])*100/Q$439</f>
        <v>0</v>
      </c>
      <c r="AA399" s="9">
        <f>100-(R$436-Tabell2[[#This Row],[Yrkesaktivandel-T]])*100/R$439</f>
        <v>36.497530612943216</v>
      </c>
      <c r="AB399" s="9">
        <f>100-(S$436-Tabell2[[#This Row],[Inntekt-T]])*100/S$439</f>
        <v>44.297749277002389</v>
      </c>
      <c r="AC399" s="48">
        <f>Tabell2[[#This Row],[NIBR11-I]]*Vekter!$B$3</f>
        <v>6</v>
      </c>
      <c r="AD399" s="48">
        <f>Tabell2[[#This Row],[ReisetidOslo-I]]*Vekter!$C$3</f>
        <v>2.3334771623513162</v>
      </c>
      <c r="AE399" s="48">
        <f>Tabell2[[#This Row],[Beftettotal-I]]*Vekter!$D$3</f>
        <v>0.6468929793013104</v>
      </c>
      <c r="AF399" s="48">
        <f>Tabell2[[#This Row],[Befvekst10-I]]*Vekter!$E$3</f>
        <v>9.5553690422626012</v>
      </c>
      <c r="AG399" s="48">
        <f>Tabell2[[#This Row],[Kvinneandel-I]]*Vekter!$F$3</f>
        <v>1.9421072153597194</v>
      </c>
      <c r="AH399" s="48">
        <f>Tabell2[[#This Row],[Eldreandel-I]]*Vekter!$G$3</f>
        <v>3.0336329937398254</v>
      </c>
      <c r="AI399" s="48">
        <f>Tabell2[[#This Row],[Sysselsettingsvekst10-I]]*Vekter!$H$3</f>
        <v>0</v>
      </c>
      <c r="AJ399" s="48">
        <f>Tabell2[[#This Row],[Yrkesaktivandel-I]]*Vekter!$J$3</f>
        <v>3.6497530612943216</v>
      </c>
      <c r="AK399" s="48">
        <f>Tabell2[[#This Row],[Inntekt-I]]*Vekter!$L$3</f>
        <v>4.4297749277002394</v>
      </c>
      <c r="AL399" s="37">
        <f>SUM(Tabell2[[#This Row],[NIBR11-v]:[Inntekt-v]])</f>
        <v>31.591007382009334</v>
      </c>
    </row>
    <row r="400" spans="1:38">
      <c r="A400" s="2" t="s">
        <v>397</v>
      </c>
      <c r="B400">
        <f>'Rådata-K'!M399</f>
        <v>8</v>
      </c>
      <c r="C400" s="9">
        <f>'Rådata-K'!L399</f>
        <v>251.21005640039999</v>
      </c>
      <c r="D400" s="51">
        <f>'Rådata-K'!N399</f>
        <v>4.0583627919872463</v>
      </c>
      <c r="E400" s="51">
        <f>'Rådata-K'!O399</f>
        <v>-0.10130468150422101</v>
      </c>
      <c r="F400" s="51">
        <f>'Rådata-K'!P399</f>
        <v>8.1981212638770284E-2</v>
      </c>
      <c r="G400" s="51">
        <f>'Rådata-K'!Q399</f>
        <v>0.21947053800170793</v>
      </c>
      <c r="H400" s="51">
        <f>'Rådata-K'!R399</f>
        <v>-7.3170731707317027E-2</v>
      </c>
      <c r="I400" s="51">
        <f>'Rådata-K'!S399</f>
        <v>0.84319999999999995</v>
      </c>
      <c r="J400" s="52">
        <f>'Rådata-K'!K399</f>
        <v>320400</v>
      </c>
      <c r="K400" s="26">
        <f>Tabell2[[#This Row],[NIBR11]]</f>
        <v>8</v>
      </c>
      <c r="L400" s="52">
        <f>IF(Tabell2[[#This Row],[ReisetidOslo]]&lt;=C$434,C$434,IF(Tabell2[[#This Row],[ReisetidOslo]]&gt;=C$435,C$435,Tabell2[[#This Row],[ReisetidOslo]]))</f>
        <v>251.21005640039999</v>
      </c>
      <c r="M400" s="51">
        <f>IF(Tabell2[[#This Row],[Beftettotal]]&lt;=D$434,D$434,IF(Tabell2[[#This Row],[Beftettotal]]&gt;=D$435,D$435,Tabell2[[#This Row],[Beftettotal]]))</f>
        <v>4.0583627919872463</v>
      </c>
      <c r="N400" s="51">
        <f>IF(Tabell2[[#This Row],[Befvekst10]]&lt;=E$434,E$434,IF(Tabell2[[#This Row],[Befvekst10]]&gt;=E$435,E$435,Tabell2[[#This Row],[Befvekst10]]))</f>
        <v>-8.0785862785862778E-2</v>
      </c>
      <c r="O400" s="51">
        <f>IF(Tabell2[[#This Row],[Kvinneandel]]&lt;=F$434,F$434,IF(Tabell2[[#This Row],[Kvinneandel]]&gt;=F$435,F$435,Tabell2[[#This Row],[Kvinneandel]]))</f>
        <v>9.0262917071501733E-2</v>
      </c>
      <c r="P400" s="51">
        <f>IF(Tabell2[[#This Row],[Eldreandel]]&lt;=G$434,G$434,IF(Tabell2[[#This Row],[Eldreandel]]&gt;=G$435,G$435,Tabell2[[#This Row],[Eldreandel]]))</f>
        <v>0.20830063331569054</v>
      </c>
      <c r="Q400" s="51">
        <f>IF(Tabell2[[#This Row],[Sysselsettingsvekst10]]&lt;=H$434,H$434,IF(Tabell2[[#This Row],[Sysselsettingsvekst10]]&gt;=H$435,H$435,Tabell2[[#This Row],[Sysselsettingsvekst10]]))</f>
        <v>-6.8692498376029434E-2</v>
      </c>
      <c r="R400" s="51">
        <f>IF(Tabell2[[#This Row],[Yrkesaktivandel]]&lt;=I$434,I$434,IF(Tabell2[[#This Row],[Yrkesaktivandel]]&gt;=I$435,I$435,Tabell2[[#This Row],[Yrkesaktivandel]]))</f>
        <v>0.84319999999999995</v>
      </c>
      <c r="S400" s="52">
        <f>IF(Tabell2[[#This Row],[Inntekt]]&lt;=J$434,J$434,IF(Tabell2[[#This Row],[Inntekt]]&gt;=J$435,J$435,Tabell2[[#This Row],[Inntekt]]))</f>
        <v>320470</v>
      </c>
      <c r="T400" s="9">
        <f>IF(Tabell2[[#This Row],[NIBR11-T]]&lt;=K$437,100,IF(Tabell2[[#This Row],[NIBR11-T]]&gt;=K$436,0,100*(K$436-Tabell2[[#This Row],[NIBR11-T]])/K$439))</f>
        <v>30</v>
      </c>
      <c r="U400" s="9">
        <f>(L$436-Tabell2[[#This Row],[ReisetidOslo-T]])*100/L$439</f>
        <v>12.362034698171598</v>
      </c>
      <c r="V400" s="9">
        <f>100-(M$436-Tabell2[[#This Row],[Beftettotal-T]])*100/M$439</f>
        <v>2.1413649222351552</v>
      </c>
      <c r="W400" s="9">
        <f>100-(N$436-Tabell2[[#This Row],[Befvekst10-T]])*100/N$439</f>
        <v>0</v>
      </c>
      <c r="X400" s="9">
        <f>100-(O$436-Tabell2[[#This Row],[Kvinneandel-T]])*100/O$439</f>
        <v>0</v>
      </c>
      <c r="Y400" s="9">
        <f>(P$436-Tabell2[[#This Row],[Eldreandel-T]])*100/P$439</f>
        <v>0</v>
      </c>
      <c r="Z400" s="9">
        <f>100-(Q$436-Tabell2[[#This Row],[Sysselsettingsvekst10-T]])*100/Q$439</f>
        <v>0</v>
      </c>
      <c r="AA400" s="9">
        <f>100-(R$436-Tabell2[[#This Row],[Yrkesaktivandel-T]])*100/R$439</f>
        <v>11.304671026866401</v>
      </c>
      <c r="AB400" s="9">
        <f>100-(S$436-Tabell2[[#This Row],[Inntekt-T]])*100/S$439</f>
        <v>0</v>
      </c>
      <c r="AC400" s="48">
        <f>Tabell2[[#This Row],[NIBR11-I]]*Vekter!$B$3</f>
        <v>6</v>
      </c>
      <c r="AD400" s="48">
        <f>Tabell2[[#This Row],[ReisetidOslo-I]]*Vekter!$C$3</f>
        <v>1.23620346981716</v>
      </c>
      <c r="AE400" s="48">
        <f>Tabell2[[#This Row],[Beftettotal-I]]*Vekter!$D$3</f>
        <v>0.21413649222351552</v>
      </c>
      <c r="AF400" s="48">
        <f>Tabell2[[#This Row],[Befvekst10-I]]*Vekter!$E$3</f>
        <v>0</v>
      </c>
      <c r="AG400" s="48">
        <f>Tabell2[[#This Row],[Kvinneandel-I]]*Vekter!$F$3</f>
        <v>0</v>
      </c>
      <c r="AH400" s="48">
        <f>Tabell2[[#This Row],[Eldreandel-I]]*Vekter!$G$3</f>
        <v>0</v>
      </c>
      <c r="AI400" s="48">
        <f>Tabell2[[#This Row],[Sysselsettingsvekst10-I]]*Vekter!$H$3</f>
        <v>0</v>
      </c>
      <c r="AJ400" s="48">
        <f>Tabell2[[#This Row],[Yrkesaktivandel-I]]*Vekter!$J$3</f>
        <v>1.1304671026866402</v>
      </c>
      <c r="AK400" s="48">
        <f>Tabell2[[#This Row],[Inntekt-I]]*Vekter!$L$3</f>
        <v>0</v>
      </c>
      <c r="AL400" s="37">
        <f>SUM(Tabell2[[#This Row],[NIBR11-v]:[Inntekt-v]])</f>
        <v>8.5808070647273151</v>
      </c>
    </row>
    <row r="401" spans="1:38">
      <c r="A401" s="2" t="s">
        <v>398</v>
      </c>
      <c r="B401">
        <f>'Rådata-K'!M400</f>
        <v>8</v>
      </c>
      <c r="C401" s="9">
        <f>'Rådata-K'!L400</f>
        <v>262.17896690919997</v>
      </c>
      <c r="D401" s="51">
        <f>'Rådata-K'!N400</f>
        <v>2.8823944871819345</v>
      </c>
      <c r="E401" s="51">
        <f>'Rådata-K'!O400</f>
        <v>-9.1456077015643844E-2</v>
      </c>
      <c r="F401" s="51">
        <f>'Rådata-K'!P400</f>
        <v>9.2052980132450335E-2</v>
      </c>
      <c r="G401" s="51">
        <f>'Rådata-K'!Q400</f>
        <v>0.22251655629139072</v>
      </c>
      <c r="H401" s="51">
        <f>'Rådata-K'!R400</f>
        <v>-2.9411764705882359E-2</v>
      </c>
      <c r="I401" s="51">
        <f>'Rådata-K'!S400</f>
        <v>0.85640362225097022</v>
      </c>
      <c r="J401" s="52">
        <f>'Rådata-K'!K400</f>
        <v>326700</v>
      </c>
      <c r="K401" s="26">
        <f>Tabell2[[#This Row],[NIBR11]]</f>
        <v>8</v>
      </c>
      <c r="L401" s="52">
        <f>IF(Tabell2[[#This Row],[ReisetidOslo]]&lt;=C$434,C$434,IF(Tabell2[[#This Row],[ReisetidOslo]]&gt;=C$435,C$435,Tabell2[[#This Row],[ReisetidOslo]]))</f>
        <v>262.17896690919997</v>
      </c>
      <c r="M401" s="51">
        <f>IF(Tabell2[[#This Row],[Beftettotal]]&lt;=D$434,D$434,IF(Tabell2[[#This Row],[Beftettotal]]&gt;=D$435,D$435,Tabell2[[#This Row],[Beftettotal]]))</f>
        <v>2.8823944871819345</v>
      </c>
      <c r="N401" s="51">
        <f>IF(Tabell2[[#This Row],[Befvekst10]]&lt;=E$434,E$434,IF(Tabell2[[#This Row],[Befvekst10]]&gt;=E$435,E$435,Tabell2[[#This Row],[Befvekst10]]))</f>
        <v>-8.0785862785862778E-2</v>
      </c>
      <c r="O401" s="51">
        <f>IF(Tabell2[[#This Row],[Kvinneandel]]&lt;=F$434,F$434,IF(Tabell2[[#This Row],[Kvinneandel]]&gt;=F$435,F$435,Tabell2[[#This Row],[Kvinneandel]]))</f>
        <v>9.2052980132450335E-2</v>
      </c>
      <c r="P401" s="51">
        <f>IF(Tabell2[[#This Row],[Eldreandel]]&lt;=G$434,G$434,IF(Tabell2[[#This Row],[Eldreandel]]&gt;=G$435,G$435,Tabell2[[#This Row],[Eldreandel]]))</f>
        <v>0.20830063331569054</v>
      </c>
      <c r="Q401" s="51">
        <f>IF(Tabell2[[#This Row],[Sysselsettingsvekst10]]&lt;=H$434,H$434,IF(Tabell2[[#This Row],[Sysselsettingsvekst10]]&gt;=H$435,H$435,Tabell2[[#This Row],[Sysselsettingsvekst10]]))</f>
        <v>-2.9411764705882359E-2</v>
      </c>
      <c r="R401" s="51">
        <f>IF(Tabell2[[#This Row],[Yrkesaktivandel]]&lt;=I$434,I$434,IF(Tabell2[[#This Row],[Yrkesaktivandel]]&gt;=I$435,I$435,Tabell2[[#This Row],[Yrkesaktivandel]]))</f>
        <v>0.85640362225097022</v>
      </c>
      <c r="S401" s="52">
        <f>IF(Tabell2[[#This Row],[Inntekt]]&lt;=J$434,J$434,IF(Tabell2[[#This Row],[Inntekt]]&gt;=J$435,J$435,Tabell2[[#This Row],[Inntekt]]))</f>
        <v>326700</v>
      </c>
      <c r="T401" s="9">
        <f>IF(Tabell2[[#This Row],[NIBR11-T]]&lt;=K$437,100,IF(Tabell2[[#This Row],[NIBR11-T]]&gt;=K$436,0,100*(K$436-Tabell2[[#This Row],[NIBR11-T]])/K$439))</f>
        <v>30</v>
      </c>
      <c r="U401" s="9">
        <f>(L$436-Tabell2[[#This Row],[ReisetidOslo-T]])*100/L$439</f>
        <v>7.4923803858306028</v>
      </c>
      <c r="V401" s="9">
        <f>100-(M$436-Tabell2[[#This Row],[Beftettotal-T]])*100/M$439</f>
        <v>1.2150993510167751</v>
      </c>
      <c r="W401" s="9">
        <f>100-(N$436-Tabell2[[#This Row],[Befvekst10-T]])*100/N$439</f>
        <v>0</v>
      </c>
      <c r="X401" s="9">
        <f>100-(O$436-Tabell2[[#This Row],[Kvinneandel-T]])*100/O$439</f>
        <v>4.7413360668911508</v>
      </c>
      <c r="Y401" s="9">
        <f>(P$436-Tabell2[[#This Row],[Eldreandel-T]])*100/P$439</f>
        <v>0</v>
      </c>
      <c r="Z401" s="9">
        <f>100-(Q$436-Tabell2[[#This Row],[Sysselsettingsvekst10-T]])*100/Q$439</f>
        <v>12.60798295974206</v>
      </c>
      <c r="AA401" s="9">
        <f>100-(R$436-Tabell2[[#This Row],[Yrkesaktivandel-T]])*100/R$439</f>
        <v>21.147651084144201</v>
      </c>
      <c r="AB401" s="9">
        <f>100-(S$436-Tabell2[[#This Row],[Inntekt-T]])*100/S$439</f>
        <v>7.8335219414057633</v>
      </c>
      <c r="AC401" s="48">
        <f>Tabell2[[#This Row],[NIBR11-I]]*Vekter!$B$3</f>
        <v>6</v>
      </c>
      <c r="AD401" s="48">
        <f>Tabell2[[#This Row],[ReisetidOslo-I]]*Vekter!$C$3</f>
        <v>0.74923803858306037</v>
      </c>
      <c r="AE401" s="48">
        <f>Tabell2[[#This Row],[Beftettotal-I]]*Vekter!$D$3</f>
        <v>0.12150993510167751</v>
      </c>
      <c r="AF401" s="48">
        <f>Tabell2[[#This Row],[Befvekst10-I]]*Vekter!$E$3</f>
        <v>0</v>
      </c>
      <c r="AG401" s="48">
        <f>Tabell2[[#This Row],[Kvinneandel-I]]*Vekter!$F$3</f>
        <v>0.23706680334455754</v>
      </c>
      <c r="AH401" s="48">
        <f>Tabell2[[#This Row],[Eldreandel-I]]*Vekter!$G$3</f>
        <v>0</v>
      </c>
      <c r="AI401" s="48">
        <f>Tabell2[[#This Row],[Sysselsettingsvekst10-I]]*Vekter!$H$3</f>
        <v>1.2607982959742061</v>
      </c>
      <c r="AJ401" s="48">
        <f>Tabell2[[#This Row],[Yrkesaktivandel-I]]*Vekter!$J$3</f>
        <v>2.1147651084144203</v>
      </c>
      <c r="AK401" s="48">
        <f>Tabell2[[#This Row],[Inntekt-I]]*Vekter!$L$3</f>
        <v>0.78335219414057633</v>
      </c>
      <c r="AL401" s="37">
        <f>SUM(Tabell2[[#This Row],[NIBR11-v]:[Inntekt-v]])</f>
        <v>11.266730375558499</v>
      </c>
    </row>
    <row r="402" spans="1:38">
      <c r="A402" s="2" t="s">
        <v>399</v>
      </c>
      <c r="B402">
        <f>'Rådata-K'!M401</f>
        <v>11</v>
      </c>
      <c r="C402" s="9">
        <f>'Rådata-K'!L401</f>
        <v>302.26115858259999</v>
      </c>
      <c r="D402" s="51">
        <f>'Rådata-K'!N401</f>
        <v>3.6069345164735847</v>
      </c>
      <c r="E402" s="51">
        <f>'Rådata-K'!O401</f>
        <v>-0.19227230910763571</v>
      </c>
      <c r="F402" s="51">
        <f>'Rådata-K'!P401</f>
        <v>8.4282460136674259E-2</v>
      </c>
      <c r="G402" s="51">
        <f>'Rådata-K'!Q401</f>
        <v>0.23804100227790434</v>
      </c>
      <c r="H402" s="51">
        <f>'Rådata-K'!R401</f>
        <v>-0.2662473794549266</v>
      </c>
      <c r="I402" s="51">
        <f>'Rådata-K'!S401</f>
        <v>0.88222698072805139</v>
      </c>
      <c r="J402" s="52">
        <f>'Rådata-K'!K401</f>
        <v>324800</v>
      </c>
      <c r="K402" s="26">
        <f>Tabell2[[#This Row],[NIBR11]]</f>
        <v>11</v>
      </c>
      <c r="L402" s="52">
        <f>IF(Tabell2[[#This Row],[ReisetidOslo]]&lt;=C$434,C$434,IF(Tabell2[[#This Row],[ReisetidOslo]]&gt;=C$435,C$435,Tabell2[[#This Row],[ReisetidOslo]]))</f>
        <v>279.05557553043002</v>
      </c>
      <c r="M402" s="51">
        <f>IF(Tabell2[[#This Row],[Beftettotal]]&lt;=D$434,D$434,IF(Tabell2[[#This Row],[Beftettotal]]&gt;=D$435,D$435,Tabell2[[#This Row],[Beftettotal]]))</f>
        <v>3.6069345164735847</v>
      </c>
      <c r="N402" s="51">
        <f>IF(Tabell2[[#This Row],[Befvekst10]]&lt;=E$434,E$434,IF(Tabell2[[#This Row],[Befvekst10]]&gt;=E$435,E$435,Tabell2[[#This Row],[Befvekst10]]))</f>
        <v>-8.0785862785862778E-2</v>
      </c>
      <c r="O402" s="51">
        <f>IF(Tabell2[[#This Row],[Kvinneandel]]&lt;=F$434,F$434,IF(Tabell2[[#This Row],[Kvinneandel]]&gt;=F$435,F$435,Tabell2[[#This Row],[Kvinneandel]]))</f>
        <v>9.0262917071501733E-2</v>
      </c>
      <c r="P402" s="51">
        <f>IF(Tabell2[[#This Row],[Eldreandel]]&lt;=G$434,G$434,IF(Tabell2[[#This Row],[Eldreandel]]&gt;=G$435,G$435,Tabell2[[#This Row],[Eldreandel]]))</f>
        <v>0.20830063331569054</v>
      </c>
      <c r="Q402" s="51">
        <f>IF(Tabell2[[#This Row],[Sysselsettingsvekst10]]&lt;=H$434,H$434,IF(Tabell2[[#This Row],[Sysselsettingsvekst10]]&gt;=H$435,H$435,Tabell2[[#This Row],[Sysselsettingsvekst10]]))</f>
        <v>-6.8692498376029434E-2</v>
      </c>
      <c r="R402" s="51">
        <f>IF(Tabell2[[#This Row],[Yrkesaktivandel]]&lt;=I$434,I$434,IF(Tabell2[[#This Row],[Yrkesaktivandel]]&gt;=I$435,I$435,Tabell2[[#This Row],[Yrkesaktivandel]]))</f>
        <v>0.88222698072805139</v>
      </c>
      <c r="S402" s="52">
        <f>IF(Tabell2[[#This Row],[Inntekt]]&lt;=J$434,J$434,IF(Tabell2[[#This Row],[Inntekt]]&gt;=J$435,J$435,Tabell2[[#This Row],[Inntekt]]))</f>
        <v>324800</v>
      </c>
      <c r="T402" s="9">
        <f>IF(Tabell2[[#This Row],[NIBR11-T]]&lt;=K$437,100,IF(Tabell2[[#This Row],[NIBR11-T]]&gt;=K$436,0,100*(K$436-Tabell2[[#This Row],[NIBR11-T]])/K$439))</f>
        <v>0</v>
      </c>
      <c r="U402" s="9">
        <f>(L$436-Tabell2[[#This Row],[ReisetidOslo-T]])*100/L$439</f>
        <v>0</v>
      </c>
      <c r="V402" s="9">
        <f>100-(M$436-Tabell2[[#This Row],[Beftettotal-T]])*100/M$439</f>
        <v>1.785792014552058</v>
      </c>
      <c r="W402" s="9">
        <f>100-(N$436-Tabell2[[#This Row],[Befvekst10-T]])*100/N$439</f>
        <v>0</v>
      </c>
      <c r="X402" s="9">
        <f>100-(O$436-Tabell2[[#This Row],[Kvinneandel-T]])*100/O$439</f>
        <v>0</v>
      </c>
      <c r="Y402" s="9">
        <f>(P$436-Tabell2[[#This Row],[Eldreandel-T]])*100/P$439</f>
        <v>0</v>
      </c>
      <c r="Z402" s="9">
        <f>100-(Q$436-Tabell2[[#This Row],[Sysselsettingsvekst10-T]])*100/Q$439</f>
        <v>0</v>
      </c>
      <c r="AA402" s="9">
        <f>100-(R$436-Tabell2[[#This Row],[Yrkesaktivandel-T]])*100/R$439</f>
        <v>40.398338332726084</v>
      </c>
      <c r="AB402" s="9">
        <f>100-(S$436-Tabell2[[#This Row],[Inntekt-T]])*100/S$439</f>
        <v>5.4444863573494331</v>
      </c>
      <c r="AC402" s="48">
        <f>Tabell2[[#This Row],[NIBR11-I]]*Vekter!$B$3</f>
        <v>0</v>
      </c>
      <c r="AD402" s="48">
        <f>Tabell2[[#This Row],[ReisetidOslo-I]]*Vekter!$C$3</f>
        <v>0</v>
      </c>
      <c r="AE402" s="48">
        <f>Tabell2[[#This Row],[Beftettotal-I]]*Vekter!$D$3</f>
        <v>0.17857920145520581</v>
      </c>
      <c r="AF402" s="48">
        <f>Tabell2[[#This Row],[Befvekst10-I]]*Vekter!$E$3</f>
        <v>0</v>
      </c>
      <c r="AG402" s="48">
        <f>Tabell2[[#This Row],[Kvinneandel-I]]*Vekter!$F$3</f>
        <v>0</v>
      </c>
      <c r="AH402" s="48">
        <f>Tabell2[[#This Row],[Eldreandel-I]]*Vekter!$G$3</f>
        <v>0</v>
      </c>
      <c r="AI402" s="48">
        <f>Tabell2[[#This Row],[Sysselsettingsvekst10-I]]*Vekter!$H$3</f>
        <v>0</v>
      </c>
      <c r="AJ402" s="48">
        <f>Tabell2[[#This Row],[Yrkesaktivandel-I]]*Vekter!$J$3</f>
        <v>4.0398338332726089</v>
      </c>
      <c r="AK402" s="48">
        <f>Tabell2[[#This Row],[Inntekt-I]]*Vekter!$L$3</f>
        <v>0.54444863573494329</v>
      </c>
      <c r="AL402" s="37">
        <f>SUM(Tabell2[[#This Row],[NIBR11-v]:[Inntekt-v]])</f>
        <v>4.7628616704627573</v>
      </c>
    </row>
    <row r="403" spans="1:38">
      <c r="A403" s="2" t="s">
        <v>400</v>
      </c>
      <c r="B403">
        <f>'Rådata-K'!M402</f>
        <v>11</v>
      </c>
      <c r="C403" s="9">
        <f>'Rådata-K'!L402</f>
        <v>295.20740193410001</v>
      </c>
      <c r="D403" s="51">
        <f>'Rådata-K'!N402</f>
        <v>3.1236176800843856</v>
      </c>
      <c r="E403" s="51">
        <f>'Rådata-K'!O402</f>
        <v>-0.1198465963566635</v>
      </c>
      <c r="F403" s="51">
        <f>'Rådata-K'!P402</f>
        <v>0.10457516339869281</v>
      </c>
      <c r="G403" s="51">
        <f>'Rådata-K'!Q402</f>
        <v>0.19825708061002179</v>
      </c>
      <c r="H403" s="51">
        <f>'Rådata-K'!R402</f>
        <v>0.21164021164021163</v>
      </c>
      <c r="I403" s="51">
        <f>'Rådata-K'!S402</f>
        <v>0.84672897196261687</v>
      </c>
      <c r="J403" s="52">
        <f>'Rådata-K'!K402</f>
        <v>335500</v>
      </c>
      <c r="K403" s="26">
        <f>Tabell2[[#This Row],[NIBR11]]</f>
        <v>11</v>
      </c>
      <c r="L403" s="52">
        <f>IF(Tabell2[[#This Row],[ReisetidOslo]]&lt;=C$434,C$434,IF(Tabell2[[#This Row],[ReisetidOslo]]&gt;=C$435,C$435,Tabell2[[#This Row],[ReisetidOslo]]))</f>
        <v>279.05557553043002</v>
      </c>
      <c r="M403" s="51">
        <f>IF(Tabell2[[#This Row],[Beftettotal]]&lt;=D$434,D$434,IF(Tabell2[[#This Row],[Beftettotal]]&gt;=D$435,D$435,Tabell2[[#This Row],[Beftettotal]]))</f>
        <v>3.1236176800843856</v>
      </c>
      <c r="N403" s="51">
        <f>IF(Tabell2[[#This Row],[Befvekst10]]&lt;=E$434,E$434,IF(Tabell2[[#This Row],[Befvekst10]]&gt;=E$435,E$435,Tabell2[[#This Row],[Befvekst10]]))</f>
        <v>-8.0785862785862778E-2</v>
      </c>
      <c r="O403" s="51">
        <f>IF(Tabell2[[#This Row],[Kvinneandel]]&lt;=F$434,F$434,IF(Tabell2[[#This Row],[Kvinneandel]]&gt;=F$435,F$435,Tabell2[[#This Row],[Kvinneandel]]))</f>
        <v>0.10457516339869281</v>
      </c>
      <c r="P403" s="51">
        <f>IF(Tabell2[[#This Row],[Eldreandel]]&lt;=G$434,G$434,IF(Tabell2[[#This Row],[Eldreandel]]&gt;=G$435,G$435,Tabell2[[#This Row],[Eldreandel]]))</f>
        <v>0.19825708061002179</v>
      </c>
      <c r="Q403" s="51">
        <f>IF(Tabell2[[#This Row],[Sysselsettingsvekst10]]&lt;=H$434,H$434,IF(Tabell2[[#This Row],[Sysselsettingsvekst10]]&gt;=H$435,H$435,Tabell2[[#This Row],[Sysselsettingsvekst10]]))</f>
        <v>0.21164021164021163</v>
      </c>
      <c r="R403" s="51">
        <f>IF(Tabell2[[#This Row],[Yrkesaktivandel]]&lt;=I$434,I$434,IF(Tabell2[[#This Row],[Yrkesaktivandel]]&gt;=I$435,I$435,Tabell2[[#This Row],[Yrkesaktivandel]]))</f>
        <v>0.84672897196261687</v>
      </c>
      <c r="S403" s="52">
        <f>IF(Tabell2[[#This Row],[Inntekt]]&lt;=J$434,J$434,IF(Tabell2[[#This Row],[Inntekt]]&gt;=J$435,J$435,Tabell2[[#This Row],[Inntekt]]))</f>
        <v>335500</v>
      </c>
      <c r="T403" s="9">
        <f>IF(Tabell2[[#This Row],[NIBR11-T]]&lt;=K$437,100,IF(Tabell2[[#This Row],[NIBR11-T]]&gt;=K$436,0,100*(K$436-Tabell2[[#This Row],[NIBR11-T]])/K$439))</f>
        <v>0</v>
      </c>
      <c r="U403" s="9">
        <f>(L$436-Tabell2[[#This Row],[ReisetidOslo-T]])*100/L$439</f>
        <v>0</v>
      </c>
      <c r="V403" s="9">
        <f>100-(M$436-Tabell2[[#This Row],[Beftettotal-T]])*100/M$439</f>
        <v>1.4051016985731621</v>
      </c>
      <c r="W403" s="9">
        <f>100-(N$436-Tabell2[[#This Row],[Befvekst10-T]])*100/N$439</f>
        <v>0</v>
      </c>
      <c r="X403" s="9">
        <f>100-(O$436-Tabell2[[#This Row],[Kvinneandel-T]])*100/O$439</f>
        <v>37.908815163964711</v>
      </c>
      <c r="Y403" s="9">
        <f>(P$436-Tabell2[[#This Row],[Eldreandel-T]])*100/P$439</f>
        <v>11.38623971217112</v>
      </c>
      <c r="Z403" s="9">
        <f>100-(Q$436-Tabell2[[#This Row],[Sysselsettingsvekst10-T]])*100/Q$439</f>
        <v>89.978717317828739</v>
      </c>
      <c r="AA403" s="9">
        <f>100-(R$436-Tabell2[[#This Row],[Yrkesaktivandel-T]])*100/R$439</f>
        <v>13.935434009212273</v>
      </c>
      <c r="AB403" s="9">
        <f>100-(S$436-Tabell2[[#This Row],[Inntekt-T]])*100/S$439</f>
        <v>18.898528857035075</v>
      </c>
      <c r="AC403" s="48">
        <f>Tabell2[[#This Row],[NIBR11-I]]*Vekter!$B$3</f>
        <v>0</v>
      </c>
      <c r="AD403" s="48">
        <f>Tabell2[[#This Row],[ReisetidOslo-I]]*Vekter!$C$3</f>
        <v>0</v>
      </c>
      <c r="AE403" s="48">
        <f>Tabell2[[#This Row],[Beftettotal-I]]*Vekter!$D$3</f>
        <v>0.14051016985731621</v>
      </c>
      <c r="AF403" s="48">
        <f>Tabell2[[#This Row],[Befvekst10-I]]*Vekter!$E$3</f>
        <v>0</v>
      </c>
      <c r="AG403" s="48">
        <f>Tabell2[[#This Row],[Kvinneandel-I]]*Vekter!$F$3</f>
        <v>1.8954407581982355</v>
      </c>
      <c r="AH403" s="48">
        <f>Tabell2[[#This Row],[Eldreandel-I]]*Vekter!$G$3</f>
        <v>0.569311985608556</v>
      </c>
      <c r="AI403" s="48">
        <f>Tabell2[[#This Row],[Sysselsettingsvekst10-I]]*Vekter!$H$3</f>
        <v>8.9978717317828742</v>
      </c>
      <c r="AJ403" s="48">
        <f>Tabell2[[#This Row],[Yrkesaktivandel-I]]*Vekter!$J$3</f>
        <v>1.3935434009212273</v>
      </c>
      <c r="AK403" s="48">
        <f>Tabell2[[#This Row],[Inntekt-I]]*Vekter!$L$3</f>
        <v>1.8898528857035075</v>
      </c>
      <c r="AL403" s="37">
        <f>SUM(Tabell2[[#This Row],[NIBR11-v]:[Inntekt-v]])</f>
        <v>14.886530932071718</v>
      </c>
    </row>
    <row r="404" spans="1:38">
      <c r="A404" s="2" t="s">
        <v>401</v>
      </c>
      <c r="B404">
        <f>'Rådata-K'!M403</f>
        <v>8</v>
      </c>
      <c r="C404" s="9">
        <f>'Rådata-K'!L403</f>
        <v>244.79775534800001</v>
      </c>
      <c r="D404" s="51">
        <f>'Rådata-K'!N403</f>
        <v>13.077523678046463</v>
      </c>
      <c r="E404" s="51">
        <f>'Rådata-K'!O403</f>
        <v>4.0514990546502316E-2</v>
      </c>
      <c r="F404" s="51">
        <f>'Rådata-K'!P403</f>
        <v>0.110582331054772</v>
      </c>
      <c r="G404" s="51">
        <f>'Rådata-K'!Q403</f>
        <v>0.14744310807302932</v>
      </c>
      <c r="H404" s="51">
        <f>'Rådata-K'!R403</f>
        <v>0.10993377483443711</v>
      </c>
      <c r="I404" s="51">
        <f>'Rådata-K'!S403</f>
        <v>0.86342592592592593</v>
      </c>
      <c r="J404" s="52">
        <f>'Rådata-K'!K403</f>
        <v>352900</v>
      </c>
      <c r="K404" s="26">
        <f>Tabell2[[#This Row],[NIBR11]]</f>
        <v>8</v>
      </c>
      <c r="L404" s="52">
        <f>IF(Tabell2[[#This Row],[ReisetidOslo]]&lt;=C$434,C$434,IF(Tabell2[[#This Row],[ReisetidOslo]]&gt;=C$435,C$435,Tabell2[[#This Row],[ReisetidOslo]]))</f>
        <v>244.79775534800001</v>
      </c>
      <c r="M404" s="51">
        <f>IF(Tabell2[[#This Row],[Beftettotal]]&lt;=D$434,D$434,IF(Tabell2[[#This Row],[Beftettotal]]&gt;=D$435,D$435,Tabell2[[#This Row],[Beftettotal]]))</f>
        <v>13.077523678046463</v>
      </c>
      <c r="N404" s="51">
        <f>IF(Tabell2[[#This Row],[Befvekst10]]&lt;=E$434,E$434,IF(Tabell2[[#This Row],[Befvekst10]]&gt;=E$435,E$435,Tabell2[[#This Row],[Befvekst10]]))</f>
        <v>4.0514990546502316E-2</v>
      </c>
      <c r="O404" s="51">
        <f>IF(Tabell2[[#This Row],[Kvinneandel]]&lt;=F$434,F$434,IF(Tabell2[[#This Row],[Kvinneandel]]&gt;=F$435,F$435,Tabell2[[#This Row],[Kvinneandel]]))</f>
        <v>0.110582331054772</v>
      </c>
      <c r="P404" s="51">
        <f>IF(Tabell2[[#This Row],[Eldreandel]]&lt;=G$434,G$434,IF(Tabell2[[#This Row],[Eldreandel]]&gt;=G$435,G$435,Tabell2[[#This Row],[Eldreandel]]))</f>
        <v>0.14744310807302932</v>
      </c>
      <c r="Q404" s="51">
        <f>IF(Tabell2[[#This Row],[Sysselsettingsvekst10]]&lt;=H$434,H$434,IF(Tabell2[[#This Row],[Sysselsettingsvekst10]]&gt;=H$435,H$435,Tabell2[[#This Row],[Sysselsettingsvekst10]]))</f>
        <v>0.10993377483443711</v>
      </c>
      <c r="R404" s="51">
        <f>IF(Tabell2[[#This Row],[Yrkesaktivandel]]&lt;=I$434,I$434,IF(Tabell2[[#This Row],[Yrkesaktivandel]]&gt;=I$435,I$435,Tabell2[[#This Row],[Yrkesaktivandel]]))</f>
        <v>0.86342592592592593</v>
      </c>
      <c r="S404" s="52">
        <f>IF(Tabell2[[#This Row],[Inntekt]]&lt;=J$434,J$434,IF(Tabell2[[#This Row],[Inntekt]]&gt;=J$435,J$435,Tabell2[[#This Row],[Inntekt]]))</f>
        <v>352900</v>
      </c>
      <c r="T404" s="9">
        <f>IF(Tabell2[[#This Row],[NIBR11-T]]&lt;=K$437,100,IF(Tabell2[[#This Row],[NIBR11-T]]&gt;=K$436,0,100*(K$436-Tabell2[[#This Row],[NIBR11-T]])/K$439))</f>
        <v>30</v>
      </c>
      <c r="U404" s="9">
        <f>(L$436-Tabell2[[#This Row],[ReisetidOslo-T]])*100/L$439</f>
        <v>15.208779545510538</v>
      </c>
      <c r="V404" s="9">
        <f>100-(M$436-Tabell2[[#This Row],[Beftettotal-T]])*100/M$439</f>
        <v>9.245415410584954</v>
      </c>
      <c r="W404" s="9">
        <f>100-(N$436-Tabell2[[#This Row],[Befvekst10-T]])*100/N$439</f>
        <v>49.085085080501578</v>
      </c>
      <c r="X404" s="9">
        <f>100-(O$436-Tabell2[[#This Row],[Kvinneandel-T]])*100/O$439</f>
        <v>53.81998683661898</v>
      </c>
      <c r="Y404" s="9">
        <f>(P$436-Tabell2[[#This Row],[Eldreandel-T]])*100/P$439</f>
        <v>68.993352353429586</v>
      </c>
      <c r="Z404" s="9">
        <f>100-(Q$436-Tabell2[[#This Row],[Sysselsettingsvekst10-T]])*100/Q$439</f>
        <v>57.333883519374716</v>
      </c>
      <c r="AA404" s="9">
        <f>100-(R$436-Tabell2[[#This Row],[Yrkesaktivandel-T]])*100/R$439</f>
        <v>26.382608106915598</v>
      </c>
      <c r="AB404" s="9">
        <f>100-(S$436-Tabell2[[#This Row],[Inntekt-T]])*100/S$439</f>
        <v>40.777065258393058</v>
      </c>
      <c r="AC404" s="48">
        <f>Tabell2[[#This Row],[NIBR11-I]]*Vekter!$B$3</f>
        <v>6</v>
      </c>
      <c r="AD404" s="48">
        <f>Tabell2[[#This Row],[ReisetidOslo-I]]*Vekter!$C$3</f>
        <v>1.5208779545510538</v>
      </c>
      <c r="AE404" s="48">
        <f>Tabell2[[#This Row],[Beftettotal-I]]*Vekter!$D$3</f>
        <v>0.9245415410584954</v>
      </c>
      <c r="AF404" s="48">
        <f>Tabell2[[#This Row],[Befvekst10-I]]*Vekter!$E$3</f>
        <v>9.8170170161003156</v>
      </c>
      <c r="AG404" s="48">
        <f>Tabell2[[#This Row],[Kvinneandel-I]]*Vekter!$F$3</f>
        <v>2.690999341830949</v>
      </c>
      <c r="AH404" s="48">
        <f>Tabell2[[#This Row],[Eldreandel-I]]*Vekter!$G$3</f>
        <v>3.4496676176714796</v>
      </c>
      <c r="AI404" s="48">
        <f>Tabell2[[#This Row],[Sysselsettingsvekst10-I]]*Vekter!$H$3</f>
        <v>5.7333883519374718</v>
      </c>
      <c r="AJ404" s="48">
        <f>Tabell2[[#This Row],[Yrkesaktivandel-I]]*Vekter!$J$3</f>
        <v>2.6382608106915599</v>
      </c>
      <c r="AK404" s="48">
        <f>Tabell2[[#This Row],[Inntekt-I]]*Vekter!$L$3</f>
        <v>4.0777065258393064</v>
      </c>
      <c r="AL404" s="37">
        <f>SUM(Tabell2[[#This Row],[NIBR11-v]:[Inntekt-v]])</f>
        <v>36.852459159680627</v>
      </c>
    </row>
    <row r="405" spans="1:38">
      <c r="A405" s="2" t="s">
        <v>402</v>
      </c>
      <c r="B405">
        <f>'Rådata-K'!M404</f>
        <v>5</v>
      </c>
      <c r="C405" s="9">
        <f>'Rådata-K'!L404</f>
        <v>245.63374009559999</v>
      </c>
      <c r="D405" s="51">
        <f>'Rådata-K'!N404</f>
        <v>3.7363885363083704</v>
      </c>
      <c r="E405" s="51">
        <f>'Rådata-K'!O404</f>
        <v>-3.2079843165211397E-3</v>
      </c>
      <c r="F405" s="51">
        <f>'Rådata-K'!P404</f>
        <v>9.2436974789915971E-2</v>
      </c>
      <c r="G405" s="51">
        <f>'Rådata-K'!Q404</f>
        <v>0.19846236366887179</v>
      </c>
      <c r="H405" s="51">
        <f>'Rådata-K'!R404</f>
        <v>8.3557951482479798E-2</v>
      </c>
      <c r="I405" s="51">
        <f>'Rådata-K'!S404</f>
        <v>0.8851706036745407</v>
      </c>
      <c r="J405" s="52">
        <f>'Rådata-K'!K404</f>
        <v>327100</v>
      </c>
      <c r="K405" s="26">
        <f>Tabell2[[#This Row],[NIBR11]]</f>
        <v>5</v>
      </c>
      <c r="L405" s="52">
        <f>IF(Tabell2[[#This Row],[ReisetidOslo]]&lt;=C$434,C$434,IF(Tabell2[[#This Row],[ReisetidOslo]]&gt;=C$435,C$435,Tabell2[[#This Row],[ReisetidOslo]]))</f>
        <v>245.63374009559999</v>
      </c>
      <c r="M405" s="51">
        <f>IF(Tabell2[[#This Row],[Beftettotal]]&lt;=D$434,D$434,IF(Tabell2[[#This Row],[Beftettotal]]&gt;=D$435,D$435,Tabell2[[#This Row],[Beftettotal]]))</f>
        <v>3.7363885363083704</v>
      </c>
      <c r="N405" s="51">
        <f>IF(Tabell2[[#This Row],[Befvekst10]]&lt;=E$434,E$434,IF(Tabell2[[#This Row],[Befvekst10]]&gt;=E$435,E$435,Tabell2[[#This Row],[Befvekst10]]))</f>
        <v>-3.2079843165211397E-3</v>
      </c>
      <c r="O405" s="51">
        <f>IF(Tabell2[[#This Row],[Kvinneandel]]&lt;=F$434,F$434,IF(Tabell2[[#This Row],[Kvinneandel]]&gt;=F$435,F$435,Tabell2[[#This Row],[Kvinneandel]]))</f>
        <v>9.2436974789915971E-2</v>
      </c>
      <c r="P405" s="51">
        <f>IF(Tabell2[[#This Row],[Eldreandel]]&lt;=G$434,G$434,IF(Tabell2[[#This Row],[Eldreandel]]&gt;=G$435,G$435,Tabell2[[#This Row],[Eldreandel]]))</f>
        <v>0.19846236366887179</v>
      </c>
      <c r="Q405" s="51">
        <f>IF(Tabell2[[#This Row],[Sysselsettingsvekst10]]&lt;=H$434,H$434,IF(Tabell2[[#This Row],[Sysselsettingsvekst10]]&gt;=H$435,H$435,Tabell2[[#This Row],[Sysselsettingsvekst10]]))</f>
        <v>8.3557951482479798E-2</v>
      </c>
      <c r="R405" s="51">
        <f>IF(Tabell2[[#This Row],[Yrkesaktivandel]]&lt;=I$434,I$434,IF(Tabell2[[#This Row],[Yrkesaktivandel]]&gt;=I$435,I$435,Tabell2[[#This Row],[Yrkesaktivandel]]))</f>
        <v>0.8851706036745407</v>
      </c>
      <c r="S405" s="52">
        <f>IF(Tabell2[[#This Row],[Inntekt]]&lt;=J$434,J$434,IF(Tabell2[[#This Row],[Inntekt]]&gt;=J$435,J$435,Tabell2[[#This Row],[Inntekt]]))</f>
        <v>327100</v>
      </c>
      <c r="T405" s="9">
        <f>IF(Tabell2[[#This Row],[NIBR11-T]]&lt;=K$437,100,IF(Tabell2[[#This Row],[NIBR11-T]]&gt;=K$436,0,100*(K$436-Tabell2[[#This Row],[NIBR11-T]])/K$439))</f>
        <v>60</v>
      </c>
      <c r="U405" s="9">
        <f>(L$436-Tabell2[[#This Row],[ReisetidOslo-T]])*100/L$439</f>
        <v>14.837643622035225</v>
      </c>
      <c r="V405" s="9">
        <f>100-(M$436-Tabell2[[#This Row],[Beftettotal-T]])*100/M$439</f>
        <v>1.8877580294002456</v>
      </c>
      <c r="W405" s="9">
        <f>100-(N$436-Tabell2[[#This Row],[Befvekst10-T]])*100/N$439</f>
        <v>31.392332868415451</v>
      </c>
      <c r="X405" s="9">
        <f>100-(O$436-Tabell2[[#This Row],[Kvinneandel-T]])*100/O$439</f>
        <v>5.7584218660755226</v>
      </c>
      <c r="Y405" s="9">
        <f>(P$436-Tabell2[[#This Row],[Eldreandel-T]])*100/P$439</f>
        <v>11.153513087896558</v>
      </c>
      <c r="Z405" s="9">
        <f>100-(Q$436-Tabell2[[#This Row],[Sysselsettingsvekst10-T]])*100/Q$439</f>
        <v>48.868004695340019</v>
      </c>
      <c r="AA405" s="9">
        <f>100-(R$436-Tabell2[[#This Row],[Yrkesaktivandel-T]])*100/R$439</f>
        <v>42.592737824601151</v>
      </c>
      <c r="AB405" s="9">
        <f>100-(S$436-Tabell2[[#This Row],[Inntekt-T]])*100/S$439</f>
        <v>8.3364768012070982</v>
      </c>
      <c r="AC405" s="48">
        <f>Tabell2[[#This Row],[NIBR11-I]]*Vekter!$B$3</f>
        <v>12</v>
      </c>
      <c r="AD405" s="48">
        <f>Tabell2[[#This Row],[ReisetidOslo-I]]*Vekter!$C$3</f>
        <v>1.4837643622035226</v>
      </c>
      <c r="AE405" s="48">
        <f>Tabell2[[#This Row],[Beftettotal-I]]*Vekter!$D$3</f>
        <v>0.18877580294002458</v>
      </c>
      <c r="AF405" s="48">
        <f>Tabell2[[#This Row],[Befvekst10-I]]*Vekter!$E$3</f>
        <v>6.2784665736830902</v>
      </c>
      <c r="AG405" s="48">
        <f>Tabell2[[#This Row],[Kvinneandel-I]]*Vekter!$F$3</f>
        <v>0.28792109330377613</v>
      </c>
      <c r="AH405" s="48">
        <f>Tabell2[[#This Row],[Eldreandel-I]]*Vekter!$G$3</f>
        <v>0.55767565439482791</v>
      </c>
      <c r="AI405" s="48">
        <f>Tabell2[[#This Row],[Sysselsettingsvekst10-I]]*Vekter!$H$3</f>
        <v>4.8868004695340019</v>
      </c>
      <c r="AJ405" s="48">
        <f>Tabell2[[#This Row],[Yrkesaktivandel-I]]*Vekter!$J$3</f>
        <v>4.2592737824601157</v>
      </c>
      <c r="AK405" s="48">
        <f>Tabell2[[#This Row],[Inntekt-I]]*Vekter!$L$3</f>
        <v>0.83364768012070989</v>
      </c>
      <c r="AL405" s="37">
        <f>SUM(Tabell2[[#This Row],[NIBR11-v]:[Inntekt-v]])</f>
        <v>30.77632541864007</v>
      </c>
    </row>
    <row r="406" spans="1:38">
      <c r="A406" s="2" t="s">
        <v>403</v>
      </c>
      <c r="B406">
        <f>'Rådata-K'!M405</f>
        <v>4</v>
      </c>
      <c r="C406" s="9">
        <f>'Rådata-K'!L405</f>
        <v>260.99889813959999</v>
      </c>
      <c r="D406" s="51">
        <f>'Rådata-K'!N405</f>
        <v>2.1381654284117659</v>
      </c>
      <c r="E406" s="51">
        <f>'Rådata-K'!O405</f>
        <v>-2.9925187032418976E-2</v>
      </c>
      <c r="F406" s="51">
        <f>'Rådata-K'!P405</f>
        <v>9.7686375321336755E-2</v>
      </c>
      <c r="G406" s="51">
        <f>'Rådata-K'!Q405</f>
        <v>0.20865467009425878</v>
      </c>
      <c r="H406" s="51">
        <f>'Rådata-K'!R405</f>
        <v>8.2815734989647449E-3</v>
      </c>
      <c r="I406" s="51">
        <f>'Rådata-K'!S405</f>
        <v>0.88517110266159693</v>
      </c>
      <c r="J406" s="52">
        <f>'Rådata-K'!K405</f>
        <v>330100</v>
      </c>
      <c r="K406" s="26">
        <f>Tabell2[[#This Row],[NIBR11]]</f>
        <v>4</v>
      </c>
      <c r="L406" s="52">
        <f>IF(Tabell2[[#This Row],[ReisetidOslo]]&lt;=C$434,C$434,IF(Tabell2[[#This Row],[ReisetidOslo]]&gt;=C$435,C$435,Tabell2[[#This Row],[ReisetidOslo]]))</f>
        <v>260.99889813959999</v>
      </c>
      <c r="M406" s="51">
        <f>IF(Tabell2[[#This Row],[Beftettotal]]&lt;=D$434,D$434,IF(Tabell2[[#This Row],[Beftettotal]]&gt;=D$435,D$435,Tabell2[[#This Row],[Beftettotal]]))</f>
        <v>2.1381654284117659</v>
      </c>
      <c r="N406" s="51">
        <f>IF(Tabell2[[#This Row],[Befvekst10]]&lt;=E$434,E$434,IF(Tabell2[[#This Row],[Befvekst10]]&gt;=E$435,E$435,Tabell2[[#This Row],[Befvekst10]]))</f>
        <v>-2.9925187032418976E-2</v>
      </c>
      <c r="O406" s="51">
        <f>IF(Tabell2[[#This Row],[Kvinneandel]]&lt;=F$434,F$434,IF(Tabell2[[#This Row],[Kvinneandel]]&gt;=F$435,F$435,Tabell2[[#This Row],[Kvinneandel]]))</f>
        <v>9.7686375321336755E-2</v>
      </c>
      <c r="P406" s="51">
        <f>IF(Tabell2[[#This Row],[Eldreandel]]&lt;=G$434,G$434,IF(Tabell2[[#This Row],[Eldreandel]]&gt;=G$435,G$435,Tabell2[[#This Row],[Eldreandel]]))</f>
        <v>0.20830063331569054</v>
      </c>
      <c r="Q406" s="51">
        <f>IF(Tabell2[[#This Row],[Sysselsettingsvekst10]]&lt;=H$434,H$434,IF(Tabell2[[#This Row],[Sysselsettingsvekst10]]&gt;=H$435,H$435,Tabell2[[#This Row],[Sysselsettingsvekst10]]))</f>
        <v>8.2815734989647449E-3</v>
      </c>
      <c r="R406" s="51">
        <f>IF(Tabell2[[#This Row],[Yrkesaktivandel]]&lt;=I$434,I$434,IF(Tabell2[[#This Row],[Yrkesaktivandel]]&gt;=I$435,I$435,Tabell2[[#This Row],[Yrkesaktivandel]]))</f>
        <v>0.88517110266159693</v>
      </c>
      <c r="S406" s="52">
        <f>IF(Tabell2[[#This Row],[Inntekt]]&lt;=J$434,J$434,IF(Tabell2[[#This Row],[Inntekt]]&gt;=J$435,J$435,Tabell2[[#This Row],[Inntekt]]))</f>
        <v>330100</v>
      </c>
      <c r="T406" s="9">
        <f>IF(Tabell2[[#This Row],[NIBR11-T]]&lt;=K$437,100,IF(Tabell2[[#This Row],[NIBR11-T]]&gt;=K$436,0,100*(K$436-Tabell2[[#This Row],[NIBR11-T]])/K$439))</f>
        <v>70</v>
      </c>
      <c r="U406" s="9">
        <f>(L$436-Tabell2[[#This Row],[ReisetidOslo-T]])*100/L$439</f>
        <v>8.0162726145192451</v>
      </c>
      <c r="V406" s="9">
        <f>100-(M$436-Tabell2[[#This Row],[Beftettotal-T]])*100/M$439</f>
        <v>0.62889838673723375</v>
      </c>
      <c r="W406" s="9">
        <f>100-(N$436-Tabell2[[#This Row],[Befvekst10-T]])*100/N$439</f>
        <v>20.581063760278468</v>
      </c>
      <c r="X406" s="9">
        <f>100-(O$436-Tabell2[[#This Row],[Kvinneandel-T]])*100/O$439</f>
        <v>19.662497433108044</v>
      </c>
      <c r="Y406" s="9">
        <f>(P$436-Tabell2[[#This Row],[Eldreandel-T]])*100/P$439</f>
        <v>0</v>
      </c>
      <c r="Z406" s="9">
        <f>100-(Q$436-Tabell2[[#This Row],[Sysselsettingsvekst10-T]])*100/Q$439</f>
        <v>24.706457743161948</v>
      </c>
      <c r="AA406" s="9">
        <f>100-(R$436-Tabell2[[#This Row],[Yrkesaktivandel-T]])*100/R$439</f>
        <v>42.593109807345733</v>
      </c>
      <c r="AB406" s="9">
        <f>100-(S$436-Tabell2[[#This Row],[Inntekt-T]])*100/S$439</f>
        <v>12.108638249717089</v>
      </c>
      <c r="AC406" s="48">
        <f>Tabell2[[#This Row],[NIBR11-I]]*Vekter!$B$3</f>
        <v>14</v>
      </c>
      <c r="AD406" s="48">
        <f>Tabell2[[#This Row],[ReisetidOslo-I]]*Vekter!$C$3</f>
        <v>0.80162726145192453</v>
      </c>
      <c r="AE406" s="48">
        <f>Tabell2[[#This Row],[Beftettotal-I]]*Vekter!$D$3</f>
        <v>6.2889838673723372E-2</v>
      </c>
      <c r="AF406" s="48">
        <f>Tabell2[[#This Row],[Befvekst10-I]]*Vekter!$E$3</f>
        <v>4.1162127520556941</v>
      </c>
      <c r="AG406" s="48">
        <f>Tabell2[[#This Row],[Kvinneandel-I]]*Vekter!$F$3</f>
        <v>0.98312487165540219</v>
      </c>
      <c r="AH406" s="48">
        <f>Tabell2[[#This Row],[Eldreandel-I]]*Vekter!$G$3</f>
        <v>0</v>
      </c>
      <c r="AI406" s="48">
        <f>Tabell2[[#This Row],[Sysselsettingsvekst10-I]]*Vekter!$H$3</f>
        <v>2.4706457743161949</v>
      </c>
      <c r="AJ406" s="48">
        <f>Tabell2[[#This Row],[Yrkesaktivandel-I]]*Vekter!$J$3</f>
        <v>4.2593109807345737</v>
      </c>
      <c r="AK406" s="48">
        <f>Tabell2[[#This Row],[Inntekt-I]]*Vekter!$L$3</f>
        <v>1.210863824971709</v>
      </c>
      <c r="AL406" s="37">
        <f>SUM(Tabell2[[#This Row],[NIBR11-v]:[Inntekt-v]])</f>
        <v>27.904675303859221</v>
      </c>
    </row>
    <row r="407" spans="1:38">
      <c r="A407" s="2" t="s">
        <v>404</v>
      </c>
      <c r="B407">
        <f>'Rådata-K'!M406</f>
        <v>11</v>
      </c>
      <c r="C407" s="9">
        <f>'Rådata-K'!L406</f>
        <v>297.40674266389999</v>
      </c>
      <c r="D407" s="51">
        <f>'Rådata-K'!N406</f>
        <v>3.6821443075673477</v>
      </c>
      <c r="E407" s="51">
        <f>'Rådata-K'!O406</f>
        <v>-5.5257341332491272E-2</v>
      </c>
      <c r="F407" s="51">
        <f>'Rådata-K'!P406</f>
        <v>9.6256684491978606E-2</v>
      </c>
      <c r="G407" s="51">
        <f>'Rådata-K'!Q406</f>
        <v>0.20655080213903743</v>
      </c>
      <c r="H407" s="51">
        <f>'Rådata-K'!R406</f>
        <v>8.5073472544470174E-3</v>
      </c>
      <c r="I407" s="51">
        <f>'Rådata-K'!S406</f>
        <v>0.90125</v>
      </c>
      <c r="J407" s="52">
        <f>'Rådata-K'!K406</f>
        <v>328800</v>
      </c>
      <c r="K407" s="26">
        <f>Tabell2[[#This Row],[NIBR11]]</f>
        <v>11</v>
      </c>
      <c r="L407" s="52">
        <f>IF(Tabell2[[#This Row],[ReisetidOslo]]&lt;=C$434,C$434,IF(Tabell2[[#This Row],[ReisetidOslo]]&gt;=C$435,C$435,Tabell2[[#This Row],[ReisetidOslo]]))</f>
        <v>279.05557553043002</v>
      </c>
      <c r="M407" s="51">
        <f>IF(Tabell2[[#This Row],[Beftettotal]]&lt;=D$434,D$434,IF(Tabell2[[#This Row],[Beftettotal]]&gt;=D$435,D$435,Tabell2[[#This Row],[Beftettotal]]))</f>
        <v>3.6821443075673477</v>
      </c>
      <c r="N407" s="51">
        <f>IF(Tabell2[[#This Row],[Befvekst10]]&lt;=E$434,E$434,IF(Tabell2[[#This Row],[Befvekst10]]&gt;=E$435,E$435,Tabell2[[#This Row],[Befvekst10]]))</f>
        <v>-5.5257341332491272E-2</v>
      </c>
      <c r="O407" s="51">
        <f>IF(Tabell2[[#This Row],[Kvinneandel]]&lt;=F$434,F$434,IF(Tabell2[[#This Row],[Kvinneandel]]&gt;=F$435,F$435,Tabell2[[#This Row],[Kvinneandel]]))</f>
        <v>9.6256684491978606E-2</v>
      </c>
      <c r="P407" s="51">
        <f>IF(Tabell2[[#This Row],[Eldreandel]]&lt;=G$434,G$434,IF(Tabell2[[#This Row],[Eldreandel]]&gt;=G$435,G$435,Tabell2[[#This Row],[Eldreandel]]))</f>
        <v>0.20655080213903743</v>
      </c>
      <c r="Q407" s="51">
        <f>IF(Tabell2[[#This Row],[Sysselsettingsvekst10]]&lt;=H$434,H$434,IF(Tabell2[[#This Row],[Sysselsettingsvekst10]]&gt;=H$435,H$435,Tabell2[[#This Row],[Sysselsettingsvekst10]]))</f>
        <v>8.5073472544470174E-3</v>
      </c>
      <c r="R407" s="51">
        <f>IF(Tabell2[[#This Row],[Yrkesaktivandel]]&lt;=I$434,I$434,IF(Tabell2[[#This Row],[Yrkesaktivandel]]&gt;=I$435,I$435,Tabell2[[#This Row],[Yrkesaktivandel]]))</f>
        <v>0.90125</v>
      </c>
      <c r="S407" s="52">
        <f>IF(Tabell2[[#This Row],[Inntekt]]&lt;=J$434,J$434,IF(Tabell2[[#This Row],[Inntekt]]&gt;=J$435,J$435,Tabell2[[#This Row],[Inntekt]]))</f>
        <v>328800</v>
      </c>
      <c r="T407" s="9">
        <f>IF(Tabell2[[#This Row],[NIBR11-T]]&lt;=K$437,100,IF(Tabell2[[#This Row],[NIBR11-T]]&gt;=K$436,0,100*(K$436-Tabell2[[#This Row],[NIBR11-T]])/K$439))</f>
        <v>0</v>
      </c>
      <c r="U407" s="9">
        <f>(L$436-Tabell2[[#This Row],[ReisetidOslo-T]])*100/L$439</f>
        <v>0</v>
      </c>
      <c r="V407" s="9">
        <f>100-(M$436-Tabell2[[#This Row],[Beftettotal-T]])*100/M$439</f>
        <v>1.8450319105798769</v>
      </c>
      <c r="W407" s="9">
        <f>100-(N$436-Tabell2[[#This Row],[Befvekst10-T]])*100/N$439</f>
        <v>10.330262426800331</v>
      </c>
      <c r="X407" s="9">
        <f>100-(O$436-Tabell2[[#This Row],[Kvinneandel-T]])*100/O$439</f>
        <v>15.87567849827839</v>
      </c>
      <c r="Y407" s="9">
        <f>(P$436-Tabell2[[#This Row],[Eldreandel-T]])*100/P$439</f>
        <v>1.9837599121630909</v>
      </c>
      <c r="Z407" s="9">
        <f>100-(Q$436-Tabell2[[#This Row],[Sysselsettingsvekst10-T]])*100/Q$439</f>
        <v>24.778924609126847</v>
      </c>
      <c r="AA407" s="9">
        <f>100-(R$436-Tabell2[[#This Row],[Yrkesaktivandel-T]])*100/R$439</f>
        <v>54.579537685747681</v>
      </c>
      <c r="AB407" s="9">
        <f>100-(S$436-Tabell2[[#This Row],[Inntekt-T]])*100/S$439</f>
        <v>10.474034955362754</v>
      </c>
      <c r="AC407" s="48">
        <f>Tabell2[[#This Row],[NIBR11-I]]*Vekter!$B$3</f>
        <v>0</v>
      </c>
      <c r="AD407" s="48">
        <f>Tabell2[[#This Row],[ReisetidOslo-I]]*Vekter!$C$3</f>
        <v>0</v>
      </c>
      <c r="AE407" s="48">
        <f>Tabell2[[#This Row],[Beftettotal-I]]*Vekter!$D$3</f>
        <v>0.18450319105798771</v>
      </c>
      <c r="AF407" s="48">
        <f>Tabell2[[#This Row],[Befvekst10-I]]*Vekter!$E$3</f>
        <v>2.0660524853600664</v>
      </c>
      <c r="AG407" s="48">
        <f>Tabell2[[#This Row],[Kvinneandel-I]]*Vekter!$F$3</f>
        <v>0.79378392491391958</v>
      </c>
      <c r="AH407" s="48">
        <f>Tabell2[[#This Row],[Eldreandel-I]]*Vekter!$G$3</f>
        <v>9.9187995608154556E-2</v>
      </c>
      <c r="AI407" s="48">
        <f>Tabell2[[#This Row],[Sysselsettingsvekst10-I]]*Vekter!$H$3</f>
        <v>2.4778924609126847</v>
      </c>
      <c r="AJ407" s="48">
        <f>Tabell2[[#This Row],[Yrkesaktivandel-I]]*Vekter!$J$3</f>
        <v>5.4579537685747681</v>
      </c>
      <c r="AK407" s="48">
        <f>Tabell2[[#This Row],[Inntekt-I]]*Vekter!$L$3</f>
        <v>1.0474034955362754</v>
      </c>
      <c r="AL407" s="37">
        <f>SUM(Tabell2[[#This Row],[NIBR11-v]:[Inntekt-v]])</f>
        <v>12.126777321963857</v>
      </c>
    </row>
    <row r="408" spans="1:38">
      <c r="A408" s="2" t="s">
        <v>405</v>
      </c>
      <c r="B408">
        <f>'Rådata-K'!M407</f>
        <v>10</v>
      </c>
      <c r="C408" s="9">
        <f>'Rådata-K'!L407</f>
        <v>271.22734960870002</v>
      </c>
      <c r="D408" s="51">
        <f>'Rådata-K'!N407</f>
        <v>1.2580776884037774</v>
      </c>
      <c r="E408" s="51">
        <f>'Rådata-K'!O407</f>
        <v>1.5167364016736462E-2</v>
      </c>
      <c r="F408" s="51">
        <f>'Rådata-K'!P407</f>
        <v>9.9948480164863476E-2</v>
      </c>
      <c r="G408" s="51">
        <f>'Rådata-K'!Q407</f>
        <v>0.14837712519319937</v>
      </c>
      <c r="H408" s="51">
        <f>'Rådata-K'!R407</f>
        <v>0.12267080745341619</v>
      </c>
      <c r="I408" s="51">
        <f>'Rådata-K'!S407</f>
        <v>0.83842010771992814</v>
      </c>
      <c r="J408" s="52">
        <f>'Rådata-K'!K407</f>
        <v>318000</v>
      </c>
      <c r="K408" s="26">
        <f>Tabell2[[#This Row],[NIBR11]]</f>
        <v>10</v>
      </c>
      <c r="L408" s="52">
        <f>IF(Tabell2[[#This Row],[ReisetidOslo]]&lt;=C$434,C$434,IF(Tabell2[[#This Row],[ReisetidOslo]]&gt;=C$435,C$435,Tabell2[[#This Row],[ReisetidOslo]]))</f>
        <v>271.22734960870002</v>
      </c>
      <c r="M408" s="51">
        <f>IF(Tabell2[[#This Row],[Beftettotal]]&lt;=D$434,D$434,IF(Tabell2[[#This Row],[Beftettotal]]&gt;=D$435,D$435,Tabell2[[#This Row],[Beftettotal]]))</f>
        <v>1.3397285732306117</v>
      </c>
      <c r="N408" s="51">
        <f>IF(Tabell2[[#This Row],[Befvekst10]]&lt;=E$434,E$434,IF(Tabell2[[#This Row],[Befvekst10]]&gt;=E$435,E$435,Tabell2[[#This Row],[Befvekst10]]))</f>
        <v>1.5167364016736462E-2</v>
      </c>
      <c r="O408" s="51">
        <f>IF(Tabell2[[#This Row],[Kvinneandel]]&lt;=F$434,F$434,IF(Tabell2[[#This Row],[Kvinneandel]]&gt;=F$435,F$435,Tabell2[[#This Row],[Kvinneandel]]))</f>
        <v>9.9948480164863476E-2</v>
      </c>
      <c r="P408" s="51">
        <f>IF(Tabell2[[#This Row],[Eldreandel]]&lt;=G$434,G$434,IF(Tabell2[[#This Row],[Eldreandel]]&gt;=G$435,G$435,Tabell2[[#This Row],[Eldreandel]]))</f>
        <v>0.14837712519319937</v>
      </c>
      <c r="Q408" s="51">
        <f>IF(Tabell2[[#This Row],[Sysselsettingsvekst10]]&lt;=H$434,H$434,IF(Tabell2[[#This Row],[Sysselsettingsvekst10]]&gt;=H$435,H$435,Tabell2[[#This Row],[Sysselsettingsvekst10]]))</f>
        <v>0.12267080745341619</v>
      </c>
      <c r="R408" s="51">
        <f>IF(Tabell2[[#This Row],[Yrkesaktivandel]]&lt;=I$434,I$434,IF(Tabell2[[#This Row],[Yrkesaktivandel]]&gt;=I$435,I$435,Tabell2[[#This Row],[Yrkesaktivandel]]))</f>
        <v>0.83842010771992814</v>
      </c>
      <c r="S408" s="52">
        <f>IF(Tabell2[[#This Row],[Inntekt]]&lt;=J$434,J$434,IF(Tabell2[[#This Row],[Inntekt]]&gt;=J$435,J$435,Tabell2[[#This Row],[Inntekt]]))</f>
        <v>320470</v>
      </c>
      <c r="T408" s="9">
        <f>IF(Tabell2[[#This Row],[NIBR11-T]]&lt;=K$437,100,IF(Tabell2[[#This Row],[NIBR11-T]]&gt;=K$436,0,100*(K$436-Tabell2[[#This Row],[NIBR11-T]])/K$439))</f>
        <v>10</v>
      </c>
      <c r="U408" s="9">
        <f>(L$436-Tabell2[[#This Row],[ReisetidOslo-T]])*100/L$439</f>
        <v>3.4753455310943666</v>
      </c>
      <c r="V408" s="9">
        <f>100-(M$436-Tabell2[[#This Row],[Beftettotal-T]])*100/M$439</f>
        <v>0</v>
      </c>
      <c r="W408" s="9">
        <f>100-(N$436-Tabell2[[#This Row],[Befvekst10-T]])*100/N$439</f>
        <v>38.828022820657068</v>
      </c>
      <c r="X408" s="9">
        <f>100-(O$436-Tabell2[[#This Row],[Kvinneandel-T]])*100/O$439</f>
        <v>25.654129524560034</v>
      </c>
      <c r="Y408" s="9">
        <f>(P$436-Tabell2[[#This Row],[Eldreandel-T]])*100/P$439</f>
        <v>67.934469790934997</v>
      </c>
      <c r="Z408" s="9">
        <f>100-(Q$436-Tabell2[[#This Row],[Sysselsettingsvekst10-T]])*100/Q$439</f>
        <v>61.42210375391204</v>
      </c>
      <c r="AA408" s="9">
        <f>100-(R$436-Tabell2[[#This Row],[Yrkesaktivandel-T]])*100/R$439</f>
        <v>7.741377296221728</v>
      </c>
      <c r="AB408" s="9">
        <f>100-(S$436-Tabell2[[#This Row],[Inntekt-T]])*100/S$439</f>
        <v>0</v>
      </c>
      <c r="AC408" s="48">
        <f>Tabell2[[#This Row],[NIBR11-I]]*Vekter!$B$3</f>
        <v>2</v>
      </c>
      <c r="AD408" s="48">
        <f>Tabell2[[#This Row],[ReisetidOslo-I]]*Vekter!$C$3</f>
        <v>0.34753455310943671</v>
      </c>
      <c r="AE408" s="48">
        <f>Tabell2[[#This Row],[Beftettotal-I]]*Vekter!$D$3</f>
        <v>0</v>
      </c>
      <c r="AF408" s="48">
        <f>Tabell2[[#This Row],[Befvekst10-I]]*Vekter!$E$3</f>
        <v>7.7656045641314142</v>
      </c>
      <c r="AG408" s="48">
        <f>Tabell2[[#This Row],[Kvinneandel-I]]*Vekter!$F$3</f>
        <v>1.2827064762280018</v>
      </c>
      <c r="AH408" s="48">
        <f>Tabell2[[#This Row],[Eldreandel-I]]*Vekter!$G$3</f>
        <v>3.39672348954675</v>
      </c>
      <c r="AI408" s="48">
        <f>Tabell2[[#This Row],[Sysselsettingsvekst10-I]]*Vekter!$H$3</f>
        <v>6.1422103753912047</v>
      </c>
      <c r="AJ408" s="48">
        <f>Tabell2[[#This Row],[Yrkesaktivandel-I]]*Vekter!$J$3</f>
        <v>0.77413772962217287</v>
      </c>
      <c r="AK408" s="48">
        <f>Tabell2[[#This Row],[Inntekt-I]]*Vekter!$L$3</f>
        <v>0</v>
      </c>
      <c r="AL408" s="37">
        <f>SUM(Tabell2[[#This Row],[NIBR11-v]:[Inntekt-v]])</f>
        <v>21.70891718802898</v>
      </c>
    </row>
    <row r="409" spans="1:38">
      <c r="A409" s="2" t="s">
        <v>406</v>
      </c>
      <c r="B409">
        <f>'Rådata-K'!M408</f>
        <v>11</v>
      </c>
      <c r="C409" s="9">
        <f>'Rådata-K'!L408</f>
        <v>297.9257134513</v>
      </c>
      <c r="D409" s="51">
        <f>'Rådata-K'!N408</f>
        <v>2.2407635343731713</v>
      </c>
      <c r="E409" s="51">
        <f>'Rådata-K'!O408</f>
        <v>-4.7598627787307057E-2</v>
      </c>
      <c r="F409" s="51">
        <f>'Rådata-K'!P408</f>
        <v>9.4552003601981086E-2</v>
      </c>
      <c r="G409" s="51">
        <f>'Rådata-K'!Q408</f>
        <v>0.20711391265195858</v>
      </c>
      <c r="H409" s="51">
        <f>'Rådata-K'!R408</f>
        <v>3.7572254335260125E-2</v>
      </c>
      <c r="I409" s="51">
        <f>'Rådata-K'!S408</f>
        <v>0.838893409275834</v>
      </c>
      <c r="J409" s="52">
        <f>'Rådata-K'!K408</f>
        <v>293100</v>
      </c>
      <c r="K409" s="26">
        <f>Tabell2[[#This Row],[NIBR11]]</f>
        <v>11</v>
      </c>
      <c r="L409" s="52">
        <f>IF(Tabell2[[#This Row],[ReisetidOslo]]&lt;=C$434,C$434,IF(Tabell2[[#This Row],[ReisetidOslo]]&gt;=C$435,C$435,Tabell2[[#This Row],[ReisetidOslo]]))</f>
        <v>279.05557553043002</v>
      </c>
      <c r="M409" s="51">
        <f>IF(Tabell2[[#This Row],[Beftettotal]]&lt;=D$434,D$434,IF(Tabell2[[#This Row],[Beftettotal]]&gt;=D$435,D$435,Tabell2[[#This Row],[Beftettotal]]))</f>
        <v>2.2407635343731713</v>
      </c>
      <c r="N409" s="51">
        <f>IF(Tabell2[[#This Row],[Befvekst10]]&lt;=E$434,E$434,IF(Tabell2[[#This Row],[Befvekst10]]&gt;=E$435,E$435,Tabell2[[#This Row],[Befvekst10]]))</f>
        <v>-4.7598627787307057E-2</v>
      </c>
      <c r="O409" s="51">
        <f>IF(Tabell2[[#This Row],[Kvinneandel]]&lt;=F$434,F$434,IF(Tabell2[[#This Row],[Kvinneandel]]&gt;=F$435,F$435,Tabell2[[#This Row],[Kvinneandel]]))</f>
        <v>9.4552003601981086E-2</v>
      </c>
      <c r="P409" s="51">
        <f>IF(Tabell2[[#This Row],[Eldreandel]]&lt;=G$434,G$434,IF(Tabell2[[#This Row],[Eldreandel]]&gt;=G$435,G$435,Tabell2[[#This Row],[Eldreandel]]))</f>
        <v>0.20711391265195858</v>
      </c>
      <c r="Q409" s="51">
        <f>IF(Tabell2[[#This Row],[Sysselsettingsvekst10]]&lt;=H$434,H$434,IF(Tabell2[[#This Row],[Sysselsettingsvekst10]]&gt;=H$435,H$435,Tabell2[[#This Row],[Sysselsettingsvekst10]]))</f>
        <v>3.7572254335260125E-2</v>
      </c>
      <c r="R409" s="51">
        <f>IF(Tabell2[[#This Row],[Yrkesaktivandel]]&lt;=I$434,I$434,IF(Tabell2[[#This Row],[Yrkesaktivandel]]&gt;=I$435,I$435,Tabell2[[#This Row],[Yrkesaktivandel]]))</f>
        <v>0.838893409275834</v>
      </c>
      <c r="S409" s="52">
        <f>IF(Tabell2[[#This Row],[Inntekt]]&lt;=J$434,J$434,IF(Tabell2[[#This Row],[Inntekt]]&gt;=J$435,J$435,Tabell2[[#This Row],[Inntekt]]))</f>
        <v>320470</v>
      </c>
      <c r="T409" s="9">
        <f>IF(Tabell2[[#This Row],[NIBR11-T]]&lt;=K$437,100,IF(Tabell2[[#This Row],[NIBR11-T]]&gt;=K$436,0,100*(K$436-Tabell2[[#This Row],[NIBR11-T]])/K$439))</f>
        <v>0</v>
      </c>
      <c r="U409" s="9">
        <f>(L$436-Tabell2[[#This Row],[ReisetidOslo-T]])*100/L$439</f>
        <v>0</v>
      </c>
      <c r="V409" s="9">
        <f>100-(M$436-Tabell2[[#This Row],[Beftettotal-T]])*100/M$439</f>
        <v>0.70971101819671389</v>
      </c>
      <c r="W409" s="9">
        <f>100-(N$436-Tabell2[[#This Row],[Befvekst10-T]])*100/N$439</f>
        <v>13.429404729967089</v>
      </c>
      <c r="X409" s="9">
        <f>100-(O$436-Tabell2[[#This Row],[Kvinneandel-T]])*100/O$439</f>
        <v>11.360493998575777</v>
      </c>
      <c r="Y409" s="9">
        <f>(P$436-Tabell2[[#This Row],[Eldreandel-T]])*100/P$439</f>
        <v>1.3453691482111054</v>
      </c>
      <c r="Z409" s="9">
        <f>100-(Q$436-Tabell2[[#This Row],[Sysselsettingsvekst10-T]])*100/Q$439</f>
        <v>34.107921778033486</v>
      </c>
      <c r="AA409" s="9">
        <f>100-(R$436-Tabell2[[#This Row],[Yrkesaktivandel-T]])*100/R$439</f>
        <v>8.0942121234614604</v>
      </c>
      <c r="AB409" s="9">
        <f>100-(S$436-Tabell2[[#This Row],[Inntekt-T]])*100/S$439</f>
        <v>0</v>
      </c>
      <c r="AC409" s="48">
        <f>Tabell2[[#This Row],[NIBR11-I]]*Vekter!$B$3</f>
        <v>0</v>
      </c>
      <c r="AD409" s="48">
        <f>Tabell2[[#This Row],[ReisetidOslo-I]]*Vekter!$C$3</f>
        <v>0</v>
      </c>
      <c r="AE409" s="48">
        <f>Tabell2[[#This Row],[Beftettotal-I]]*Vekter!$D$3</f>
        <v>7.0971101819671395E-2</v>
      </c>
      <c r="AF409" s="48">
        <f>Tabell2[[#This Row],[Befvekst10-I]]*Vekter!$E$3</f>
        <v>2.6858809459934179</v>
      </c>
      <c r="AG409" s="48">
        <f>Tabell2[[#This Row],[Kvinneandel-I]]*Vekter!$F$3</f>
        <v>0.5680246999287889</v>
      </c>
      <c r="AH409" s="48">
        <f>Tabell2[[#This Row],[Eldreandel-I]]*Vekter!$G$3</f>
        <v>6.7268457410555274E-2</v>
      </c>
      <c r="AI409" s="48">
        <f>Tabell2[[#This Row],[Sysselsettingsvekst10-I]]*Vekter!$H$3</f>
        <v>3.4107921778033488</v>
      </c>
      <c r="AJ409" s="48">
        <f>Tabell2[[#This Row],[Yrkesaktivandel-I]]*Vekter!$J$3</f>
        <v>0.80942121234614606</v>
      </c>
      <c r="AK409" s="48">
        <f>Tabell2[[#This Row],[Inntekt-I]]*Vekter!$L$3</f>
        <v>0</v>
      </c>
      <c r="AL409" s="37">
        <f>SUM(Tabell2[[#This Row],[NIBR11-v]:[Inntekt-v]])</f>
        <v>7.612358595301929</v>
      </c>
    </row>
    <row r="410" spans="1:38">
      <c r="A410" s="2" t="s">
        <v>407</v>
      </c>
      <c r="B410">
        <f>'Rådata-K'!M409</f>
        <v>9</v>
      </c>
      <c r="C410" s="9">
        <f>'Rådata-K'!L409</f>
        <v>295.1057286651</v>
      </c>
      <c r="D410" s="51">
        <f>'Rådata-K'!N409</f>
        <v>6.0819083808317504</v>
      </c>
      <c r="E410" s="51">
        <f>'Rådata-K'!O409</f>
        <v>-4.0306462358427719E-2</v>
      </c>
      <c r="F410" s="51">
        <f>'Rådata-K'!P409</f>
        <v>0.10794862894828185</v>
      </c>
      <c r="G410" s="51">
        <f>'Rådata-K'!Q409</f>
        <v>0.17667476570635196</v>
      </c>
      <c r="H410" s="51">
        <f>'Rådata-K'!R409</f>
        <v>-2.6197604790419216E-2</v>
      </c>
      <c r="I410" s="51">
        <f>'Rådata-K'!S409</f>
        <v>0.88332276474318328</v>
      </c>
      <c r="J410" s="52">
        <f>'Rådata-K'!K409</f>
        <v>325500</v>
      </c>
      <c r="K410" s="26">
        <f>Tabell2[[#This Row],[NIBR11]]</f>
        <v>9</v>
      </c>
      <c r="L410" s="52">
        <f>IF(Tabell2[[#This Row],[ReisetidOslo]]&lt;=C$434,C$434,IF(Tabell2[[#This Row],[ReisetidOslo]]&gt;=C$435,C$435,Tabell2[[#This Row],[ReisetidOslo]]))</f>
        <v>279.05557553043002</v>
      </c>
      <c r="M410" s="51">
        <f>IF(Tabell2[[#This Row],[Beftettotal]]&lt;=D$434,D$434,IF(Tabell2[[#This Row],[Beftettotal]]&gt;=D$435,D$435,Tabell2[[#This Row],[Beftettotal]]))</f>
        <v>6.0819083808317504</v>
      </c>
      <c r="N410" s="51">
        <f>IF(Tabell2[[#This Row],[Befvekst10]]&lt;=E$434,E$434,IF(Tabell2[[#This Row],[Befvekst10]]&gt;=E$435,E$435,Tabell2[[#This Row],[Befvekst10]]))</f>
        <v>-4.0306462358427719E-2</v>
      </c>
      <c r="O410" s="51">
        <f>IF(Tabell2[[#This Row],[Kvinneandel]]&lt;=F$434,F$434,IF(Tabell2[[#This Row],[Kvinneandel]]&gt;=F$435,F$435,Tabell2[[#This Row],[Kvinneandel]]))</f>
        <v>0.10794862894828185</v>
      </c>
      <c r="P410" s="51">
        <f>IF(Tabell2[[#This Row],[Eldreandel]]&lt;=G$434,G$434,IF(Tabell2[[#This Row],[Eldreandel]]&gt;=G$435,G$435,Tabell2[[#This Row],[Eldreandel]]))</f>
        <v>0.17667476570635196</v>
      </c>
      <c r="Q410" s="51">
        <f>IF(Tabell2[[#This Row],[Sysselsettingsvekst10]]&lt;=H$434,H$434,IF(Tabell2[[#This Row],[Sysselsettingsvekst10]]&gt;=H$435,H$435,Tabell2[[#This Row],[Sysselsettingsvekst10]]))</f>
        <v>-2.6197604790419216E-2</v>
      </c>
      <c r="R410" s="51">
        <f>IF(Tabell2[[#This Row],[Yrkesaktivandel]]&lt;=I$434,I$434,IF(Tabell2[[#This Row],[Yrkesaktivandel]]&gt;=I$435,I$435,Tabell2[[#This Row],[Yrkesaktivandel]]))</f>
        <v>0.88332276474318328</v>
      </c>
      <c r="S410" s="52">
        <f>IF(Tabell2[[#This Row],[Inntekt]]&lt;=J$434,J$434,IF(Tabell2[[#This Row],[Inntekt]]&gt;=J$435,J$435,Tabell2[[#This Row],[Inntekt]]))</f>
        <v>325500</v>
      </c>
      <c r="T410" s="9">
        <f>IF(Tabell2[[#This Row],[NIBR11-T]]&lt;=K$437,100,IF(Tabell2[[#This Row],[NIBR11-T]]&gt;=K$436,0,100*(K$436-Tabell2[[#This Row],[NIBR11-T]])/K$439))</f>
        <v>20</v>
      </c>
      <c r="U410" s="9">
        <f>(L$436-Tabell2[[#This Row],[ReisetidOslo-T]])*100/L$439</f>
        <v>0</v>
      </c>
      <c r="V410" s="9">
        <f>100-(M$436-Tabell2[[#This Row],[Beftettotal-T]])*100/M$439</f>
        <v>3.7352349296821643</v>
      </c>
      <c r="W410" s="9">
        <f>100-(N$436-Tabell2[[#This Row],[Befvekst10-T]])*100/N$439</f>
        <v>16.38022123837932</v>
      </c>
      <c r="X410" s="9">
        <f>100-(O$436-Tabell2[[#This Row],[Kvinneandel-T]])*100/O$439</f>
        <v>46.844105897356641</v>
      </c>
      <c r="Y410" s="9">
        <f>(P$436-Tabell2[[#This Row],[Eldreandel-T]])*100/P$439</f>
        <v>35.853817892753298</v>
      </c>
      <c r="Z410" s="9">
        <f>100-(Q$436-Tabell2[[#This Row],[Sysselsettingsvekst10-T]])*100/Q$439</f>
        <v>13.639635621434664</v>
      </c>
      <c r="AA410" s="9">
        <f>100-(R$436-Tabell2[[#This Row],[Yrkesaktivandel-T]])*100/R$439</f>
        <v>41.215218731378378</v>
      </c>
      <c r="AB410" s="9">
        <f>100-(S$436-Tabell2[[#This Row],[Inntekt-T]])*100/S$439</f>
        <v>6.3246573620017585</v>
      </c>
      <c r="AC410" s="48">
        <f>Tabell2[[#This Row],[NIBR11-I]]*Vekter!$B$3</f>
        <v>4</v>
      </c>
      <c r="AD410" s="48">
        <f>Tabell2[[#This Row],[ReisetidOslo-I]]*Vekter!$C$3</f>
        <v>0</v>
      </c>
      <c r="AE410" s="48">
        <f>Tabell2[[#This Row],[Beftettotal-I]]*Vekter!$D$3</f>
        <v>0.37352349296821646</v>
      </c>
      <c r="AF410" s="48">
        <f>Tabell2[[#This Row],[Befvekst10-I]]*Vekter!$E$3</f>
        <v>3.2760442476758644</v>
      </c>
      <c r="AG410" s="48">
        <f>Tabell2[[#This Row],[Kvinneandel-I]]*Vekter!$F$3</f>
        <v>2.3422052948678322</v>
      </c>
      <c r="AH410" s="48">
        <f>Tabell2[[#This Row],[Eldreandel-I]]*Vekter!$G$3</f>
        <v>1.792690894637665</v>
      </c>
      <c r="AI410" s="48">
        <f>Tabell2[[#This Row],[Sysselsettingsvekst10-I]]*Vekter!$H$3</f>
        <v>1.3639635621434665</v>
      </c>
      <c r="AJ410" s="48">
        <f>Tabell2[[#This Row],[Yrkesaktivandel-I]]*Vekter!$J$3</f>
        <v>4.121521873137838</v>
      </c>
      <c r="AK410" s="48">
        <f>Tabell2[[#This Row],[Inntekt-I]]*Vekter!$L$3</f>
        <v>0.63246573620017588</v>
      </c>
      <c r="AL410" s="37">
        <f>SUM(Tabell2[[#This Row],[NIBR11-v]:[Inntekt-v]])</f>
        <v>17.902415101631057</v>
      </c>
    </row>
    <row r="411" spans="1:38">
      <c r="A411" s="2" t="s">
        <v>408</v>
      </c>
      <c r="B411">
        <f>'Rådata-K'!M410</f>
        <v>9</v>
      </c>
      <c r="C411" s="9">
        <f>'Rådata-K'!L410</f>
        <v>263.52970868245001</v>
      </c>
      <c r="D411" s="51">
        <f>'Rådata-K'!N410</f>
        <v>1.4120891588556668</v>
      </c>
      <c r="E411" s="51">
        <f>'Rådata-K'!O410</f>
        <v>3.0573248407643305E-2</v>
      </c>
      <c r="F411" s="51">
        <f>'Rådata-K'!P410</f>
        <v>0.11042439225381129</v>
      </c>
      <c r="G411" s="51">
        <f>'Rådata-K'!Q410</f>
        <v>0.16398846312319737</v>
      </c>
      <c r="H411" s="51">
        <f>'Rådata-K'!R410</f>
        <v>1.4570179698882857E-2</v>
      </c>
      <c r="I411" s="51">
        <f>'Rådata-K'!S410</f>
        <v>0.86782032400589104</v>
      </c>
      <c r="J411" s="52">
        <f>'Rådata-K'!K410</f>
        <v>334500</v>
      </c>
      <c r="K411" s="26">
        <f>Tabell2[[#This Row],[NIBR11]]</f>
        <v>9</v>
      </c>
      <c r="L411" s="52">
        <f>IF(Tabell2[[#This Row],[ReisetidOslo]]&lt;=C$434,C$434,IF(Tabell2[[#This Row],[ReisetidOslo]]&gt;=C$435,C$435,Tabell2[[#This Row],[ReisetidOslo]]))</f>
        <v>263.52970868245001</v>
      </c>
      <c r="M411" s="51">
        <f>IF(Tabell2[[#This Row],[Beftettotal]]&lt;=D$434,D$434,IF(Tabell2[[#This Row],[Beftettotal]]&gt;=D$435,D$435,Tabell2[[#This Row],[Beftettotal]]))</f>
        <v>1.4120891588556668</v>
      </c>
      <c r="N411" s="51">
        <f>IF(Tabell2[[#This Row],[Befvekst10]]&lt;=E$434,E$434,IF(Tabell2[[#This Row],[Befvekst10]]&gt;=E$435,E$435,Tabell2[[#This Row],[Befvekst10]]))</f>
        <v>3.0573248407643305E-2</v>
      </c>
      <c r="O411" s="51">
        <f>IF(Tabell2[[#This Row],[Kvinneandel]]&lt;=F$434,F$434,IF(Tabell2[[#This Row],[Kvinneandel]]&gt;=F$435,F$435,Tabell2[[#This Row],[Kvinneandel]]))</f>
        <v>0.11042439225381129</v>
      </c>
      <c r="P411" s="51">
        <f>IF(Tabell2[[#This Row],[Eldreandel]]&lt;=G$434,G$434,IF(Tabell2[[#This Row],[Eldreandel]]&gt;=G$435,G$435,Tabell2[[#This Row],[Eldreandel]]))</f>
        <v>0.16398846312319737</v>
      </c>
      <c r="Q411" s="51">
        <f>IF(Tabell2[[#This Row],[Sysselsettingsvekst10]]&lt;=H$434,H$434,IF(Tabell2[[#This Row],[Sysselsettingsvekst10]]&gt;=H$435,H$435,Tabell2[[#This Row],[Sysselsettingsvekst10]]))</f>
        <v>1.4570179698882857E-2</v>
      </c>
      <c r="R411" s="51">
        <f>IF(Tabell2[[#This Row],[Yrkesaktivandel]]&lt;=I$434,I$434,IF(Tabell2[[#This Row],[Yrkesaktivandel]]&gt;=I$435,I$435,Tabell2[[#This Row],[Yrkesaktivandel]]))</f>
        <v>0.86782032400589104</v>
      </c>
      <c r="S411" s="52">
        <f>IF(Tabell2[[#This Row],[Inntekt]]&lt;=J$434,J$434,IF(Tabell2[[#This Row],[Inntekt]]&gt;=J$435,J$435,Tabell2[[#This Row],[Inntekt]]))</f>
        <v>334500</v>
      </c>
      <c r="T411" s="9">
        <f>IF(Tabell2[[#This Row],[NIBR11-T]]&lt;=K$437,100,IF(Tabell2[[#This Row],[NIBR11-T]]&gt;=K$436,0,100*(K$436-Tabell2[[#This Row],[NIBR11-T]])/K$439))</f>
        <v>20</v>
      </c>
      <c r="U411" s="9">
        <f>(L$436-Tabell2[[#This Row],[ReisetidOslo-T]])*100/L$439</f>
        <v>6.8927177761585536</v>
      </c>
      <c r="V411" s="9">
        <f>100-(M$436-Tabell2[[#This Row],[Beftettotal-T]])*100/M$439</f>
        <v>5.6995685091010273E-2</v>
      </c>
      <c r="W411" s="9">
        <f>100-(N$436-Tabell2[[#This Row],[Befvekst10-T]])*100/N$439</f>
        <v>45.062102180313708</v>
      </c>
      <c r="X411" s="9">
        <f>100-(O$436-Tabell2[[#This Row],[Kvinneandel-T]])*100/O$439</f>
        <v>53.401654684141782</v>
      </c>
      <c r="Y411" s="9">
        <f>(P$436-Tabell2[[#This Row],[Eldreandel-T]])*100/P$439</f>
        <v>50.23610735805417</v>
      </c>
      <c r="Z411" s="9">
        <f>100-(Q$436-Tabell2[[#This Row],[Sysselsettingsvekst10-T]])*100/Q$439</f>
        <v>26.724919019239195</v>
      </c>
      <c r="AA411" s="9">
        <f>100-(R$436-Tabell2[[#This Row],[Yrkesaktivandel-T]])*100/R$439</f>
        <v>29.658525263789571</v>
      </c>
      <c r="AB411" s="9">
        <f>100-(S$436-Tabell2[[#This Row],[Inntekt-T]])*100/S$439</f>
        <v>17.641141707531744</v>
      </c>
      <c r="AC411" s="48">
        <f>Tabell2[[#This Row],[NIBR11-I]]*Vekter!$B$3</f>
        <v>4</v>
      </c>
      <c r="AD411" s="48">
        <f>Tabell2[[#This Row],[ReisetidOslo-I]]*Vekter!$C$3</f>
        <v>0.68927177761585545</v>
      </c>
      <c r="AE411" s="48">
        <f>Tabell2[[#This Row],[Beftettotal-I]]*Vekter!$D$3</f>
        <v>5.6995685091010273E-3</v>
      </c>
      <c r="AF411" s="48">
        <f>Tabell2[[#This Row],[Befvekst10-I]]*Vekter!$E$3</f>
        <v>9.012420436062742</v>
      </c>
      <c r="AG411" s="48">
        <f>Tabell2[[#This Row],[Kvinneandel-I]]*Vekter!$F$3</f>
        <v>2.6700827342070892</v>
      </c>
      <c r="AH411" s="48">
        <f>Tabell2[[#This Row],[Eldreandel-I]]*Vekter!$G$3</f>
        <v>2.5118053679027086</v>
      </c>
      <c r="AI411" s="48">
        <f>Tabell2[[#This Row],[Sysselsettingsvekst10-I]]*Vekter!$H$3</f>
        <v>2.6724919019239195</v>
      </c>
      <c r="AJ411" s="48">
        <f>Tabell2[[#This Row],[Yrkesaktivandel-I]]*Vekter!$J$3</f>
        <v>2.9658525263789572</v>
      </c>
      <c r="AK411" s="48">
        <f>Tabell2[[#This Row],[Inntekt-I]]*Vekter!$L$3</f>
        <v>1.7641141707531744</v>
      </c>
      <c r="AL411" s="37">
        <f>SUM(Tabell2[[#This Row],[NIBR11-v]:[Inntekt-v]])</f>
        <v>26.291738483353548</v>
      </c>
    </row>
    <row r="412" spans="1:38">
      <c r="A412" s="2" t="s">
        <v>409</v>
      </c>
      <c r="B412">
        <f>'Rådata-K'!M411</f>
        <v>11</v>
      </c>
      <c r="C412" s="9">
        <f>'Rådata-K'!L411</f>
        <v>305.6538932638</v>
      </c>
      <c r="D412" s="51">
        <f>'Rådata-K'!N411</f>
        <v>0.58498106159367036</v>
      </c>
      <c r="E412" s="51">
        <f>'Rådata-K'!O411</f>
        <v>-0.11477761836441891</v>
      </c>
      <c r="F412" s="51">
        <f>'Rådata-K'!P411</f>
        <v>9.2382495948136148E-2</v>
      </c>
      <c r="G412" s="51">
        <f>'Rådata-K'!Q411</f>
        <v>0.21880064829821719</v>
      </c>
      <c r="H412" s="51">
        <f>'Rådata-K'!R411</f>
        <v>-9.0909090909090939E-2</v>
      </c>
      <c r="I412" s="51">
        <f>'Rådata-K'!S411</f>
        <v>0.86969696969696975</v>
      </c>
      <c r="J412" s="52">
        <f>'Rådata-K'!K411</f>
        <v>314500</v>
      </c>
      <c r="K412" s="26">
        <f>Tabell2[[#This Row],[NIBR11]]</f>
        <v>11</v>
      </c>
      <c r="L412" s="52">
        <f>IF(Tabell2[[#This Row],[ReisetidOslo]]&lt;=C$434,C$434,IF(Tabell2[[#This Row],[ReisetidOslo]]&gt;=C$435,C$435,Tabell2[[#This Row],[ReisetidOslo]]))</f>
        <v>279.05557553043002</v>
      </c>
      <c r="M412" s="51">
        <f>IF(Tabell2[[#This Row],[Beftettotal]]&lt;=D$434,D$434,IF(Tabell2[[#This Row],[Beftettotal]]&gt;=D$435,D$435,Tabell2[[#This Row],[Beftettotal]]))</f>
        <v>1.3397285732306117</v>
      </c>
      <c r="N412" s="51">
        <f>IF(Tabell2[[#This Row],[Befvekst10]]&lt;=E$434,E$434,IF(Tabell2[[#This Row],[Befvekst10]]&gt;=E$435,E$435,Tabell2[[#This Row],[Befvekst10]]))</f>
        <v>-8.0785862785862778E-2</v>
      </c>
      <c r="O412" s="51">
        <f>IF(Tabell2[[#This Row],[Kvinneandel]]&lt;=F$434,F$434,IF(Tabell2[[#This Row],[Kvinneandel]]&gt;=F$435,F$435,Tabell2[[#This Row],[Kvinneandel]]))</f>
        <v>9.2382495948136148E-2</v>
      </c>
      <c r="P412" s="51">
        <f>IF(Tabell2[[#This Row],[Eldreandel]]&lt;=G$434,G$434,IF(Tabell2[[#This Row],[Eldreandel]]&gt;=G$435,G$435,Tabell2[[#This Row],[Eldreandel]]))</f>
        <v>0.20830063331569054</v>
      </c>
      <c r="Q412" s="51">
        <f>IF(Tabell2[[#This Row],[Sysselsettingsvekst10]]&lt;=H$434,H$434,IF(Tabell2[[#This Row],[Sysselsettingsvekst10]]&gt;=H$435,H$435,Tabell2[[#This Row],[Sysselsettingsvekst10]]))</f>
        <v>-6.8692498376029434E-2</v>
      </c>
      <c r="R412" s="51">
        <f>IF(Tabell2[[#This Row],[Yrkesaktivandel]]&lt;=I$434,I$434,IF(Tabell2[[#This Row],[Yrkesaktivandel]]&gt;=I$435,I$435,Tabell2[[#This Row],[Yrkesaktivandel]]))</f>
        <v>0.86969696969696975</v>
      </c>
      <c r="S412" s="52">
        <f>IF(Tabell2[[#This Row],[Inntekt]]&lt;=J$434,J$434,IF(Tabell2[[#This Row],[Inntekt]]&gt;=J$435,J$435,Tabell2[[#This Row],[Inntekt]]))</f>
        <v>320470</v>
      </c>
      <c r="T412" s="9">
        <f>IF(Tabell2[[#This Row],[NIBR11-T]]&lt;=K$437,100,IF(Tabell2[[#This Row],[NIBR11-T]]&gt;=K$436,0,100*(K$436-Tabell2[[#This Row],[NIBR11-T]])/K$439))</f>
        <v>0</v>
      </c>
      <c r="U412" s="9">
        <f>(L$436-Tabell2[[#This Row],[ReisetidOslo-T]])*100/L$439</f>
        <v>0</v>
      </c>
      <c r="V412" s="9">
        <f>100-(M$436-Tabell2[[#This Row],[Beftettotal-T]])*100/M$439</f>
        <v>0</v>
      </c>
      <c r="W412" s="9">
        <f>100-(N$436-Tabell2[[#This Row],[Befvekst10-T]])*100/N$439</f>
        <v>0</v>
      </c>
      <c r="X412" s="9">
        <f>100-(O$436-Tabell2[[#This Row],[Kvinneandel-T]])*100/O$439</f>
        <v>5.6141238784525314</v>
      </c>
      <c r="Y412" s="9">
        <f>(P$436-Tabell2[[#This Row],[Eldreandel-T]])*100/P$439</f>
        <v>0</v>
      </c>
      <c r="Z412" s="9">
        <f>100-(Q$436-Tabell2[[#This Row],[Sysselsettingsvekst10-T]])*100/Q$439</f>
        <v>0</v>
      </c>
      <c r="AA412" s="9">
        <f>100-(R$436-Tabell2[[#This Row],[Yrkesaktivandel-T]])*100/R$439</f>
        <v>31.057519097508688</v>
      </c>
      <c r="AB412" s="9">
        <f>100-(S$436-Tabell2[[#This Row],[Inntekt-T]])*100/S$439</f>
        <v>0</v>
      </c>
      <c r="AC412" s="48">
        <f>Tabell2[[#This Row],[NIBR11-I]]*Vekter!$B$3</f>
        <v>0</v>
      </c>
      <c r="AD412" s="48">
        <f>Tabell2[[#This Row],[ReisetidOslo-I]]*Vekter!$C$3</f>
        <v>0</v>
      </c>
      <c r="AE412" s="48">
        <f>Tabell2[[#This Row],[Beftettotal-I]]*Vekter!$D$3</f>
        <v>0</v>
      </c>
      <c r="AF412" s="48">
        <f>Tabell2[[#This Row],[Befvekst10-I]]*Vekter!$E$3</f>
        <v>0</v>
      </c>
      <c r="AG412" s="48">
        <f>Tabell2[[#This Row],[Kvinneandel-I]]*Vekter!$F$3</f>
        <v>0.28070619392262658</v>
      </c>
      <c r="AH412" s="48">
        <f>Tabell2[[#This Row],[Eldreandel-I]]*Vekter!$G$3</f>
        <v>0</v>
      </c>
      <c r="AI412" s="48">
        <f>Tabell2[[#This Row],[Sysselsettingsvekst10-I]]*Vekter!$H$3</f>
        <v>0</v>
      </c>
      <c r="AJ412" s="48">
        <f>Tabell2[[#This Row],[Yrkesaktivandel-I]]*Vekter!$J$3</f>
        <v>3.105751909750869</v>
      </c>
      <c r="AK412" s="48">
        <f>Tabell2[[#This Row],[Inntekt-I]]*Vekter!$L$3</f>
        <v>0</v>
      </c>
      <c r="AL412" s="37">
        <f>SUM(Tabell2[[#This Row],[NIBR11-v]:[Inntekt-v]])</f>
        <v>3.3864581036734958</v>
      </c>
    </row>
    <row r="413" spans="1:38">
      <c r="A413" s="2" t="s">
        <v>410</v>
      </c>
      <c r="B413">
        <f>'Rådata-K'!M412</f>
        <v>11</v>
      </c>
      <c r="C413" s="9">
        <f>'Rådata-K'!L412</f>
        <v>281.11028675544003</v>
      </c>
      <c r="D413" s="51">
        <f>'Rådata-K'!N412</f>
        <v>3.5280797855513559</v>
      </c>
      <c r="E413" s="51">
        <f>'Rådata-K'!O412</f>
        <v>-0.11560934891485808</v>
      </c>
      <c r="F413" s="51">
        <f>'Rådata-K'!P412</f>
        <v>0.10476639924492685</v>
      </c>
      <c r="G413" s="51">
        <f>'Rådata-K'!Q412</f>
        <v>0.17932987258140631</v>
      </c>
      <c r="H413" s="51">
        <f>'Rådata-K'!R412</f>
        <v>-8.5744908896033811E-3</v>
      </c>
      <c r="I413" s="51">
        <f>'Rådata-K'!S412</f>
        <v>0.79225908372827802</v>
      </c>
      <c r="J413" s="52">
        <f>'Rådata-K'!K412</f>
        <v>326800</v>
      </c>
      <c r="K413" s="26">
        <f>Tabell2[[#This Row],[NIBR11]]</f>
        <v>11</v>
      </c>
      <c r="L413" s="52">
        <f>IF(Tabell2[[#This Row],[ReisetidOslo]]&lt;=C$434,C$434,IF(Tabell2[[#This Row],[ReisetidOslo]]&gt;=C$435,C$435,Tabell2[[#This Row],[ReisetidOslo]]))</f>
        <v>279.05557553043002</v>
      </c>
      <c r="M413" s="51">
        <f>IF(Tabell2[[#This Row],[Beftettotal]]&lt;=D$434,D$434,IF(Tabell2[[#This Row],[Beftettotal]]&gt;=D$435,D$435,Tabell2[[#This Row],[Beftettotal]]))</f>
        <v>3.5280797855513559</v>
      </c>
      <c r="N413" s="51">
        <f>IF(Tabell2[[#This Row],[Befvekst10]]&lt;=E$434,E$434,IF(Tabell2[[#This Row],[Befvekst10]]&gt;=E$435,E$435,Tabell2[[#This Row],[Befvekst10]]))</f>
        <v>-8.0785862785862778E-2</v>
      </c>
      <c r="O413" s="51">
        <f>IF(Tabell2[[#This Row],[Kvinneandel]]&lt;=F$434,F$434,IF(Tabell2[[#This Row],[Kvinneandel]]&gt;=F$435,F$435,Tabell2[[#This Row],[Kvinneandel]]))</f>
        <v>0.10476639924492685</v>
      </c>
      <c r="P413" s="51">
        <f>IF(Tabell2[[#This Row],[Eldreandel]]&lt;=G$434,G$434,IF(Tabell2[[#This Row],[Eldreandel]]&gt;=G$435,G$435,Tabell2[[#This Row],[Eldreandel]]))</f>
        <v>0.17932987258140631</v>
      </c>
      <c r="Q413" s="51">
        <f>IF(Tabell2[[#This Row],[Sysselsettingsvekst10]]&lt;=H$434,H$434,IF(Tabell2[[#This Row],[Sysselsettingsvekst10]]&gt;=H$435,H$435,Tabell2[[#This Row],[Sysselsettingsvekst10]]))</f>
        <v>-8.5744908896033811E-3</v>
      </c>
      <c r="R413" s="51">
        <f>IF(Tabell2[[#This Row],[Yrkesaktivandel]]&lt;=I$434,I$434,IF(Tabell2[[#This Row],[Yrkesaktivandel]]&gt;=I$435,I$435,Tabell2[[#This Row],[Yrkesaktivandel]]))</f>
        <v>0.82803562853509294</v>
      </c>
      <c r="S413" s="52">
        <f>IF(Tabell2[[#This Row],[Inntekt]]&lt;=J$434,J$434,IF(Tabell2[[#This Row],[Inntekt]]&gt;=J$435,J$435,Tabell2[[#This Row],[Inntekt]]))</f>
        <v>326800</v>
      </c>
      <c r="T413" s="9">
        <f>IF(Tabell2[[#This Row],[NIBR11-T]]&lt;=K$437,100,IF(Tabell2[[#This Row],[NIBR11-T]]&gt;=K$436,0,100*(K$436-Tabell2[[#This Row],[NIBR11-T]])/K$439))</f>
        <v>0</v>
      </c>
      <c r="U413" s="9">
        <f>(L$436-Tabell2[[#This Row],[ReisetidOslo-T]])*100/L$439</f>
        <v>0</v>
      </c>
      <c r="V413" s="9">
        <f>100-(M$436-Tabell2[[#This Row],[Beftettotal-T]])*100/M$439</f>
        <v>1.7236811378536885</v>
      </c>
      <c r="W413" s="9">
        <f>100-(N$436-Tabell2[[#This Row],[Befvekst10-T]])*100/N$439</f>
        <v>0</v>
      </c>
      <c r="X413" s="9">
        <f>100-(O$436-Tabell2[[#This Row],[Kvinneandel-T]])*100/O$439</f>
        <v>38.415341126548071</v>
      </c>
      <c r="Y413" s="9">
        <f>(P$436-Tabell2[[#This Row],[Eldreandel-T]])*100/P$439</f>
        <v>32.843759178794521</v>
      </c>
      <c r="Z413" s="9">
        <f>100-(Q$436-Tabell2[[#This Row],[Sysselsettingsvekst10-T]])*100/Q$439</f>
        <v>19.296147071167155</v>
      </c>
      <c r="AA413" s="9">
        <f>100-(R$436-Tabell2[[#This Row],[Yrkesaktivandel-T]])*100/R$439</f>
        <v>0</v>
      </c>
      <c r="AB413" s="9">
        <f>100-(S$436-Tabell2[[#This Row],[Inntekt-T]])*100/S$439</f>
        <v>7.9592606563560935</v>
      </c>
      <c r="AC413" s="48">
        <f>Tabell2[[#This Row],[NIBR11-I]]*Vekter!$B$3</f>
        <v>0</v>
      </c>
      <c r="AD413" s="48">
        <f>Tabell2[[#This Row],[ReisetidOslo-I]]*Vekter!$C$3</f>
        <v>0</v>
      </c>
      <c r="AE413" s="48">
        <f>Tabell2[[#This Row],[Beftettotal-I]]*Vekter!$D$3</f>
        <v>0.17236811378536887</v>
      </c>
      <c r="AF413" s="48">
        <f>Tabell2[[#This Row],[Befvekst10-I]]*Vekter!$E$3</f>
        <v>0</v>
      </c>
      <c r="AG413" s="48">
        <f>Tabell2[[#This Row],[Kvinneandel-I]]*Vekter!$F$3</f>
        <v>1.9207670563274037</v>
      </c>
      <c r="AH413" s="48">
        <f>Tabell2[[#This Row],[Eldreandel-I]]*Vekter!$G$3</f>
        <v>1.6421879589397261</v>
      </c>
      <c r="AI413" s="48">
        <f>Tabell2[[#This Row],[Sysselsettingsvekst10-I]]*Vekter!$H$3</f>
        <v>1.9296147071167156</v>
      </c>
      <c r="AJ413" s="48">
        <f>Tabell2[[#This Row],[Yrkesaktivandel-I]]*Vekter!$J$3</f>
        <v>0</v>
      </c>
      <c r="AK413" s="48">
        <f>Tabell2[[#This Row],[Inntekt-I]]*Vekter!$L$3</f>
        <v>0.79592606563560941</v>
      </c>
      <c r="AL413" s="37">
        <f>SUM(Tabell2[[#This Row],[NIBR11-v]:[Inntekt-v]])</f>
        <v>6.4608639018048235</v>
      </c>
    </row>
    <row r="414" spans="1:38">
      <c r="A414" s="2" t="s">
        <v>411</v>
      </c>
      <c r="B414">
        <f>'Rådata-K'!M413</f>
        <v>7</v>
      </c>
      <c r="C414" s="9">
        <f>'Rådata-K'!L413</f>
        <v>273.86776009536999</v>
      </c>
      <c r="D414" s="51">
        <f>'Rådata-K'!N413</f>
        <v>4.948156865239655</v>
      </c>
      <c r="E414" s="51">
        <f>'Rådata-K'!O413</f>
        <v>5.9812479793082129E-3</v>
      </c>
      <c r="F414" s="51">
        <f>'Rådata-K'!P413</f>
        <v>0.11200385666077455</v>
      </c>
      <c r="G414" s="51">
        <f>'Rådata-K'!Q413</f>
        <v>0.13209063152820183</v>
      </c>
      <c r="H414" s="51">
        <f>'Rådata-K'!R413</f>
        <v>-2.8867273297772167E-2</v>
      </c>
      <c r="I414" s="51">
        <f>'Rådata-K'!S413</f>
        <v>0.85074216602528863</v>
      </c>
      <c r="J414" s="52">
        <f>'Rådata-K'!K413</f>
        <v>355000</v>
      </c>
      <c r="K414" s="26">
        <f>Tabell2[[#This Row],[NIBR11]]</f>
        <v>7</v>
      </c>
      <c r="L414" s="52">
        <f>IF(Tabell2[[#This Row],[ReisetidOslo]]&lt;=C$434,C$434,IF(Tabell2[[#This Row],[ReisetidOslo]]&gt;=C$435,C$435,Tabell2[[#This Row],[ReisetidOslo]]))</f>
        <v>273.86776009536999</v>
      </c>
      <c r="M414" s="51">
        <f>IF(Tabell2[[#This Row],[Beftettotal]]&lt;=D$434,D$434,IF(Tabell2[[#This Row],[Beftettotal]]&gt;=D$435,D$435,Tabell2[[#This Row],[Beftettotal]]))</f>
        <v>4.948156865239655</v>
      </c>
      <c r="N414" s="51">
        <f>IF(Tabell2[[#This Row],[Befvekst10]]&lt;=E$434,E$434,IF(Tabell2[[#This Row],[Befvekst10]]&gt;=E$435,E$435,Tabell2[[#This Row],[Befvekst10]]))</f>
        <v>5.9812479793082129E-3</v>
      </c>
      <c r="O414" s="51">
        <f>IF(Tabell2[[#This Row],[Kvinneandel]]&lt;=F$434,F$434,IF(Tabell2[[#This Row],[Kvinneandel]]&gt;=F$435,F$435,Tabell2[[#This Row],[Kvinneandel]]))</f>
        <v>0.11200385666077455</v>
      </c>
      <c r="P414" s="51">
        <f>IF(Tabell2[[#This Row],[Eldreandel]]&lt;=G$434,G$434,IF(Tabell2[[#This Row],[Eldreandel]]&gt;=G$435,G$435,Tabell2[[#This Row],[Eldreandel]]))</f>
        <v>0.13209063152820183</v>
      </c>
      <c r="Q414" s="51">
        <f>IF(Tabell2[[#This Row],[Sysselsettingsvekst10]]&lt;=H$434,H$434,IF(Tabell2[[#This Row],[Sysselsettingsvekst10]]&gt;=H$435,H$435,Tabell2[[#This Row],[Sysselsettingsvekst10]]))</f>
        <v>-2.8867273297772167E-2</v>
      </c>
      <c r="R414" s="51">
        <f>IF(Tabell2[[#This Row],[Yrkesaktivandel]]&lt;=I$434,I$434,IF(Tabell2[[#This Row],[Yrkesaktivandel]]&gt;=I$435,I$435,Tabell2[[#This Row],[Yrkesaktivandel]]))</f>
        <v>0.85074216602528863</v>
      </c>
      <c r="S414" s="52">
        <f>IF(Tabell2[[#This Row],[Inntekt]]&lt;=J$434,J$434,IF(Tabell2[[#This Row],[Inntekt]]&gt;=J$435,J$435,Tabell2[[#This Row],[Inntekt]]))</f>
        <v>355000</v>
      </c>
      <c r="T414" s="9">
        <f>IF(Tabell2[[#This Row],[NIBR11-T]]&lt;=K$437,100,IF(Tabell2[[#This Row],[NIBR11-T]]&gt;=K$436,0,100*(K$436-Tabell2[[#This Row],[NIBR11-T]])/K$439))</f>
        <v>40</v>
      </c>
      <c r="U414" s="9">
        <f>(L$436-Tabell2[[#This Row],[ReisetidOslo-T]])*100/L$439</f>
        <v>2.3031337328079879</v>
      </c>
      <c r="V414" s="9">
        <f>100-(M$436-Tabell2[[#This Row],[Beftettotal-T]])*100/M$439</f>
        <v>2.8422219199620713</v>
      </c>
      <c r="W414" s="9">
        <f>100-(N$436-Tabell2[[#This Row],[Befvekst10-T]])*100/N$439</f>
        <v>35.110808350441815</v>
      </c>
      <c r="X414" s="9">
        <f>100-(O$436-Tabell2[[#This Row],[Kvinneandel-T]])*100/O$439</f>
        <v>57.58517856242193</v>
      </c>
      <c r="Y414" s="9">
        <f>(P$436-Tabell2[[#This Row],[Eldreandel-T]])*100/P$439</f>
        <v>86.398247138939723</v>
      </c>
      <c r="Z414" s="9">
        <f>100-(Q$436-Tabell2[[#This Row],[Sysselsettingsvekst10-T]])*100/Q$439</f>
        <v>12.782749002882355</v>
      </c>
      <c r="AA414" s="9">
        <f>100-(R$436-Tabell2[[#This Row],[Yrkesaktivandel-T]])*100/R$439</f>
        <v>16.927172819519498</v>
      </c>
      <c r="AB414" s="9">
        <f>100-(S$436-Tabell2[[#This Row],[Inntekt-T]])*100/S$439</f>
        <v>43.417578272350056</v>
      </c>
      <c r="AC414" s="48">
        <f>Tabell2[[#This Row],[NIBR11-I]]*Vekter!$B$3</f>
        <v>8</v>
      </c>
      <c r="AD414" s="48">
        <f>Tabell2[[#This Row],[ReisetidOslo-I]]*Vekter!$C$3</f>
        <v>0.23031337328079882</v>
      </c>
      <c r="AE414" s="48">
        <f>Tabell2[[#This Row],[Beftettotal-I]]*Vekter!$D$3</f>
        <v>0.28422219199620713</v>
      </c>
      <c r="AF414" s="48">
        <f>Tabell2[[#This Row],[Befvekst10-I]]*Vekter!$E$3</f>
        <v>7.0221616700883631</v>
      </c>
      <c r="AG414" s="48">
        <f>Tabell2[[#This Row],[Kvinneandel-I]]*Vekter!$F$3</f>
        <v>2.8792589281210965</v>
      </c>
      <c r="AH414" s="48">
        <f>Tabell2[[#This Row],[Eldreandel-I]]*Vekter!$G$3</f>
        <v>4.3199123569469862</v>
      </c>
      <c r="AI414" s="48">
        <f>Tabell2[[#This Row],[Sysselsettingsvekst10-I]]*Vekter!$H$3</f>
        <v>1.2782749002882356</v>
      </c>
      <c r="AJ414" s="48">
        <f>Tabell2[[#This Row],[Yrkesaktivandel-I]]*Vekter!$J$3</f>
        <v>1.6927172819519498</v>
      </c>
      <c r="AK414" s="48">
        <f>Tabell2[[#This Row],[Inntekt-I]]*Vekter!$L$3</f>
        <v>4.3417578272350061</v>
      </c>
      <c r="AL414" s="37">
        <f>SUM(Tabell2[[#This Row],[NIBR11-v]:[Inntekt-v]])</f>
        <v>30.048618529908644</v>
      </c>
    </row>
    <row r="415" spans="1:38">
      <c r="A415" s="2" t="s">
        <v>412</v>
      </c>
      <c r="B415">
        <f>'Rådata-K'!M414</f>
        <v>6</v>
      </c>
      <c r="C415" s="9">
        <f>'Rådata-K'!L414</f>
        <v>272.23804677576999</v>
      </c>
      <c r="D415" s="51">
        <f>'Rådata-K'!N414</f>
        <v>12.12803584060363</v>
      </c>
      <c r="E415" s="51">
        <f>'Rådata-K'!O414</f>
        <v>0.12340286119908273</v>
      </c>
      <c r="F415" s="51">
        <f>'Rådata-K'!P414</f>
        <v>0.13395547778749878</v>
      </c>
      <c r="G415" s="51">
        <f>'Rådata-K'!Q414</f>
        <v>0.11461067366579178</v>
      </c>
      <c r="H415" s="51">
        <f>'Rådata-K'!R414</f>
        <v>0.13598448108632399</v>
      </c>
      <c r="I415" s="51">
        <f>'Rådata-K'!S414</f>
        <v>0.89770223481271638</v>
      </c>
      <c r="J415" s="52">
        <f>'Rådata-K'!K414</f>
        <v>393500</v>
      </c>
      <c r="K415" s="26">
        <f>Tabell2[[#This Row],[NIBR11]]</f>
        <v>6</v>
      </c>
      <c r="L415" s="52">
        <f>IF(Tabell2[[#This Row],[ReisetidOslo]]&lt;=C$434,C$434,IF(Tabell2[[#This Row],[ReisetidOslo]]&gt;=C$435,C$435,Tabell2[[#This Row],[ReisetidOslo]]))</f>
        <v>272.23804677576999</v>
      </c>
      <c r="M415" s="51">
        <f>IF(Tabell2[[#This Row],[Beftettotal]]&lt;=D$434,D$434,IF(Tabell2[[#This Row],[Beftettotal]]&gt;=D$435,D$435,Tabell2[[#This Row],[Beftettotal]]))</f>
        <v>12.12803584060363</v>
      </c>
      <c r="N415" s="51">
        <f>IF(Tabell2[[#This Row],[Befvekst10]]&lt;=E$434,E$434,IF(Tabell2[[#This Row],[Befvekst10]]&gt;=E$435,E$435,Tabell2[[#This Row],[Befvekst10]]))</f>
        <v>0.12340286119908273</v>
      </c>
      <c r="O415" s="51">
        <f>IF(Tabell2[[#This Row],[Kvinneandel]]&lt;=F$434,F$434,IF(Tabell2[[#This Row],[Kvinneandel]]&gt;=F$435,F$435,Tabell2[[#This Row],[Kvinneandel]]))</f>
        <v>0.12801731869362362</v>
      </c>
      <c r="P415" s="51">
        <f>IF(Tabell2[[#This Row],[Eldreandel]]&lt;=G$434,G$434,IF(Tabell2[[#This Row],[Eldreandel]]&gt;=G$435,G$435,Tabell2[[#This Row],[Eldreandel]]))</f>
        <v>0.1200928231908705</v>
      </c>
      <c r="Q415" s="51">
        <f>IF(Tabell2[[#This Row],[Sysselsettingsvekst10]]&lt;=H$434,H$434,IF(Tabell2[[#This Row],[Sysselsettingsvekst10]]&gt;=H$435,H$435,Tabell2[[#This Row],[Sysselsettingsvekst10]]))</f>
        <v>0.13598448108632399</v>
      </c>
      <c r="R415" s="51">
        <f>IF(Tabell2[[#This Row],[Yrkesaktivandel]]&lt;=I$434,I$434,IF(Tabell2[[#This Row],[Yrkesaktivandel]]&gt;=I$435,I$435,Tabell2[[#This Row],[Yrkesaktivandel]]))</f>
        <v>0.89770223481271638</v>
      </c>
      <c r="S415" s="52">
        <f>IF(Tabell2[[#This Row],[Inntekt]]&lt;=J$434,J$434,IF(Tabell2[[#This Row],[Inntekt]]&gt;=J$435,J$435,Tabell2[[#This Row],[Inntekt]]))</f>
        <v>393500</v>
      </c>
      <c r="T415" s="9">
        <f>IF(Tabell2[[#This Row],[NIBR11-T]]&lt;=K$437,100,IF(Tabell2[[#This Row],[NIBR11-T]]&gt;=K$436,0,100*(K$436-Tabell2[[#This Row],[NIBR11-T]])/K$439))</f>
        <v>50</v>
      </c>
      <c r="U415" s="9">
        <f>(L$436-Tabell2[[#This Row],[ReisetidOslo-T]])*100/L$439</f>
        <v>3.0266459255916569</v>
      </c>
      <c r="V415" s="9">
        <f>100-(M$436-Tabell2[[#This Row],[Beftettotal-T]])*100/M$439</f>
        <v>8.4975399019338198</v>
      </c>
      <c r="W415" s="9">
        <f>100-(N$436-Tabell2[[#This Row],[Befvekst10-T]])*100/N$439</f>
        <v>82.626136700110919</v>
      </c>
      <c r="X415" s="9">
        <f>100-(O$436-Tabell2[[#This Row],[Kvinneandel-T]])*100/O$439</f>
        <v>100</v>
      </c>
      <c r="Y415" s="9">
        <f>(P$436-Tabell2[[#This Row],[Eldreandel-T]])*100/P$439</f>
        <v>100.00000000000001</v>
      </c>
      <c r="Z415" s="9">
        <f>100-(Q$436-Tabell2[[#This Row],[Sysselsettingsvekst10-T]])*100/Q$439</f>
        <v>65.695409128114846</v>
      </c>
      <c r="AA415" s="9">
        <f>100-(R$436-Tabell2[[#This Row],[Yrkesaktivandel-T]])*100/R$439</f>
        <v>51.934764810352</v>
      </c>
      <c r="AB415" s="9">
        <f>100-(S$436-Tabell2[[#This Row],[Inntekt-T]])*100/S$439</f>
        <v>91.82698352822834</v>
      </c>
      <c r="AC415" s="48">
        <f>Tabell2[[#This Row],[NIBR11-I]]*Vekter!$B$3</f>
        <v>10</v>
      </c>
      <c r="AD415" s="48">
        <f>Tabell2[[#This Row],[ReisetidOslo-I]]*Vekter!$C$3</f>
        <v>0.30266459255916572</v>
      </c>
      <c r="AE415" s="48">
        <f>Tabell2[[#This Row],[Beftettotal-I]]*Vekter!$D$3</f>
        <v>0.84975399019338205</v>
      </c>
      <c r="AF415" s="48">
        <f>Tabell2[[#This Row],[Befvekst10-I]]*Vekter!$E$3</f>
        <v>16.525227340022184</v>
      </c>
      <c r="AG415" s="48">
        <f>Tabell2[[#This Row],[Kvinneandel-I]]*Vekter!$F$3</f>
        <v>5</v>
      </c>
      <c r="AH415" s="48">
        <f>Tabell2[[#This Row],[Eldreandel-I]]*Vekter!$G$3</f>
        <v>5.0000000000000009</v>
      </c>
      <c r="AI415" s="48">
        <f>Tabell2[[#This Row],[Sysselsettingsvekst10-I]]*Vekter!$H$3</f>
        <v>6.569540912811485</v>
      </c>
      <c r="AJ415" s="48">
        <f>Tabell2[[#This Row],[Yrkesaktivandel-I]]*Vekter!$J$3</f>
        <v>5.1934764810352005</v>
      </c>
      <c r="AK415" s="48">
        <f>Tabell2[[#This Row],[Inntekt-I]]*Vekter!$L$3</f>
        <v>9.1826983528228343</v>
      </c>
      <c r="AL415" s="37">
        <f>SUM(Tabell2[[#This Row],[NIBR11-v]:[Inntekt-v]])</f>
        <v>58.623361669444243</v>
      </c>
    </row>
    <row r="416" spans="1:38">
      <c r="A416" s="2" t="s">
        <v>413</v>
      </c>
      <c r="B416">
        <f>'Rådata-K'!M415</f>
        <v>11</v>
      </c>
      <c r="C416" s="9">
        <f>'Rådata-K'!L415</f>
        <v>321.33023933200002</v>
      </c>
      <c r="D416" s="51">
        <f>'Rådata-K'!N415</f>
        <v>0.30193647281335567</v>
      </c>
      <c r="E416" s="51">
        <f>'Rådata-K'!O415</f>
        <v>-2.3650899400399772E-2</v>
      </c>
      <c r="F416" s="51">
        <f>'Rådata-K'!P415</f>
        <v>0.12214261344251109</v>
      </c>
      <c r="G416" s="51">
        <f>'Rådata-K'!Q415</f>
        <v>0.12077789150460594</v>
      </c>
      <c r="H416" s="51">
        <f>'Rådata-K'!R415</f>
        <v>3.0134813639968172E-2</v>
      </c>
      <c r="I416" s="51">
        <f>'Rådata-K'!S415</f>
        <v>0.83730158730158732</v>
      </c>
      <c r="J416" s="52">
        <f>'Rådata-K'!K415</f>
        <v>283600</v>
      </c>
      <c r="K416" s="26">
        <f>Tabell2[[#This Row],[NIBR11]]</f>
        <v>11</v>
      </c>
      <c r="L416" s="52">
        <f>IF(Tabell2[[#This Row],[ReisetidOslo]]&lt;=C$434,C$434,IF(Tabell2[[#This Row],[ReisetidOslo]]&gt;=C$435,C$435,Tabell2[[#This Row],[ReisetidOslo]]))</f>
        <v>279.05557553043002</v>
      </c>
      <c r="M416" s="51">
        <f>IF(Tabell2[[#This Row],[Beftettotal]]&lt;=D$434,D$434,IF(Tabell2[[#This Row],[Beftettotal]]&gt;=D$435,D$435,Tabell2[[#This Row],[Beftettotal]]))</f>
        <v>1.3397285732306117</v>
      </c>
      <c r="N416" s="51">
        <f>IF(Tabell2[[#This Row],[Befvekst10]]&lt;=E$434,E$434,IF(Tabell2[[#This Row],[Befvekst10]]&gt;=E$435,E$435,Tabell2[[#This Row],[Befvekst10]]))</f>
        <v>-2.3650899400399772E-2</v>
      </c>
      <c r="O416" s="51">
        <f>IF(Tabell2[[#This Row],[Kvinneandel]]&lt;=F$434,F$434,IF(Tabell2[[#This Row],[Kvinneandel]]&gt;=F$435,F$435,Tabell2[[#This Row],[Kvinneandel]]))</f>
        <v>0.12214261344251109</v>
      </c>
      <c r="P416" s="51">
        <f>IF(Tabell2[[#This Row],[Eldreandel]]&lt;=G$434,G$434,IF(Tabell2[[#This Row],[Eldreandel]]&gt;=G$435,G$435,Tabell2[[#This Row],[Eldreandel]]))</f>
        <v>0.12077789150460594</v>
      </c>
      <c r="Q416" s="51">
        <f>IF(Tabell2[[#This Row],[Sysselsettingsvekst10]]&lt;=H$434,H$434,IF(Tabell2[[#This Row],[Sysselsettingsvekst10]]&gt;=H$435,H$435,Tabell2[[#This Row],[Sysselsettingsvekst10]]))</f>
        <v>3.0134813639968172E-2</v>
      </c>
      <c r="R416" s="51">
        <f>IF(Tabell2[[#This Row],[Yrkesaktivandel]]&lt;=I$434,I$434,IF(Tabell2[[#This Row],[Yrkesaktivandel]]&gt;=I$435,I$435,Tabell2[[#This Row],[Yrkesaktivandel]]))</f>
        <v>0.83730158730158732</v>
      </c>
      <c r="S416" s="52">
        <f>IF(Tabell2[[#This Row],[Inntekt]]&lt;=J$434,J$434,IF(Tabell2[[#This Row],[Inntekt]]&gt;=J$435,J$435,Tabell2[[#This Row],[Inntekt]]))</f>
        <v>320470</v>
      </c>
      <c r="T416" s="9">
        <f>IF(Tabell2[[#This Row],[NIBR11-T]]&lt;=K$437,100,IF(Tabell2[[#This Row],[NIBR11-T]]&gt;=K$436,0,100*(K$436-Tabell2[[#This Row],[NIBR11-T]])/K$439))</f>
        <v>0</v>
      </c>
      <c r="U416" s="9">
        <f>(L$436-Tabell2[[#This Row],[ReisetidOslo-T]])*100/L$439</f>
        <v>0</v>
      </c>
      <c r="V416" s="9">
        <f>100-(M$436-Tabell2[[#This Row],[Beftettotal-T]])*100/M$439</f>
        <v>0</v>
      </c>
      <c r="W416" s="9">
        <f>100-(N$436-Tabell2[[#This Row],[Befvekst10-T]])*100/N$439</f>
        <v>23.119990188053478</v>
      </c>
      <c r="X416" s="9">
        <f>100-(O$436-Tabell2[[#This Row],[Kvinneandel-T]])*100/O$439</f>
        <v>84.439681206150297</v>
      </c>
      <c r="Y416" s="9">
        <f>(P$436-Tabell2[[#This Row],[Eldreandel-T]])*100/P$439</f>
        <v>99.223347328580061</v>
      </c>
      <c r="Z416" s="9">
        <f>100-(Q$436-Tabell2[[#This Row],[Sysselsettingsvekst10-T]])*100/Q$439</f>
        <v>31.720717752320553</v>
      </c>
      <c r="AA416" s="9">
        <f>100-(R$436-Tabell2[[#This Row],[Yrkesaktivandel-T]])*100/R$439</f>
        <v>6.9075474605811564</v>
      </c>
      <c r="AB416" s="9">
        <f>100-(S$436-Tabell2[[#This Row],[Inntekt-T]])*100/S$439</f>
        <v>0</v>
      </c>
      <c r="AC416" s="48">
        <f>Tabell2[[#This Row],[NIBR11-I]]*Vekter!$B$3</f>
        <v>0</v>
      </c>
      <c r="AD416" s="48">
        <f>Tabell2[[#This Row],[ReisetidOslo-I]]*Vekter!$C$3</f>
        <v>0</v>
      </c>
      <c r="AE416" s="48">
        <f>Tabell2[[#This Row],[Beftettotal-I]]*Vekter!$D$3</f>
        <v>0</v>
      </c>
      <c r="AF416" s="48">
        <f>Tabell2[[#This Row],[Befvekst10-I]]*Vekter!$E$3</f>
        <v>4.6239980376106962</v>
      </c>
      <c r="AG416" s="48">
        <f>Tabell2[[#This Row],[Kvinneandel-I]]*Vekter!$F$3</f>
        <v>4.2219840603075154</v>
      </c>
      <c r="AH416" s="48">
        <f>Tabell2[[#This Row],[Eldreandel-I]]*Vekter!$G$3</f>
        <v>4.9611673664290032</v>
      </c>
      <c r="AI416" s="48">
        <f>Tabell2[[#This Row],[Sysselsettingsvekst10-I]]*Vekter!$H$3</f>
        <v>3.1720717752320553</v>
      </c>
      <c r="AJ416" s="48">
        <f>Tabell2[[#This Row],[Yrkesaktivandel-I]]*Vekter!$J$3</f>
        <v>0.69075474605811571</v>
      </c>
      <c r="AK416" s="48">
        <f>Tabell2[[#This Row],[Inntekt-I]]*Vekter!$L$3</f>
        <v>0</v>
      </c>
      <c r="AL416" s="37">
        <f>SUM(Tabell2[[#This Row],[NIBR11-v]:[Inntekt-v]])</f>
        <v>17.669975985637386</v>
      </c>
    </row>
    <row r="417" spans="1:38">
      <c r="A417" s="2" t="s">
        <v>414</v>
      </c>
      <c r="B417">
        <f>'Rådata-K'!M416</f>
        <v>6</v>
      </c>
      <c r="C417" s="9">
        <f>'Rådata-K'!L416</f>
        <v>224.65280796330001</v>
      </c>
      <c r="D417" s="51">
        <f>'Rådata-K'!N416</f>
        <v>5.1493337974713143</v>
      </c>
      <c r="E417" s="51">
        <f>'Rådata-K'!O416</f>
        <v>0.13658256880733943</v>
      </c>
      <c r="F417" s="51">
        <f>'Rådata-K'!P416</f>
        <v>0.12854404197356473</v>
      </c>
      <c r="G417" s="51">
        <f>'Rådata-K'!Q416</f>
        <v>0.10291595197255575</v>
      </c>
      <c r="H417" s="51">
        <f>'Rådata-K'!R416</f>
        <v>0.19345850999394298</v>
      </c>
      <c r="I417" s="51">
        <f>'Rådata-K'!S416</f>
        <v>0.85391811861642775</v>
      </c>
      <c r="J417" s="52">
        <f>'Rådata-K'!K416</f>
        <v>360600</v>
      </c>
      <c r="K417" s="26">
        <f>Tabell2[[#This Row],[NIBR11]]</f>
        <v>6</v>
      </c>
      <c r="L417" s="52">
        <f>IF(Tabell2[[#This Row],[ReisetidOslo]]&lt;=C$434,C$434,IF(Tabell2[[#This Row],[ReisetidOslo]]&gt;=C$435,C$435,Tabell2[[#This Row],[ReisetidOslo]]))</f>
        <v>224.65280796330001</v>
      </c>
      <c r="M417" s="51">
        <f>IF(Tabell2[[#This Row],[Beftettotal]]&lt;=D$434,D$434,IF(Tabell2[[#This Row],[Beftettotal]]&gt;=D$435,D$435,Tabell2[[#This Row],[Beftettotal]]))</f>
        <v>5.1493337974713143</v>
      </c>
      <c r="N417" s="51">
        <f>IF(Tabell2[[#This Row],[Befvekst10]]&lt;=E$434,E$434,IF(Tabell2[[#This Row],[Befvekst10]]&gt;=E$435,E$435,Tabell2[[#This Row],[Befvekst10]]))</f>
        <v>0.13658256880733943</v>
      </c>
      <c r="O417" s="51">
        <f>IF(Tabell2[[#This Row],[Kvinneandel]]&lt;=F$434,F$434,IF(Tabell2[[#This Row],[Kvinneandel]]&gt;=F$435,F$435,Tabell2[[#This Row],[Kvinneandel]]))</f>
        <v>0.12801731869362362</v>
      </c>
      <c r="P417" s="51">
        <f>IF(Tabell2[[#This Row],[Eldreandel]]&lt;=G$434,G$434,IF(Tabell2[[#This Row],[Eldreandel]]&gt;=G$435,G$435,Tabell2[[#This Row],[Eldreandel]]))</f>
        <v>0.1200928231908705</v>
      </c>
      <c r="Q417" s="51">
        <f>IF(Tabell2[[#This Row],[Sysselsettingsvekst10]]&lt;=H$434,H$434,IF(Tabell2[[#This Row],[Sysselsettingsvekst10]]&gt;=H$435,H$435,Tabell2[[#This Row],[Sysselsettingsvekst10]]))</f>
        <v>0.19345850999394298</v>
      </c>
      <c r="R417" s="51">
        <f>IF(Tabell2[[#This Row],[Yrkesaktivandel]]&lt;=I$434,I$434,IF(Tabell2[[#This Row],[Yrkesaktivandel]]&gt;=I$435,I$435,Tabell2[[#This Row],[Yrkesaktivandel]]))</f>
        <v>0.85391811861642775</v>
      </c>
      <c r="S417" s="52">
        <f>IF(Tabell2[[#This Row],[Inntekt]]&lt;=J$434,J$434,IF(Tabell2[[#This Row],[Inntekt]]&gt;=J$435,J$435,Tabell2[[#This Row],[Inntekt]]))</f>
        <v>360600</v>
      </c>
      <c r="T417" s="9">
        <f>IF(Tabell2[[#This Row],[NIBR11-T]]&lt;=K$437,100,IF(Tabell2[[#This Row],[NIBR11-T]]&gt;=K$436,0,100*(K$436-Tabell2[[#This Row],[NIBR11-T]])/K$439))</f>
        <v>50</v>
      </c>
      <c r="U417" s="9">
        <f>(L$436-Tabell2[[#This Row],[ReisetidOslo-T]])*100/L$439</f>
        <v>24.152140859752773</v>
      </c>
      <c r="V417" s="9">
        <f>100-(M$436-Tabell2[[#This Row],[Beftettotal-T]])*100/M$439</f>
        <v>3.000681348917837</v>
      </c>
      <c r="W417" s="9">
        <f>100-(N$436-Tabell2[[#This Row],[Befvekst10-T]])*100/N$439</f>
        <v>87.959380873709847</v>
      </c>
      <c r="X417" s="9">
        <f>100-(O$436-Tabell2[[#This Row],[Kvinneandel-T]])*100/O$439</f>
        <v>100</v>
      </c>
      <c r="Y417" s="9">
        <f>(P$436-Tabell2[[#This Row],[Eldreandel-T]])*100/P$439</f>
        <v>100.00000000000001</v>
      </c>
      <c r="Z417" s="9">
        <f>100-(Q$436-Tabell2[[#This Row],[Sysselsettingsvekst10-T]])*100/Q$439</f>
        <v>84.142915307096814</v>
      </c>
      <c r="AA417" s="9">
        <f>100-(R$436-Tabell2[[#This Row],[Yrkesaktivandel-T]])*100/R$439</f>
        <v>19.294768424971238</v>
      </c>
      <c r="AB417" s="9">
        <f>100-(S$436-Tabell2[[#This Row],[Inntekt-T]])*100/S$439</f>
        <v>50.458946309568717</v>
      </c>
      <c r="AC417" s="48">
        <f>Tabell2[[#This Row],[NIBR11-I]]*Vekter!$B$3</f>
        <v>10</v>
      </c>
      <c r="AD417" s="48">
        <f>Tabell2[[#This Row],[ReisetidOslo-I]]*Vekter!$C$3</f>
        <v>2.4152140859752773</v>
      </c>
      <c r="AE417" s="48">
        <f>Tabell2[[#This Row],[Beftettotal-I]]*Vekter!$D$3</f>
        <v>0.30006813489178374</v>
      </c>
      <c r="AF417" s="48">
        <f>Tabell2[[#This Row],[Befvekst10-I]]*Vekter!$E$3</f>
        <v>17.591876174741969</v>
      </c>
      <c r="AG417" s="48">
        <f>Tabell2[[#This Row],[Kvinneandel-I]]*Vekter!$F$3</f>
        <v>5</v>
      </c>
      <c r="AH417" s="48">
        <f>Tabell2[[#This Row],[Eldreandel-I]]*Vekter!$G$3</f>
        <v>5.0000000000000009</v>
      </c>
      <c r="AI417" s="48">
        <f>Tabell2[[#This Row],[Sysselsettingsvekst10-I]]*Vekter!$H$3</f>
        <v>8.4142915307096811</v>
      </c>
      <c r="AJ417" s="48">
        <f>Tabell2[[#This Row],[Yrkesaktivandel-I]]*Vekter!$J$3</f>
        <v>1.9294768424971238</v>
      </c>
      <c r="AK417" s="48">
        <f>Tabell2[[#This Row],[Inntekt-I]]*Vekter!$L$3</f>
        <v>5.0458946309568722</v>
      </c>
      <c r="AL417" s="37">
        <f>SUM(Tabell2[[#This Row],[NIBR11-v]:[Inntekt-v]])</f>
        <v>55.696821399772709</v>
      </c>
    </row>
    <row r="418" spans="1:38">
      <c r="A418" s="2" t="s">
        <v>415</v>
      </c>
      <c r="B418">
        <f>'Rådata-K'!M417</f>
        <v>11</v>
      </c>
      <c r="C418" s="9">
        <f>'Rådata-K'!L417</f>
        <v>325.56230259400002</v>
      </c>
      <c r="D418" s="51">
        <f>'Rådata-K'!N417</f>
        <v>1.4908473296848461</v>
      </c>
      <c r="E418" s="51">
        <f>'Rådata-K'!O417</f>
        <v>-0.2063369397217929</v>
      </c>
      <c r="F418" s="51">
        <f>'Rådata-K'!P417</f>
        <v>7.6923076923076927E-2</v>
      </c>
      <c r="G418" s="51">
        <f>'Rådata-K'!Q417</f>
        <v>0.23271665043816941</v>
      </c>
      <c r="H418" s="51">
        <f>'Rådata-K'!R417</f>
        <v>-0.13203463203463206</v>
      </c>
      <c r="I418" s="51">
        <f>'Rådata-K'!S417</f>
        <v>0.83629893238434161</v>
      </c>
      <c r="J418" s="52">
        <f>'Rådata-K'!K417</f>
        <v>323900</v>
      </c>
      <c r="K418" s="26">
        <f>Tabell2[[#This Row],[NIBR11]]</f>
        <v>11</v>
      </c>
      <c r="L418" s="52">
        <f>IF(Tabell2[[#This Row],[ReisetidOslo]]&lt;=C$434,C$434,IF(Tabell2[[#This Row],[ReisetidOslo]]&gt;=C$435,C$435,Tabell2[[#This Row],[ReisetidOslo]]))</f>
        <v>279.05557553043002</v>
      </c>
      <c r="M418" s="51">
        <f>IF(Tabell2[[#This Row],[Beftettotal]]&lt;=D$434,D$434,IF(Tabell2[[#This Row],[Beftettotal]]&gt;=D$435,D$435,Tabell2[[#This Row],[Beftettotal]]))</f>
        <v>1.4908473296848461</v>
      </c>
      <c r="N418" s="51">
        <f>IF(Tabell2[[#This Row],[Befvekst10]]&lt;=E$434,E$434,IF(Tabell2[[#This Row],[Befvekst10]]&gt;=E$435,E$435,Tabell2[[#This Row],[Befvekst10]]))</f>
        <v>-8.0785862785862778E-2</v>
      </c>
      <c r="O418" s="51">
        <f>IF(Tabell2[[#This Row],[Kvinneandel]]&lt;=F$434,F$434,IF(Tabell2[[#This Row],[Kvinneandel]]&gt;=F$435,F$435,Tabell2[[#This Row],[Kvinneandel]]))</f>
        <v>9.0262917071501733E-2</v>
      </c>
      <c r="P418" s="51">
        <f>IF(Tabell2[[#This Row],[Eldreandel]]&lt;=G$434,G$434,IF(Tabell2[[#This Row],[Eldreandel]]&gt;=G$435,G$435,Tabell2[[#This Row],[Eldreandel]]))</f>
        <v>0.20830063331569054</v>
      </c>
      <c r="Q418" s="51">
        <f>IF(Tabell2[[#This Row],[Sysselsettingsvekst10]]&lt;=H$434,H$434,IF(Tabell2[[#This Row],[Sysselsettingsvekst10]]&gt;=H$435,H$435,Tabell2[[#This Row],[Sysselsettingsvekst10]]))</f>
        <v>-6.8692498376029434E-2</v>
      </c>
      <c r="R418" s="51">
        <f>IF(Tabell2[[#This Row],[Yrkesaktivandel]]&lt;=I$434,I$434,IF(Tabell2[[#This Row],[Yrkesaktivandel]]&gt;=I$435,I$435,Tabell2[[#This Row],[Yrkesaktivandel]]))</f>
        <v>0.83629893238434161</v>
      </c>
      <c r="S418" s="52">
        <f>IF(Tabell2[[#This Row],[Inntekt]]&lt;=J$434,J$434,IF(Tabell2[[#This Row],[Inntekt]]&gt;=J$435,J$435,Tabell2[[#This Row],[Inntekt]]))</f>
        <v>323900</v>
      </c>
      <c r="T418" s="9">
        <f>IF(Tabell2[[#This Row],[NIBR11-T]]&lt;=K$437,100,IF(Tabell2[[#This Row],[NIBR11-T]]&gt;=K$436,0,100*(K$436-Tabell2[[#This Row],[NIBR11-T]])/K$439))</f>
        <v>0</v>
      </c>
      <c r="U418" s="9">
        <f>(L$436-Tabell2[[#This Row],[ReisetidOslo-T]])*100/L$439</f>
        <v>0</v>
      </c>
      <c r="V418" s="9">
        <f>100-(M$436-Tabell2[[#This Row],[Beftettotal-T]])*100/M$439</f>
        <v>0.11903050507135049</v>
      </c>
      <c r="W418" s="9">
        <f>100-(N$436-Tabell2[[#This Row],[Befvekst10-T]])*100/N$439</f>
        <v>0</v>
      </c>
      <c r="X418" s="9">
        <f>100-(O$436-Tabell2[[#This Row],[Kvinneandel-T]])*100/O$439</f>
        <v>0</v>
      </c>
      <c r="Y418" s="9">
        <f>(P$436-Tabell2[[#This Row],[Eldreandel-T]])*100/P$439</f>
        <v>0</v>
      </c>
      <c r="Z418" s="9">
        <f>100-(Q$436-Tabell2[[#This Row],[Sysselsettingsvekst10-T]])*100/Q$439</f>
        <v>0</v>
      </c>
      <c r="AA418" s="9">
        <f>100-(R$436-Tabell2[[#This Row],[Yrkesaktivandel-T]])*100/R$439</f>
        <v>6.1600925450138959</v>
      </c>
      <c r="AB418" s="9">
        <f>100-(S$436-Tabell2[[#This Row],[Inntekt-T]])*100/S$439</f>
        <v>4.3128379227964331</v>
      </c>
      <c r="AC418" s="48">
        <f>Tabell2[[#This Row],[NIBR11-I]]*Vekter!$B$3</f>
        <v>0</v>
      </c>
      <c r="AD418" s="48">
        <f>Tabell2[[#This Row],[ReisetidOslo-I]]*Vekter!$C$3</f>
        <v>0</v>
      </c>
      <c r="AE418" s="48">
        <f>Tabell2[[#This Row],[Beftettotal-I]]*Vekter!$D$3</f>
        <v>1.1903050507135049E-2</v>
      </c>
      <c r="AF418" s="48">
        <f>Tabell2[[#This Row],[Befvekst10-I]]*Vekter!$E$3</f>
        <v>0</v>
      </c>
      <c r="AG418" s="48">
        <f>Tabell2[[#This Row],[Kvinneandel-I]]*Vekter!$F$3</f>
        <v>0</v>
      </c>
      <c r="AH418" s="48">
        <f>Tabell2[[#This Row],[Eldreandel-I]]*Vekter!$G$3</f>
        <v>0</v>
      </c>
      <c r="AI418" s="48">
        <f>Tabell2[[#This Row],[Sysselsettingsvekst10-I]]*Vekter!$H$3</f>
        <v>0</v>
      </c>
      <c r="AJ418" s="48">
        <f>Tabell2[[#This Row],[Yrkesaktivandel-I]]*Vekter!$J$3</f>
        <v>0.61600925450138966</v>
      </c>
      <c r="AK418" s="48">
        <f>Tabell2[[#This Row],[Inntekt-I]]*Vekter!$L$3</f>
        <v>0.43128379227964331</v>
      </c>
      <c r="AL418" s="37">
        <f>SUM(Tabell2[[#This Row],[NIBR11-v]:[Inntekt-v]])</f>
        <v>1.059196097288168</v>
      </c>
    </row>
    <row r="419" spans="1:38">
      <c r="A419" s="2" t="s">
        <v>416</v>
      </c>
      <c r="B419">
        <f>'Rådata-K'!M418</f>
        <v>11</v>
      </c>
      <c r="C419" s="9">
        <f>'Rådata-K'!L418</f>
        <v>280.61164024070001</v>
      </c>
      <c r="D419" s="51">
        <f>'Rådata-K'!N418</f>
        <v>1.8666186661866619</v>
      </c>
      <c r="E419" s="51">
        <f>'Rådata-K'!O418</f>
        <v>-5.2968036529680407E-2</v>
      </c>
      <c r="F419" s="51">
        <f>'Rådata-K'!P418</f>
        <v>0.10414657666345227</v>
      </c>
      <c r="G419" s="51">
        <f>'Rådata-K'!Q418</f>
        <v>0.16200578592092574</v>
      </c>
      <c r="H419" s="51">
        <f>'Rådata-K'!R418</f>
        <v>0</v>
      </c>
      <c r="I419" s="51">
        <f>'Rådata-K'!S418</f>
        <v>0.79042904290429039</v>
      </c>
      <c r="J419" s="52">
        <f>'Rådata-K'!K418</f>
        <v>319500</v>
      </c>
      <c r="K419" s="26">
        <f>Tabell2[[#This Row],[NIBR11]]</f>
        <v>11</v>
      </c>
      <c r="L419" s="52">
        <f>IF(Tabell2[[#This Row],[ReisetidOslo]]&lt;=C$434,C$434,IF(Tabell2[[#This Row],[ReisetidOslo]]&gt;=C$435,C$435,Tabell2[[#This Row],[ReisetidOslo]]))</f>
        <v>279.05557553043002</v>
      </c>
      <c r="M419" s="51">
        <f>IF(Tabell2[[#This Row],[Beftettotal]]&lt;=D$434,D$434,IF(Tabell2[[#This Row],[Beftettotal]]&gt;=D$435,D$435,Tabell2[[#This Row],[Beftettotal]]))</f>
        <v>1.8666186661866619</v>
      </c>
      <c r="N419" s="51">
        <f>IF(Tabell2[[#This Row],[Befvekst10]]&lt;=E$434,E$434,IF(Tabell2[[#This Row],[Befvekst10]]&gt;=E$435,E$435,Tabell2[[#This Row],[Befvekst10]]))</f>
        <v>-5.2968036529680407E-2</v>
      </c>
      <c r="O419" s="51">
        <f>IF(Tabell2[[#This Row],[Kvinneandel]]&lt;=F$434,F$434,IF(Tabell2[[#This Row],[Kvinneandel]]&gt;=F$435,F$435,Tabell2[[#This Row],[Kvinneandel]]))</f>
        <v>0.10414657666345227</v>
      </c>
      <c r="P419" s="51">
        <f>IF(Tabell2[[#This Row],[Eldreandel]]&lt;=G$434,G$434,IF(Tabell2[[#This Row],[Eldreandel]]&gt;=G$435,G$435,Tabell2[[#This Row],[Eldreandel]]))</f>
        <v>0.16200578592092574</v>
      </c>
      <c r="Q419" s="51">
        <f>IF(Tabell2[[#This Row],[Sysselsettingsvekst10]]&lt;=H$434,H$434,IF(Tabell2[[#This Row],[Sysselsettingsvekst10]]&gt;=H$435,H$435,Tabell2[[#This Row],[Sysselsettingsvekst10]]))</f>
        <v>0</v>
      </c>
      <c r="R419" s="51">
        <f>IF(Tabell2[[#This Row],[Yrkesaktivandel]]&lt;=I$434,I$434,IF(Tabell2[[#This Row],[Yrkesaktivandel]]&gt;=I$435,I$435,Tabell2[[#This Row],[Yrkesaktivandel]]))</f>
        <v>0.82803562853509294</v>
      </c>
      <c r="S419" s="52">
        <f>IF(Tabell2[[#This Row],[Inntekt]]&lt;=J$434,J$434,IF(Tabell2[[#This Row],[Inntekt]]&gt;=J$435,J$435,Tabell2[[#This Row],[Inntekt]]))</f>
        <v>320470</v>
      </c>
      <c r="T419" s="9">
        <f>IF(Tabell2[[#This Row],[NIBR11-T]]&lt;=K$437,100,IF(Tabell2[[#This Row],[NIBR11-T]]&gt;=K$436,0,100*(K$436-Tabell2[[#This Row],[NIBR11-T]])/K$439))</f>
        <v>0</v>
      </c>
      <c r="U419" s="9">
        <f>(L$436-Tabell2[[#This Row],[ReisetidOslo-T]])*100/L$439</f>
        <v>0</v>
      </c>
      <c r="V419" s="9">
        <f>100-(M$436-Tabell2[[#This Row],[Beftettotal-T]])*100/M$439</f>
        <v>0.41501131529395252</v>
      </c>
      <c r="W419" s="9">
        <f>100-(N$436-Tabell2[[#This Row],[Befvekst10-T]])*100/N$439</f>
        <v>11.256642727796859</v>
      </c>
      <c r="X419" s="9">
        <f>100-(O$436-Tabell2[[#This Row],[Kvinneandel-T]])*100/O$439</f>
        <v>36.773618427090945</v>
      </c>
      <c r="Y419" s="9">
        <f>(P$436-Tabell2[[#This Row],[Eldreandel-T]])*100/P$439</f>
        <v>52.483841656713224</v>
      </c>
      <c r="Z419" s="9">
        <f>100-(Q$436-Tabell2[[#This Row],[Sysselsettingsvekst10-T]])*100/Q$439</f>
        <v>22.0483114256416</v>
      </c>
      <c r="AA419" s="9">
        <f>100-(R$436-Tabell2[[#This Row],[Yrkesaktivandel-T]])*100/R$439</f>
        <v>0</v>
      </c>
      <c r="AB419" s="9">
        <f>100-(S$436-Tabell2[[#This Row],[Inntekt-T]])*100/S$439</f>
        <v>0</v>
      </c>
      <c r="AC419" s="48">
        <f>Tabell2[[#This Row],[NIBR11-I]]*Vekter!$B$3</f>
        <v>0</v>
      </c>
      <c r="AD419" s="48">
        <f>Tabell2[[#This Row],[ReisetidOslo-I]]*Vekter!$C$3</f>
        <v>0</v>
      </c>
      <c r="AE419" s="48">
        <f>Tabell2[[#This Row],[Beftettotal-I]]*Vekter!$D$3</f>
        <v>4.1501131529395253E-2</v>
      </c>
      <c r="AF419" s="48">
        <f>Tabell2[[#This Row],[Befvekst10-I]]*Vekter!$E$3</f>
        <v>2.2513285455593719</v>
      </c>
      <c r="AG419" s="48">
        <f>Tabell2[[#This Row],[Kvinneandel-I]]*Vekter!$F$3</f>
        <v>1.8386809213545474</v>
      </c>
      <c r="AH419" s="48">
        <f>Tabell2[[#This Row],[Eldreandel-I]]*Vekter!$G$3</f>
        <v>2.6241920828356613</v>
      </c>
      <c r="AI419" s="48">
        <f>Tabell2[[#This Row],[Sysselsettingsvekst10-I]]*Vekter!$H$3</f>
        <v>2.20483114256416</v>
      </c>
      <c r="AJ419" s="48">
        <f>Tabell2[[#This Row],[Yrkesaktivandel-I]]*Vekter!$J$3</f>
        <v>0</v>
      </c>
      <c r="AK419" s="48">
        <f>Tabell2[[#This Row],[Inntekt-I]]*Vekter!$L$3</f>
        <v>0</v>
      </c>
      <c r="AL419" s="37">
        <f>SUM(Tabell2[[#This Row],[NIBR11-v]:[Inntekt-v]])</f>
        <v>8.9605338238431358</v>
      </c>
    </row>
    <row r="420" spans="1:38">
      <c r="A420" s="2" t="s">
        <v>417</v>
      </c>
      <c r="B420">
        <f>'Rådata-K'!M419</f>
        <v>6</v>
      </c>
      <c r="C420" s="9">
        <f>'Rådata-K'!L419</f>
        <v>298.32842743369997</v>
      </c>
      <c r="D420" s="51">
        <f>'Rådata-K'!N419</f>
        <v>0.56986699488692127</v>
      </c>
      <c r="E420" s="51">
        <f>'Rådata-K'!O419</f>
        <v>-3.8426349496797796E-2</v>
      </c>
      <c r="F420" s="51">
        <f>'Rådata-K'!P419</f>
        <v>8.468125594671741E-2</v>
      </c>
      <c r="G420" s="51">
        <f>'Rådata-K'!Q419</f>
        <v>0.23025689819219791</v>
      </c>
      <c r="H420" s="51">
        <f>'Rådata-K'!R419</f>
        <v>-5.5555555555555358E-3</v>
      </c>
      <c r="I420" s="51">
        <f>'Rådata-K'!S419</f>
        <v>0.83571428571428574</v>
      </c>
      <c r="J420" s="52">
        <f>'Rådata-K'!K419</f>
        <v>339200</v>
      </c>
      <c r="K420" s="26">
        <f>Tabell2[[#This Row],[NIBR11]]</f>
        <v>6</v>
      </c>
      <c r="L420" s="52">
        <f>IF(Tabell2[[#This Row],[ReisetidOslo]]&lt;=C$434,C$434,IF(Tabell2[[#This Row],[ReisetidOslo]]&gt;=C$435,C$435,Tabell2[[#This Row],[ReisetidOslo]]))</f>
        <v>279.05557553043002</v>
      </c>
      <c r="M420" s="51">
        <f>IF(Tabell2[[#This Row],[Beftettotal]]&lt;=D$434,D$434,IF(Tabell2[[#This Row],[Beftettotal]]&gt;=D$435,D$435,Tabell2[[#This Row],[Beftettotal]]))</f>
        <v>1.3397285732306117</v>
      </c>
      <c r="N420" s="51">
        <f>IF(Tabell2[[#This Row],[Befvekst10]]&lt;=E$434,E$434,IF(Tabell2[[#This Row],[Befvekst10]]&gt;=E$435,E$435,Tabell2[[#This Row],[Befvekst10]]))</f>
        <v>-3.8426349496797796E-2</v>
      </c>
      <c r="O420" s="51">
        <f>IF(Tabell2[[#This Row],[Kvinneandel]]&lt;=F$434,F$434,IF(Tabell2[[#This Row],[Kvinneandel]]&gt;=F$435,F$435,Tabell2[[#This Row],[Kvinneandel]]))</f>
        <v>9.0262917071501733E-2</v>
      </c>
      <c r="P420" s="51">
        <f>IF(Tabell2[[#This Row],[Eldreandel]]&lt;=G$434,G$434,IF(Tabell2[[#This Row],[Eldreandel]]&gt;=G$435,G$435,Tabell2[[#This Row],[Eldreandel]]))</f>
        <v>0.20830063331569054</v>
      </c>
      <c r="Q420" s="51">
        <f>IF(Tabell2[[#This Row],[Sysselsettingsvekst10]]&lt;=H$434,H$434,IF(Tabell2[[#This Row],[Sysselsettingsvekst10]]&gt;=H$435,H$435,Tabell2[[#This Row],[Sysselsettingsvekst10]]))</f>
        <v>-5.5555555555555358E-3</v>
      </c>
      <c r="R420" s="51">
        <f>IF(Tabell2[[#This Row],[Yrkesaktivandel]]&lt;=I$434,I$434,IF(Tabell2[[#This Row],[Yrkesaktivandel]]&gt;=I$435,I$435,Tabell2[[#This Row],[Yrkesaktivandel]]))</f>
        <v>0.83571428571428574</v>
      </c>
      <c r="S420" s="52">
        <f>IF(Tabell2[[#This Row],[Inntekt]]&lt;=J$434,J$434,IF(Tabell2[[#This Row],[Inntekt]]&gt;=J$435,J$435,Tabell2[[#This Row],[Inntekt]]))</f>
        <v>339200</v>
      </c>
      <c r="T420" s="9">
        <f>IF(Tabell2[[#This Row],[NIBR11-T]]&lt;=K$437,100,IF(Tabell2[[#This Row],[NIBR11-T]]&gt;=K$436,0,100*(K$436-Tabell2[[#This Row],[NIBR11-T]])/K$439))</f>
        <v>50</v>
      </c>
      <c r="U420" s="9">
        <f>(L$436-Tabell2[[#This Row],[ReisetidOslo-T]])*100/L$439</f>
        <v>0</v>
      </c>
      <c r="V420" s="9">
        <f>100-(M$436-Tabell2[[#This Row],[Beftettotal-T]])*100/M$439</f>
        <v>0</v>
      </c>
      <c r="W420" s="9">
        <f>100-(N$436-Tabell2[[#This Row],[Befvekst10-T]])*100/N$439</f>
        <v>17.141019676632581</v>
      </c>
      <c r="X420" s="9">
        <f>100-(O$436-Tabell2[[#This Row],[Kvinneandel-T]])*100/O$439</f>
        <v>0</v>
      </c>
      <c r="Y420" s="9">
        <f>(P$436-Tabell2[[#This Row],[Eldreandel-T]])*100/P$439</f>
        <v>0</v>
      </c>
      <c r="Z420" s="9">
        <f>100-(Q$436-Tabell2[[#This Row],[Sysselsettingsvekst10-T]])*100/Q$439</f>
        <v>20.265138270971704</v>
      </c>
      <c r="AA420" s="9">
        <f>100-(R$436-Tabell2[[#This Row],[Yrkesaktivandel-T]])*100/R$439</f>
        <v>5.7242526365000828</v>
      </c>
      <c r="AB420" s="9">
        <f>100-(S$436-Tabell2[[#This Row],[Inntekt-T]])*100/S$439</f>
        <v>23.550861310197405</v>
      </c>
      <c r="AC420" s="48">
        <f>Tabell2[[#This Row],[NIBR11-I]]*Vekter!$B$3</f>
        <v>10</v>
      </c>
      <c r="AD420" s="48">
        <f>Tabell2[[#This Row],[ReisetidOslo-I]]*Vekter!$C$3</f>
        <v>0</v>
      </c>
      <c r="AE420" s="48">
        <f>Tabell2[[#This Row],[Beftettotal-I]]*Vekter!$D$3</f>
        <v>0</v>
      </c>
      <c r="AF420" s="48">
        <f>Tabell2[[#This Row],[Befvekst10-I]]*Vekter!$E$3</f>
        <v>3.4282039353265166</v>
      </c>
      <c r="AG420" s="48">
        <f>Tabell2[[#This Row],[Kvinneandel-I]]*Vekter!$F$3</f>
        <v>0</v>
      </c>
      <c r="AH420" s="48">
        <f>Tabell2[[#This Row],[Eldreandel-I]]*Vekter!$G$3</f>
        <v>0</v>
      </c>
      <c r="AI420" s="48">
        <f>Tabell2[[#This Row],[Sysselsettingsvekst10-I]]*Vekter!$H$3</f>
        <v>2.0265138270971703</v>
      </c>
      <c r="AJ420" s="48">
        <f>Tabell2[[#This Row],[Yrkesaktivandel-I]]*Vekter!$J$3</f>
        <v>0.57242526365000834</v>
      </c>
      <c r="AK420" s="48">
        <f>Tabell2[[#This Row],[Inntekt-I]]*Vekter!$L$3</f>
        <v>2.3550861310197404</v>
      </c>
      <c r="AL420" s="37">
        <f>SUM(Tabell2[[#This Row],[NIBR11-v]:[Inntekt-v]])</f>
        <v>18.382229157093434</v>
      </c>
    </row>
    <row r="421" spans="1:38">
      <c r="A421" s="2" t="s">
        <v>418</v>
      </c>
      <c r="B421">
        <f>'Rådata-K'!M420</f>
        <v>11</v>
      </c>
      <c r="C421" s="9">
        <f>'Rådata-K'!L420</f>
        <v>368.15059061099998</v>
      </c>
      <c r="D421" s="51">
        <f>'Rådata-K'!N420</f>
        <v>1.0926027011322217</v>
      </c>
      <c r="E421" s="51">
        <f>'Rådata-K'!O420</f>
        <v>-0.11293781272337389</v>
      </c>
      <c r="F421" s="51">
        <f>'Rådata-K'!P420</f>
        <v>0.10072522159548751</v>
      </c>
      <c r="G421" s="51">
        <f>'Rådata-K'!Q420</f>
        <v>0.20950846091861403</v>
      </c>
      <c r="H421" s="51">
        <f>'Rådata-K'!R420</f>
        <v>-0.16855753646677474</v>
      </c>
      <c r="I421" s="51">
        <f>'Rådata-K'!S420</f>
        <v>0.79574468085106387</v>
      </c>
      <c r="J421" s="52">
        <f>'Rådata-K'!K420</f>
        <v>330300</v>
      </c>
      <c r="K421" s="26">
        <f>Tabell2[[#This Row],[NIBR11]]</f>
        <v>11</v>
      </c>
      <c r="L421" s="52">
        <f>IF(Tabell2[[#This Row],[ReisetidOslo]]&lt;=C$434,C$434,IF(Tabell2[[#This Row],[ReisetidOslo]]&gt;=C$435,C$435,Tabell2[[#This Row],[ReisetidOslo]]))</f>
        <v>279.05557553043002</v>
      </c>
      <c r="M421" s="51">
        <f>IF(Tabell2[[#This Row],[Beftettotal]]&lt;=D$434,D$434,IF(Tabell2[[#This Row],[Beftettotal]]&gt;=D$435,D$435,Tabell2[[#This Row],[Beftettotal]]))</f>
        <v>1.3397285732306117</v>
      </c>
      <c r="N421" s="51">
        <f>IF(Tabell2[[#This Row],[Befvekst10]]&lt;=E$434,E$434,IF(Tabell2[[#This Row],[Befvekst10]]&gt;=E$435,E$435,Tabell2[[#This Row],[Befvekst10]]))</f>
        <v>-8.0785862785862778E-2</v>
      </c>
      <c r="O421" s="51">
        <f>IF(Tabell2[[#This Row],[Kvinneandel]]&lt;=F$434,F$434,IF(Tabell2[[#This Row],[Kvinneandel]]&gt;=F$435,F$435,Tabell2[[#This Row],[Kvinneandel]]))</f>
        <v>0.10072522159548751</v>
      </c>
      <c r="P421" s="51">
        <f>IF(Tabell2[[#This Row],[Eldreandel]]&lt;=G$434,G$434,IF(Tabell2[[#This Row],[Eldreandel]]&gt;=G$435,G$435,Tabell2[[#This Row],[Eldreandel]]))</f>
        <v>0.20830063331569054</v>
      </c>
      <c r="Q421" s="51">
        <f>IF(Tabell2[[#This Row],[Sysselsettingsvekst10]]&lt;=H$434,H$434,IF(Tabell2[[#This Row],[Sysselsettingsvekst10]]&gt;=H$435,H$435,Tabell2[[#This Row],[Sysselsettingsvekst10]]))</f>
        <v>-6.8692498376029434E-2</v>
      </c>
      <c r="R421" s="51">
        <f>IF(Tabell2[[#This Row],[Yrkesaktivandel]]&lt;=I$434,I$434,IF(Tabell2[[#This Row],[Yrkesaktivandel]]&gt;=I$435,I$435,Tabell2[[#This Row],[Yrkesaktivandel]]))</f>
        <v>0.82803562853509294</v>
      </c>
      <c r="S421" s="52">
        <f>IF(Tabell2[[#This Row],[Inntekt]]&lt;=J$434,J$434,IF(Tabell2[[#This Row],[Inntekt]]&gt;=J$435,J$435,Tabell2[[#This Row],[Inntekt]]))</f>
        <v>330300</v>
      </c>
      <c r="T421" s="9">
        <f>IF(Tabell2[[#This Row],[NIBR11-T]]&lt;=K$437,100,IF(Tabell2[[#This Row],[NIBR11-T]]&gt;=K$436,0,100*(K$436-Tabell2[[#This Row],[NIBR11-T]])/K$439))</f>
        <v>0</v>
      </c>
      <c r="U421" s="9">
        <f>(L$436-Tabell2[[#This Row],[ReisetidOslo-T]])*100/L$439</f>
        <v>0</v>
      </c>
      <c r="V421" s="9">
        <f>100-(M$436-Tabell2[[#This Row],[Beftettotal-T]])*100/M$439</f>
        <v>0</v>
      </c>
      <c r="W421" s="9">
        <f>100-(N$436-Tabell2[[#This Row],[Befvekst10-T]])*100/N$439</f>
        <v>0</v>
      </c>
      <c r="X421" s="9">
        <f>100-(O$436-Tabell2[[#This Row],[Kvinneandel-T]])*100/O$439</f>
        <v>27.711482832389734</v>
      </c>
      <c r="Y421" s="9">
        <f>(P$436-Tabell2[[#This Row],[Eldreandel-T]])*100/P$439</f>
        <v>0</v>
      </c>
      <c r="Z421" s="9">
        <f>100-(Q$436-Tabell2[[#This Row],[Sysselsettingsvekst10-T]])*100/Q$439</f>
        <v>0</v>
      </c>
      <c r="AA421" s="9">
        <f>100-(R$436-Tabell2[[#This Row],[Yrkesaktivandel-T]])*100/R$439</f>
        <v>0</v>
      </c>
      <c r="AB421" s="9">
        <f>100-(S$436-Tabell2[[#This Row],[Inntekt-T]])*100/S$439</f>
        <v>12.360115679617749</v>
      </c>
      <c r="AC421" s="48">
        <f>Tabell2[[#This Row],[NIBR11-I]]*Vekter!$B$3</f>
        <v>0</v>
      </c>
      <c r="AD421" s="48">
        <f>Tabell2[[#This Row],[ReisetidOslo-I]]*Vekter!$C$3</f>
        <v>0</v>
      </c>
      <c r="AE421" s="48">
        <f>Tabell2[[#This Row],[Beftettotal-I]]*Vekter!$D$3</f>
        <v>0</v>
      </c>
      <c r="AF421" s="48">
        <f>Tabell2[[#This Row],[Befvekst10-I]]*Vekter!$E$3</f>
        <v>0</v>
      </c>
      <c r="AG421" s="48">
        <f>Tabell2[[#This Row],[Kvinneandel-I]]*Vekter!$F$3</f>
        <v>1.3855741416194869</v>
      </c>
      <c r="AH421" s="48">
        <f>Tabell2[[#This Row],[Eldreandel-I]]*Vekter!$G$3</f>
        <v>0</v>
      </c>
      <c r="AI421" s="48">
        <f>Tabell2[[#This Row],[Sysselsettingsvekst10-I]]*Vekter!$H$3</f>
        <v>0</v>
      </c>
      <c r="AJ421" s="48">
        <f>Tabell2[[#This Row],[Yrkesaktivandel-I]]*Vekter!$J$3</f>
        <v>0</v>
      </c>
      <c r="AK421" s="48">
        <f>Tabell2[[#This Row],[Inntekt-I]]*Vekter!$L$3</f>
        <v>1.2360115679617749</v>
      </c>
      <c r="AL421" s="37">
        <f>SUM(Tabell2[[#This Row],[NIBR11-v]:[Inntekt-v]])</f>
        <v>2.6215857095812618</v>
      </c>
    </row>
    <row r="422" spans="1:38">
      <c r="A422" s="2" t="s">
        <v>419</v>
      </c>
      <c r="B422">
        <f>'Rådata-K'!M421</f>
        <v>9</v>
      </c>
      <c r="C422" s="9">
        <f>'Rådata-K'!L421</f>
        <v>322.34145639234998</v>
      </c>
      <c r="D422" s="51">
        <f>'Rådata-K'!N421</f>
        <v>3.4709618874773138</v>
      </c>
      <c r="E422" s="51">
        <f>'Rådata-K'!O421</f>
        <v>-7.3529411764705843E-2</v>
      </c>
      <c r="F422" s="51">
        <f>'Rådata-K'!P421</f>
        <v>0.10115157173980703</v>
      </c>
      <c r="G422" s="51">
        <f>'Rådata-K'!Q421</f>
        <v>0.15188297541238718</v>
      </c>
      <c r="H422" s="51">
        <f>'Rådata-K'!R421</f>
        <v>1.2786002691790088E-2</v>
      </c>
      <c r="I422" s="51">
        <f>'Rådata-K'!S421</f>
        <v>0.82581322140608604</v>
      </c>
      <c r="J422" s="52">
        <f>'Rådata-K'!K421</f>
        <v>352100</v>
      </c>
      <c r="K422" s="26">
        <f>Tabell2[[#This Row],[NIBR11]]</f>
        <v>9</v>
      </c>
      <c r="L422" s="52">
        <f>IF(Tabell2[[#This Row],[ReisetidOslo]]&lt;=C$434,C$434,IF(Tabell2[[#This Row],[ReisetidOslo]]&gt;=C$435,C$435,Tabell2[[#This Row],[ReisetidOslo]]))</f>
        <v>279.05557553043002</v>
      </c>
      <c r="M422" s="51">
        <f>IF(Tabell2[[#This Row],[Beftettotal]]&lt;=D$434,D$434,IF(Tabell2[[#This Row],[Beftettotal]]&gt;=D$435,D$435,Tabell2[[#This Row],[Beftettotal]]))</f>
        <v>3.4709618874773138</v>
      </c>
      <c r="N422" s="51">
        <f>IF(Tabell2[[#This Row],[Befvekst10]]&lt;=E$434,E$434,IF(Tabell2[[#This Row],[Befvekst10]]&gt;=E$435,E$435,Tabell2[[#This Row],[Befvekst10]]))</f>
        <v>-7.3529411764705843E-2</v>
      </c>
      <c r="O422" s="51">
        <f>IF(Tabell2[[#This Row],[Kvinneandel]]&lt;=F$434,F$434,IF(Tabell2[[#This Row],[Kvinneandel]]&gt;=F$435,F$435,Tabell2[[#This Row],[Kvinneandel]]))</f>
        <v>0.10115157173980703</v>
      </c>
      <c r="P422" s="51">
        <f>IF(Tabell2[[#This Row],[Eldreandel]]&lt;=G$434,G$434,IF(Tabell2[[#This Row],[Eldreandel]]&gt;=G$435,G$435,Tabell2[[#This Row],[Eldreandel]]))</f>
        <v>0.15188297541238718</v>
      </c>
      <c r="Q422" s="51">
        <f>IF(Tabell2[[#This Row],[Sysselsettingsvekst10]]&lt;=H$434,H$434,IF(Tabell2[[#This Row],[Sysselsettingsvekst10]]&gt;=H$435,H$435,Tabell2[[#This Row],[Sysselsettingsvekst10]]))</f>
        <v>1.2786002691790088E-2</v>
      </c>
      <c r="R422" s="51">
        <f>IF(Tabell2[[#This Row],[Yrkesaktivandel]]&lt;=I$434,I$434,IF(Tabell2[[#This Row],[Yrkesaktivandel]]&gt;=I$435,I$435,Tabell2[[#This Row],[Yrkesaktivandel]]))</f>
        <v>0.82803562853509294</v>
      </c>
      <c r="S422" s="52">
        <f>IF(Tabell2[[#This Row],[Inntekt]]&lt;=J$434,J$434,IF(Tabell2[[#This Row],[Inntekt]]&gt;=J$435,J$435,Tabell2[[#This Row],[Inntekt]]))</f>
        <v>352100</v>
      </c>
      <c r="T422" s="9">
        <f>IF(Tabell2[[#This Row],[NIBR11-T]]&lt;=K$437,100,IF(Tabell2[[#This Row],[NIBR11-T]]&gt;=K$436,0,100*(K$436-Tabell2[[#This Row],[NIBR11-T]])/K$439))</f>
        <v>20</v>
      </c>
      <c r="U422" s="9">
        <f>(L$436-Tabell2[[#This Row],[ReisetidOslo-T]])*100/L$439</f>
        <v>0</v>
      </c>
      <c r="V422" s="9">
        <f>100-(M$436-Tabell2[[#This Row],[Beftettotal-T]])*100/M$439</f>
        <v>1.6786915388397006</v>
      </c>
      <c r="W422" s="9">
        <f>100-(N$436-Tabell2[[#This Row],[Befvekst10-T]])*100/N$439</f>
        <v>2.9363644687645802</v>
      </c>
      <c r="X422" s="9">
        <f>100-(O$436-Tabell2[[#This Row],[Kvinneandel-T]])*100/O$439</f>
        <v>28.840755515842105</v>
      </c>
      <c r="Y422" s="9">
        <f>(P$436-Tabell2[[#This Row],[Eldreandel-T]])*100/P$439</f>
        <v>63.9599348668429</v>
      </c>
      <c r="Z422" s="9">
        <f>100-(Q$436-Tabell2[[#This Row],[Sysselsettingsvekst10-T]])*100/Q$439</f>
        <v>26.152249641638321</v>
      </c>
      <c r="AA422" s="9">
        <f>100-(R$436-Tabell2[[#This Row],[Yrkesaktivandel-T]])*100/R$439</f>
        <v>0</v>
      </c>
      <c r="AB422" s="9">
        <f>100-(S$436-Tabell2[[#This Row],[Inntekt-T]])*100/S$439</f>
        <v>39.771155538790396</v>
      </c>
      <c r="AC422" s="48">
        <f>Tabell2[[#This Row],[NIBR11-I]]*Vekter!$B$3</f>
        <v>4</v>
      </c>
      <c r="AD422" s="48">
        <f>Tabell2[[#This Row],[ReisetidOslo-I]]*Vekter!$C$3</f>
        <v>0</v>
      </c>
      <c r="AE422" s="48">
        <f>Tabell2[[#This Row],[Beftettotal-I]]*Vekter!$D$3</f>
        <v>0.16786915388397006</v>
      </c>
      <c r="AF422" s="48">
        <f>Tabell2[[#This Row],[Befvekst10-I]]*Vekter!$E$3</f>
        <v>0.58727289375291603</v>
      </c>
      <c r="AG422" s="48">
        <f>Tabell2[[#This Row],[Kvinneandel-I]]*Vekter!$F$3</f>
        <v>1.4420377757921052</v>
      </c>
      <c r="AH422" s="48">
        <f>Tabell2[[#This Row],[Eldreandel-I]]*Vekter!$G$3</f>
        <v>3.197996743342145</v>
      </c>
      <c r="AI422" s="48">
        <f>Tabell2[[#This Row],[Sysselsettingsvekst10-I]]*Vekter!$H$3</f>
        <v>2.6152249641638323</v>
      </c>
      <c r="AJ422" s="48">
        <f>Tabell2[[#This Row],[Yrkesaktivandel-I]]*Vekter!$J$3</f>
        <v>0</v>
      </c>
      <c r="AK422" s="48">
        <f>Tabell2[[#This Row],[Inntekt-I]]*Vekter!$L$3</f>
        <v>3.9771155538790399</v>
      </c>
      <c r="AL422" s="37">
        <f>SUM(Tabell2[[#This Row],[NIBR11-v]:[Inntekt-v]])</f>
        <v>15.987517084814009</v>
      </c>
    </row>
    <row r="423" spans="1:38">
      <c r="A423" s="2" t="s">
        <v>420</v>
      </c>
      <c r="B423">
        <f>'Rådata-K'!M422</f>
        <v>9</v>
      </c>
      <c r="C423" s="9">
        <f>'Rådata-K'!L422</f>
        <v>268.82159737985</v>
      </c>
      <c r="D423" s="51">
        <f>'Rådata-K'!N422</f>
        <v>0.81332682069868534</v>
      </c>
      <c r="E423" s="51">
        <f>'Rådata-K'!O422</f>
        <v>-8.4546084546084588E-2</v>
      </c>
      <c r="F423" s="51">
        <f>'Rådata-K'!P422</f>
        <v>0.10320464294726217</v>
      </c>
      <c r="G423" s="51">
        <f>'Rådata-K'!Q422</f>
        <v>0.15140045420136261</v>
      </c>
      <c r="H423" s="51">
        <f>'Rådata-K'!R422</f>
        <v>-2.561475409836067E-2</v>
      </c>
      <c r="I423" s="51">
        <f>'Rådata-K'!S422</f>
        <v>0.84054283290924514</v>
      </c>
      <c r="J423" s="52">
        <f>'Rådata-K'!K422</f>
        <v>350500</v>
      </c>
      <c r="K423" s="26">
        <f>Tabell2[[#This Row],[NIBR11]]</f>
        <v>9</v>
      </c>
      <c r="L423" s="52">
        <f>IF(Tabell2[[#This Row],[ReisetidOslo]]&lt;=C$434,C$434,IF(Tabell2[[#This Row],[ReisetidOslo]]&gt;=C$435,C$435,Tabell2[[#This Row],[ReisetidOslo]]))</f>
        <v>268.82159737985</v>
      </c>
      <c r="M423" s="51">
        <f>IF(Tabell2[[#This Row],[Beftettotal]]&lt;=D$434,D$434,IF(Tabell2[[#This Row],[Beftettotal]]&gt;=D$435,D$435,Tabell2[[#This Row],[Beftettotal]]))</f>
        <v>1.3397285732306117</v>
      </c>
      <c r="N423" s="51">
        <f>IF(Tabell2[[#This Row],[Befvekst10]]&lt;=E$434,E$434,IF(Tabell2[[#This Row],[Befvekst10]]&gt;=E$435,E$435,Tabell2[[#This Row],[Befvekst10]]))</f>
        <v>-8.0785862785862778E-2</v>
      </c>
      <c r="O423" s="51">
        <f>IF(Tabell2[[#This Row],[Kvinneandel]]&lt;=F$434,F$434,IF(Tabell2[[#This Row],[Kvinneandel]]&gt;=F$435,F$435,Tabell2[[#This Row],[Kvinneandel]]))</f>
        <v>0.10320464294726217</v>
      </c>
      <c r="P423" s="51">
        <f>IF(Tabell2[[#This Row],[Eldreandel]]&lt;=G$434,G$434,IF(Tabell2[[#This Row],[Eldreandel]]&gt;=G$435,G$435,Tabell2[[#This Row],[Eldreandel]]))</f>
        <v>0.15140045420136261</v>
      </c>
      <c r="Q423" s="51">
        <f>IF(Tabell2[[#This Row],[Sysselsettingsvekst10]]&lt;=H$434,H$434,IF(Tabell2[[#This Row],[Sysselsettingsvekst10]]&gt;=H$435,H$435,Tabell2[[#This Row],[Sysselsettingsvekst10]]))</f>
        <v>-2.561475409836067E-2</v>
      </c>
      <c r="R423" s="51">
        <f>IF(Tabell2[[#This Row],[Yrkesaktivandel]]&lt;=I$434,I$434,IF(Tabell2[[#This Row],[Yrkesaktivandel]]&gt;=I$435,I$435,Tabell2[[#This Row],[Yrkesaktivandel]]))</f>
        <v>0.84054283290924514</v>
      </c>
      <c r="S423" s="52">
        <f>IF(Tabell2[[#This Row],[Inntekt]]&lt;=J$434,J$434,IF(Tabell2[[#This Row],[Inntekt]]&gt;=J$435,J$435,Tabell2[[#This Row],[Inntekt]]))</f>
        <v>350500</v>
      </c>
      <c r="T423" s="9">
        <f>IF(Tabell2[[#This Row],[NIBR11-T]]&lt;=K$437,100,IF(Tabell2[[#This Row],[NIBR11-T]]&gt;=K$436,0,100*(K$436-Tabell2[[#This Row],[NIBR11-T]])/K$439))</f>
        <v>20</v>
      </c>
      <c r="U423" s="9">
        <f>(L$436-Tabell2[[#This Row],[ReisetidOslo-T]])*100/L$439</f>
        <v>4.5433806569388864</v>
      </c>
      <c r="V423" s="9">
        <f>100-(M$436-Tabell2[[#This Row],[Beftettotal-T]])*100/M$439</f>
        <v>0</v>
      </c>
      <c r="W423" s="9">
        <f>100-(N$436-Tabell2[[#This Row],[Befvekst10-T]])*100/N$439</f>
        <v>0</v>
      </c>
      <c r="X423" s="9">
        <f>100-(O$436-Tabell2[[#This Row],[Kvinneandel-T]])*100/O$439</f>
        <v>34.278720678166792</v>
      </c>
      <c r="Y423" s="9">
        <f>(P$436-Tabell2[[#This Row],[Eldreandel-T]])*100/P$439</f>
        <v>64.506962630418229</v>
      </c>
      <c r="Z423" s="9">
        <f>100-(Q$436-Tabell2[[#This Row],[Sysselsettingsvekst10-T]])*100/Q$439</f>
        <v>13.826713888741395</v>
      </c>
      <c r="AA423" s="9">
        <f>100-(R$436-Tabell2[[#This Row],[Yrkesaktivandel-T]])*100/R$439</f>
        <v>9.3238174257848812</v>
      </c>
      <c r="AB423" s="9">
        <f>100-(S$436-Tabell2[[#This Row],[Inntekt-T]])*100/S$439</f>
        <v>37.759336099585063</v>
      </c>
      <c r="AC423" s="48">
        <f>Tabell2[[#This Row],[NIBR11-I]]*Vekter!$B$3</f>
        <v>4</v>
      </c>
      <c r="AD423" s="48">
        <f>Tabell2[[#This Row],[ReisetidOslo-I]]*Vekter!$C$3</f>
        <v>0.45433806569388868</v>
      </c>
      <c r="AE423" s="48">
        <f>Tabell2[[#This Row],[Beftettotal-I]]*Vekter!$D$3</f>
        <v>0</v>
      </c>
      <c r="AF423" s="48">
        <f>Tabell2[[#This Row],[Befvekst10-I]]*Vekter!$E$3</f>
        <v>0</v>
      </c>
      <c r="AG423" s="48">
        <f>Tabell2[[#This Row],[Kvinneandel-I]]*Vekter!$F$3</f>
        <v>1.7139360339083396</v>
      </c>
      <c r="AH423" s="48">
        <f>Tabell2[[#This Row],[Eldreandel-I]]*Vekter!$G$3</f>
        <v>3.2253481315209118</v>
      </c>
      <c r="AI423" s="48">
        <f>Tabell2[[#This Row],[Sysselsettingsvekst10-I]]*Vekter!$H$3</f>
        <v>1.3826713888741395</v>
      </c>
      <c r="AJ423" s="48">
        <f>Tabell2[[#This Row],[Yrkesaktivandel-I]]*Vekter!$J$3</f>
        <v>0.93238174257848816</v>
      </c>
      <c r="AK423" s="48">
        <f>Tabell2[[#This Row],[Inntekt-I]]*Vekter!$L$3</f>
        <v>3.7759336099585066</v>
      </c>
      <c r="AL423" s="37">
        <f>SUM(Tabell2[[#This Row],[NIBR11-v]:[Inntekt-v]])</f>
        <v>15.484608972534275</v>
      </c>
    </row>
    <row r="424" spans="1:38">
      <c r="A424" s="2" t="s">
        <v>421</v>
      </c>
      <c r="B424">
        <f>'Rådata-K'!M423</f>
        <v>11</v>
      </c>
      <c r="C424" s="9">
        <f>'Rådata-K'!L423</f>
        <v>323.42360064299999</v>
      </c>
      <c r="D424" s="51">
        <f>'Rådata-K'!N423</f>
        <v>0.49477805591468837</v>
      </c>
      <c r="E424" s="51">
        <f>'Rådata-K'!O423</f>
        <v>-5.8289703315881347E-2</v>
      </c>
      <c r="F424" s="51">
        <f>'Rådata-K'!P423</f>
        <v>0.11156412157153447</v>
      </c>
      <c r="G424" s="51">
        <f>'Rådata-K'!Q423</f>
        <v>0.13528539659006672</v>
      </c>
      <c r="H424" s="51">
        <f>'Rådata-K'!R423</f>
        <v>5.4896142433234374E-2</v>
      </c>
      <c r="I424" s="51">
        <f>'Rådata-K'!S423</f>
        <v>0.87383467992541952</v>
      </c>
      <c r="J424" s="52">
        <f>'Rådata-K'!K423</f>
        <v>319100</v>
      </c>
      <c r="K424" s="26">
        <f>Tabell2[[#This Row],[NIBR11]]</f>
        <v>11</v>
      </c>
      <c r="L424" s="52">
        <f>IF(Tabell2[[#This Row],[ReisetidOslo]]&lt;=C$434,C$434,IF(Tabell2[[#This Row],[ReisetidOslo]]&gt;=C$435,C$435,Tabell2[[#This Row],[ReisetidOslo]]))</f>
        <v>279.05557553043002</v>
      </c>
      <c r="M424" s="51">
        <f>IF(Tabell2[[#This Row],[Beftettotal]]&lt;=D$434,D$434,IF(Tabell2[[#This Row],[Beftettotal]]&gt;=D$435,D$435,Tabell2[[#This Row],[Beftettotal]]))</f>
        <v>1.3397285732306117</v>
      </c>
      <c r="N424" s="51">
        <f>IF(Tabell2[[#This Row],[Befvekst10]]&lt;=E$434,E$434,IF(Tabell2[[#This Row],[Befvekst10]]&gt;=E$435,E$435,Tabell2[[#This Row],[Befvekst10]]))</f>
        <v>-5.8289703315881347E-2</v>
      </c>
      <c r="O424" s="51">
        <f>IF(Tabell2[[#This Row],[Kvinneandel]]&lt;=F$434,F$434,IF(Tabell2[[#This Row],[Kvinneandel]]&gt;=F$435,F$435,Tabell2[[#This Row],[Kvinneandel]]))</f>
        <v>0.11156412157153447</v>
      </c>
      <c r="P424" s="51">
        <f>IF(Tabell2[[#This Row],[Eldreandel]]&lt;=G$434,G$434,IF(Tabell2[[#This Row],[Eldreandel]]&gt;=G$435,G$435,Tabell2[[#This Row],[Eldreandel]]))</f>
        <v>0.13528539659006672</v>
      </c>
      <c r="Q424" s="51">
        <f>IF(Tabell2[[#This Row],[Sysselsettingsvekst10]]&lt;=H$434,H$434,IF(Tabell2[[#This Row],[Sysselsettingsvekst10]]&gt;=H$435,H$435,Tabell2[[#This Row],[Sysselsettingsvekst10]]))</f>
        <v>5.4896142433234374E-2</v>
      </c>
      <c r="R424" s="51">
        <f>IF(Tabell2[[#This Row],[Yrkesaktivandel]]&lt;=I$434,I$434,IF(Tabell2[[#This Row],[Yrkesaktivandel]]&gt;=I$435,I$435,Tabell2[[#This Row],[Yrkesaktivandel]]))</f>
        <v>0.87383467992541952</v>
      </c>
      <c r="S424" s="52">
        <f>IF(Tabell2[[#This Row],[Inntekt]]&lt;=J$434,J$434,IF(Tabell2[[#This Row],[Inntekt]]&gt;=J$435,J$435,Tabell2[[#This Row],[Inntekt]]))</f>
        <v>320470</v>
      </c>
      <c r="T424" s="9">
        <f>IF(Tabell2[[#This Row],[NIBR11-T]]&lt;=K$437,100,IF(Tabell2[[#This Row],[NIBR11-T]]&gt;=K$436,0,100*(K$436-Tabell2[[#This Row],[NIBR11-T]])/K$439))</f>
        <v>0</v>
      </c>
      <c r="U424" s="9">
        <f>(L$436-Tabell2[[#This Row],[ReisetidOslo-T]])*100/L$439</f>
        <v>0</v>
      </c>
      <c r="V424" s="9">
        <f>100-(M$436-Tabell2[[#This Row],[Beftettotal-T]])*100/M$439</f>
        <v>0</v>
      </c>
      <c r="W424" s="9">
        <f>100-(N$436-Tabell2[[#This Row],[Befvekst10-T]])*100/N$439</f>
        <v>9.1031997816452588</v>
      </c>
      <c r="X424" s="9">
        <f>100-(O$436-Tabell2[[#This Row],[Kvinneandel-T]])*100/O$439</f>
        <v>56.420453204988611</v>
      </c>
      <c r="Y424" s="9">
        <f>(P$436-Tabell2[[#This Row],[Eldreandel-T]])*100/P$439</f>
        <v>82.77638524559481</v>
      </c>
      <c r="Z424" s="9">
        <f>100-(Q$436-Tabell2[[#This Row],[Sysselsettingsvekst10-T]])*100/Q$439</f>
        <v>39.668390372379896</v>
      </c>
      <c r="AA424" s="9">
        <f>100-(R$436-Tabell2[[#This Row],[Yrkesaktivandel-T]])*100/R$439</f>
        <v>34.142081688538042</v>
      </c>
      <c r="AB424" s="9">
        <f>100-(S$436-Tabell2[[#This Row],[Inntekt-T]])*100/S$439</f>
        <v>0</v>
      </c>
      <c r="AC424" s="48">
        <f>Tabell2[[#This Row],[NIBR11-I]]*Vekter!$B$3</f>
        <v>0</v>
      </c>
      <c r="AD424" s="48">
        <f>Tabell2[[#This Row],[ReisetidOslo-I]]*Vekter!$C$3</f>
        <v>0</v>
      </c>
      <c r="AE424" s="48">
        <f>Tabell2[[#This Row],[Beftettotal-I]]*Vekter!$D$3</f>
        <v>0</v>
      </c>
      <c r="AF424" s="48">
        <f>Tabell2[[#This Row],[Befvekst10-I]]*Vekter!$E$3</f>
        <v>1.8206399563290518</v>
      </c>
      <c r="AG424" s="48">
        <f>Tabell2[[#This Row],[Kvinneandel-I]]*Vekter!$F$3</f>
        <v>2.8210226602494308</v>
      </c>
      <c r="AH424" s="48">
        <f>Tabell2[[#This Row],[Eldreandel-I]]*Vekter!$G$3</f>
        <v>4.1388192622797408</v>
      </c>
      <c r="AI424" s="48">
        <f>Tabell2[[#This Row],[Sysselsettingsvekst10-I]]*Vekter!$H$3</f>
        <v>3.9668390372379898</v>
      </c>
      <c r="AJ424" s="48">
        <f>Tabell2[[#This Row],[Yrkesaktivandel-I]]*Vekter!$J$3</f>
        <v>3.4142081688538042</v>
      </c>
      <c r="AK424" s="48">
        <f>Tabell2[[#This Row],[Inntekt-I]]*Vekter!$L$3</f>
        <v>0</v>
      </c>
      <c r="AL424" s="37">
        <f>SUM(Tabell2[[#This Row],[NIBR11-v]:[Inntekt-v]])</f>
        <v>16.161529084950018</v>
      </c>
    </row>
    <row r="425" spans="1:38">
      <c r="A425" s="2" t="s">
        <v>422</v>
      </c>
      <c r="B425">
        <f>'Rådata-K'!M424</f>
        <v>11</v>
      </c>
      <c r="C425" s="9">
        <f>'Rådata-K'!L424</f>
        <v>443.67728289000001</v>
      </c>
      <c r="D425" s="51">
        <f>'Rådata-K'!N424</f>
        <v>0.38764059559633346</v>
      </c>
      <c r="E425" s="51">
        <f>'Rådata-K'!O424</f>
        <v>-8.9613034623217902E-2</v>
      </c>
      <c r="F425" s="51">
        <f>'Rådata-K'!P424</f>
        <v>9.7688292319164802E-2</v>
      </c>
      <c r="G425" s="51">
        <f>'Rådata-K'!Q424</f>
        <v>0.15958240119313946</v>
      </c>
      <c r="H425" s="51">
        <f>'Rådata-K'!R424</f>
        <v>-3.2094594594594628E-2</v>
      </c>
      <c r="I425" s="51">
        <f>'Rådata-K'!S424</f>
        <v>0.79381443298969068</v>
      </c>
      <c r="J425" s="52">
        <f>'Rådata-K'!K424</f>
        <v>318500</v>
      </c>
      <c r="K425" s="26">
        <f>Tabell2[[#This Row],[NIBR11]]</f>
        <v>11</v>
      </c>
      <c r="L425" s="52">
        <f>IF(Tabell2[[#This Row],[ReisetidOslo]]&lt;=C$434,C$434,IF(Tabell2[[#This Row],[ReisetidOslo]]&gt;=C$435,C$435,Tabell2[[#This Row],[ReisetidOslo]]))</f>
        <v>279.05557553043002</v>
      </c>
      <c r="M425" s="51">
        <f>IF(Tabell2[[#This Row],[Beftettotal]]&lt;=D$434,D$434,IF(Tabell2[[#This Row],[Beftettotal]]&gt;=D$435,D$435,Tabell2[[#This Row],[Beftettotal]]))</f>
        <v>1.3397285732306117</v>
      </c>
      <c r="N425" s="51">
        <f>IF(Tabell2[[#This Row],[Befvekst10]]&lt;=E$434,E$434,IF(Tabell2[[#This Row],[Befvekst10]]&gt;=E$435,E$435,Tabell2[[#This Row],[Befvekst10]]))</f>
        <v>-8.0785862785862778E-2</v>
      </c>
      <c r="O425" s="51">
        <f>IF(Tabell2[[#This Row],[Kvinneandel]]&lt;=F$434,F$434,IF(Tabell2[[#This Row],[Kvinneandel]]&gt;=F$435,F$435,Tabell2[[#This Row],[Kvinneandel]]))</f>
        <v>9.7688292319164802E-2</v>
      </c>
      <c r="P425" s="51">
        <f>IF(Tabell2[[#This Row],[Eldreandel]]&lt;=G$434,G$434,IF(Tabell2[[#This Row],[Eldreandel]]&gt;=G$435,G$435,Tabell2[[#This Row],[Eldreandel]]))</f>
        <v>0.15958240119313946</v>
      </c>
      <c r="Q425" s="51">
        <f>IF(Tabell2[[#This Row],[Sysselsettingsvekst10]]&lt;=H$434,H$434,IF(Tabell2[[#This Row],[Sysselsettingsvekst10]]&gt;=H$435,H$435,Tabell2[[#This Row],[Sysselsettingsvekst10]]))</f>
        <v>-3.2094594594594628E-2</v>
      </c>
      <c r="R425" s="51">
        <f>IF(Tabell2[[#This Row],[Yrkesaktivandel]]&lt;=I$434,I$434,IF(Tabell2[[#This Row],[Yrkesaktivandel]]&gt;=I$435,I$435,Tabell2[[#This Row],[Yrkesaktivandel]]))</f>
        <v>0.82803562853509294</v>
      </c>
      <c r="S425" s="52">
        <f>IF(Tabell2[[#This Row],[Inntekt]]&lt;=J$434,J$434,IF(Tabell2[[#This Row],[Inntekt]]&gt;=J$435,J$435,Tabell2[[#This Row],[Inntekt]]))</f>
        <v>320470</v>
      </c>
      <c r="T425" s="9">
        <f>IF(Tabell2[[#This Row],[NIBR11-T]]&lt;=K$437,100,IF(Tabell2[[#This Row],[NIBR11-T]]&gt;=K$436,0,100*(K$436-Tabell2[[#This Row],[NIBR11-T]])/K$439))</f>
        <v>0</v>
      </c>
      <c r="U425" s="9">
        <f>(L$436-Tabell2[[#This Row],[ReisetidOslo-T]])*100/L$439</f>
        <v>0</v>
      </c>
      <c r="V425" s="9">
        <f>100-(M$436-Tabell2[[#This Row],[Beftettotal-T]])*100/M$439</f>
        <v>0</v>
      </c>
      <c r="W425" s="9">
        <f>100-(N$436-Tabell2[[#This Row],[Befvekst10-T]])*100/N$439</f>
        <v>0</v>
      </c>
      <c r="X425" s="9">
        <f>100-(O$436-Tabell2[[#This Row],[Kvinneandel-T]])*100/O$439</f>
        <v>19.667574981011569</v>
      </c>
      <c r="Y425" s="9">
        <f>(P$436-Tabell2[[#This Row],[Eldreandel-T]])*100/P$439</f>
        <v>55.231200109844551</v>
      </c>
      <c r="Z425" s="9">
        <f>100-(Q$436-Tabell2[[#This Row],[Sysselsettingsvekst10-T]])*100/Q$439</f>
        <v>11.746871917244462</v>
      </c>
      <c r="AA425" s="9">
        <f>100-(R$436-Tabell2[[#This Row],[Yrkesaktivandel-T]])*100/R$439</f>
        <v>0</v>
      </c>
      <c r="AB425" s="9">
        <f>100-(S$436-Tabell2[[#This Row],[Inntekt-T]])*100/S$439</f>
        <v>0</v>
      </c>
      <c r="AC425" s="48">
        <f>Tabell2[[#This Row],[NIBR11-I]]*Vekter!$B$3</f>
        <v>0</v>
      </c>
      <c r="AD425" s="48">
        <f>Tabell2[[#This Row],[ReisetidOslo-I]]*Vekter!$C$3</f>
        <v>0</v>
      </c>
      <c r="AE425" s="48">
        <f>Tabell2[[#This Row],[Beftettotal-I]]*Vekter!$D$3</f>
        <v>0</v>
      </c>
      <c r="AF425" s="48">
        <f>Tabell2[[#This Row],[Befvekst10-I]]*Vekter!$E$3</f>
        <v>0</v>
      </c>
      <c r="AG425" s="48">
        <f>Tabell2[[#This Row],[Kvinneandel-I]]*Vekter!$F$3</f>
        <v>0.98337874905057854</v>
      </c>
      <c r="AH425" s="48">
        <f>Tabell2[[#This Row],[Eldreandel-I]]*Vekter!$G$3</f>
        <v>2.7615600054922278</v>
      </c>
      <c r="AI425" s="48">
        <f>Tabell2[[#This Row],[Sysselsettingsvekst10-I]]*Vekter!$H$3</f>
        <v>1.1746871917244464</v>
      </c>
      <c r="AJ425" s="48">
        <f>Tabell2[[#This Row],[Yrkesaktivandel-I]]*Vekter!$J$3</f>
        <v>0</v>
      </c>
      <c r="AK425" s="48">
        <f>Tabell2[[#This Row],[Inntekt-I]]*Vekter!$L$3</f>
        <v>0</v>
      </c>
      <c r="AL425" s="37">
        <f>SUM(Tabell2[[#This Row],[NIBR11-v]:[Inntekt-v]])</f>
        <v>4.9196259462672529</v>
      </c>
    </row>
    <row r="426" spans="1:38">
      <c r="A426" s="2" t="s">
        <v>423</v>
      </c>
      <c r="B426">
        <f>'Rådata-K'!M425</f>
        <v>11</v>
      </c>
      <c r="C426" s="9">
        <f>'Rådata-K'!L425</f>
        <v>434.60745669599999</v>
      </c>
      <c r="D426" s="51">
        <f>'Rådata-K'!N425</f>
        <v>0.77523758419588518</v>
      </c>
      <c r="E426" s="51">
        <f>'Rådata-K'!O425</f>
        <v>-3.1746031746031744E-2</v>
      </c>
      <c r="F426" s="51">
        <f>'Rådata-K'!P425</f>
        <v>0.11020036429872496</v>
      </c>
      <c r="G426" s="51">
        <f>'Rådata-K'!Q425</f>
        <v>0.16302367941712204</v>
      </c>
      <c r="H426" s="51">
        <f>'Rådata-K'!R425</f>
        <v>6.1224489795918435E-2</v>
      </c>
      <c r="I426" s="51">
        <f>'Rådata-K'!S425</f>
        <v>0.81614349775784756</v>
      </c>
      <c r="J426" s="52">
        <f>'Rådata-K'!K425</f>
        <v>316000</v>
      </c>
      <c r="K426" s="26">
        <f>Tabell2[[#This Row],[NIBR11]]</f>
        <v>11</v>
      </c>
      <c r="L426" s="52">
        <f>IF(Tabell2[[#This Row],[ReisetidOslo]]&lt;=C$434,C$434,IF(Tabell2[[#This Row],[ReisetidOslo]]&gt;=C$435,C$435,Tabell2[[#This Row],[ReisetidOslo]]))</f>
        <v>279.05557553043002</v>
      </c>
      <c r="M426" s="51">
        <f>IF(Tabell2[[#This Row],[Beftettotal]]&lt;=D$434,D$434,IF(Tabell2[[#This Row],[Beftettotal]]&gt;=D$435,D$435,Tabell2[[#This Row],[Beftettotal]]))</f>
        <v>1.3397285732306117</v>
      </c>
      <c r="N426" s="51">
        <f>IF(Tabell2[[#This Row],[Befvekst10]]&lt;=E$434,E$434,IF(Tabell2[[#This Row],[Befvekst10]]&gt;=E$435,E$435,Tabell2[[#This Row],[Befvekst10]]))</f>
        <v>-3.1746031746031744E-2</v>
      </c>
      <c r="O426" s="51">
        <f>IF(Tabell2[[#This Row],[Kvinneandel]]&lt;=F$434,F$434,IF(Tabell2[[#This Row],[Kvinneandel]]&gt;=F$435,F$435,Tabell2[[#This Row],[Kvinneandel]]))</f>
        <v>0.11020036429872496</v>
      </c>
      <c r="P426" s="51">
        <f>IF(Tabell2[[#This Row],[Eldreandel]]&lt;=G$434,G$434,IF(Tabell2[[#This Row],[Eldreandel]]&gt;=G$435,G$435,Tabell2[[#This Row],[Eldreandel]]))</f>
        <v>0.16302367941712204</v>
      </c>
      <c r="Q426" s="51">
        <f>IF(Tabell2[[#This Row],[Sysselsettingsvekst10]]&lt;=H$434,H$434,IF(Tabell2[[#This Row],[Sysselsettingsvekst10]]&gt;=H$435,H$435,Tabell2[[#This Row],[Sysselsettingsvekst10]]))</f>
        <v>6.1224489795918435E-2</v>
      </c>
      <c r="R426" s="51">
        <f>IF(Tabell2[[#This Row],[Yrkesaktivandel]]&lt;=I$434,I$434,IF(Tabell2[[#This Row],[Yrkesaktivandel]]&gt;=I$435,I$435,Tabell2[[#This Row],[Yrkesaktivandel]]))</f>
        <v>0.82803562853509294</v>
      </c>
      <c r="S426" s="52">
        <f>IF(Tabell2[[#This Row],[Inntekt]]&lt;=J$434,J$434,IF(Tabell2[[#This Row],[Inntekt]]&gt;=J$435,J$435,Tabell2[[#This Row],[Inntekt]]))</f>
        <v>320470</v>
      </c>
      <c r="T426" s="9">
        <f>IF(Tabell2[[#This Row],[NIBR11-T]]&lt;=K$437,100,IF(Tabell2[[#This Row],[NIBR11-T]]&gt;=K$436,0,100*(K$436-Tabell2[[#This Row],[NIBR11-T]])/K$439))</f>
        <v>0</v>
      </c>
      <c r="U426" s="9">
        <f>(L$436-Tabell2[[#This Row],[ReisetidOslo-T]])*100/L$439</f>
        <v>0</v>
      </c>
      <c r="V426" s="9">
        <f>100-(M$436-Tabell2[[#This Row],[Beftettotal-T]])*100/M$439</f>
        <v>0</v>
      </c>
      <c r="W426" s="9">
        <f>100-(N$436-Tabell2[[#This Row],[Befvekst10-T]])*100/N$439</f>
        <v>19.844248517592803</v>
      </c>
      <c r="X426" s="9">
        <f>100-(O$436-Tabell2[[#This Row],[Kvinneandel-T]])*100/O$439</f>
        <v>52.808272335432903</v>
      </c>
      <c r="Y426" s="9">
        <f>(P$436-Tabell2[[#This Row],[Eldreandel-T]])*100/P$439</f>
        <v>51.329869582408335</v>
      </c>
      <c r="Z426" s="9">
        <f>100-(Q$436-Tabell2[[#This Row],[Sysselsettingsvekst10-T]])*100/Q$439</f>
        <v>41.699607415881466</v>
      </c>
      <c r="AA426" s="9">
        <f>100-(R$436-Tabell2[[#This Row],[Yrkesaktivandel-T]])*100/R$439</f>
        <v>0</v>
      </c>
      <c r="AB426" s="9">
        <f>100-(S$436-Tabell2[[#This Row],[Inntekt-T]])*100/S$439</f>
        <v>0</v>
      </c>
      <c r="AC426" s="48">
        <f>Tabell2[[#This Row],[NIBR11-I]]*Vekter!$B$3</f>
        <v>0</v>
      </c>
      <c r="AD426" s="48">
        <f>Tabell2[[#This Row],[ReisetidOslo-I]]*Vekter!$C$3</f>
        <v>0</v>
      </c>
      <c r="AE426" s="48">
        <f>Tabell2[[#This Row],[Beftettotal-I]]*Vekter!$D$3</f>
        <v>0</v>
      </c>
      <c r="AF426" s="48">
        <f>Tabell2[[#This Row],[Befvekst10-I]]*Vekter!$E$3</f>
        <v>3.9688497035185608</v>
      </c>
      <c r="AG426" s="48">
        <f>Tabell2[[#This Row],[Kvinneandel-I]]*Vekter!$F$3</f>
        <v>2.6404136167716454</v>
      </c>
      <c r="AH426" s="48">
        <f>Tabell2[[#This Row],[Eldreandel-I]]*Vekter!$G$3</f>
        <v>2.566493479120417</v>
      </c>
      <c r="AI426" s="48">
        <f>Tabell2[[#This Row],[Sysselsettingsvekst10-I]]*Vekter!$H$3</f>
        <v>4.169960741588147</v>
      </c>
      <c r="AJ426" s="48">
        <f>Tabell2[[#This Row],[Yrkesaktivandel-I]]*Vekter!$J$3</f>
        <v>0</v>
      </c>
      <c r="AK426" s="48">
        <f>Tabell2[[#This Row],[Inntekt-I]]*Vekter!$L$3</f>
        <v>0</v>
      </c>
      <c r="AL426" s="37">
        <f>SUM(Tabell2[[#This Row],[NIBR11-v]:[Inntekt-v]])</f>
        <v>13.34571754099877</v>
      </c>
    </row>
    <row r="427" spans="1:38">
      <c r="A427" s="2" t="s">
        <v>424</v>
      </c>
      <c r="B427">
        <f>'Rådata-K'!M426</f>
        <v>11</v>
      </c>
      <c r="C427" s="9">
        <f>'Rådata-K'!L426</f>
        <v>333.68457024922998</v>
      </c>
      <c r="D427" s="51">
        <f>'Rådata-K'!N426</f>
        <v>0.94225249157588831</v>
      </c>
      <c r="E427" s="51">
        <f>'Rådata-K'!O426</f>
        <v>-8.7219343696027685E-2</v>
      </c>
      <c r="F427" s="51">
        <f>'Rådata-K'!P426</f>
        <v>8.6092715231788075E-2</v>
      </c>
      <c r="G427" s="51">
        <f>'Rådata-K'!Q426</f>
        <v>0.18826868495742669</v>
      </c>
      <c r="H427" s="51">
        <f>'Rådata-K'!R426</f>
        <v>0.10093896713615025</v>
      </c>
      <c r="I427" s="51">
        <f>'Rådata-K'!S426</f>
        <v>0.87254901960784315</v>
      </c>
      <c r="J427" s="52">
        <f>'Rådata-K'!K426</f>
        <v>335000</v>
      </c>
      <c r="K427" s="26">
        <f>Tabell2[[#This Row],[NIBR11]]</f>
        <v>11</v>
      </c>
      <c r="L427" s="52">
        <f>IF(Tabell2[[#This Row],[ReisetidOslo]]&lt;=C$434,C$434,IF(Tabell2[[#This Row],[ReisetidOslo]]&gt;=C$435,C$435,Tabell2[[#This Row],[ReisetidOslo]]))</f>
        <v>279.05557553043002</v>
      </c>
      <c r="M427" s="51">
        <f>IF(Tabell2[[#This Row],[Beftettotal]]&lt;=D$434,D$434,IF(Tabell2[[#This Row],[Beftettotal]]&gt;=D$435,D$435,Tabell2[[#This Row],[Beftettotal]]))</f>
        <v>1.3397285732306117</v>
      </c>
      <c r="N427" s="51">
        <f>IF(Tabell2[[#This Row],[Befvekst10]]&lt;=E$434,E$434,IF(Tabell2[[#This Row],[Befvekst10]]&gt;=E$435,E$435,Tabell2[[#This Row],[Befvekst10]]))</f>
        <v>-8.0785862785862778E-2</v>
      </c>
      <c r="O427" s="51">
        <f>IF(Tabell2[[#This Row],[Kvinneandel]]&lt;=F$434,F$434,IF(Tabell2[[#This Row],[Kvinneandel]]&gt;=F$435,F$435,Tabell2[[#This Row],[Kvinneandel]]))</f>
        <v>9.0262917071501733E-2</v>
      </c>
      <c r="P427" s="51">
        <f>IF(Tabell2[[#This Row],[Eldreandel]]&lt;=G$434,G$434,IF(Tabell2[[#This Row],[Eldreandel]]&gt;=G$435,G$435,Tabell2[[#This Row],[Eldreandel]]))</f>
        <v>0.18826868495742669</v>
      </c>
      <c r="Q427" s="51">
        <f>IF(Tabell2[[#This Row],[Sysselsettingsvekst10]]&lt;=H$434,H$434,IF(Tabell2[[#This Row],[Sysselsettingsvekst10]]&gt;=H$435,H$435,Tabell2[[#This Row],[Sysselsettingsvekst10]]))</f>
        <v>0.10093896713615025</v>
      </c>
      <c r="R427" s="51">
        <f>IF(Tabell2[[#This Row],[Yrkesaktivandel]]&lt;=I$434,I$434,IF(Tabell2[[#This Row],[Yrkesaktivandel]]&gt;=I$435,I$435,Tabell2[[#This Row],[Yrkesaktivandel]]))</f>
        <v>0.87254901960784315</v>
      </c>
      <c r="S427" s="52">
        <f>IF(Tabell2[[#This Row],[Inntekt]]&lt;=J$434,J$434,IF(Tabell2[[#This Row],[Inntekt]]&gt;=J$435,J$435,Tabell2[[#This Row],[Inntekt]]))</f>
        <v>335000</v>
      </c>
      <c r="T427" s="9">
        <f>IF(Tabell2[[#This Row],[NIBR11-T]]&lt;=K$437,100,IF(Tabell2[[#This Row],[NIBR11-T]]&gt;=K$436,0,100*(K$436-Tabell2[[#This Row],[NIBR11-T]])/K$439))</f>
        <v>0</v>
      </c>
      <c r="U427" s="9">
        <f>(L$436-Tabell2[[#This Row],[ReisetidOslo-T]])*100/L$439</f>
        <v>0</v>
      </c>
      <c r="V427" s="9">
        <f>100-(M$436-Tabell2[[#This Row],[Beftettotal-T]])*100/M$439</f>
        <v>0</v>
      </c>
      <c r="W427" s="9">
        <f>100-(N$436-Tabell2[[#This Row],[Befvekst10-T]])*100/N$439</f>
        <v>0</v>
      </c>
      <c r="X427" s="9">
        <f>100-(O$436-Tabell2[[#This Row],[Kvinneandel-T]])*100/O$439</f>
        <v>0</v>
      </c>
      <c r="Y427" s="9">
        <f>(P$436-Tabell2[[#This Row],[Eldreandel-T]])*100/P$439</f>
        <v>22.709948620102107</v>
      </c>
      <c r="Z427" s="9">
        <f>100-(Q$436-Tabell2[[#This Row],[Sysselsettingsvekst10-T]])*100/Q$439</f>
        <v>54.4468095879541</v>
      </c>
      <c r="AA427" s="9">
        <f>100-(R$436-Tabell2[[#This Row],[Yrkesaktivandel-T]])*100/R$439</f>
        <v>33.183653112969864</v>
      </c>
      <c r="AB427" s="9">
        <f>100-(S$436-Tabell2[[#This Row],[Inntekt-T]])*100/S$439</f>
        <v>18.26983528228341</v>
      </c>
      <c r="AC427" s="48">
        <f>Tabell2[[#This Row],[NIBR11-I]]*Vekter!$B$3</f>
        <v>0</v>
      </c>
      <c r="AD427" s="48">
        <f>Tabell2[[#This Row],[ReisetidOslo-I]]*Vekter!$C$3</f>
        <v>0</v>
      </c>
      <c r="AE427" s="48">
        <f>Tabell2[[#This Row],[Beftettotal-I]]*Vekter!$D$3</f>
        <v>0</v>
      </c>
      <c r="AF427" s="48">
        <f>Tabell2[[#This Row],[Befvekst10-I]]*Vekter!$E$3</f>
        <v>0</v>
      </c>
      <c r="AG427" s="48">
        <f>Tabell2[[#This Row],[Kvinneandel-I]]*Vekter!$F$3</f>
        <v>0</v>
      </c>
      <c r="AH427" s="48">
        <f>Tabell2[[#This Row],[Eldreandel-I]]*Vekter!$G$3</f>
        <v>1.1354974310051054</v>
      </c>
      <c r="AI427" s="48">
        <f>Tabell2[[#This Row],[Sysselsettingsvekst10-I]]*Vekter!$H$3</f>
        <v>5.4446809587954101</v>
      </c>
      <c r="AJ427" s="48">
        <f>Tabell2[[#This Row],[Yrkesaktivandel-I]]*Vekter!$J$3</f>
        <v>3.3183653112969864</v>
      </c>
      <c r="AK427" s="48">
        <f>Tabell2[[#This Row],[Inntekt-I]]*Vekter!$L$3</f>
        <v>1.8269835282283411</v>
      </c>
      <c r="AL427" s="37">
        <f>SUM(Tabell2[[#This Row],[NIBR11-v]:[Inntekt-v]])</f>
        <v>11.725527229325843</v>
      </c>
    </row>
    <row r="428" spans="1:38">
      <c r="A428" s="2" t="s">
        <v>425</v>
      </c>
      <c r="B428">
        <f>'Rådata-K'!M427</f>
        <v>11</v>
      </c>
      <c r="C428" s="9">
        <f>'Rådata-K'!L427</f>
        <v>328.30938772490003</v>
      </c>
      <c r="D428" s="51">
        <f>'Rådata-K'!N427</f>
        <v>0.71161289048615783</v>
      </c>
      <c r="E428" s="51">
        <f>'Rådata-K'!O427</f>
        <v>-4.0279627163781639E-2</v>
      </c>
      <c r="F428" s="51">
        <f>'Rådata-K'!P427</f>
        <v>9.9202219909816161E-2</v>
      </c>
      <c r="G428" s="51">
        <f>'Rådata-K'!Q427</f>
        <v>0.17100242802636142</v>
      </c>
      <c r="H428" s="51">
        <f>'Rådata-K'!R427</f>
        <v>7.8521939953810627E-2</v>
      </c>
      <c r="I428" s="51">
        <f>'Rådata-K'!S427</f>
        <v>0.87125220458553787</v>
      </c>
      <c r="J428" s="52">
        <f>'Rådata-K'!K427</f>
        <v>342900</v>
      </c>
      <c r="K428" s="26">
        <f>Tabell2[[#This Row],[NIBR11]]</f>
        <v>11</v>
      </c>
      <c r="L428" s="52">
        <f>IF(Tabell2[[#This Row],[ReisetidOslo]]&lt;=C$434,C$434,IF(Tabell2[[#This Row],[ReisetidOslo]]&gt;=C$435,C$435,Tabell2[[#This Row],[ReisetidOslo]]))</f>
        <v>279.05557553043002</v>
      </c>
      <c r="M428" s="51">
        <f>IF(Tabell2[[#This Row],[Beftettotal]]&lt;=D$434,D$434,IF(Tabell2[[#This Row],[Beftettotal]]&gt;=D$435,D$435,Tabell2[[#This Row],[Beftettotal]]))</f>
        <v>1.3397285732306117</v>
      </c>
      <c r="N428" s="51">
        <f>IF(Tabell2[[#This Row],[Befvekst10]]&lt;=E$434,E$434,IF(Tabell2[[#This Row],[Befvekst10]]&gt;=E$435,E$435,Tabell2[[#This Row],[Befvekst10]]))</f>
        <v>-4.0279627163781639E-2</v>
      </c>
      <c r="O428" s="51">
        <f>IF(Tabell2[[#This Row],[Kvinneandel]]&lt;=F$434,F$434,IF(Tabell2[[#This Row],[Kvinneandel]]&gt;=F$435,F$435,Tabell2[[#This Row],[Kvinneandel]]))</f>
        <v>9.9202219909816161E-2</v>
      </c>
      <c r="P428" s="51">
        <f>IF(Tabell2[[#This Row],[Eldreandel]]&lt;=G$434,G$434,IF(Tabell2[[#This Row],[Eldreandel]]&gt;=G$435,G$435,Tabell2[[#This Row],[Eldreandel]]))</f>
        <v>0.17100242802636142</v>
      </c>
      <c r="Q428" s="51">
        <f>IF(Tabell2[[#This Row],[Sysselsettingsvekst10]]&lt;=H$434,H$434,IF(Tabell2[[#This Row],[Sysselsettingsvekst10]]&gt;=H$435,H$435,Tabell2[[#This Row],[Sysselsettingsvekst10]]))</f>
        <v>7.8521939953810627E-2</v>
      </c>
      <c r="R428" s="51">
        <f>IF(Tabell2[[#This Row],[Yrkesaktivandel]]&lt;=I$434,I$434,IF(Tabell2[[#This Row],[Yrkesaktivandel]]&gt;=I$435,I$435,Tabell2[[#This Row],[Yrkesaktivandel]]))</f>
        <v>0.87125220458553787</v>
      </c>
      <c r="S428" s="52">
        <f>IF(Tabell2[[#This Row],[Inntekt]]&lt;=J$434,J$434,IF(Tabell2[[#This Row],[Inntekt]]&gt;=J$435,J$435,Tabell2[[#This Row],[Inntekt]]))</f>
        <v>342900</v>
      </c>
      <c r="T428" s="9">
        <f>IF(Tabell2[[#This Row],[NIBR11-T]]&lt;=K$437,100,IF(Tabell2[[#This Row],[NIBR11-T]]&gt;=K$436,0,100*(K$436-Tabell2[[#This Row],[NIBR11-T]])/K$439))</f>
        <v>0</v>
      </c>
      <c r="U428" s="9">
        <f>(L$436-Tabell2[[#This Row],[ReisetidOslo-T]])*100/L$439</f>
        <v>0</v>
      </c>
      <c r="V428" s="9">
        <f>100-(M$436-Tabell2[[#This Row],[Beftettotal-T]])*100/M$439</f>
        <v>0</v>
      </c>
      <c r="W428" s="9">
        <f>100-(N$436-Tabell2[[#This Row],[Befvekst10-T]])*100/N$439</f>
        <v>16.391080253597835</v>
      </c>
      <c r="X428" s="9">
        <f>100-(O$436-Tabell2[[#This Row],[Kvinneandel-T]])*100/O$439</f>
        <v>23.677511639004535</v>
      </c>
      <c r="Y428" s="9">
        <f>(P$436-Tabell2[[#This Row],[Eldreandel-T]])*100/P$439</f>
        <v>42.284470316800324</v>
      </c>
      <c r="Z428" s="9">
        <f>100-(Q$436-Tabell2[[#This Row],[Sysselsettingsvekst10-T]])*100/Q$439</f>
        <v>47.251590193724425</v>
      </c>
      <c r="AA428" s="9">
        <f>100-(R$436-Tabell2[[#This Row],[Yrkesaktivandel-T]])*100/R$439</f>
        <v>32.216908975648678</v>
      </c>
      <c r="AB428" s="9">
        <f>100-(S$436-Tabell2[[#This Row],[Inntekt-T]])*100/S$439</f>
        <v>28.203193763359735</v>
      </c>
      <c r="AC428" s="48">
        <f>Tabell2[[#This Row],[NIBR11-I]]*Vekter!$B$3</f>
        <v>0</v>
      </c>
      <c r="AD428" s="48">
        <f>Tabell2[[#This Row],[ReisetidOslo-I]]*Vekter!$C$3</f>
        <v>0</v>
      </c>
      <c r="AE428" s="48">
        <f>Tabell2[[#This Row],[Beftettotal-I]]*Vekter!$D$3</f>
        <v>0</v>
      </c>
      <c r="AF428" s="48">
        <f>Tabell2[[#This Row],[Befvekst10-I]]*Vekter!$E$3</f>
        <v>3.2782160507195672</v>
      </c>
      <c r="AG428" s="48">
        <f>Tabell2[[#This Row],[Kvinneandel-I]]*Vekter!$F$3</f>
        <v>1.1838755819502269</v>
      </c>
      <c r="AH428" s="48">
        <f>Tabell2[[#This Row],[Eldreandel-I]]*Vekter!$G$3</f>
        <v>2.1142235158400164</v>
      </c>
      <c r="AI428" s="48">
        <f>Tabell2[[#This Row],[Sysselsettingsvekst10-I]]*Vekter!$H$3</f>
        <v>4.7251590193724429</v>
      </c>
      <c r="AJ428" s="48">
        <f>Tabell2[[#This Row],[Yrkesaktivandel-I]]*Vekter!$J$3</f>
        <v>3.2216908975648679</v>
      </c>
      <c r="AK428" s="48">
        <f>Tabell2[[#This Row],[Inntekt-I]]*Vekter!$L$3</f>
        <v>2.8203193763359735</v>
      </c>
      <c r="AL428" s="37">
        <f>SUM(Tabell2[[#This Row],[NIBR11-v]:[Inntekt-v]])</f>
        <v>17.343484441783094</v>
      </c>
    </row>
    <row r="429" spans="1:38">
      <c r="A429" s="2" t="s">
        <v>426</v>
      </c>
      <c r="B429">
        <f>'Rådata-K'!M428</f>
        <v>7</v>
      </c>
      <c r="C429" s="9">
        <f>'Rådata-K'!L428</f>
        <v>314.00916310809998</v>
      </c>
      <c r="D429" s="51">
        <f>'Rådata-K'!N428</f>
        <v>0.63957129932493562</v>
      </c>
      <c r="E429" s="51">
        <f>'Rådata-K'!O428</f>
        <v>-8.6299892125134559E-3</v>
      </c>
      <c r="F429" s="51">
        <f>'Rådata-K'!P428</f>
        <v>0.10010881392818281</v>
      </c>
      <c r="G429" s="51">
        <f>'Rådata-K'!Q428</f>
        <v>0.20130576713819368</v>
      </c>
      <c r="H429" s="51">
        <f>'Rådata-K'!R428</f>
        <v>0.19551282051282048</v>
      </c>
      <c r="I429" s="51">
        <f>'Rådata-K'!S428</f>
        <v>0.88824662813102118</v>
      </c>
      <c r="J429" s="52">
        <f>'Rådata-K'!K428</f>
        <v>314900</v>
      </c>
      <c r="K429" s="26">
        <f>Tabell2[[#This Row],[NIBR11]]</f>
        <v>7</v>
      </c>
      <c r="L429" s="52">
        <f>IF(Tabell2[[#This Row],[ReisetidOslo]]&lt;=C$434,C$434,IF(Tabell2[[#This Row],[ReisetidOslo]]&gt;=C$435,C$435,Tabell2[[#This Row],[ReisetidOslo]]))</f>
        <v>279.05557553043002</v>
      </c>
      <c r="M429" s="51">
        <f>IF(Tabell2[[#This Row],[Beftettotal]]&lt;=D$434,D$434,IF(Tabell2[[#This Row],[Beftettotal]]&gt;=D$435,D$435,Tabell2[[#This Row],[Beftettotal]]))</f>
        <v>1.3397285732306117</v>
      </c>
      <c r="N429" s="51">
        <f>IF(Tabell2[[#This Row],[Befvekst10]]&lt;=E$434,E$434,IF(Tabell2[[#This Row],[Befvekst10]]&gt;=E$435,E$435,Tabell2[[#This Row],[Befvekst10]]))</f>
        <v>-8.6299892125134559E-3</v>
      </c>
      <c r="O429" s="51">
        <f>IF(Tabell2[[#This Row],[Kvinneandel]]&lt;=F$434,F$434,IF(Tabell2[[#This Row],[Kvinneandel]]&gt;=F$435,F$435,Tabell2[[#This Row],[Kvinneandel]]))</f>
        <v>0.10010881392818281</v>
      </c>
      <c r="P429" s="51">
        <f>IF(Tabell2[[#This Row],[Eldreandel]]&lt;=G$434,G$434,IF(Tabell2[[#This Row],[Eldreandel]]&gt;=G$435,G$435,Tabell2[[#This Row],[Eldreandel]]))</f>
        <v>0.20130576713819368</v>
      </c>
      <c r="Q429" s="51">
        <f>IF(Tabell2[[#This Row],[Sysselsettingsvekst10]]&lt;=H$434,H$434,IF(Tabell2[[#This Row],[Sysselsettingsvekst10]]&gt;=H$435,H$435,Tabell2[[#This Row],[Sysselsettingsvekst10]]))</f>
        <v>0.19551282051282048</v>
      </c>
      <c r="R429" s="51">
        <f>IF(Tabell2[[#This Row],[Yrkesaktivandel]]&lt;=I$434,I$434,IF(Tabell2[[#This Row],[Yrkesaktivandel]]&gt;=I$435,I$435,Tabell2[[#This Row],[Yrkesaktivandel]]))</f>
        <v>0.88824662813102118</v>
      </c>
      <c r="S429" s="52">
        <f>IF(Tabell2[[#This Row],[Inntekt]]&lt;=J$434,J$434,IF(Tabell2[[#This Row],[Inntekt]]&gt;=J$435,J$435,Tabell2[[#This Row],[Inntekt]]))</f>
        <v>320470</v>
      </c>
      <c r="T429" s="9">
        <f>IF(Tabell2[[#This Row],[NIBR11-T]]&lt;=K$437,100,IF(Tabell2[[#This Row],[NIBR11-T]]&gt;=K$436,0,100*(K$436-Tabell2[[#This Row],[NIBR11-T]])/K$439))</f>
        <v>40</v>
      </c>
      <c r="U429" s="9">
        <f>(L$436-Tabell2[[#This Row],[ReisetidOslo-T]])*100/L$439</f>
        <v>0</v>
      </c>
      <c r="V429" s="9">
        <f>100-(M$436-Tabell2[[#This Row],[Beftettotal-T]])*100/M$439</f>
        <v>0</v>
      </c>
      <c r="W429" s="9">
        <f>100-(N$436-Tabell2[[#This Row],[Befvekst10-T]])*100/N$439</f>
        <v>29.198287531426317</v>
      </c>
      <c r="X429" s="9">
        <f>100-(O$436-Tabell2[[#This Row],[Kvinneandel-T]])*100/O$439</f>
        <v>26.078805208534831</v>
      </c>
      <c r="Y429" s="9">
        <f>(P$436-Tabell2[[#This Row],[Eldreandel-T]])*100/P$439</f>
        <v>7.9299850745627358</v>
      </c>
      <c r="Z429" s="9">
        <f>100-(Q$436-Tabell2[[#This Row],[Sysselsettingsvekst10-T]])*100/Q$439</f>
        <v>84.802289753448122</v>
      </c>
      <c r="AA429" s="9">
        <f>100-(R$436-Tabell2[[#This Row],[Yrkesaktivandel-T]])*100/R$439</f>
        <v>44.88583943000426</v>
      </c>
      <c r="AB429" s="9">
        <f>100-(S$436-Tabell2[[#This Row],[Inntekt-T]])*100/S$439</f>
        <v>0</v>
      </c>
      <c r="AC429" s="48">
        <f>Tabell2[[#This Row],[NIBR11-I]]*Vekter!$B$3</f>
        <v>8</v>
      </c>
      <c r="AD429" s="48">
        <f>Tabell2[[#This Row],[ReisetidOslo-I]]*Vekter!$C$3</f>
        <v>0</v>
      </c>
      <c r="AE429" s="48">
        <f>Tabell2[[#This Row],[Beftettotal-I]]*Vekter!$D$3</f>
        <v>0</v>
      </c>
      <c r="AF429" s="48">
        <f>Tabell2[[#This Row],[Befvekst10-I]]*Vekter!$E$3</f>
        <v>5.8396575062852634</v>
      </c>
      <c r="AG429" s="48">
        <f>Tabell2[[#This Row],[Kvinneandel-I]]*Vekter!$F$3</f>
        <v>1.3039402604267416</v>
      </c>
      <c r="AH429" s="48">
        <f>Tabell2[[#This Row],[Eldreandel-I]]*Vekter!$G$3</f>
        <v>0.39649925372813682</v>
      </c>
      <c r="AI429" s="48">
        <f>Tabell2[[#This Row],[Sysselsettingsvekst10-I]]*Vekter!$H$3</f>
        <v>8.4802289753448132</v>
      </c>
      <c r="AJ429" s="48">
        <f>Tabell2[[#This Row],[Yrkesaktivandel-I]]*Vekter!$J$3</f>
        <v>4.4885839430004264</v>
      </c>
      <c r="AK429" s="48">
        <f>Tabell2[[#This Row],[Inntekt-I]]*Vekter!$L$3</f>
        <v>0</v>
      </c>
      <c r="AL429" s="37">
        <f>SUM(Tabell2[[#This Row],[NIBR11-v]:[Inntekt-v]])</f>
        <v>28.508909938785386</v>
      </c>
    </row>
    <row r="430" spans="1:38">
      <c r="A430" s="2" t="s">
        <v>427</v>
      </c>
      <c r="B430">
        <f>'Rådata-K'!M429</f>
        <v>9</v>
      </c>
      <c r="C430" s="9">
        <f>'Rådata-K'!L429</f>
        <v>323.55824695064001</v>
      </c>
      <c r="D430" s="51">
        <f>'Rådata-K'!N429</f>
        <v>1.5382792461246793</v>
      </c>
      <c r="E430" s="51">
        <f>'Rådata-K'!O429</f>
        <v>-3.624454148471612E-2</v>
      </c>
      <c r="F430" s="51">
        <f>'Rådata-K'!P429</f>
        <v>0.1105573176257363</v>
      </c>
      <c r="G430" s="51">
        <f>'Rådata-K'!Q429</f>
        <v>0.12686905301314</v>
      </c>
      <c r="H430" s="51">
        <f>'Rådata-K'!R429</f>
        <v>2.4953789279112737E-2</v>
      </c>
      <c r="I430" s="51">
        <f>'Rådata-K'!S429</f>
        <v>0.83528550512445099</v>
      </c>
      <c r="J430" s="52">
        <f>'Rådata-K'!K429</f>
        <v>340300</v>
      </c>
      <c r="K430" s="26">
        <f>Tabell2[[#This Row],[NIBR11]]</f>
        <v>9</v>
      </c>
      <c r="L430" s="52">
        <f>IF(Tabell2[[#This Row],[ReisetidOslo]]&lt;=C$434,C$434,IF(Tabell2[[#This Row],[ReisetidOslo]]&gt;=C$435,C$435,Tabell2[[#This Row],[ReisetidOslo]]))</f>
        <v>279.05557553043002</v>
      </c>
      <c r="M430" s="51">
        <f>IF(Tabell2[[#This Row],[Beftettotal]]&lt;=D$434,D$434,IF(Tabell2[[#This Row],[Beftettotal]]&gt;=D$435,D$435,Tabell2[[#This Row],[Beftettotal]]))</f>
        <v>1.5382792461246793</v>
      </c>
      <c r="N430" s="51">
        <f>IF(Tabell2[[#This Row],[Befvekst10]]&lt;=E$434,E$434,IF(Tabell2[[#This Row],[Befvekst10]]&gt;=E$435,E$435,Tabell2[[#This Row],[Befvekst10]]))</f>
        <v>-3.624454148471612E-2</v>
      </c>
      <c r="O430" s="51">
        <f>IF(Tabell2[[#This Row],[Kvinneandel]]&lt;=F$434,F$434,IF(Tabell2[[#This Row],[Kvinneandel]]&gt;=F$435,F$435,Tabell2[[#This Row],[Kvinneandel]]))</f>
        <v>0.1105573176257363</v>
      </c>
      <c r="P430" s="51">
        <f>IF(Tabell2[[#This Row],[Eldreandel]]&lt;=G$434,G$434,IF(Tabell2[[#This Row],[Eldreandel]]&gt;=G$435,G$435,Tabell2[[#This Row],[Eldreandel]]))</f>
        <v>0.12686905301314</v>
      </c>
      <c r="Q430" s="51">
        <f>IF(Tabell2[[#This Row],[Sysselsettingsvekst10]]&lt;=H$434,H$434,IF(Tabell2[[#This Row],[Sysselsettingsvekst10]]&gt;=H$435,H$435,Tabell2[[#This Row],[Sysselsettingsvekst10]]))</f>
        <v>2.4953789279112737E-2</v>
      </c>
      <c r="R430" s="51">
        <f>IF(Tabell2[[#This Row],[Yrkesaktivandel]]&lt;=I$434,I$434,IF(Tabell2[[#This Row],[Yrkesaktivandel]]&gt;=I$435,I$435,Tabell2[[#This Row],[Yrkesaktivandel]]))</f>
        <v>0.83528550512445099</v>
      </c>
      <c r="S430" s="52">
        <f>IF(Tabell2[[#This Row],[Inntekt]]&lt;=J$434,J$434,IF(Tabell2[[#This Row],[Inntekt]]&gt;=J$435,J$435,Tabell2[[#This Row],[Inntekt]]))</f>
        <v>340300</v>
      </c>
      <c r="T430" s="9">
        <f>IF(Tabell2[[#This Row],[NIBR11-T]]&lt;=K$437,100,IF(Tabell2[[#This Row],[NIBR11-T]]&gt;=K$436,0,100*(K$436-Tabell2[[#This Row],[NIBR11-T]])/K$439))</f>
        <v>20</v>
      </c>
      <c r="U430" s="9">
        <f>(L$436-Tabell2[[#This Row],[ReisetidOslo-T]])*100/L$439</f>
        <v>0</v>
      </c>
      <c r="V430" s="9">
        <f>100-(M$436-Tabell2[[#This Row],[Beftettotal-T]])*100/M$439</f>
        <v>0.15639082421907347</v>
      </c>
      <c r="W430" s="9">
        <f>100-(N$436-Tabell2[[#This Row],[Befvekst10-T]])*100/N$439</f>
        <v>18.023900785547042</v>
      </c>
      <c r="X430" s="9">
        <f>100-(O$436-Tabell2[[#This Row],[Kvinneandel-T]])*100/O$439</f>
        <v>53.753733822504088</v>
      </c>
      <c r="Y430" s="9">
        <f>(P$436-Tabell2[[#This Row],[Eldreandel-T]])*100/P$439</f>
        <v>92.317880001010494</v>
      </c>
      <c r="Z430" s="9">
        <f>100-(Q$436-Tabell2[[#This Row],[Sysselsettingsvekst10-T]])*100/Q$439</f>
        <v>30.057758312606268</v>
      </c>
      <c r="AA430" s="9">
        <f>100-(R$436-Tabell2[[#This Row],[Yrkesaktivandel-T]])*100/R$439</f>
        <v>5.4046071093508061</v>
      </c>
      <c r="AB430" s="9">
        <f>100-(S$436-Tabell2[[#This Row],[Inntekt-T]])*100/S$439</f>
        <v>24.933987174651079</v>
      </c>
      <c r="AC430" s="48">
        <f>Tabell2[[#This Row],[NIBR11-I]]*Vekter!$B$3</f>
        <v>4</v>
      </c>
      <c r="AD430" s="48">
        <f>Tabell2[[#This Row],[ReisetidOslo-I]]*Vekter!$C$3</f>
        <v>0</v>
      </c>
      <c r="AE430" s="48">
        <f>Tabell2[[#This Row],[Beftettotal-I]]*Vekter!$D$3</f>
        <v>1.5639082421907348E-2</v>
      </c>
      <c r="AF430" s="48">
        <f>Tabell2[[#This Row],[Befvekst10-I]]*Vekter!$E$3</f>
        <v>3.6047801571094085</v>
      </c>
      <c r="AG430" s="48">
        <f>Tabell2[[#This Row],[Kvinneandel-I]]*Vekter!$F$3</f>
        <v>2.6876866911252044</v>
      </c>
      <c r="AH430" s="48">
        <f>Tabell2[[#This Row],[Eldreandel-I]]*Vekter!$G$3</f>
        <v>4.6158940000505249</v>
      </c>
      <c r="AI430" s="48">
        <f>Tabell2[[#This Row],[Sysselsettingsvekst10-I]]*Vekter!$H$3</f>
        <v>3.0057758312606269</v>
      </c>
      <c r="AJ430" s="48">
        <f>Tabell2[[#This Row],[Yrkesaktivandel-I]]*Vekter!$J$3</f>
        <v>0.54046071093508063</v>
      </c>
      <c r="AK430" s="48">
        <f>Tabell2[[#This Row],[Inntekt-I]]*Vekter!$L$3</f>
        <v>2.4933987174651082</v>
      </c>
      <c r="AL430" s="37">
        <f>SUM(Tabell2[[#This Row],[NIBR11-v]:[Inntekt-v]])</f>
        <v>20.96363519036786</v>
      </c>
    </row>
    <row r="431" spans="1:38">
      <c r="A431" s="2" t="s">
        <v>428</v>
      </c>
      <c r="B431">
        <f>'Rådata-K'!M430</f>
        <v>9</v>
      </c>
      <c r="C431" s="9">
        <f>'Rådata-K'!L430</f>
        <v>241.72333793760001</v>
      </c>
      <c r="D431" s="51">
        <f>'Rådata-K'!N430</f>
        <v>2.5405250250527494</v>
      </c>
      <c r="E431" s="51">
        <f>'Rådata-K'!O430</f>
        <v>6.2105263157894663E-2</v>
      </c>
      <c r="F431" s="51">
        <f>'Rådata-K'!P430</f>
        <v>0.12596630327056491</v>
      </c>
      <c r="G431" s="51">
        <f>'Rådata-K'!Q430</f>
        <v>0.13627353815659068</v>
      </c>
      <c r="H431" s="51">
        <f>'Rådata-K'!R430</f>
        <v>0.36973180076628354</v>
      </c>
      <c r="I431" s="51">
        <f>'Rådata-K'!S430</f>
        <v>0.89227509778357239</v>
      </c>
      <c r="J431" s="52">
        <f>'Rådata-K'!K430</f>
        <v>371000</v>
      </c>
      <c r="K431" s="26">
        <f>Tabell2[[#This Row],[NIBR11]]</f>
        <v>9</v>
      </c>
      <c r="L431" s="52">
        <f>IF(Tabell2[[#This Row],[ReisetidOslo]]&lt;=C$434,C$434,IF(Tabell2[[#This Row],[ReisetidOslo]]&gt;=C$435,C$435,Tabell2[[#This Row],[ReisetidOslo]]))</f>
        <v>241.72333793760001</v>
      </c>
      <c r="M431" s="51">
        <f>IF(Tabell2[[#This Row],[Beftettotal]]&lt;=D$434,D$434,IF(Tabell2[[#This Row],[Beftettotal]]&gt;=D$435,D$435,Tabell2[[#This Row],[Beftettotal]]))</f>
        <v>2.5405250250527494</v>
      </c>
      <c r="N431" s="51">
        <f>IF(Tabell2[[#This Row],[Befvekst10]]&lt;=E$434,E$434,IF(Tabell2[[#This Row],[Befvekst10]]&gt;=E$435,E$435,Tabell2[[#This Row],[Befvekst10]]))</f>
        <v>6.2105263157894663E-2</v>
      </c>
      <c r="O431" s="51">
        <f>IF(Tabell2[[#This Row],[Kvinneandel]]&lt;=F$434,F$434,IF(Tabell2[[#This Row],[Kvinneandel]]&gt;=F$435,F$435,Tabell2[[#This Row],[Kvinneandel]]))</f>
        <v>0.12596630327056491</v>
      </c>
      <c r="P431" s="51">
        <f>IF(Tabell2[[#This Row],[Eldreandel]]&lt;=G$434,G$434,IF(Tabell2[[#This Row],[Eldreandel]]&gt;=G$435,G$435,Tabell2[[#This Row],[Eldreandel]]))</f>
        <v>0.13627353815659068</v>
      </c>
      <c r="Q431" s="51">
        <f>IF(Tabell2[[#This Row],[Sysselsettingsvekst10]]&lt;=H$434,H$434,IF(Tabell2[[#This Row],[Sysselsettingsvekst10]]&gt;=H$435,H$435,Tabell2[[#This Row],[Sysselsettingsvekst10]]))</f>
        <v>0.24286196513786068</v>
      </c>
      <c r="R431" s="51">
        <f>IF(Tabell2[[#This Row],[Yrkesaktivandel]]&lt;=I$434,I$434,IF(Tabell2[[#This Row],[Yrkesaktivandel]]&gt;=I$435,I$435,Tabell2[[#This Row],[Yrkesaktivandel]]))</f>
        <v>0.89227509778357239</v>
      </c>
      <c r="S431" s="52">
        <f>IF(Tabell2[[#This Row],[Inntekt]]&lt;=J$434,J$434,IF(Tabell2[[#This Row],[Inntekt]]&gt;=J$435,J$435,Tabell2[[#This Row],[Inntekt]]))</f>
        <v>371000</v>
      </c>
      <c r="T431" s="9">
        <f>IF(Tabell2[[#This Row],[NIBR11-T]]&lt;=K$437,100,IF(Tabell2[[#This Row],[NIBR11-T]]&gt;=K$436,0,100*(K$436-Tabell2[[#This Row],[NIBR11-T]])/K$439))</f>
        <v>20</v>
      </c>
      <c r="U431" s="9">
        <f>(L$436-Tabell2[[#This Row],[ReisetidOslo-T]])*100/L$439</f>
        <v>16.573668974454243</v>
      </c>
      <c r="V431" s="9">
        <f>100-(M$436-Tabell2[[#This Row],[Beftettotal-T]])*100/M$439</f>
        <v>0.9458217596673677</v>
      </c>
      <c r="W431" s="9">
        <f>100-(N$436-Tabell2[[#This Row],[Befvekst10-T]])*100/N$439</f>
        <v>57.821712556135786</v>
      </c>
      <c r="X431" s="9">
        <f>100-(O$436-Tabell2[[#This Row],[Kvinneandel-T]])*100/O$439</f>
        <v>94.567479989255233</v>
      </c>
      <c r="Y431" s="9">
        <f>(P$436-Tabell2[[#This Row],[Eldreandel-T]])*100/P$439</f>
        <v>81.656142531116714</v>
      </c>
      <c r="Z431" s="9">
        <f>100-(Q$436-Tabell2[[#This Row],[Sysselsettingsvekst10-T]])*100/Q$439</f>
        <v>100</v>
      </c>
      <c r="AA431" s="9">
        <f>100-(R$436-Tabell2[[#This Row],[Yrkesaktivandel-T]])*100/R$439</f>
        <v>47.888965821968142</v>
      </c>
      <c r="AB431" s="9">
        <f>100-(S$436-Tabell2[[#This Row],[Inntekt-T]])*100/S$439</f>
        <v>63.535772664403368</v>
      </c>
      <c r="AC431" s="48">
        <f>Tabell2[[#This Row],[NIBR11-I]]*Vekter!$B$3</f>
        <v>4</v>
      </c>
      <c r="AD431" s="48">
        <f>Tabell2[[#This Row],[ReisetidOslo-I]]*Vekter!$C$3</f>
        <v>1.6573668974454243</v>
      </c>
      <c r="AE431" s="48">
        <f>Tabell2[[#This Row],[Beftettotal-I]]*Vekter!$D$3</f>
        <v>9.4582175966736778E-2</v>
      </c>
      <c r="AF431" s="48">
        <f>Tabell2[[#This Row],[Befvekst10-I]]*Vekter!$E$3</f>
        <v>11.564342511227158</v>
      </c>
      <c r="AG431" s="48">
        <f>Tabell2[[#This Row],[Kvinneandel-I]]*Vekter!$F$3</f>
        <v>4.7283739994627618</v>
      </c>
      <c r="AH431" s="48">
        <f>Tabell2[[#This Row],[Eldreandel-I]]*Vekter!$G$3</f>
        <v>4.0828071265558359</v>
      </c>
      <c r="AI431" s="48">
        <f>Tabell2[[#This Row],[Sysselsettingsvekst10-I]]*Vekter!$H$3</f>
        <v>10</v>
      </c>
      <c r="AJ431" s="48">
        <f>Tabell2[[#This Row],[Yrkesaktivandel-I]]*Vekter!$J$3</f>
        <v>4.7888965821968146</v>
      </c>
      <c r="AK431" s="48">
        <f>Tabell2[[#This Row],[Inntekt-I]]*Vekter!$L$3</f>
        <v>6.3535772664403369</v>
      </c>
      <c r="AL431" s="37">
        <f>SUM(Tabell2[[#This Row],[NIBR11-v]:[Inntekt-v]])</f>
        <v>47.269946559295065</v>
      </c>
    </row>
    <row r="434" spans="1:21">
      <c r="A434" s="10" t="s">
        <v>457</v>
      </c>
      <c r="B434" s="10">
        <f>PERCENTILE(Tabell2[NIBR11],0.1)</f>
        <v>1</v>
      </c>
      <c r="C434" s="27">
        <f>PERCENTILE(Tabell2[ReisetidOslo],0.1)</f>
        <v>53.805284539509998</v>
      </c>
      <c r="D434" s="27">
        <f>PERCENTILE(Tabell2[Beftettotal],0.1)</f>
        <v>1.3397285732306117</v>
      </c>
      <c r="E434" s="27">
        <f>PERCENTILE(Tabell2[Befvekst10],0.1)</f>
        <v>-8.0785862785862778E-2</v>
      </c>
      <c r="F434" s="28">
        <f>PERCENTILE(Tabell2[Kvinneandel],0.1)</f>
        <v>9.0262917071501733E-2</v>
      </c>
      <c r="G434" s="28">
        <f>PERCENTILE(Tabell2[Eldreandel],0.1)</f>
        <v>0.1200928231908705</v>
      </c>
      <c r="H434" s="28">
        <f>PERCENTILE(Tabell2[Sysselsettingsvekst10],0.1)</f>
        <v>-6.8692498376029434E-2</v>
      </c>
      <c r="I434" s="28">
        <f>PERCENTILE(Tabell2[Yrkesaktivandel],0.1)</f>
        <v>0.82803562853509294</v>
      </c>
      <c r="J434" s="29">
        <f>PERCENTILE(Tabell2[Inntekt],0.1)</f>
        <v>320470</v>
      </c>
      <c r="K434" s="29">
        <f>PERCENTILE(Tabell2[NIBR11-T],0.1)</f>
        <v>1</v>
      </c>
      <c r="L434" s="29">
        <f>PERCENTILE(Tabell2[ReisetidOslo-T],0.1)</f>
        <v>53.909870081892997</v>
      </c>
      <c r="M434" s="29">
        <f>PERCENTILE(Tabell2[Beftettotal-T],0.1)</f>
        <v>1.3584444699078702</v>
      </c>
      <c r="N434" s="32">
        <f>PERCENTILE(Tabell2[Befvekst10-T],0.1)</f>
        <v>-8.0697297297297299E-2</v>
      </c>
      <c r="O434" s="32">
        <f>PERCENTILE(Tabell2[Kvinneandel-T],0.1)</f>
        <v>9.0334911459007294E-2</v>
      </c>
      <c r="P434" s="32">
        <f>PERCENTILE(Tabell2[Eldreandel-T],0.1)</f>
        <v>0.12009485124241892</v>
      </c>
      <c r="Q434" s="32">
        <f>PERCENTILE(Tabell2[Sysselsettingsvekst10-T],0.1)</f>
        <v>-6.8599439263501316E-2</v>
      </c>
      <c r="R434" s="32">
        <f>PERCENTILE(Tabell2[Yrkesaktivandel-T],0.1)</f>
        <v>0.82828963506797104</v>
      </c>
      <c r="S434" s="29">
        <f>PERCENTILE(Tabell2[Inntekt-T],0.1)</f>
        <v>320491</v>
      </c>
      <c r="T434" s="34"/>
      <c r="U434" s="34"/>
    </row>
    <row r="435" spans="1:21">
      <c r="A435" s="10" t="s">
        <v>458</v>
      </c>
      <c r="B435" s="10">
        <f>PERCENTILE(Tabell2[NIBR11],0.9)</f>
        <v>11</v>
      </c>
      <c r="C435" s="27">
        <f>PERCENTILE(Tabell2[ReisetidOslo],0.9)</f>
        <v>279.05557553043002</v>
      </c>
      <c r="D435" s="27">
        <f>PERCENTILE(Tabell2[Beftettotal],0.9)</f>
        <v>128.29773514779066</v>
      </c>
      <c r="E435" s="27">
        <f>PERCENTILE(Tabell2[Befvekst10],0.9)</f>
        <v>0.16633778614624492</v>
      </c>
      <c r="F435" s="28">
        <f>PERCENTILE(Tabell2[Kvinneandel],0.9)</f>
        <v>0.12801731869362362</v>
      </c>
      <c r="G435" s="28">
        <f>PERCENTILE(Tabell2[Eldreandel],0.9)</f>
        <v>0.20830063331569054</v>
      </c>
      <c r="H435" s="28">
        <f>PERCENTILE(Tabell2[Sysselsettingsvekst10],0.9)</f>
        <v>0.24286196513786068</v>
      </c>
      <c r="I435" s="28">
        <f>PERCENTILE(Tabell2[Yrkesaktivandel],0.9)</f>
        <v>0.96217815624658265</v>
      </c>
      <c r="J435" s="29">
        <f>PERCENTILE(Tabell2[Inntekt],0.9)</f>
        <v>400000</v>
      </c>
      <c r="K435" s="29">
        <f>PERCENTILE(Tabell2[NIBR11-T],0.9)</f>
        <v>11</v>
      </c>
      <c r="L435" s="29">
        <f>PERCENTILE(Tabell2[ReisetidOslo-T],0.9)</f>
        <v>278.58875611734902</v>
      </c>
      <c r="M435" s="29">
        <f>PERCENTILE(Tabell2[Beftettotal-T],0.9)</f>
        <v>128.24227809478955</v>
      </c>
      <c r="N435" s="32">
        <f>PERCENTILE(Tabell2[Befvekst10-T],0.9)</f>
        <v>0.16598450709514703</v>
      </c>
      <c r="O435" s="32">
        <f>PERCENTILE(Tabell2[Kvinneandel-T],0.9)</f>
        <v>0.12794296603012278</v>
      </c>
      <c r="P435" s="32">
        <f>PERCENTILE(Tabell2[Eldreandel-T],0.9)</f>
        <v>0.2082239783906116</v>
      </c>
      <c r="Q435" s="32">
        <f>PERCENTILE(Tabell2[Sysselsettingsvekst10-T],0.9)</f>
        <v>0.2421057789536252</v>
      </c>
      <c r="R435" s="32">
        <f>PERCENTILE(Tabell2[Yrkesaktivandel-T],0.9)</f>
        <v>0.96208645434953544</v>
      </c>
      <c r="S435" s="29">
        <f>PERCENTILE(Tabell2[Inntekt-T],0.9)</f>
        <v>399790</v>
      </c>
      <c r="T435" s="34"/>
      <c r="U435" s="34"/>
    </row>
    <row r="436" spans="1:21">
      <c r="A436" s="10" t="s">
        <v>459</v>
      </c>
      <c r="B436" s="10">
        <f>MAXA(Tabell2[NIBR11])</f>
        <v>11</v>
      </c>
      <c r="C436" s="27">
        <f>MAXA(Tabell2[ReisetidOslo])</f>
        <v>443.67728289000001</v>
      </c>
      <c r="D436" s="27">
        <f>MAXA(Tabell2[Beftettotal])</f>
        <v>1832.571829011913</v>
      </c>
      <c r="E436" s="27">
        <f>MAXA(Tabell2[Befvekst10])</f>
        <v>0.4369900271985494</v>
      </c>
      <c r="F436" s="28">
        <f>MAXA(Tabell2[Kvinneandel])</f>
        <v>0.18402806783059059</v>
      </c>
      <c r="G436" s="28">
        <f>MAXA(Tabell2[Eldreandel])</f>
        <v>0.26978417266187049</v>
      </c>
      <c r="H436" s="28">
        <f>MAXA(Tabell2[Sysselsettingsvekst10])</f>
        <v>0.78535724786827399</v>
      </c>
      <c r="I436" s="28">
        <f>MAXA(Tabell2[Yrkesaktivandel])</f>
        <v>1.0382262996941896</v>
      </c>
      <c r="J436" s="29">
        <f>MAXA(Tabell2[Inntekt])</f>
        <v>528500</v>
      </c>
      <c r="K436" s="29">
        <f>MAXA(Tabell2[NIBR11-T])</f>
        <v>11</v>
      </c>
      <c r="L436" s="29">
        <f>MAXA(Tabell2[ReisetidOslo-T])</f>
        <v>279.05557553043002</v>
      </c>
      <c r="M436" s="29">
        <f>MAXA(Tabell2[Beftettotal-T])</f>
        <v>128.29773514779066</v>
      </c>
      <c r="N436" s="32">
        <f>MAXA(Tabell2[Befvekst10-T])</f>
        <v>0.16633778614624492</v>
      </c>
      <c r="O436" s="32">
        <f>MAXA(Tabell2[Kvinneandel-T])</f>
        <v>0.12801731869362362</v>
      </c>
      <c r="P436" s="32">
        <f>MAXA(Tabell2[Eldreandel-T])</f>
        <v>0.20830063331569054</v>
      </c>
      <c r="Q436" s="32">
        <f>MAXA(Tabell2[Sysselsettingsvekst10-T])</f>
        <v>0.24286196513786068</v>
      </c>
      <c r="R436" s="32">
        <f>MAXA(Tabell2[Yrkesaktivandel-T])</f>
        <v>0.96217815624658265</v>
      </c>
      <c r="S436" s="29">
        <f>MAXA(Tabell2[Inntekt-T])</f>
        <v>400000</v>
      </c>
      <c r="T436" s="34"/>
      <c r="U436" s="34"/>
    </row>
    <row r="437" spans="1:21">
      <c r="A437" s="10" t="s">
        <v>460</v>
      </c>
      <c r="B437" s="10">
        <f>MINA(Tabell2[NIBR11])</f>
        <v>1</v>
      </c>
      <c r="C437" s="27">
        <f>MINA(Tabell2[ReisetidOslo])</f>
        <v>1.4215456179399999</v>
      </c>
      <c r="D437" s="27">
        <f>MINA(Tabell2[Beftettotal])</f>
        <v>0.30193647281335567</v>
      </c>
      <c r="E437" s="27">
        <f>MINA(Tabell2[Befvekst10])</f>
        <v>-0.2063369397217929</v>
      </c>
      <c r="F437" s="28">
        <f>MINA(Tabell2[Kvinneandel])</f>
        <v>7.4047447879223585E-2</v>
      </c>
      <c r="G437" s="28">
        <f>MINA(Tabell2[Eldreandel])</f>
        <v>7.5196606874613409E-2</v>
      </c>
      <c r="H437" s="28">
        <f>MINA(Tabell2[Sysselsettingsvekst10])</f>
        <v>-0.28937160589604349</v>
      </c>
      <c r="I437" s="28">
        <f>MINA(Tabell2[Yrkesaktivandel])</f>
        <v>0.74251115360101971</v>
      </c>
      <c r="J437" s="29">
        <f>MINA(Tabell2[Inntekt])</f>
        <v>283200</v>
      </c>
      <c r="K437" s="29">
        <f>MINA(Tabell2[NIBR11-T])</f>
        <v>1</v>
      </c>
      <c r="L437" s="29">
        <f>MINA(Tabell2[ReisetidOslo-T])</f>
        <v>53.805284539509998</v>
      </c>
      <c r="M437" s="29">
        <f>MINA(Tabell2[Beftettotal-T])</f>
        <v>1.3397285732306117</v>
      </c>
      <c r="N437" s="32">
        <f>MINA(Tabell2[Befvekst10-T])</f>
        <v>-8.0785862785862778E-2</v>
      </c>
      <c r="O437" s="32">
        <f>MINA(Tabell2[Kvinneandel-T])</f>
        <v>9.0262917071501733E-2</v>
      </c>
      <c r="P437" s="32">
        <f>MINA(Tabell2[Eldreandel-T])</f>
        <v>0.1200928231908705</v>
      </c>
      <c r="Q437" s="32">
        <f>MINA(Tabell2[Sysselsettingsvekst10-T])</f>
        <v>-6.8692498376029434E-2</v>
      </c>
      <c r="R437" s="32">
        <f>MINA(Tabell2[Yrkesaktivandel-T])</f>
        <v>0.82803562853509294</v>
      </c>
      <c r="S437" s="29">
        <f>MINA(Tabell2[Inntekt-T])</f>
        <v>320470</v>
      </c>
      <c r="T437" s="34"/>
      <c r="U437" s="34"/>
    </row>
    <row r="438" spans="1:21">
      <c r="A438" s="10" t="s">
        <v>461</v>
      </c>
      <c r="B438" s="30">
        <f>AVERAGE(Tabell2[NIBR11])</f>
        <v>5.8901869158878508</v>
      </c>
      <c r="C438" s="27">
        <f>AVERAGE(Tabell2[ReisetidOslo])</f>
        <v>185.55495593277917</v>
      </c>
      <c r="D438" s="27">
        <f>AVERAGE(Tabell2[Beftettotal])</f>
        <v>55.088739815997222</v>
      </c>
      <c r="E438" s="27">
        <f>AVERAGE(Tabell2[Befvekst10])</f>
        <v>3.7147793147974867E-2</v>
      </c>
      <c r="F438" s="28">
        <f>AVERAGE(Tabell2[Kvinneandel])</f>
        <v>0.10910676334564118</v>
      </c>
      <c r="G438" s="28">
        <f>AVERAGE(Tabell2[Eldreandel])</f>
        <v>0.16455076257084417</v>
      </c>
      <c r="H438" s="28">
        <f>AVERAGE(Tabell2[Sysselsettingsvekst10])</f>
        <v>8.3201349019921295E-2</v>
      </c>
      <c r="I438" s="28">
        <f>AVERAGE(Tabell2[Yrkesaktivandel])</f>
        <v>0.89138673773456001</v>
      </c>
      <c r="J438" s="29">
        <f>AVERAGE(Tabell2[Inntekt])</f>
        <v>357681.30841121497</v>
      </c>
      <c r="K438" s="29">
        <f>AVERAGE(Tabell2[NIBR11-T])</f>
        <v>5.8901869158878508</v>
      </c>
      <c r="L438" s="29">
        <f>AVERAGE(Tabell2[ReisetidOslo-T])</f>
        <v>183.42051220039747</v>
      </c>
      <c r="M438" s="29">
        <f>AVERAGE(Tabell2[Beftettotal-T])</f>
        <v>29.506147519361491</v>
      </c>
      <c r="N438" s="32">
        <f>AVERAGE(Tabell2[Befvekst10-T])</f>
        <v>3.3592608196299681E-2</v>
      </c>
      <c r="O438" s="32">
        <f>AVERAGE(Tabell2[Kvinneandel-T])</f>
        <v>0.10883676182263972</v>
      </c>
      <c r="P438" s="32">
        <f>AVERAGE(Tabell2[Eldreandel-T])</f>
        <v>0.16417251855702555</v>
      </c>
      <c r="Q438" s="32">
        <f>AVERAGE(Tabell2[Sysselsettingsvekst10-T])</f>
        <v>7.8160121186721623E-2</v>
      </c>
      <c r="R438" s="32">
        <f>AVERAGE(Tabell2[Yrkesaktivandel-T])</f>
        <v>0.89159748276007822</v>
      </c>
      <c r="S438" s="29">
        <f>AVERAGE(Tabell2[Inntekt-T])</f>
        <v>355636.23831775703</v>
      </c>
      <c r="T438" s="34"/>
      <c r="U438" s="34"/>
    </row>
    <row r="439" spans="1:21">
      <c r="A439" s="10" t="s">
        <v>477</v>
      </c>
      <c r="B439" s="10">
        <f>B436-B437</f>
        <v>10</v>
      </c>
      <c r="C439" s="10">
        <f t="shared" ref="C439:S439" si="0">C436-C437</f>
        <v>442.25573727206</v>
      </c>
      <c r="D439" s="10">
        <f t="shared" ref="D439" si="1">D436-D437</f>
        <v>1832.2698925390996</v>
      </c>
      <c r="E439" s="10">
        <f t="shared" ref="E439" si="2">E436-E437</f>
        <v>0.6433269669203423</v>
      </c>
      <c r="F439" s="10">
        <f t="shared" si="0"/>
        <v>0.109980619951367</v>
      </c>
      <c r="G439" s="10">
        <f t="shared" si="0"/>
        <v>0.19458756578725708</v>
      </c>
      <c r="H439" s="10">
        <f t="shared" si="0"/>
        <v>1.0747288537643174</v>
      </c>
      <c r="I439" s="10">
        <f t="shared" si="0"/>
        <v>0.29571514609316985</v>
      </c>
      <c r="J439" s="10">
        <f t="shared" si="0"/>
        <v>245300</v>
      </c>
      <c r="K439" s="10">
        <f t="shared" si="0"/>
        <v>10</v>
      </c>
      <c r="L439" s="10">
        <f t="shared" si="0"/>
        <v>225.25029099092001</v>
      </c>
      <c r="M439" s="10">
        <f t="shared" ref="M439" si="3">M436-M437</f>
        <v>126.95800657456005</v>
      </c>
      <c r="N439" s="10">
        <f t="shared" si="0"/>
        <v>0.2471236489321077</v>
      </c>
      <c r="O439" s="10">
        <f t="shared" si="0"/>
        <v>3.7754401622121889E-2</v>
      </c>
      <c r="P439" s="10">
        <f t="shared" si="0"/>
        <v>8.8207810124820041E-2</v>
      </c>
      <c r="Q439" s="10">
        <f t="shared" si="0"/>
        <v>0.3115544635138901</v>
      </c>
      <c r="R439" s="10">
        <f t="shared" si="0"/>
        <v>0.13414252771148971</v>
      </c>
      <c r="S439" s="10">
        <f t="shared" si="0"/>
        <v>79530</v>
      </c>
    </row>
  </sheetData>
  <mergeCells count="16">
    <mergeCell ref="AC1:AK1"/>
    <mergeCell ref="B1:J1"/>
    <mergeCell ref="K1:S1"/>
    <mergeCell ref="T1:AB1"/>
    <mergeCell ref="B2:D2"/>
    <mergeCell ref="E2:G2"/>
    <mergeCell ref="H2:I2"/>
    <mergeCell ref="K2:M2"/>
    <mergeCell ref="N2:P2"/>
    <mergeCell ref="Q2:R2"/>
    <mergeCell ref="T2:V2"/>
    <mergeCell ref="W2:Y2"/>
    <mergeCell ref="Z2:AA2"/>
    <mergeCell ref="AC2:AE2"/>
    <mergeCell ref="AF2:AH2"/>
    <mergeCell ref="AI2:AJ2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selection activeCell="E7" sqref="E7"/>
    </sheetView>
  </sheetViews>
  <sheetFormatPr baseColWidth="10" defaultRowHeight="15"/>
  <cols>
    <col min="1" max="1" width="17.140625" bestFit="1" customWidth="1"/>
    <col min="2" max="2" width="7.7109375" bestFit="1" customWidth="1"/>
    <col min="3" max="3" width="8.28515625" bestFit="1" customWidth="1"/>
    <col min="4" max="4" width="14.42578125" bestFit="1" customWidth="1"/>
    <col min="5" max="5" width="10.7109375" bestFit="1" customWidth="1"/>
    <col min="6" max="6" width="12.140625" bestFit="1" customWidth="1"/>
    <col min="7" max="7" width="10.5703125" bestFit="1" customWidth="1"/>
    <col min="8" max="8" width="20.28515625" bestFit="1" customWidth="1"/>
    <col min="9" max="9" width="13.5703125" customWidth="1"/>
    <col min="10" max="10" width="15" bestFit="1" customWidth="1"/>
    <col min="11" max="11" width="15" customWidth="1"/>
    <col min="12" max="12" width="7.85546875" bestFit="1" customWidth="1"/>
    <col min="13" max="13" width="9.140625" bestFit="1" customWidth="1"/>
  </cols>
  <sheetData>
    <row r="1" spans="1:13">
      <c r="A1" s="12" t="s">
        <v>452</v>
      </c>
      <c r="B1" s="93" t="s">
        <v>439</v>
      </c>
      <c r="C1" s="93"/>
      <c r="D1" s="93"/>
      <c r="E1" s="94" t="s">
        <v>449</v>
      </c>
      <c r="F1" s="94"/>
      <c r="G1" s="94"/>
      <c r="H1" s="95" t="s">
        <v>450</v>
      </c>
      <c r="I1" s="95"/>
      <c r="J1" s="95"/>
      <c r="K1" s="95"/>
      <c r="L1" s="21" t="s">
        <v>451</v>
      </c>
      <c r="M1" s="11"/>
    </row>
    <row r="2" spans="1:13">
      <c r="A2" s="12" t="s">
        <v>435</v>
      </c>
      <c r="B2" s="14" t="s">
        <v>434</v>
      </c>
      <c r="C2" s="14" t="s">
        <v>436</v>
      </c>
      <c r="D2" s="14" t="s">
        <v>441</v>
      </c>
      <c r="E2" s="16" t="s">
        <v>442</v>
      </c>
      <c r="F2" s="16" t="s">
        <v>443</v>
      </c>
      <c r="G2" s="16" t="s">
        <v>444</v>
      </c>
      <c r="H2" s="18" t="s">
        <v>445</v>
      </c>
      <c r="I2" s="18" t="s">
        <v>447</v>
      </c>
      <c r="J2" s="18" t="s">
        <v>446</v>
      </c>
      <c r="K2" s="18" t="s">
        <v>448</v>
      </c>
      <c r="L2" s="20" t="s">
        <v>437</v>
      </c>
      <c r="M2" s="12" t="s">
        <v>438</v>
      </c>
    </row>
    <row r="3" spans="1:13">
      <c r="A3" s="12" t="s">
        <v>490</v>
      </c>
      <c r="B3" s="13">
        <v>0.2</v>
      </c>
      <c r="C3" s="13">
        <v>0.1</v>
      </c>
      <c r="D3" s="13">
        <v>0.1</v>
      </c>
      <c r="E3" s="15">
        <v>0.2</v>
      </c>
      <c r="F3" s="15">
        <v>0.05</v>
      </c>
      <c r="G3" s="15">
        <v>0.05</v>
      </c>
      <c r="H3" s="17">
        <v>0.1</v>
      </c>
      <c r="I3" s="17"/>
      <c r="J3" s="17">
        <v>0.1</v>
      </c>
      <c r="K3" s="17"/>
      <c r="L3" s="19">
        <v>0.1</v>
      </c>
      <c r="M3" s="11">
        <f>SUM(B3:L3)</f>
        <v>1.0000000000000002</v>
      </c>
    </row>
  </sheetData>
  <mergeCells count="3">
    <mergeCell ref="B1:D1"/>
    <mergeCell ref="E1:G1"/>
    <mergeCell ref="H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Rådata-K</vt:lpstr>
      <vt:lpstr>Arbeidsark-K</vt:lpstr>
      <vt:lpstr>Vekter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Halvard Dahle Lægreid</cp:lastModifiedBy>
  <cp:lastPrinted>2013-05-10T12:05:29Z</cp:lastPrinted>
  <dcterms:created xsi:type="dcterms:W3CDTF">2012-11-12T08:19:16Z</dcterms:created>
  <dcterms:modified xsi:type="dcterms:W3CDTF">2015-01-06T09:47:22Z</dcterms:modified>
</cp:coreProperties>
</file>