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9440" windowHeight="10110" activeTab="1"/>
  </bookViews>
  <sheets>
    <sheet name="Råark" sheetId="1" r:id="rId1"/>
    <sheet name="Arbeidsark-BA" sheetId="2" r:id="rId2"/>
  </sheets>
  <calcPr calcId="125725"/>
</workbook>
</file>

<file path=xl/calcChain.xml><?xml version="1.0" encoding="utf-8"?>
<calcChain xmlns="http://schemas.openxmlformats.org/spreadsheetml/2006/main">
  <c r="K6" i="2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S3" i="1"/>
  <c r="J6" i="2" s="1"/>
  <c r="S4" i="1"/>
  <c r="J7" i="2" s="1"/>
  <c r="S5" i="1"/>
  <c r="J8" i="2" s="1"/>
  <c r="S6" i="1"/>
  <c r="J9" i="2" s="1"/>
  <c r="S7" i="1"/>
  <c r="J10" i="2" s="1"/>
  <c r="S8" i="1"/>
  <c r="J11" i="2" s="1"/>
  <c r="S9" i="1"/>
  <c r="J12" i="2" s="1"/>
  <c r="S10" i="1"/>
  <c r="J13" i="2" s="1"/>
  <c r="S11" i="1"/>
  <c r="J14" i="2" s="1"/>
  <c r="S12" i="1"/>
  <c r="J15" i="2" s="1"/>
  <c r="S13" i="1"/>
  <c r="J16" i="2" s="1"/>
  <c r="S14" i="1"/>
  <c r="J17" i="2" s="1"/>
  <c r="S15" i="1"/>
  <c r="J18" i="2" s="1"/>
  <c r="S16" i="1"/>
  <c r="J19" i="2" s="1"/>
  <c r="S17" i="1"/>
  <c r="J20" i="2" s="1"/>
  <c r="S18" i="1"/>
  <c r="J21" i="2" s="1"/>
  <c r="S19" i="1"/>
  <c r="J22" i="2" s="1"/>
  <c r="S20" i="1"/>
  <c r="J23" i="2" s="1"/>
  <c r="S21" i="1"/>
  <c r="J24" i="2" s="1"/>
  <c r="S22" i="1"/>
  <c r="J25" i="2" s="1"/>
  <c r="S23" i="1"/>
  <c r="J26" i="2" s="1"/>
  <c r="S24" i="1"/>
  <c r="J27" i="2" s="1"/>
  <c r="S25" i="1"/>
  <c r="J28" i="2" s="1"/>
  <c r="S26" i="1"/>
  <c r="J29" i="2" s="1"/>
  <c r="S27" i="1"/>
  <c r="J30" i="2" s="1"/>
  <c r="S28" i="1"/>
  <c r="J31" i="2" s="1"/>
  <c r="S29" i="1"/>
  <c r="J32" i="2" s="1"/>
  <c r="S30" i="1"/>
  <c r="J33" i="2" s="1"/>
  <c r="S31" i="1"/>
  <c r="J34" i="2" s="1"/>
  <c r="S32" i="1"/>
  <c r="J35" i="2" s="1"/>
  <c r="S33" i="1"/>
  <c r="J36" i="2" s="1"/>
  <c r="S34" i="1"/>
  <c r="J37" i="2" s="1"/>
  <c r="S35" i="1"/>
  <c r="J38" i="2" s="1"/>
  <c r="S36" i="1"/>
  <c r="J39" i="2" s="1"/>
  <c r="S37" i="1"/>
  <c r="J40" i="2" s="1"/>
  <c r="S38" i="1"/>
  <c r="J41" i="2" s="1"/>
  <c r="S39" i="1"/>
  <c r="J42" i="2" s="1"/>
  <c r="S40" i="1"/>
  <c r="J43" i="2" s="1"/>
  <c r="S41" i="1"/>
  <c r="J44" i="2" s="1"/>
  <c r="S42" i="1"/>
  <c r="J45" i="2" s="1"/>
  <c r="S43" i="1"/>
  <c r="J46" i="2" s="1"/>
  <c r="S44" i="1"/>
  <c r="J47" i="2" s="1"/>
  <c r="S45" i="1"/>
  <c r="J48" i="2" s="1"/>
  <c r="S46" i="1"/>
  <c r="J49" i="2" s="1"/>
  <c r="S47" i="1"/>
  <c r="J50" i="2" s="1"/>
  <c r="S48" i="1"/>
  <c r="J51" i="2" s="1"/>
  <c r="S49" i="1"/>
  <c r="J52" i="2" s="1"/>
  <c r="S50" i="1"/>
  <c r="J53" i="2" s="1"/>
  <c r="S51" i="1"/>
  <c r="J54" i="2" s="1"/>
  <c r="S52" i="1"/>
  <c r="J55" i="2" s="1"/>
  <c r="S53" i="1"/>
  <c r="J56" i="2" s="1"/>
  <c r="S54" i="1"/>
  <c r="J57" i="2" s="1"/>
  <c r="S55" i="1"/>
  <c r="J58" i="2" s="1"/>
  <c r="S56" i="1"/>
  <c r="J59" i="2" s="1"/>
  <c r="S57" i="1"/>
  <c r="J60" i="2" s="1"/>
  <c r="S58" i="1"/>
  <c r="J61" i="2" s="1"/>
  <c r="S59" i="1"/>
  <c r="J62" i="2" s="1"/>
  <c r="S60" i="1"/>
  <c r="J63" i="2" s="1"/>
  <c r="S61" i="1"/>
  <c r="J64" i="2" s="1"/>
  <c r="S62" i="1"/>
  <c r="J65" i="2" s="1"/>
  <c r="S63" i="1"/>
  <c r="J66" i="2" s="1"/>
  <c r="S64" i="1"/>
  <c r="J67" i="2" s="1"/>
  <c r="S65" i="1"/>
  <c r="J68" i="2" s="1"/>
  <c r="S66" i="1"/>
  <c r="J69" i="2" s="1"/>
  <c r="S67" i="1"/>
  <c r="J70" i="2" s="1"/>
  <c r="S68" i="1"/>
  <c r="J71" i="2" s="1"/>
  <c r="S69" i="1"/>
  <c r="J72" i="2" s="1"/>
  <c r="S70" i="1"/>
  <c r="J73" i="2" s="1"/>
  <c r="S71" i="1"/>
  <c r="J74" i="2" s="1"/>
  <c r="S72" i="1"/>
  <c r="J75" i="2" s="1"/>
  <c r="S73" i="1"/>
  <c r="J76" i="2" s="1"/>
  <c r="S74" i="1"/>
  <c r="J77" i="2" s="1"/>
  <c r="S75" i="1"/>
  <c r="J78" i="2" s="1"/>
  <c r="S76" i="1"/>
  <c r="J79" i="2" s="1"/>
  <c r="S77" i="1"/>
  <c r="J80" i="2" s="1"/>
  <c r="S78" i="1"/>
  <c r="J81" i="2" s="1"/>
  <c r="S79" i="1"/>
  <c r="J82" i="2" s="1"/>
  <c r="S80" i="1"/>
  <c r="J83" i="2" s="1"/>
  <c r="S81" i="1"/>
  <c r="J84" i="2" s="1"/>
  <c r="S82" i="1"/>
  <c r="J85" i="2" s="1"/>
  <c r="S83" i="1"/>
  <c r="J86" i="2" s="1"/>
  <c r="S84" i="1"/>
  <c r="J87" i="2" s="1"/>
  <c r="S85" i="1"/>
  <c r="J88" i="2" s="1"/>
  <c r="S86" i="1"/>
  <c r="J89" i="2" s="1"/>
  <c r="S87" i="1"/>
  <c r="J90" i="2" s="1"/>
  <c r="S88" i="1"/>
  <c r="J91" i="2" s="1"/>
  <c r="S89" i="1"/>
  <c r="J92" i="2" s="1"/>
  <c r="S90" i="1"/>
  <c r="J93" i="2" s="1"/>
  <c r="S91" i="1"/>
  <c r="J94" i="2" s="1"/>
  <c r="S92" i="1"/>
  <c r="J95" i="2" s="1"/>
  <c r="S93" i="1"/>
  <c r="J96" i="2" s="1"/>
  <c r="S94" i="1"/>
  <c r="J97" i="2" s="1"/>
  <c r="S95" i="1"/>
  <c r="J98" i="2" s="1"/>
  <c r="S96" i="1"/>
  <c r="J99" i="2" s="1"/>
  <c r="S97" i="1"/>
  <c r="J100" i="2" s="1"/>
  <c r="S98" i="1"/>
  <c r="J101" i="2" s="1"/>
  <c r="S99" i="1"/>
  <c r="J102" i="2" s="1"/>
  <c r="S100" i="1"/>
  <c r="J103" i="2" s="1"/>
  <c r="S101" i="1"/>
  <c r="J104" i="2" s="1"/>
  <c r="S102" i="1"/>
  <c r="J105" i="2" s="1"/>
  <c r="S103" i="1"/>
  <c r="J106" i="2" s="1"/>
  <c r="S104" i="1"/>
  <c r="J107" i="2" s="1"/>
  <c r="S105" i="1"/>
  <c r="J108" i="2" s="1"/>
  <c r="S106" i="1"/>
  <c r="J109" i="2" s="1"/>
  <c r="S107" i="1"/>
  <c r="J110" i="2" s="1"/>
  <c r="S108" i="1"/>
  <c r="J111" i="2" s="1"/>
  <c r="S109" i="1"/>
  <c r="J112" i="2" s="1"/>
  <c r="S110" i="1"/>
  <c r="J113" i="2" s="1"/>
  <c r="S111" i="1"/>
  <c r="J114" i="2" s="1"/>
  <c r="S112" i="1"/>
  <c r="J115" i="2" s="1"/>
  <c r="S113" i="1"/>
  <c r="J116" i="2" s="1"/>
  <c r="S114" i="1"/>
  <c r="J117" i="2" s="1"/>
  <c r="S115" i="1"/>
  <c r="J118" i="2" s="1"/>
  <c r="S116" i="1"/>
  <c r="J119" i="2" s="1"/>
  <c r="S117" i="1"/>
  <c r="J120" i="2" s="1"/>
  <c r="S118" i="1"/>
  <c r="J121" i="2" s="1"/>
  <c r="S119" i="1"/>
  <c r="J122" i="2" s="1"/>
  <c r="S120" i="1"/>
  <c r="J123" i="2" s="1"/>
  <c r="S121" i="1"/>
  <c r="J124" i="2" s="1"/>
  <c r="S122" i="1"/>
  <c r="J125" i="2" s="1"/>
  <c r="S123" i="1"/>
  <c r="J126" i="2" s="1"/>
  <c r="S124" i="1"/>
  <c r="J127" i="2" s="1"/>
  <c r="S125" i="1"/>
  <c r="J128" i="2" s="1"/>
  <c r="S126" i="1"/>
  <c r="J129" i="2" s="1"/>
  <c r="S127" i="1"/>
  <c r="J130" i="2" s="1"/>
  <c r="S128" i="1"/>
  <c r="J131" i="2" s="1"/>
  <c r="S129" i="1"/>
  <c r="J132" i="2" s="1"/>
  <c r="S130" i="1"/>
  <c r="J133" i="2" s="1"/>
  <c r="S131" i="1"/>
  <c r="J134" i="2" s="1"/>
  <c r="S132" i="1"/>
  <c r="J135" i="2" s="1"/>
  <c r="S133" i="1"/>
  <c r="J136" i="2" s="1"/>
  <c r="S134" i="1"/>
  <c r="J137" i="2" s="1"/>
  <c r="S135" i="1"/>
  <c r="J138" i="2" s="1"/>
  <c r="S136" i="1"/>
  <c r="J139" i="2" s="1"/>
  <c r="S137" i="1"/>
  <c r="J140" i="2" s="1"/>
  <c r="S138" i="1"/>
  <c r="J141" i="2" s="1"/>
  <c r="S139" i="1"/>
  <c r="J142" i="2" s="1"/>
  <c r="S140" i="1"/>
  <c r="J143" i="2" s="1"/>
  <c r="S141" i="1"/>
  <c r="J144" i="2" s="1"/>
  <c r="S142" i="1"/>
  <c r="J145" i="2" s="1"/>
  <c r="S143" i="1"/>
  <c r="J146" i="2" s="1"/>
  <c r="S144" i="1"/>
  <c r="J147" i="2" s="1"/>
  <c r="S145" i="1"/>
  <c r="J148" i="2" s="1"/>
  <c r="S146" i="1"/>
  <c r="J149" i="2" s="1"/>
  <c r="S147" i="1"/>
  <c r="J150" i="2" s="1"/>
  <c r="S148" i="1"/>
  <c r="J151" i="2" s="1"/>
  <c r="S149" i="1"/>
  <c r="J152" i="2" s="1"/>
  <c r="S150" i="1"/>
  <c r="J153" i="2" s="1"/>
  <c r="S151" i="1"/>
  <c r="J154" i="2" s="1"/>
  <c r="S152" i="1"/>
  <c r="J155" i="2" s="1"/>
  <c r="S153" i="1"/>
  <c r="J156" i="2" s="1"/>
  <c r="S154" i="1"/>
  <c r="J157" i="2" s="1"/>
  <c r="S155" i="1"/>
  <c r="J158" i="2" s="1"/>
  <c r="S156" i="1"/>
  <c r="J159" i="2" s="1"/>
  <c r="S157" i="1"/>
  <c r="J160" i="2" s="1"/>
  <c r="S158" i="1"/>
  <c r="J161" i="2" s="1"/>
  <c r="S159" i="1"/>
  <c r="J162" i="2" s="1"/>
  <c r="S160" i="1"/>
  <c r="J163" i="2" s="1"/>
  <c r="S161" i="1"/>
  <c r="J164" i="2" s="1"/>
  <c r="S162" i="1"/>
  <c r="J165" i="2" s="1"/>
  <c r="R3" i="1"/>
  <c r="I6" i="2" s="1"/>
  <c r="R4" i="1"/>
  <c r="I7" i="2" s="1"/>
  <c r="R5" i="1"/>
  <c r="I8" i="2" s="1"/>
  <c r="R6" i="1"/>
  <c r="I9" i="2" s="1"/>
  <c r="R7" i="1"/>
  <c r="I10" i="2" s="1"/>
  <c r="R8" i="1"/>
  <c r="I11" i="2" s="1"/>
  <c r="R9" i="1"/>
  <c r="I12" i="2" s="1"/>
  <c r="R10" i="1"/>
  <c r="I13" i="2" s="1"/>
  <c r="R11" i="1"/>
  <c r="I14" i="2" s="1"/>
  <c r="R12" i="1"/>
  <c r="I15" i="2" s="1"/>
  <c r="R13" i="1"/>
  <c r="I16" i="2" s="1"/>
  <c r="R14" i="1"/>
  <c r="I17" i="2" s="1"/>
  <c r="R15" i="1"/>
  <c r="I18" i="2" s="1"/>
  <c r="R16" i="1"/>
  <c r="I19" i="2" s="1"/>
  <c r="R17" i="1"/>
  <c r="I20" i="2" s="1"/>
  <c r="R18" i="1"/>
  <c r="I21" i="2" s="1"/>
  <c r="R19" i="1"/>
  <c r="I22" i="2" s="1"/>
  <c r="R20" i="1"/>
  <c r="I23" i="2" s="1"/>
  <c r="R21" i="1"/>
  <c r="I24" i="2" s="1"/>
  <c r="R22" i="1"/>
  <c r="I25" i="2" s="1"/>
  <c r="R23" i="1"/>
  <c r="I26" i="2" s="1"/>
  <c r="R24" i="1"/>
  <c r="I27" i="2" s="1"/>
  <c r="R25" i="1"/>
  <c r="I28" i="2" s="1"/>
  <c r="R26" i="1"/>
  <c r="I29" i="2" s="1"/>
  <c r="R27" i="1"/>
  <c r="I30" i="2" s="1"/>
  <c r="R28" i="1"/>
  <c r="I31" i="2" s="1"/>
  <c r="R29" i="1"/>
  <c r="I32" i="2" s="1"/>
  <c r="R30" i="1"/>
  <c r="I33" i="2" s="1"/>
  <c r="R31" i="1"/>
  <c r="I34" i="2" s="1"/>
  <c r="R32" i="1"/>
  <c r="I35" i="2" s="1"/>
  <c r="R33" i="1"/>
  <c r="I36" i="2" s="1"/>
  <c r="R34" i="1"/>
  <c r="I37" i="2" s="1"/>
  <c r="R35" i="1"/>
  <c r="I38" i="2" s="1"/>
  <c r="R36" i="1"/>
  <c r="I39" i="2" s="1"/>
  <c r="R37" i="1"/>
  <c r="I40" i="2" s="1"/>
  <c r="R38" i="1"/>
  <c r="I41" i="2" s="1"/>
  <c r="R39" i="1"/>
  <c r="I42" i="2" s="1"/>
  <c r="R40" i="1"/>
  <c r="I43" i="2" s="1"/>
  <c r="R41" i="1"/>
  <c r="I44" i="2" s="1"/>
  <c r="R42" i="1"/>
  <c r="I45" i="2" s="1"/>
  <c r="R43" i="1"/>
  <c r="I46" i="2" s="1"/>
  <c r="R44" i="1"/>
  <c r="I47" i="2" s="1"/>
  <c r="R45" i="1"/>
  <c r="I48" i="2" s="1"/>
  <c r="R46" i="1"/>
  <c r="I49" i="2" s="1"/>
  <c r="R47" i="1"/>
  <c r="I50" i="2" s="1"/>
  <c r="R48" i="1"/>
  <c r="I51" i="2" s="1"/>
  <c r="R49" i="1"/>
  <c r="I52" i="2" s="1"/>
  <c r="R50" i="1"/>
  <c r="I53" i="2" s="1"/>
  <c r="R51" i="1"/>
  <c r="I54" i="2" s="1"/>
  <c r="R52" i="1"/>
  <c r="I55" i="2" s="1"/>
  <c r="R53" i="1"/>
  <c r="I56" i="2" s="1"/>
  <c r="R54" i="1"/>
  <c r="I57" i="2" s="1"/>
  <c r="R55" i="1"/>
  <c r="I58" i="2" s="1"/>
  <c r="R56" i="1"/>
  <c r="I59" i="2" s="1"/>
  <c r="R57" i="1"/>
  <c r="I60" i="2" s="1"/>
  <c r="R58" i="1"/>
  <c r="I61" i="2" s="1"/>
  <c r="R59" i="1"/>
  <c r="I62" i="2" s="1"/>
  <c r="R60" i="1"/>
  <c r="I63" i="2" s="1"/>
  <c r="R61" i="1"/>
  <c r="I64" i="2" s="1"/>
  <c r="R62" i="1"/>
  <c r="I65" i="2" s="1"/>
  <c r="R63" i="1"/>
  <c r="I66" i="2" s="1"/>
  <c r="R64" i="1"/>
  <c r="I67" i="2" s="1"/>
  <c r="R65" i="1"/>
  <c r="I68" i="2" s="1"/>
  <c r="R66" i="1"/>
  <c r="I69" i="2" s="1"/>
  <c r="R67" i="1"/>
  <c r="I70" i="2" s="1"/>
  <c r="R68" i="1"/>
  <c r="I71" i="2" s="1"/>
  <c r="R69" i="1"/>
  <c r="I72" i="2" s="1"/>
  <c r="R70" i="1"/>
  <c r="I73" i="2" s="1"/>
  <c r="R71" i="1"/>
  <c r="I74" i="2" s="1"/>
  <c r="R72" i="1"/>
  <c r="I75" i="2" s="1"/>
  <c r="R73" i="1"/>
  <c r="I76" i="2" s="1"/>
  <c r="R74" i="1"/>
  <c r="I77" i="2" s="1"/>
  <c r="R75" i="1"/>
  <c r="I78" i="2" s="1"/>
  <c r="R76" i="1"/>
  <c r="I79" i="2" s="1"/>
  <c r="R77" i="1"/>
  <c r="I80" i="2" s="1"/>
  <c r="R78" i="1"/>
  <c r="I81" i="2" s="1"/>
  <c r="R79" i="1"/>
  <c r="I82" i="2" s="1"/>
  <c r="R80" i="1"/>
  <c r="I83" i="2" s="1"/>
  <c r="R81" i="1"/>
  <c r="I84" i="2" s="1"/>
  <c r="R82" i="1"/>
  <c r="I85" i="2" s="1"/>
  <c r="R83" i="1"/>
  <c r="I86" i="2" s="1"/>
  <c r="R84" i="1"/>
  <c r="I87" i="2" s="1"/>
  <c r="R85" i="1"/>
  <c r="I88" i="2" s="1"/>
  <c r="R86" i="1"/>
  <c r="I89" i="2" s="1"/>
  <c r="R87" i="1"/>
  <c r="I90" i="2" s="1"/>
  <c r="R88" i="1"/>
  <c r="I91" i="2" s="1"/>
  <c r="R89" i="1"/>
  <c r="I92" i="2" s="1"/>
  <c r="R90" i="1"/>
  <c r="I93" i="2" s="1"/>
  <c r="R91" i="1"/>
  <c r="I94" i="2" s="1"/>
  <c r="R92" i="1"/>
  <c r="I95" i="2" s="1"/>
  <c r="R93" i="1"/>
  <c r="I96" i="2" s="1"/>
  <c r="R94" i="1"/>
  <c r="I97" i="2" s="1"/>
  <c r="R95" i="1"/>
  <c r="I98" i="2" s="1"/>
  <c r="R96" i="1"/>
  <c r="I99" i="2" s="1"/>
  <c r="R97" i="1"/>
  <c r="I100" i="2" s="1"/>
  <c r="R98" i="1"/>
  <c r="I101" i="2" s="1"/>
  <c r="R99" i="1"/>
  <c r="I102" i="2" s="1"/>
  <c r="R100" i="1"/>
  <c r="I103" i="2" s="1"/>
  <c r="R101" i="1"/>
  <c r="I104" i="2" s="1"/>
  <c r="R102" i="1"/>
  <c r="I105" i="2" s="1"/>
  <c r="R103" i="1"/>
  <c r="I106" i="2" s="1"/>
  <c r="R104" i="1"/>
  <c r="I107" i="2" s="1"/>
  <c r="R105" i="1"/>
  <c r="I108" i="2" s="1"/>
  <c r="R106" i="1"/>
  <c r="I109" i="2" s="1"/>
  <c r="R107" i="1"/>
  <c r="I110" i="2" s="1"/>
  <c r="R108" i="1"/>
  <c r="I111" i="2" s="1"/>
  <c r="R109" i="1"/>
  <c r="I112" i="2" s="1"/>
  <c r="R110" i="1"/>
  <c r="I113" i="2" s="1"/>
  <c r="R111" i="1"/>
  <c r="I114" i="2" s="1"/>
  <c r="R112" i="1"/>
  <c r="I115" i="2" s="1"/>
  <c r="R113" i="1"/>
  <c r="I116" i="2" s="1"/>
  <c r="R114" i="1"/>
  <c r="I117" i="2" s="1"/>
  <c r="R115" i="1"/>
  <c r="I118" i="2" s="1"/>
  <c r="R116" i="1"/>
  <c r="I119" i="2" s="1"/>
  <c r="R117" i="1"/>
  <c r="I120" i="2" s="1"/>
  <c r="R118" i="1"/>
  <c r="I121" i="2" s="1"/>
  <c r="R119" i="1"/>
  <c r="I122" i="2" s="1"/>
  <c r="R120" i="1"/>
  <c r="I123" i="2" s="1"/>
  <c r="R121" i="1"/>
  <c r="I124" i="2" s="1"/>
  <c r="R122" i="1"/>
  <c r="I125" i="2" s="1"/>
  <c r="R123" i="1"/>
  <c r="I126" i="2" s="1"/>
  <c r="R124" i="1"/>
  <c r="I127" i="2" s="1"/>
  <c r="R125" i="1"/>
  <c r="I128" i="2" s="1"/>
  <c r="R126" i="1"/>
  <c r="I129" i="2" s="1"/>
  <c r="R127" i="1"/>
  <c r="I130" i="2" s="1"/>
  <c r="R128" i="1"/>
  <c r="I131" i="2" s="1"/>
  <c r="R129" i="1"/>
  <c r="I132" i="2" s="1"/>
  <c r="R130" i="1"/>
  <c r="I133" i="2" s="1"/>
  <c r="R131" i="1"/>
  <c r="I134" i="2" s="1"/>
  <c r="R132" i="1"/>
  <c r="I135" i="2" s="1"/>
  <c r="R133" i="1"/>
  <c r="I136" i="2" s="1"/>
  <c r="R134" i="1"/>
  <c r="I137" i="2" s="1"/>
  <c r="R135" i="1"/>
  <c r="I138" i="2" s="1"/>
  <c r="R136" i="1"/>
  <c r="I139" i="2" s="1"/>
  <c r="R137" i="1"/>
  <c r="I140" i="2" s="1"/>
  <c r="R138" i="1"/>
  <c r="I141" i="2" s="1"/>
  <c r="R139" i="1"/>
  <c r="I142" i="2" s="1"/>
  <c r="R140" i="1"/>
  <c r="I143" i="2" s="1"/>
  <c r="R141" i="1"/>
  <c r="I144" i="2" s="1"/>
  <c r="R142" i="1"/>
  <c r="I145" i="2" s="1"/>
  <c r="R143" i="1"/>
  <c r="I146" i="2" s="1"/>
  <c r="R144" i="1"/>
  <c r="I147" i="2" s="1"/>
  <c r="R145" i="1"/>
  <c r="I148" i="2" s="1"/>
  <c r="R146" i="1"/>
  <c r="I149" i="2" s="1"/>
  <c r="R147" i="1"/>
  <c r="I150" i="2" s="1"/>
  <c r="R148" i="1"/>
  <c r="I151" i="2" s="1"/>
  <c r="R149" i="1"/>
  <c r="I152" i="2" s="1"/>
  <c r="R150" i="1"/>
  <c r="I153" i="2" s="1"/>
  <c r="R151" i="1"/>
  <c r="I154" i="2" s="1"/>
  <c r="R152" i="1"/>
  <c r="I155" i="2" s="1"/>
  <c r="R153" i="1"/>
  <c r="I156" i="2" s="1"/>
  <c r="R154" i="1"/>
  <c r="I157" i="2" s="1"/>
  <c r="R155" i="1"/>
  <c r="I158" i="2" s="1"/>
  <c r="R156" i="1"/>
  <c r="I159" i="2" s="1"/>
  <c r="R157" i="1"/>
  <c r="I160" i="2" s="1"/>
  <c r="R158" i="1"/>
  <c r="I161" i="2" s="1"/>
  <c r="R159" i="1"/>
  <c r="I162" i="2" s="1"/>
  <c r="R160" i="1"/>
  <c r="I163" i="2" s="1"/>
  <c r="R161" i="1"/>
  <c r="I164" i="2" s="1"/>
  <c r="R162" i="1"/>
  <c r="I165" i="2" s="1"/>
  <c r="Q3" i="1"/>
  <c r="H6" i="2" s="1"/>
  <c r="Q4" i="1"/>
  <c r="H7" i="2" s="1"/>
  <c r="Q5" i="1"/>
  <c r="H8" i="2" s="1"/>
  <c r="Q6" i="1"/>
  <c r="H9" i="2" s="1"/>
  <c r="Q7" i="1"/>
  <c r="H10" i="2" s="1"/>
  <c r="Q8" i="1"/>
  <c r="H11" i="2" s="1"/>
  <c r="Q9" i="1"/>
  <c r="H12" i="2" s="1"/>
  <c r="Q10" i="1"/>
  <c r="H13" i="2" s="1"/>
  <c r="Q11" i="1"/>
  <c r="H14" i="2" s="1"/>
  <c r="Q12" i="1"/>
  <c r="H15" i="2" s="1"/>
  <c r="Q13" i="1"/>
  <c r="H16" i="2" s="1"/>
  <c r="Q14" i="1"/>
  <c r="H17" i="2" s="1"/>
  <c r="Q15" i="1"/>
  <c r="H18" i="2" s="1"/>
  <c r="Q16" i="1"/>
  <c r="H19" i="2" s="1"/>
  <c r="Q17" i="1"/>
  <c r="H20" i="2" s="1"/>
  <c r="Q18" i="1"/>
  <c r="H21" i="2" s="1"/>
  <c r="Q19" i="1"/>
  <c r="H22" i="2" s="1"/>
  <c r="Q20" i="1"/>
  <c r="H23" i="2" s="1"/>
  <c r="Q21" i="1"/>
  <c r="H24" i="2" s="1"/>
  <c r="Q22" i="1"/>
  <c r="H25" i="2" s="1"/>
  <c r="Q23" i="1"/>
  <c r="H26" i="2" s="1"/>
  <c r="Q24" i="1"/>
  <c r="H27" i="2" s="1"/>
  <c r="Q25" i="1"/>
  <c r="H28" i="2" s="1"/>
  <c r="Q26" i="1"/>
  <c r="H29" i="2" s="1"/>
  <c r="Q27" i="1"/>
  <c r="H30" i="2" s="1"/>
  <c r="Q28" i="1"/>
  <c r="H31" i="2" s="1"/>
  <c r="Q29" i="1"/>
  <c r="H32" i="2" s="1"/>
  <c r="Q30" i="1"/>
  <c r="H33" i="2" s="1"/>
  <c r="Q31" i="1"/>
  <c r="H34" i="2" s="1"/>
  <c r="Q32" i="1"/>
  <c r="H35" i="2" s="1"/>
  <c r="Q33" i="1"/>
  <c r="H36" i="2" s="1"/>
  <c r="Q34" i="1"/>
  <c r="H37" i="2" s="1"/>
  <c r="Q35" i="1"/>
  <c r="H38" i="2" s="1"/>
  <c r="Q36" i="1"/>
  <c r="H39" i="2" s="1"/>
  <c r="Q37" i="1"/>
  <c r="H40" i="2" s="1"/>
  <c r="Q38" i="1"/>
  <c r="H41" i="2" s="1"/>
  <c r="Q39" i="1"/>
  <c r="H42" i="2" s="1"/>
  <c r="Q40" i="1"/>
  <c r="H43" i="2" s="1"/>
  <c r="Q41" i="1"/>
  <c r="H44" i="2" s="1"/>
  <c r="Q42" i="1"/>
  <c r="H45" i="2" s="1"/>
  <c r="Q43" i="1"/>
  <c r="H46" i="2" s="1"/>
  <c r="Q44" i="1"/>
  <c r="H47" i="2" s="1"/>
  <c r="Q45" i="1"/>
  <c r="H48" i="2" s="1"/>
  <c r="Q46" i="1"/>
  <c r="H49" i="2" s="1"/>
  <c r="Q47" i="1"/>
  <c r="H50" i="2" s="1"/>
  <c r="Q48" i="1"/>
  <c r="H51" i="2" s="1"/>
  <c r="Q49" i="1"/>
  <c r="H52" i="2" s="1"/>
  <c r="Q50" i="1"/>
  <c r="H53" i="2" s="1"/>
  <c r="Q51" i="1"/>
  <c r="H54" i="2" s="1"/>
  <c r="Q52" i="1"/>
  <c r="H55" i="2" s="1"/>
  <c r="Q53" i="1"/>
  <c r="H56" i="2" s="1"/>
  <c r="Q54" i="1"/>
  <c r="H57" i="2" s="1"/>
  <c r="Q55" i="1"/>
  <c r="H58" i="2" s="1"/>
  <c r="Q56" i="1"/>
  <c r="H59" i="2" s="1"/>
  <c r="Q57" i="1"/>
  <c r="H60" i="2" s="1"/>
  <c r="Q58" i="1"/>
  <c r="H61" i="2" s="1"/>
  <c r="Q59" i="1"/>
  <c r="H62" i="2" s="1"/>
  <c r="Q60" i="1"/>
  <c r="H63" i="2" s="1"/>
  <c r="Q61" i="1"/>
  <c r="H64" i="2" s="1"/>
  <c r="Q62" i="1"/>
  <c r="H65" i="2" s="1"/>
  <c r="Q63" i="1"/>
  <c r="H66" i="2" s="1"/>
  <c r="Q64" i="1"/>
  <c r="H67" i="2" s="1"/>
  <c r="Q65" i="1"/>
  <c r="H68" i="2" s="1"/>
  <c r="Q66" i="1"/>
  <c r="H69" i="2" s="1"/>
  <c r="Q67" i="1"/>
  <c r="H70" i="2" s="1"/>
  <c r="Q68" i="1"/>
  <c r="H71" i="2" s="1"/>
  <c r="Q69" i="1"/>
  <c r="H72" i="2" s="1"/>
  <c r="Q70" i="1"/>
  <c r="H73" i="2" s="1"/>
  <c r="Q71" i="1"/>
  <c r="H74" i="2" s="1"/>
  <c r="Q72" i="1"/>
  <c r="H75" i="2" s="1"/>
  <c r="Q73" i="1"/>
  <c r="H76" i="2" s="1"/>
  <c r="Q74" i="1"/>
  <c r="H77" i="2" s="1"/>
  <c r="Q75" i="1"/>
  <c r="H78" i="2" s="1"/>
  <c r="Q76" i="1"/>
  <c r="H79" i="2" s="1"/>
  <c r="Q77" i="1"/>
  <c r="H80" i="2" s="1"/>
  <c r="Q78" i="1"/>
  <c r="H81" i="2" s="1"/>
  <c r="Q79" i="1"/>
  <c r="H82" i="2" s="1"/>
  <c r="Q80" i="1"/>
  <c r="H83" i="2" s="1"/>
  <c r="Q81" i="1"/>
  <c r="H84" i="2" s="1"/>
  <c r="Q82" i="1"/>
  <c r="H85" i="2" s="1"/>
  <c r="Q83" i="1"/>
  <c r="H86" i="2" s="1"/>
  <c r="Q84" i="1"/>
  <c r="H87" i="2" s="1"/>
  <c r="Q85" i="1"/>
  <c r="H88" i="2" s="1"/>
  <c r="Q86" i="1"/>
  <c r="H89" i="2" s="1"/>
  <c r="Q87" i="1"/>
  <c r="H90" i="2" s="1"/>
  <c r="Q88" i="1"/>
  <c r="H91" i="2" s="1"/>
  <c r="Q89" i="1"/>
  <c r="H92" i="2" s="1"/>
  <c r="Q90" i="1"/>
  <c r="H93" i="2" s="1"/>
  <c r="Q91" i="1"/>
  <c r="H94" i="2" s="1"/>
  <c r="Q92" i="1"/>
  <c r="H95" i="2" s="1"/>
  <c r="Q93" i="1"/>
  <c r="H96" i="2" s="1"/>
  <c r="Q94" i="1"/>
  <c r="H97" i="2" s="1"/>
  <c r="Q95" i="1"/>
  <c r="H98" i="2" s="1"/>
  <c r="Q96" i="1"/>
  <c r="H99" i="2" s="1"/>
  <c r="Q97" i="1"/>
  <c r="H100" i="2" s="1"/>
  <c r="Q98" i="1"/>
  <c r="H101" i="2" s="1"/>
  <c r="Q99" i="1"/>
  <c r="H102" i="2" s="1"/>
  <c r="Q100" i="1"/>
  <c r="H103" i="2" s="1"/>
  <c r="Q101" i="1"/>
  <c r="H104" i="2" s="1"/>
  <c r="Q102" i="1"/>
  <c r="H105" i="2" s="1"/>
  <c r="Q103" i="1"/>
  <c r="H106" i="2" s="1"/>
  <c r="Q104" i="1"/>
  <c r="H107" i="2" s="1"/>
  <c r="Q105" i="1"/>
  <c r="H108" i="2" s="1"/>
  <c r="Q106" i="1"/>
  <c r="H109" i="2" s="1"/>
  <c r="Q107" i="1"/>
  <c r="H110" i="2" s="1"/>
  <c r="Q108" i="1"/>
  <c r="H111" i="2" s="1"/>
  <c r="Q109" i="1"/>
  <c r="H112" i="2" s="1"/>
  <c r="Q110" i="1"/>
  <c r="H113" i="2" s="1"/>
  <c r="Q111" i="1"/>
  <c r="H114" i="2" s="1"/>
  <c r="Q112" i="1"/>
  <c r="H115" i="2" s="1"/>
  <c r="Q113" i="1"/>
  <c r="H116" i="2" s="1"/>
  <c r="Q114" i="1"/>
  <c r="H117" i="2" s="1"/>
  <c r="Q115" i="1"/>
  <c r="H118" i="2" s="1"/>
  <c r="Q116" i="1"/>
  <c r="H119" i="2" s="1"/>
  <c r="Q117" i="1"/>
  <c r="H120" i="2" s="1"/>
  <c r="Q118" i="1"/>
  <c r="H121" i="2" s="1"/>
  <c r="Q119" i="1"/>
  <c r="H122" i="2" s="1"/>
  <c r="Q120" i="1"/>
  <c r="H123" i="2" s="1"/>
  <c r="Q121" i="1"/>
  <c r="H124" i="2" s="1"/>
  <c r="Q122" i="1"/>
  <c r="H125" i="2" s="1"/>
  <c r="Q123" i="1"/>
  <c r="H126" i="2" s="1"/>
  <c r="Q124" i="1"/>
  <c r="H127" i="2" s="1"/>
  <c r="Q125" i="1"/>
  <c r="H128" i="2" s="1"/>
  <c r="Q126" i="1"/>
  <c r="H129" i="2" s="1"/>
  <c r="Q127" i="1"/>
  <c r="H130" i="2" s="1"/>
  <c r="Q128" i="1"/>
  <c r="H131" i="2" s="1"/>
  <c r="Q129" i="1"/>
  <c r="H132" i="2" s="1"/>
  <c r="Q130" i="1"/>
  <c r="H133" i="2" s="1"/>
  <c r="Q131" i="1"/>
  <c r="H134" i="2" s="1"/>
  <c r="Q132" i="1"/>
  <c r="H135" i="2" s="1"/>
  <c r="Q133" i="1"/>
  <c r="H136" i="2" s="1"/>
  <c r="Q134" i="1"/>
  <c r="H137" i="2" s="1"/>
  <c r="Q135" i="1"/>
  <c r="H138" i="2" s="1"/>
  <c r="Q136" i="1"/>
  <c r="H139" i="2" s="1"/>
  <c r="Q137" i="1"/>
  <c r="H140" i="2" s="1"/>
  <c r="Q138" i="1"/>
  <c r="H141" i="2" s="1"/>
  <c r="Q139" i="1"/>
  <c r="H142" i="2" s="1"/>
  <c r="Q140" i="1"/>
  <c r="H143" i="2" s="1"/>
  <c r="Q141" i="1"/>
  <c r="H144" i="2" s="1"/>
  <c r="Q142" i="1"/>
  <c r="H145" i="2" s="1"/>
  <c r="Q143" i="1"/>
  <c r="H146" i="2" s="1"/>
  <c r="Q144" i="1"/>
  <c r="H147" i="2" s="1"/>
  <c r="Q145" i="1"/>
  <c r="H148" i="2" s="1"/>
  <c r="Q146" i="1"/>
  <c r="H149" i="2" s="1"/>
  <c r="Q147" i="1"/>
  <c r="H150" i="2" s="1"/>
  <c r="Q148" i="1"/>
  <c r="H151" i="2" s="1"/>
  <c r="Q149" i="1"/>
  <c r="H152" i="2" s="1"/>
  <c r="Q150" i="1"/>
  <c r="H153" i="2" s="1"/>
  <c r="Q151" i="1"/>
  <c r="H154" i="2" s="1"/>
  <c r="Q152" i="1"/>
  <c r="H155" i="2" s="1"/>
  <c r="Q153" i="1"/>
  <c r="H156" i="2" s="1"/>
  <c r="Q154" i="1"/>
  <c r="H157" i="2" s="1"/>
  <c r="Q155" i="1"/>
  <c r="H158" i="2" s="1"/>
  <c r="Q156" i="1"/>
  <c r="H159" i="2" s="1"/>
  <c r="Q157" i="1"/>
  <c r="H160" i="2" s="1"/>
  <c r="Q158" i="1"/>
  <c r="H161" i="2" s="1"/>
  <c r="Q159" i="1"/>
  <c r="H162" i="2" s="1"/>
  <c r="Q160" i="1"/>
  <c r="H163" i="2" s="1"/>
  <c r="Q161" i="1"/>
  <c r="H164" i="2" s="1"/>
  <c r="Q162" i="1"/>
  <c r="H165" i="2" s="1"/>
  <c r="P3" i="1"/>
  <c r="G6" i="2" s="1"/>
  <c r="P4" i="1"/>
  <c r="G7" i="2" s="1"/>
  <c r="P5" i="1"/>
  <c r="G8" i="2" s="1"/>
  <c r="P6" i="1"/>
  <c r="G9" i="2" s="1"/>
  <c r="P7" i="1"/>
  <c r="G10" i="2" s="1"/>
  <c r="P8" i="1"/>
  <c r="G11" i="2" s="1"/>
  <c r="P9" i="1"/>
  <c r="G12" i="2" s="1"/>
  <c r="P10" i="1"/>
  <c r="G13" i="2" s="1"/>
  <c r="P11" i="1"/>
  <c r="G14" i="2" s="1"/>
  <c r="P12" i="1"/>
  <c r="G15" i="2" s="1"/>
  <c r="P13" i="1"/>
  <c r="G16" i="2" s="1"/>
  <c r="P14" i="1"/>
  <c r="G17" i="2" s="1"/>
  <c r="P15" i="1"/>
  <c r="G18" i="2" s="1"/>
  <c r="P16" i="1"/>
  <c r="G19" i="2" s="1"/>
  <c r="P17" i="1"/>
  <c r="G20" i="2" s="1"/>
  <c r="P18" i="1"/>
  <c r="G21" i="2" s="1"/>
  <c r="P19" i="1"/>
  <c r="G22" i="2" s="1"/>
  <c r="P20" i="1"/>
  <c r="G23" i="2" s="1"/>
  <c r="P21" i="1"/>
  <c r="G24" i="2" s="1"/>
  <c r="P22" i="1"/>
  <c r="G25" i="2" s="1"/>
  <c r="P23" i="1"/>
  <c r="G26" i="2" s="1"/>
  <c r="P24" i="1"/>
  <c r="G27" i="2" s="1"/>
  <c r="P25" i="1"/>
  <c r="G28" i="2" s="1"/>
  <c r="P26" i="1"/>
  <c r="G29" i="2" s="1"/>
  <c r="P27" i="1"/>
  <c r="G30" i="2" s="1"/>
  <c r="P28" i="1"/>
  <c r="G31" i="2" s="1"/>
  <c r="P29" i="1"/>
  <c r="G32" i="2" s="1"/>
  <c r="P30" i="1"/>
  <c r="G33" i="2" s="1"/>
  <c r="P31" i="1"/>
  <c r="G34" i="2" s="1"/>
  <c r="P32" i="1"/>
  <c r="G35" i="2" s="1"/>
  <c r="P33" i="1"/>
  <c r="G36" i="2" s="1"/>
  <c r="P34" i="1"/>
  <c r="G37" i="2" s="1"/>
  <c r="P35" i="1"/>
  <c r="G38" i="2" s="1"/>
  <c r="P36" i="1"/>
  <c r="G39" i="2" s="1"/>
  <c r="P37" i="1"/>
  <c r="G40" i="2" s="1"/>
  <c r="P38" i="1"/>
  <c r="G41" i="2" s="1"/>
  <c r="P39" i="1"/>
  <c r="G42" i="2" s="1"/>
  <c r="P40" i="1"/>
  <c r="G43" i="2" s="1"/>
  <c r="P41" i="1"/>
  <c r="G44" i="2" s="1"/>
  <c r="P42" i="1"/>
  <c r="G45" i="2" s="1"/>
  <c r="P43" i="1"/>
  <c r="G46" i="2" s="1"/>
  <c r="P44" i="1"/>
  <c r="G47" i="2" s="1"/>
  <c r="P45" i="1"/>
  <c r="G48" i="2" s="1"/>
  <c r="P46" i="1"/>
  <c r="G49" i="2" s="1"/>
  <c r="P47" i="1"/>
  <c r="G50" i="2" s="1"/>
  <c r="P48" i="1"/>
  <c r="G51" i="2" s="1"/>
  <c r="P49" i="1"/>
  <c r="G52" i="2" s="1"/>
  <c r="P50" i="1"/>
  <c r="G53" i="2" s="1"/>
  <c r="P51" i="1"/>
  <c r="G54" i="2" s="1"/>
  <c r="P52" i="1"/>
  <c r="G55" i="2" s="1"/>
  <c r="P53" i="1"/>
  <c r="G56" i="2" s="1"/>
  <c r="P54" i="1"/>
  <c r="G57" i="2" s="1"/>
  <c r="P55" i="1"/>
  <c r="G58" i="2" s="1"/>
  <c r="P56" i="1"/>
  <c r="G59" i="2" s="1"/>
  <c r="P57" i="1"/>
  <c r="G60" i="2" s="1"/>
  <c r="P58" i="1"/>
  <c r="G61" i="2" s="1"/>
  <c r="P59" i="1"/>
  <c r="G62" i="2" s="1"/>
  <c r="P60" i="1"/>
  <c r="G63" i="2" s="1"/>
  <c r="P61" i="1"/>
  <c r="G64" i="2" s="1"/>
  <c r="P62" i="1"/>
  <c r="G65" i="2" s="1"/>
  <c r="P63" i="1"/>
  <c r="G66" i="2" s="1"/>
  <c r="P64" i="1"/>
  <c r="G67" i="2" s="1"/>
  <c r="P65" i="1"/>
  <c r="G68" i="2" s="1"/>
  <c r="P66" i="1"/>
  <c r="G69" i="2" s="1"/>
  <c r="P67" i="1"/>
  <c r="G70" i="2" s="1"/>
  <c r="P68" i="1"/>
  <c r="G71" i="2" s="1"/>
  <c r="P69" i="1"/>
  <c r="G72" i="2" s="1"/>
  <c r="P70" i="1"/>
  <c r="G73" i="2" s="1"/>
  <c r="P71" i="1"/>
  <c r="G74" i="2" s="1"/>
  <c r="P72" i="1"/>
  <c r="G75" i="2" s="1"/>
  <c r="P73" i="1"/>
  <c r="G76" i="2" s="1"/>
  <c r="P74" i="1"/>
  <c r="G77" i="2" s="1"/>
  <c r="P75" i="1"/>
  <c r="G78" i="2" s="1"/>
  <c r="P76" i="1"/>
  <c r="G79" i="2" s="1"/>
  <c r="P77" i="1"/>
  <c r="G80" i="2" s="1"/>
  <c r="P78" i="1"/>
  <c r="G81" i="2" s="1"/>
  <c r="P79" i="1"/>
  <c r="G82" i="2" s="1"/>
  <c r="P80" i="1"/>
  <c r="G83" i="2" s="1"/>
  <c r="P81" i="1"/>
  <c r="G84" i="2" s="1"/>
  <c r="P82" i="1"/>
  <c r="G85" i="2" s="1"/>
  <c r="P83" i="1"/>
  <c r="G86" i="2" s="1"/>
  <c r="P84" i="1"/>
  <c r="G87" i="2" s="1"/>
  <c r="P85" i="1"/>
  <c r="G88" i="2" s="1"/>
  <c r="P86" i="1"/>
  <c r="G89" i="2" s="1"/>
  <c r="P87" i="1"/>
  <c r="G90" i="2" s="1"/>
  <c r="P88" i="1"/>
  <c r="G91" i="2" s="1"/>
  <c r="P89" i="1"/>
  <c r="G92" i="2" s="1"/>
  <c r="P90" i="1"/>
  <c r="G93" i="2" s="1"/>
  <c r="P91" i="1"/>
  <c r="G94" i="2" s="1"/>
  <c r="P92" i="1"/>
  <c r="G95" i="2" s="1"/>
  <c r="P93" i="1"/>
  <c r="G96" i="2" s="1"/>
  <c r="P94" i="1"/>
  <c r="G97" i="2" s="1"/>
  <c r="P95" i="1"/>
  <c r="G98" i="2" s="1"/>
  <c r="P96" i="1"/>
  <c r="G99" i="2" s="1"/>
  <c r="P97" i="1"/>
  <c r="G100" i="2" s="1"/>
  <c r="P98" i="1"/>
  <c r="G101" i="2" s="1"/>
  <c r="P99" i="1"/>
  <c r="G102" i="2" s="1"/>
  <c r="P100" i="1"/>
  <c r="G103" i="2" s="1"/>
  <c r="P101" i="1"/>
  <c r="G104" i="2" s="1"/>
  <c r="P102" i="1"/>
  <c r="G105" i="2" s="1"/>
  <c r="P103" i="1"/>
  <c r="G106" i="2" s="1"/>
  <c r="P104" i="1"/>
  <c r="G107" i="2" s="1"/>
  <c r="P105" i="1"/>
  <c r="G108" i="2" s="1"/>
  <c r="P106" i="1"/>
  <c r="G109" i="2" s="1"/>
  <c r="P107" i="1"/>
  <c r="G110" i="2" s="1"/>
  <c r="P108" i="1"/>
  <c r="G111" i="2" s="1"/>
  <c r="P109" i="1"/>
  <c r="G112" i="2" s="1"/>
  <c r="P110" i="1"/>
  <c r="G113" i="2" s="1"/>
  <c r="P111" i="1"/>
  <c r="G114" i="2" s="1"/>
  <c r="P112" i="1"/>
  <c r="G115" i="2" s="1"/>
  <c r="P113" i="1"/>
  <c r="G116" i="2" s="1"/>
  <c r="P114" i="1"/>
  <c r="G117" i="2" s="1"/>
  <c r="P115" i="1"/>
  <c r="G118" i="2" s="1"/>
  <c r="P116" i="1"/>
  <c r="G119" i="2" s="1"/>
  <c r="P117" i="1"/>
  <c r="G120" i="2" s="1"/>
  <c r="P118" i="1"/>
  <c r="G121" i="2" s="1"/>
  <c r="P119" i="1"/>
  <c r="G122" i="2" s="1"/>
  <c r="P120" i="1"/>
  <c r="G123" i="2" s="1"/>
  <c r="P121" i="1"/>
  <c r="G124" i="2" s="1"/>
  <c r="P122" i="1"/>
  <c r="G125" i="2" s="1"/>
  <c r="P123" i="1"/>
  <c r="G126" i="2" s="1"/>
  <c r="P124" i="1"/>
  <c r="G127" i="2" s="1"/>
  <c r="P125" i="1"/>
  <c r="G128" i="2" s="1"/>
  <c r="P126" i="1"/>
  <c r="G129" i="2" s="1"/>
  <c r="P127" i="1"/>
  <c r="G130" i="2" s="1"/>
  <c r="P128" i="1"/>
  <c r="G131" i="2" s="1"/>
  <c r="P129" i="1"/>
  <c r="G132" i="2" s="1"/>
  <c r="P130" i="1"/>
  <c r="G133" i="2" s="1"/>
  <c r="P131" i="1"/>
  <c r="G134" i="2" s="1"/>
  <c r="P132" i="1"/>
  <c r="G135" i="2" s="1"/>
  <c r="P133" i="1"/>
  <c r="G136" i="2" s="1"/>
  <c r="P134" i="1"/>
  <c r="G137" i="2" s="1"/>
  <c r="P135" i="1"/>
  <c r="G138" i="2" s="1"/>
  <c r="P136" i="1"/>
  <c r="G139" i="2" s="1"/>
  <c r="P137" i="1"/>
  <c r="G140" i="2" s="1"/>
  <c r="P138" i="1"/>
  <c r="G141" i="2" s="1"/>
  <c r="P139" i="1"/>
  <c r="G142" i="2" s="1"/>
  <c r="P140" i="1"/>
  <c r="G143" i="2" s="1"/>
  <c r="P141" i="1"/>
  <c r="G144" i="2" s="1"/>
  <c r="P142" i="1"/>
  <c r="G145" i="2" s="1"/>
  <c r="P143" i="1"/>
  <c r="G146" i="2" s="1"/>
  <c r="P144" i="1"/>
  <c r="G147" i="2" s="1"/>
  <c r="P145" i="1"/>
  <c r="G148" i="2" s="1"/>
  <c r="P146" i="1"/>
  <c r="G149" i="2" s="1"/>
  <c r="P147" i="1"/>
  <c r="G150" i="2" s="1"/>
  <c r="P148" i="1"/>
  <c r="G151" i="2" s="1"/>
  <c r="P149" i="1"/>
  <c r="G152" i="2" s="1"/>
  <c r="P150" i="1"/>
  <c r="G153" i="2" s="1"/>
  <c r="P151" i="1"/>
  <c r="G154" i="2" s="1"/>
  <c r="P152" i="1"/>
  <c r="G155" i="2" s="1"/>
  <c r="P153" i="1"/>
  <c r="G156" i="2" s="1"/>
  <c r="P154" i="1"/>
  <c r="G157" i="2" s="1"/>
  <c r="P155" i="1"/>
  <c r="G158" i="2" s="1"/>
  <c r="P156" i="1"/>
  <c r="G159" i="2" s="1"/>
  <c r="P157" i="1"/>
  <c r="G160" i="2" s="1"/>
  <c r="P158" i="1"/>
  <c r="G161" i="2" s="1"/>
  <c r="P159" i="1"/>
  <c r="G162" i="2" s="1"/>
  <c r="P160" i="1"/>
  <c r="G163" i="2" s="1"/>
  <c r="P161" i="1"/>
  <c r="G164" i="2" s="1"/>
  <c r="P162" i="1"/>
  <c r="G165" i="2" s="1"/>
  <c r="O3" i="1"/>
  <c r="F6" i="2" s="1"/>
  <c r="O4" i="1"/>
  <c r="F7" i="2" s="1"/>
  <c r="O5" i="1"/>
  <c r="F8" i="2" s="1"/>
  <c r="O6" i="1"/>
  <c r="F9" i="2" s="1"/>
  <c r="O7" i="1"/>
  <c r="F10" i="2" s="1"/>
  <c r="O8" i="1"/>
  <c r="F11" i="2" s="1"/>
  <c r="O9" i="1"/>
  <c r="F12" i="2" s="1"/>
  <c r="O10" i="1"/>
  <c r="F13" i="2" s="1"/>
  <c r="O11" i="1"/>
  <c r="F14" i="2" s="1"/>
  <c r="O12" i="1"/>
  <c r="F15" i="2" s="1"/>
  <c r="O13" i="1"/>
  <c r="F16" i="2" s="1"/>
  <c r="O14" i="1"/>
  <c r="F17" i="2" s="1"/>
  <c r="O15" i="1"/>
  <c r="F18" i="2" s="1"/>
  <c r="O16" i="1"/>
  <c r="F19" i="2" s="1"/>
  <c r="O17" i="1"/>
  <c r="F20" i="2" s="1"/>
  <c r="O18" i="1"/>
  <c r="F21" i="2" s="1"/>
  <c r="O19" i="1"/>
  <c r="F22" i="2" s="1"/>
  <c r="O20" i="1"/>
  <c r="F23" i="2" s="1"/>
  <c r="O21" i="1"/>
  <c r="F24" i="2" s="1"/>
  <c r="O22" i="1"/>
  <c r="F25" i="2" s="1"/>
  <c r="O23" i="1"/>
  <c r="F26" i="2" s="1"/>
  <c r="O24" i="1"/>
  <c r="F27" i="2" s="1"/>
  <c r="O25" i="1"/>
  <c r="F28" i="2" s="1"/>
  <c r="O26" i="1"/>
  <c r="F29" i="2" s="1"/>
  <c r="O27" i="1"/>
  <c r="F30" i="2" s="1"/>
  <c r="O28" i="1"/>
  <c r="F31" i="2" s="1"/>
  <c r="O29" i="1"/>
  <c r="F32" i="2" s="1"/>
  <c r="O30" i="1"/>
  <c r="F33" i="2" s="1"/>
  <c r="O31" i="1"/>
  <c r="F34" i="2" s="1"/>
  <c r="O32" i="1"/>
  <c r="F35" i="2" s="1"/>
  <c r="O33" i="1"/>
  <c r="F36" i="2" s="1"/>
  <c r="O34" i="1"/>
  <c r="F37" i="2" s="1"/>
  <c r="O35" i="1"/>
  <c r="F38" i="2" s="1"/>
  <c r="O36" i="1"/>
  <c r="F39" i="2" s="1"/>
  <c r="O37" i="1"/>
  <c r="F40" i="2" s="1"/>
  <c r="O38" i="1"/>
  <c r="F41" i="2" s="1"/>
  <c r="O39" i="1"/>
  <c r="F42" i="2" s="1"/>
  <c r="O40" i="1"/>
  <c r="F43" i="2" s="1"/>
  <c r="O41" i="1"/>
  <c r="F44" i="2" s="1"/>
  <c r="O42" i="1"/>
  <c r="F45" i="2" s="1"/>
  <c r="O43" i="1"/>
  <c r="F46" i="2" s="1"/>
  <c r="O44" i="1"/>
  <c r="F47" i="2" s="1"/>
  <c r="O45" i="1"/>
  <c r="F48" i="2" s="1"/>
  <c r="O46" i="1"/>
  <c r="F49" i="2" s="1"/>
  <c r="O47" i="1"/>
  <c r="F50" i="2" s="1"/>
  <c r="O48" i="1"/>
  <c r="F51" i="2" s="1"/>
  <c r="O49" i="1"/>
  <c r="F52" i="2" s="1"/>
  <c r="O50" i="1"/>
  <c r="F53" i="2" s="1"/>
  <c r="O51" i="1"/>
  <c r="F54" i="2" s="1"/>
  <c r="O52" i="1"/>
  <c r="F55" i="2" s="1"/>
  <c r="O53" i="1"/>
  <c r="F56" i="2" s="1"/>
  <c r="O54" i="1"/>
  <c r="F57" i="2" s="1"/>
  <c r="O55" i="1"/>
  <c r="F58" i="2" s="1"/>
  <c r="O56" i="1"/>
  <c r="F59" i="2" s="1"/>
  <c r="O57" i="1"/>
  <c r="F60" i="2" s="1"/>
  <c r="O58" i="1"/>
  <c r="F61" i="2" s="1"/>
  <c r="O59" i="1"/>
  <c r="F62" i="2" s="1"/>
  <c r="O60" i="1"/>
  <c r="F63" i="2" s="1"/>
  <c r="O61" i="1"/>
  <c r="F64" i="2" s="1"/>
  <c r="O62" i="1"/>
  <c r="F65" i="2" s="1"/>
  <c r="O63" i="1"/>
  <c r="F66" i="2" s="1"/>
  <c r="O64" i="1"/>
  <c r="F67" i="2" s="1"/>
  <c r="O65" i="1"/>
  <c r="F68" i="2" s="1"/>
  <c r="O66" i="1"/>
  <c r="F69" i="2" s="1"/>
  <c r="O67" i="1"/>
  <c r="F70" i="2" s="1"/>
  <c r="O68" i="1"/>
  <c r="F71" i="2" s="1"/>
  <c r="O69" i="1"/>
  <c r="F72" i="2" s="1"/>
  <c r="O70" i="1"/>
  <c r="F73" i="2" s="1"/>
  <c r="O71" i="1"/>
  <c r="F74" i="2" s="1"/>
  <c r="O72" i="1"/>
  <c r="F75" i="2" s="1"/>
  <c r="O73" i="1"/>
  <c r="F76" i="2" s="1"/>
  <c r="O74" i="1"/>
  <c r="F77" i="2" s="1"/>
  <c r="O75" i="1"/>
  <c r="F78" i="2" s="1"/>
  <c r="O76" i="1"/>
  <c r="F79" i="2" s="1"/>
  <c r="O77" i="1"/>
  <c r="F80" i="2" s="1"/>
  <c r="O78" i="1"/>
  <c r="F81" i="2" s="1"/>
  <c r="O79" i="1"/>
  <c r="F82" i="2" s="1"/>
  <c r="O80" i="1"/>
  <c r="F83" i="2" s="1"/>
  <c r="O81" i="1"/>
  <c r="F84" i="2" s="1"/>
  <c r="O82" i="1"/>
  <c r="F85" i="2" s="1"/>
  <c r="O83" i="1"/>
  <c r="F86" i="2" s="1"/>
  <c r="O84" i="1"/>
  <c r="F87" i="2" s="1"/>
  <c r="O85" i="1"/>
  <c r="F88" i="2" s="1"/>
  <c r="O86" i="1"/>
  <c r="F89" i="2" s="1"/>
  <c r="O87" i="1"/>
  <c r="F90" i="2" s="1"/>
  <c r="O88" i="1"/>
  <c r="F91" i="2" s="1"/>
  <c r="O89" i="1"/>
  <c r="F92" i="2" s="1"/>
  <c r="O90" i="1"/>
  <c r="F93" i="2" s="1"/>
  <c r="O91" i="1"/>
  <c r="F94" i="2" s="1"/>
  <c r="O92" i="1"/>
  <c r="F95" i="2" s="1"/>
  <c r="O93" i="1"/>
  <c r="F96" i="2" s="1"/>
  <c r="O94" i="1"/>
  <c r="F97" i="2" s="1"/>
  <c r="O95" i="1"/>
  <c r="F98" i="2" s="1"/>
  <c r="O96" i="1"/>
  <c r="F99" i="2" s="1"/>
  <c r="O97" i="1"/>
  <c r="F100" i="2" s="1"/>
  <c r="O98" i="1"/>
  <c r="F101" i="2" s="1"/>
  <c r="O99" i="1"/>
  <c r="F102" i="2" s="1"/>
  <c r="O100" i="1"/>
  <c r="F103" i="2" s="1"/>
  <c r="O101" i="1"/>
  <c r="F104" i="2" s="1"/>
  <c r="O102" i="1"/>
  <c r="F105" i="2" s="1"/>
  <c r="O103" i="1"/>
  <c r="F106" i="2" s="1"/>
  <c r="O104" i="1"/>
  <c r="F107" i="2" s="1"/>
  <c r="O105" i="1"/>
  <c r="F108" i="2" s="1"/>
  <c r="O106" i="1"/>
  <c r="F109" i="2" s="1"/>
  <c r="O107" i="1"/>
  <c r="F110" i="2" s="1"/>
  <c r="O108" i="1"/>
  <c r="F111" i="2" s="1"/>
  <c r="O109" i="1"/>
  <c r="F112" i="2" s="1"/>
  <c r="O110" i="1"/>
  <c r="F113" i="2" s="1"/>
  <c r="O111" i="1"/>
  <c r="F114" i="2" s="1"/>
  <c r="O112" i="1"/>
  <c r="F115" i="2" s="1"/>
  <c r="O113" i="1"/>
  <c r="F116" i="2" s="1"/>
  <c r="O114" i="1"/>
  <c r="F117" i="2" s="1"/>
  <c r="O115" i="1"/>
  <c r="F118" i="2" s="1"/>
  <c r="O116" i="1"/>
  <c r="F119" i="2" s="1"/>
  <c r="O117" i="1"/>
  <c r="F120" i="2" s="1"/>
  <c r="O118" i="1"/>
  <c r="F121" i="2" s="1"/>
  <c r="O119" i="1"/>
  <c r="F122" i="2" s="1"/>
  <c r="O120" i="1"/>
  <c r="F123" i="2" s="1"/>
  <c r="O121" i="1"/>
  <c r="F124" i="2" s="1"/>
  <c r="O122" i="1"/>
  <c r="F125" i="2" s="1"/>
  <c r="O123" i="1"/>
  <c r="F126" i="2" s="1"/>
  <c r="O124" i="1"/>
  <c r="F127" i="2" s="1"/>
  <c r="O125" i="1"/>
  <c r="F128" i="2" s="1"/>
  <c r="O126" i="1"/>
  <c r="F129" i="2" s="1"/>
  <c r="O127" i="1"/>
  <c r="F130" i="2" s="1"/>
  <c r="O128" i="1"/>
  <c r="F131" i="2" s="1"/>
  <c r="O129" i="1"/>
  <c r="F132" i="2" s="1"/>
  <c r="O130" i="1"/>
  <c r="F133" i="2" s="1"/>
  <c r="O131" i="1"/>
  <c r="F134" i="2" s="1"/>
  <c r="O132" i="1"/>
  <c r="F135" i="2" s="1"/>
  <c r="O133" i="1"/>
  <c r="F136" i="2" s="1"/>
  <c r="O134" i="1"/>
  <c r="F137" i="2" s="1"/>
  <c r="O135" i="1"/>
  <c r="F138" i="2" s="1"/>
  <c r="O136" i="1"/>
  <c r="F139" i="2" s="1"/>
  <c r="O137" i="1"/>
  <c r="F140" i="2" s="1"/>
  <c r="O138" i="1"/>
  <c r="F141" i="2" s="1"/>
  <c r="O139" i="1"/>
  <c r="F142" i="2" s="1"/>
  <c r="O140" i="1"/>
  <c r="F143" i="2" s="1"/>
  <c r="O141" i="1"/>
  <c r="F144" i="2" s="1"/>
  <c r="O142" i="1"/>
  <c r="F145" i="2" s="1"/>
  <c r="O143" i="1"/>
  <c r="F146" i="2" s="1"/>
  <c r="O144" i="1"/>
  <c r="F147" i="2" s="1"/>
  <c r="O145" i="1"/>
  <c r="F148" i="2" s="1"/>
  <c r="O146" i="1"/>
  <c r="F149" i="2" s="1"/>
  <c r="O147" i="1"/>
  <c r="F150" i="2" s="1"/>
  <c r="O148" i="1"/>
  <c r="F151" i="2" s="1"/>
  <c r="O149" i="1"/>
  <c r="F152" i="2" s="1"/>
  <c r="O150" i="1"/>
  <c r="F153" i="2" s="1"/>
  <c r="O151" i="1"/>
  <c r="F154" i="2" s="1"/>
  <c r="O152" i="1"/>
  <c r="F155" i="2" s="1"/>
  <c r="O153" i="1"/>
  <c r="F156" i="2" s="1"/>
  <c r="O154" i="1"/>
  <c r="F157" i="2" s="1"/>
  <c r="O155" i="1"/>
  <c r="F158" i="2" s="1"/>
  <c r="O156" i="1"/>
  <c r="F159" i="2" s="1"/>
  <c r="O157" i="1"/>
  <c r="F160" i="2" s="1"/>
  <c r="O158" i="1"/>
  <c r="F161" i="2" s="1"/>
  <c r="O159" i="1"/>
  <c r="F162" i="2" s="1"/>
  <c r="O160" i="1"/>
  <c r="F163" i="2" s="1"/>
  <c r="O161" i="1"/>
  <c r="F164" i="2" s="1"/>
  <c r="O162" i="1"/>
  <c r="F165" i="2" s="1"/>
  <c r="N3" i="1"/>
  <c r="E6" i="2" s="1"/>
  <c r="N4" i="1"/>
  <c r="E7" i="2" s="1"/>
  <c r="N5" i="1"/>
  <c r="E8" i="2" s="1"/>
  <c r="N6" i="1"/>
  <c r="E9" i="2" s="1"/>
  <c r="N7" i="1"/>
  <c r="E10" i="2" s="1"/>
  <c r="N8" i="1"/>
  <c r="E11" i="2" s="1"/>
  <c r="N9" i="1"/>
  <c r="E12" i="2" s="1"/>
  <c r="N10" i="1"/>
  <c r="E13" i="2" s="1"/>
  <c r="N11" i="1"/>
  <c r="E14" i="2" s="1"/>
  <c r="N12" i="1"/>
  <c r="E15" i="2" s="1"/>
  <c r="N13" i="1"/>
  <c r="E16" i="2" s="1"/>
  <c r="N14" i="1"/>
  <c r="E17" i="2" s="1"/>
  <c r="N15" i="1"/>
  <c r="E18" i="2" s="1"/>
  <c r="N16" i="1"/>
  <c r="E19" i="2" s="1"/>
  <c r="N17" i="1"/>
  <c r="E20" i="2" s="1"/>
  <c r="N18" i="1"/>
  <c r="E21" i="2" s="1"/>
  <c r="N19" i="1"/>
  <c r="E22" i="2" s="1"/>
  <c r="N20" i="1"/>
  <c r="E23" i="2" s="1"/>
  <c r="N21" i="1"/>
  <c r="E24" i="2" s="1"/>
  <c r="N22" i="1"/>
  <c r="E25" i="2" s="1"/>
  <c r="N23" i="1"/>
  <c r="E26" i="2" s="1"/>
  <c r="N24" i="1"/>
  <c r="E27" i="2" s="1"/>
  <c r="N25" i="1"/>
  <c r="E28" i="2" s="1"/>
  <c r="N26" i="1"/>
  <c r="E29" i="2" s="1"/>
  <c r="N27" i="1"/>
  <c r="E30" i="2" s="1"/>
  <c r="N28" i="1"/>
  <c r="E31" i="2" s="1"/>
  <c r="N29" i="1"/>
  <c r="E32" i="2" s="1"/>
  <c r="N30" i="1"/>
  <c r="E33" i="2" s="1"/>
  <c r="N31" i="1"/>
  <c r="E34" i="2" s="1"/>
  <c r="N32" i="1"/>
  <c r="E35" i="2" s="1"/>
  <c r="N33" i="1"/>
  <c r="E36" i="2" s="1"/>
  <c r="N34" i="1"/>
  <c r="E37" i="2" s="1"/>
  <c r="N35" i="1"/>
  <c r="E38" i="2" s="1"/>
  <c r="N36" i="1"/>
  <c r="E39" i="2" s="1"/>
  <c r="N37" i="1"/>
  <c r="E40" i="2" s="1"/>
  <c r="N38" i="1"/>
  <c r="E41" i="2" s="1"/>
  <c r="N39" i="1"/>
  <c r="E42" i="2" s="1"/>
  <c r="N40" i="1"/>
  <c r="E43" i="2" s="1"/>
  <c r="N41" i="1"/>
  <c r="E44" i="2" s="1"/>
  <c r="N42" i="1"/>
  <c r="E45" i="2" s="1"/>
  <c r="N43" i="1"/>
  <c r="E46" i="2" s="1"/>
  <c r="N44" i="1"/>
  <c r="E47" i="2" s="1"/>
  <c r="N45" i="1"/>
  <c r="E48" i="2" s="1"/>
  <c r="N46" i="1"/>
  <c r="E49" i="2" s="1"/>
  <c r="N47" i="1"/>
  <c r="E50" i="2" s="1"/>
  <c r="N48" i="1"/>
  <c r="E51" i="2" s="1"/>
  <c r="N49" i="1"/>
  <c r="E52" i="2" s="1"/>
  <c r="N50" i="1"/>
  <c r="E53" i="2" s="1"/>
  <c r="N51" i="1"/>
  <c r="E54" i="2" s="1"/>
  <c r="N52" i="1"/>
  <c r="E55" i="2" s="1"/>
  <c r="N53" i="1"/>
  <c r="E56" i="2" s="1"/>
  <c r="N54" i="1"/>
  <c r="E57" i="2" s="1"/>
  <c r="N55" i="1"/>
  <c r="E58" i="2" s="1"/>
  <c r="N56" i="1"/>
  <c r="E59" i="2" s="1"/>
  <c r="N57" i="1"/>
  <c r="E60" i="2" s="1"/>
  <c r="N58" i="1"/>
  <c r="E61" i="2" s="1"/>
  <c r="N59" i="1"/>
  <c r="E62" i="2" s="1"/>
  <c r="N60" i="1"/>
  <c r="E63" i="2" s="1"/>
  <c r="N61" i="1"/>
  <c r="E64" i="2" s="1"/>
  <c r="N62" i="1"/>
  <c r="E65" i="2" s="1"/>
  <c r="N63" i="1"/>
  <c r="E66" i="2" s="1"/>
  <c r="N64" i="1"/>
  <c r="E67" i="2" s="1"/>
  <c r="N65" i="1"/>
  <c r="E68" i="2" s="1"/>
  <c r="N66" i="1"/>
  <c r="E69" i="2" s="1"/>
  <c r="N67" i="1"/>
  <c r="E70" i="2" s="1"/>
  <c r="N68" i="1"/>
  <c r="E71" i="2" s="1"/>
  <c r="N69" i="1"/>
  <c r="E72" i="2" s="1"/>
  <c r="N70" i="1"/>
  <c r="E73" i="2" s="1"/>
  <c r="N71" i="1"/>
  <c r="E74" i="2" s="1"/>
  <c r="N72" i="1"/>
  <c r="E75" i="2" s="1"/>
  <c r="N73" i="1"/>
  <c r="E76" i="2" s="1"/>
  <c r="N74" i="1"/>
  <c r="E77" i="2" s="1"/>
  <c r="N75" i="1"/>
  <c r="E78" i="2" s="1"/>
  <c r="N76" i="1"/>
  <c r="E79" i="2" s="1"/>
  <c r="N77" i="1"/>
  <c r="E80" i="2" s="1"/>
  <c r="N78" i="1"/>
  <c r="E81" i="2" s="1"/>
  <c r="N79" i="1"/>
  <c r="E82" i="2" s="1"/>
  <c r="N80" i="1"/>
  <c r="E83" i="2" s="1"/>
  <c r="N81" i="1"/>
  <c r="E84" i="2" s="1"/>
  <c r="N82" i="1"/>
  <c r="E85" i="2" s="1"/>
  <c r="N83" i="1"/>
  <c r="E86" i="2" s="1"/>
  <c r="N84" i="1"/>
  <c r="E87" i="2" s="1"/>
  <c r="N85" i="1"/>
  <c r="E88" i="2" s="1"/>
  <c r="N86" i="1"/>
  <c r="E89" i="2" s="1"/>
  <c r="N87" i="1"/>
  <c r="E90" i="2" s="1"/>
  <c r="N88" i="1"/>
  <c r="E91" i="2" s="1"/>
  <c r="N89" i="1"/>
  <c r="E92" i="2" s="1"/>
  <c r="N90" i="1"/>
  <c r="E93" i="2" s="1"/>
  <c r="N91" i="1"/>
  <c r="E94" i="2" s="1"/>
  <c r="N92" i="1"/>
  <c r="E95" i="2" s="1"/>
  <c r="N93" i="1"/>
  <c r="E96" i="2" s="1"/>
  <c r="N94" i="1"/>
  <c r="E97" i="2" s="1"/>
  <c r="N95" i="1"/>
  <c r="E98" i="2" s="1"/>
  <c r="N96" i="1"/>
  <c r="E99" i="2" s="1"/>
  <c r="N97" i="1"/>
  <c r="E100" i="2" s="1"/>
  <c r="N98" i="1"/>
  <c r="E101" i="2" s="1"/>
  <c r="N99" i="1"/>
  <c r="E102" i="2" s="1"/>
  <c r="N100" i="1"/>
  <c r="E103" i="2" s="1"/>
  <c r="N101" i="1"/>
  <c r="E104" i="2" s="1"/>
  <c r="N102" i="1"/>
  <c r="E105" i="2" s="1"/>
  <c r="N103" i="1"/>
  <c r="E106" i="2" s="1"/>
  <c r="N104" i="1"/>
  <c r="E107" i="2" s="1"/>
  <c r="N105" i="1"/>
  <c r="E108" i="2" s="1"/>
  <c r="N106" i="1"/>
  <c r="E109" i="2" s="1"/>
  <c r="N107" i="1"/>
  <c r="E110" i="2" s="1"/>
  <c r="N108" i="1"/>
  <c r="E111" i="2" s="1"/>
  <c r="N109" i="1"/>
  <c r="E112" i="2" s="1"/>
  <c r="N110" i="1"/>
  <c r="E113" i="2" s="1"/>
  <c r="N111" i="1"/>
  <c r="E114" i="2" s="1"/>
  <c r="N112" i="1"/>
  <c r="E115" i="2" s="1"/>
  <c r="N113" i="1"/>
  <c r="E116" i="2" s="1"/>
  <c r="N114" i="1"/>
  <c r="E117" i="2" s="1"/>
  <c r="N115" i="1"/>
  <c r="E118" i="2" s="1"/>
  <c r="N116" i="1"/>
  <c r="E119" i="2" s="1"/>
  <c r="N117" i="1"/>
  <c r="E120" i="2" s="1"/>
  <c r="N118" i="1"/>
  <c r="E121" i="2" s="1"/>
  <c r="N119" i="1"/>
  <c r="E122" i="2" s="1"/>
  <c r="N120" i="1"/>
  <c r="E123" i="2" s="1"/>
  <c r="N121" i="1"/>
  <c r="E124" i="2" s="1"/>
  <c r="N122" i="1"/>
  <c r="E125" i="2" s="1"/>
  <c r="N123" i="1"/>
  <c r="E126" i="2" s="1"/>
  <c r="N124" i="1"/>
  <c r="E127" i="2" s="1"/>
  <c r="N125" i="1"/>
  <c r="E128" i="2" s="1"/>
  <c r="N126" i="1"/>
  <c r="E129" i="2" s="1"/>
  <c r="N127" i="1"/>
  <c r="E130" i="2" s="1"/>
  <c r="N128" i="1"/>
  <c r="E131" i="2" s="1"/>
  <c r="N129" i="1"/>
  <c r="E132" i="2" s="1"/>
  <c r="N130" i="1"/>
  <c r="E133" i="2" s="1"/>
  <c r="N131" i="1"/>
  <c r="E134" i="2" s="1"/>
  <c r="N132" i="1"/>
  <c r="E135" i="2" s="1"/>
  <c r="N133" i="1"/>
  <c r="E136" i="2" s="1"/>
  <c r="N134" i="1"/>
  <c r="E137" i="2" s="1"/>
  <c r="N135" i="1"/>
  <c r="E138" i="2" s="1"/>
  <c r="N136" i="1"/>
  <c r="E139" i="2" s="1"/>
  <c r="N137" i="1"/>
  <c r="E140" i="2" s="1"/>
  <c r="N138" i="1"/>
  <c r="E141" i="2" s="1"/>
  <c r="N139" i="1"/>
  <c r="E142" i="2" s="1"/>
  <c r="N140" i="1"/>
  <c r="E143" i="2" s="1"/>
  <c r="N141" i="1"/>
  <c r="E144" i="2" s="1"/>
  <c r="N142" i="1"/>
  <c r="E145" i="2" s="1"/>
  <c r="N143" i="1"/>
  <c r="E146" i="2" s="1"/>
  <c r="N144" i="1"/>
  <c r="E147" i="2" s="1"/>
  <c r="N145" i="1"/>
  <c r="E148" i="2" s="1"/>
  <c r="N146" i="1"/>
  <c r="E149" i="2" s="1"/>
  <c r="N147" i="1"/>
  <c r="E150" i="2" s="1"/>
  <c r="N148" i="1"/>
  <c r="E151" i="2" s="1"/>
  <c r="N149" i="1"/>
  <c r="E152" i="2" s="1"/>
  <c r="N150" i="1"/>
  <c r="E153" i="2" s="1"/>
  <c r="N151" i="1"/>
  <c r="E154" i="2" s="1"/>
  <c r="N152" i="1"/>
  <c r="E155" i="2" s="1"/>
  <c r="N153" i="1"/>
  <c r="E156" i="2" s="1"/>
  <c r="N154" i="1"/>
  <c r="E157" i="2" s="1"/>
  <c r="N155" i="1"/>
  <c r="E158" i="2" s="1"/>
  <c r="N156" i="1"/>
  <c r="E159" i="2" s="1"/>
  <c r="N157" i="1"/>
  <c r="E160" i="2" s="1"/>
  <c r="N158" i="1"/>
  <c r="E161" i="2" s="1"/>
  <c r="N159" i="1"/>
  <c r="E162" i="2" s="1"/>
  <c r="N160" i="1"/>
  <c r="E163" i="2" s="1"/>
  <c r="N161" i="1"/>
  <c r="E164" i="2" s="1"/>
  <c r="N162" i="1"/>
  <c r="E165" i="2" s="1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C7"/>
  <c r="L7" s="1"/>
  <c r="C8"/>
  <c r="L8" s="1"/>
  <c r="C9"/>
  <c r="L9" s="1"/>
  <c r="C10"/>
  <c r="L10" s="1"/>
  <c r="C11"/>
  <c r="L11" s="1"/>
  <c r="C12"/>
  <c r="L12" s="1"/>
  <c r="C13"/>
  <c r="L13" s="1"/>
  <c r="C14"/>
  <c r="L14" s="1"/>
  <c r="C15"/>
  <c r="L15" s="1"/>
  <c r="C16"/>
  <c r="L16" s="1"/>
  <c r="C17"/>
  <c r="L17" s="1"/>
  <c r="C18"/>
  <c r="L18" s="1"/>
  <c r="C19"/>
  <c r="L19" s="1"/>
  <c r="C20"/>
  <c r="L20" s="1"/>
  <c r="C21"/>
  <c r="L21" s="1"/>
  <c r="C22"/>
  <c r="L22" s="1"/>
  <c r="C23"/>
  <c r="L23" s="1"/>
  <c r="C24"/>
  <c r="L24" s="1"/>
  <c r="C25"/>
  <c r="L25" s="1"/>
  <c r="C26"/>
  <c r="L26" s="1"/>
  <c r="C27"/>
  <c r="L27" s="1"/>
  <c r="C28"/>
  <c r="L28" s="1"/>
  <c r="C29"/>
  <c r="L29" s="1"/>
  <c r="C30"/>
  <c r="L30" s="1"/>
  <c r="C31"/>
  <c r="L31" s="1"/>
  <c r="C32"/>
  <c r="L32" s="1"/>
  <c r="C33"/>
  <c r="L33" s="1"/>
  <c r="C34"/>
  <c r="L34" s="1"/>
  <c r="C35"/>
  <c r="L35" s="1"/>
  <c r="C36"/>
  <c r="L36" s="1"/>
  <c r="C37"/>
  <c r="L37" s="1"/>
  <c r="C38"/>
  <c r="L38" s="1"/>
  <c r="C39"/>
  <c r="L39" s="1"/>
  <c r="C40"/>
  <c r="L40" s="1"/>
  <c r="C41"/>
  <c r="L41" s="1"/>
  <c r="C42"/>
  <c r="L42" s="1"/>
  <c r="C43"/>
  <c r="L43" s="1"/>
  <c r="C44"/>
  <c r="L44" s="1"/>
  <c r="C45"/>
  <c r="L45" s="1"/>
  <c r="C46"/>
  <c r="L46" s="1"/>
  <c r="C47"/>
  <c r="L47" s="1"/>
  <c r="C48"/>
  <c r="L48" s="1"/>
  <c r="C49"/>
  <c r="L49" s="1"/>
  <c r="C50"/>
  <c r="L50" s="1"/>
  <c r="C51"/>
  <c r="L51" s="1"/>
  <c r="C52"/>
  <c r="L52" s="1"/>
  <c r="C53"/>
  <c r="L53" s="1"/>
  <c r="C54"/>
  <c r="L54" s="1"/>
  <c r="C55"/>
  <c r="L55" s="1"/>
  <c r="C56"/>
  <c r="L56" s="1"/>
  <c r="C57"/>
  <c r="L57" s="1"/>
  <c r="C58"/>
  <c r="L58" s="1"/>
  <c r="C59"/>
  <c r="L59" s="1"/>
  <c r="C60"/>
  <c r="L60" s="1"/>
  <c r="C61"/>
  <c r="L61" s="1"/>
  <c r="C62"/>
  <c r="L62" s="1"/>
  <c r="C63"/>
  <c r="L63" s="1"/>
  <c r="C64"/>
  <c r="L64" s="1"/>
  <c r="C65"/>
  <c r="L65" s="1"/>
  <c r="C66"/>
  <c r="L66" s="1"/>
  <c r="C67"/>
  <c r="L67" s="1"/>
  <c r="C68"/>
  <c r="L68" s="1"/>
  <c r="C69"/>
  <c r="L69" s="1"/>
  <c r="C70"/>
  <c r="L70" s="1"/>
  <c r="C71"/>
  <c r="L71" s="1"/>
  <c r="C72"/>
  <c r="L72" s="1"/>
  <c r="C73"/>
  <c r="L73" s="1"/>
  <c r="C74"/>
  <c r="L74" s="1"/>
  <c r="C75"/>
  <c r="L75" s="1"/>
  <c r="C76"/>
  <c r="L76" s="1"/>
  <c r="C77"/>
  <c r="L77" s="1"/>
  <c r="C78"/>
  <c r="L78" s="1"/>
  <c r="C79"/>
  <c r="L79" s="1"/>
  <c r="C80"/>
  <c r="L80" s="1"/>
  <c r="C81"/>
  <c r="L81" s="1"/>
  <c r="C82"/>
  <c r="L82" s="1"/>
  <c r="C83"/>
  <c r="L83" s="1"/>
  <c r="C84"/>
  <c r="L84" s="1"/>
  <c r="C85"/>
  <c r="L85" s="1"/>
  <c r="C86"/>
  <c r="L86" s="1"/>
  <c r="C87"/>
  <c r="L87" s="1"/>
  <c r="C88"/>
  <c r="L88" s="1"/>
  <c r="C89"/>
  <c r="L89" s="1"/>
  <c r="C90"/>
  <c r="L90" s="1"/>
  <c r="C91"/>
  <c r="L91" s="1"/>
  <c r="C92"/>
  <c r="L92" s="1"/>
  <c r="C93"/>
  <c r="L93" s="1"/>
  <c r="C94"/>
  <c r="L94" s="1"/>
  <c r="C95"/>
  <c r="L95" s="1"/>
  <c r="C96"/>
  <c r="L96" s="1"/>
  <c r="C97"/>
  <c r="L97" s="1"/>
  <c r="C98"/>
  <c r="L98" s="1"/>
  <c r="C99"/>
  <c r="L99" s="1"/>
  <c r="C100"/>
  <c r="L100" s="1"/>
  <c r="C101"/>
  <c r="L101" s="1"/>
  <c r="C102"/>
  <c r="L102" s="1"/>
  <c r="C103"/>
  <c r="L103" s="1"/>
  <c r="C104"/>
  <c r="L104" s="1"/>
  <c r="C105"/>
  <c r="L105" s="1"/>
  <c r="C106"/>
  <c r="L106" s="1"/>
  <c r="C107"/>
  <c r="L107" s="1"/>
  <c r="C108"/>
  <c r="L108" s="1"/>
  <c r="C109"/>
  <c r="L109" s="1"/>
  <c r="C110"/>
  <c r="L110" s="1"/>
  <c r="C111"/>
  <c r="L111" s="1"/>
  <c r="C112"/>
  <c r="L112" s="1"/>
  <c r="C113"/>
  <c r="L113" s="1"/>
  <c r="C114"/>
  <c r="L114" s="1"/>
  <c r="C115"/>
  <c r="L115" s="1"/>
  <c r="C116"/>
  <c r="L116" s="1"/>
  <c r="C117"/>
  <c r="L117" s="1"/>
  <c r="C118"/>
  <c r="L118" s="1"/>
  <c r="C119"/>
  <c r="L119" s="1"/>
  <c r="C120"/>
  <c r="L120" s="1"/>
  <c r="C121"/>
  <c r="L121" s="1"/>
  <c r="C122"/>
  <c r="L122" s="1"/>
  <c r="C123"/>
  <c r="L123" s="1"/>
  <c r="C124"/>
  <c r="L124" s="1"/>
  <c r="C125"/>
  <c r="L125" s="1"/>
  <c r="C126"/>
  <c r="L126" s="1"/>
  <c r="C127"/>
  <c r="L127" s="1"/>
  <c r="C128"/>
  <c r="L128" s="1"/>
  <c r="C129"/>
  <c r="L129" s="1"/>
  <c r="C130"/>
  <c r="L130" s="1"/>
  <c r="C131"/>
  <c r="L131" s="1"/>
  <c r="C132"/>
  <c r="L132" s="1"/>
  <c r="C133"/>
  <c r="L133" s="1"/>
  <c r="C134"/>
  <c r="L134" s="1"/>
  <c r="C135"/>
  <c r="L135" s="1"/>
  <c r="C136"/>
  <c r="L136" s="1"/>
  <c r="C137"/>
  <c r="L137" s="1"/>
  <c r="C138"/>
  <c r="L138" s="1"/>
  <c r="C139"/>
  <c r="L139" s="1"/>
  <c r="C140"/>
  <c r="L140" s="1"/>
  <c r="C141"/>
  <c r="L141" s="1"/>
  <c r="C142"/>
  <c r="L142" s="1"/>
  <c r="C143"/>
  <c r="L143" s="1"/>
  <c r="C144"/>
  <c r="L144" s="1"/>
  <c r="C145"/>
  <c r="L145" s="1"/>
  <c r="C146"/>
  <c r="L146" s="1"/>
  <c r="C147"/>
  <c r="L147" s="1"/>
  <c r="C148"/>
  <c r="L148" s="1"/>
  <c r="C149"/>
  <c r="L149" s="1"/>
  <c r="C150"/>
  <c r="L150" s="1"/>
  <c r="C151"/>
  <c r="L151" s="1"/>
  <c r="C152"/>
  <c r="L152" s="1"/>
  <c r="C153"/>
  <c r="L153" s="1"/>
  <c r="C154"/>
  <c r="L154" s="1"/>
  <c r="C155"/>
  <c r="L155" s="1"/>
  <c r="C156"/>
  <c r="L156" s="1"/>
  <c r="C157"/>
  <c r="L157" s="1"/>
  <c r="C158"/>
  <c r="L158" s="1"/>
  <c r="C159"/>
  <c r="L159" s="1"/>
  <c r="C160"/>
  <c r="L160" s="1"/>
  <c r="C161"/>
  <c r="L161" s="1"/>
  <c r="C162"/>
  <c r="L162" s="1"/>
  <c r="C163"/>
  <c r="L163" s="1"/>
  <c r="C164"/>
  <c r="L164" s="1"/>
  <c r="C165"/>
  <c r="L165" s="1"/>
  <c r="C6"/>
  <c r="L6" s="1"/>
  <c r="H168" l="1"/>
  <c r="J168"/>
  <c r="K168"/>
  <c r="K169"/>
  <c r="J170"/>
  <c r="D170"/>
  <c r="E169"/>
  <c r="F168"/>
  <c r="G169"/>
  <c r="I169"/>
  <c r="L167"/>
  <c r="L168"/>
  <c r="L169"/>
  <c r="L170"/>
  <c r="D167"/>
  <c r="J167"/>
  <c r="H167"/>
  <c r="F167"/>
  <c r="I168"/>
  <c r="G168"/>
  <c r="E168"/>
  <c r="D169"/>
  <c r="H170"/>
  <c r="F170"/>
  <c r="J169"/>
  <c r="H169"/>
  <c r="F169"/>
  <c r="K167"/>
  <c r="I167"/>
  <c r="G167"/>
  <c r="E167"/>
  <c r="D168"/>
  <c r="K170"/>
  <c r="I170"/>
  <c r="I171" s="1"/>
  <c r="G170"/>
  <c r="E170"/>
  <c r="U126" l="1"/>
  <c r="AD126" s="1"/>
  <c r="U10"/>
  <c r="AD10" s="1"/>
  <c r="U41"/>
  <c r="AD41" s="1"/>
  <c r="U110"/>
  <c r="AD110" s="1"/>
  <c r="U107"/>
  <c r="AD107" s="1"/>
  <c r="U54"/>
  <c r="AD54" s="1"/>
  <c r="U35"/>
  <c r="AD35" s="1"/>
  <c r="U154"/>
  <c r="AD154" s="1"/>
  <c r="G171"/>
  <c r="U117"/>
  <c r="AD117" s="1"/>
  <c r="U142"/>
  <c r="AD142" s="1"/>
  <c r="D171"/>
  <c r="U105"/>
  <c r="AD105" s="1"/>
  <c r="U161"/>
  <c r="AD161" s="1"/>
  <c r="U86"/>
  <c r="AD86" s="1"/>
  <c r="U89"/>
  <c r="AD89" s="1"/>
  <c r="U121"/>
  <c r="AD121" s="1"/>
  <c r="U66"/>
  <c r="AD66" s="1"/>
  <c r="E171"/>
  <c r="J171"/>
  <c r="K171"/>
  <c r="U63"/>
  <c r="AD63" s="1"/>
  <c r="U113"/>
  <c r="AD113" s="1"/>
  <c r="U162"/>
  <c r="AD162" s="1"/>
  <c r="U70"/>
  <c r="AD70" s="1"/>
  <c r="U106"/>
  <c r="AD106" s="1"/>
  <c r="U122"/>
  <c r="AD122" s="1"/>
  <c r="U130"/>
  <c r="AD130" s="1"/>
  <c r="U146"/>
  <c r="AD146" s="1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39"/>
  <c r="T140"/>
  <c r="T141"/>
  <c r="T142"/>
  <c r="T143"/>
  <c r="T144"/>
  <c r="T145"/>
  <c r="T146"/>
  <c r="T147"/>
  <c r="T148"/>
  <c r="T149"/>
  <c r="T150"/>
  <c r="T151"/>
  <c r="T152"/>
  <c r="T153"/>
  <c r="T154"/>
  <c r="T155"/>
  <c r="T156"/>
  <c r="T157"/>
  <c r="T158"/>
  <c r="T159"/>
  <c r="T160"/>
  <c r="T161"/>
  <c r="T162"/>
  <c r="T163"/>
  <c r="T164"/>
  <c r="T165"/>
  <c r="T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6"/>
  <c r="M7"/>
  <c r="M9"/>
  <c r="M11"/>
  <c r="M13"/>
  <c r="M15"/>
  <c r="M17"/>
  <c r="M19"/>
  <c r="M21"/>
  <c r="M23"/>
  <c r="M25"/>
  <c r="M27"/>
  <c r="M29"/>
  <c r="M31"/>
  <c r="M33"/>
  <c r="M35"/>
  <c r="M37"/>
  <c r="M39"/>
  <c r="M41"/>
  <c r="M43"/>
  <c r="M45"/>
  <c r="M47"/>
  <c r="M49"/>
  <c r="M51"/>
  <c r="M53"/>
  <c r="M55"/>
  <c r="M57"/>
  <c r="M59"/>
  <c r="M61"/>
  <c r="M63"/>
  <c r="M65"/>
  <c r="M67"/>
  <c r="M69"/>
  <c r="M71"/>
  <c r="M73"/>
  <c r="M75"/>
  <c r="M77"/>
  <c r="M79"/>
  <c r="M81"/>
  <c r="M83"/>
  <c r="M85"/>
  <c r="M87"/>
  <c r="M89"/>
  <c r="M91"/>
  <c r="M93"/>
  <c r="M95"/>
  <c r="M97"/>
  <c r="M99"/>
  <c r="M101"/>
  <c r="M103"/>
  <c r="M105"/>
  <c r="M107"/>
  <c r="M109"/>
  <c r="M111"/>
  <c r="M113"/>
  <c r="M115"/>
  <c r="M117"/>
  <c r="M119"/>
  <c r="M121"/>
  <c r="M123"/>
  <c r="M125"/>
  <c r="M127"/>
  <c r="M129"/>
  <c r="M131"/>
  <c r="M133"/>
  <c r="M135"/>
  <c r="M137"/>
  <c r="M139"/>
  <c r="M141"/>
  <c r="M143"/>
  <c r="M145"/>
  <c r="M147"/>
  <c r="M149"/>
  <c r="M151"/>
  <c r="M153"/>
  <c r="M155"/>
  <c r="M157"/>
  <c r="M159"/>
  <c r="M161"/>
  <c r="M163"/>
  <c r="M165"/>
  <c r="M6"/>
  <c r="M8"/>
  <c r="M10"/>
  <c r="M12"/>
  <c r="M14"/>
  <c r="M16"/>
  <c r="M18"/>
  <c r="M20"/>
  <c r="M22"/>
  <c r="M24"/>
  <c r="M26"/>
  <c r="M28"/>
  <c r="M30"/>
  <c r="M32"/>
  <c r="M34"/>
  <c r="M36"/>
  <c r="M38"/>
  <c r="M40"/>
  <c r="M42"/>
  <c r="M44"/>
  <c r="M46"/>
  <c r="M48"/>
  <c r="M50"/>
  <c r="M52"/>
  <c r="M54"/>
  <c r="M56"/>
  <c r="M58"/>
  <c r="M60"/>
  <c r="M62"/>
  <c r="M64"/>
  <c r="M66"/>
  <c r="M68"/>
  <c r="M70"/>
  <c r="M72"/>
  <c r="M74"/>
  <c r="M76"/>
  <c r="M78"/>
  <c r="M80"/>
  <c r="M82"/>
  <c r="M84"/>
  <c r="M86"/>
  <c r="M88"/>
  <c r="M90"/>
  <c r="M92"/>
  <c r="M94"/>
  <c r="M96"/>
  <c r="M98"/>
  <c r="M100"/>
  <c r="M102"/>
  <c r="M104"/>
  <c r="M106"/>
  <c r="M108"/>
  <c r="M110"/>
  <c r="M112"/>
  <c r="M114"/>
  <c r="M116"/>
  <c r="M118"/>
  <c r="M120"/>
  <c r="M122"/>
  <c r="M124"/>
  <c r="M126"/>
  <c r="M128"/>
  <c r="M130"/>
  <c r="M132"/>
  <c r="M134"/>
  <c r="M136"/>
  <c r="M138"/>
  <c r="M140"/>
  <c r="M142"/>
  <c r="M144"/>
  <c r="M146"/>
  <c r="M148"/>
  <c r="M150"/>
  <c r="M152"/>
  <c r="M154"/>
  <c r="M156"/>
  <c r="M158"/>
  <c r="M160"/>
  <c r="M162"/>
  <c r="M164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6"/>
  <c r="N71"/>
  <c r="N72"/>
  <c r="N73"/>
  <c r="N74"/>
  <c r="N75"/>
  <c r="N76"/>
  <c r="N77"/>
  <c r="N78"/>
  <c r="N79"/>
  <c r="N80"/>
  <c r="N81"/>
  <c r="N82"/>
  <c r="N83"/>
  <c r="N84"/>
  <c r="N85"/>
  <c r="N86"/>
  <c r="N87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151"/>
  <c r="R152"/>
  <c r="R153"/>
  <c r="R154"/>
  <c r="R155"/>
  <c r="R156"/>
  <c r="R157"/>
  <c r="R158"/>
  <c r="R159"/>
  <c r="R160"/>
  <c r="R161"/>
  <c r="R162"/>
  <c r="R163"/>
  <c r="R164"/>
  <c r="R165"/>
  <c r="R6"/>
  <c r="R71"/>
  <c r="R72"/>
  <c r="R73"/>
  <c r="R74"/>
  <c r="R75"/>
  <c r="R76"/>
  <c r="R77"/>
  <c r="R78"/>
  <c r="R79"/>
  <c r="R80"/>
  <c r="R81"/>
  <c r="R82"/>
  <c r="R83"/>
  <c r="R84"/>
  <c r="R85"/>
  <c r="R86"/>
  <c r="R87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6"/>
  <c r="U127"/>
  <c r="AD127" s="1"/>
  <c r="U131"/>
  <c r="AD131" s="1"/>
  <c r="U139"/>
  <c r="AD139" s="1"/>
  <c r="U155"/>
  <c r="AD155" s="1"/>
  <c r="U159"/>
  <c r="AD159" s="1"/>
  <c r="U36"/>
  <c r="AD36" s="1"/>
  <c r="U72"/>
  <c r="AD72" s="1"/>
  <c r="U96"/>
  <c r="AD96" s="1"/>
  <c r="U100"/>
  <c r="AD100" s="1"/>
  <c r="U108"/>
  <c r="AD108" s="1"/>
  <c r="U120"/>
  <c r="AD120" s="1"/>
  <c r="U124"/>
  <c r="AD124" s="1"/>
  <c r="U128"/>
  <c r="AD128" s="1"/>
  <c r="U136"/>
  <c r="AD136" s="1"/>
  <c r="U148"/>
  <c r="AD148" s="1"/>
  <c r="U152"/>
  <c r="AD152" s="1"/>
  <c r="U156"/>
  <c r="AD156" s="1"/>
  <c r="U160"/>
  <c r="AD160" s="1"/>
  <c r="L171"/>
  <c r="U119" s="1"/>
  <c r="AD119" s="1"/>
  <c r="H171"/>
  <c r="F171"/>
  <c r="U104" l="1"/>
  <c r="AD104" s="1"/>
  <c r="U80"/>
  <c r="AD80" s="1"/>
  <c r="U48"/>
  <c r="AD48" s="1"/>
  <c r="U8"/>
  <c r="AD8" s="1"/>
  <c r="U143"/>
  <c r="AD143" s="1"/>
  <c r="U144"/>
  <c r="AD144" s="1"/>
  <c r="U88"/>
  <c r="AD88" s="1"/>
  <c r="U56"/>
  <c r="AD56" s="1"/>
  <c r="U40"/>
  <c r="AD40" s="1"/>
  <c r="U32"/>
  <c r="AD32" s="1"/>
  <c r="U16"/>
  <c r="AD16" s="1"/>
  <c r="U151"/>
  <c r="AD151" s="1"/>
  <c r="U164"/>
  <c r="AD164" s="1"/>
  <c r="U62"/>
  <c r="AD62" s="1"/>
  <c r="U46"/>
  <c r="AD46" s="1"/>
  <c r="U112"/>
  <c r="AD112" s="1"/>
  <c r="U64"/>
  <c r="AD64" s="1"/>
  <c r="U24"/>
  <c r="AD24" s="1"/>
  <c r="U135"/>
  <c r="AD135" s="1"/>
  <c r="U111"/>
  <c r="AD111" s="1"/>
  <c r="R167"/>
  <c r="R168"/>
  <c r="R169"/>
  <c r="R170"/>
  <c r="N167"/>
  <c r="N168"/>
  <c r="N169"/>
  <c r="N170"/>
  <c r="Q167"/>
  <c r="Q168"/>
  <c r="Q169"/>
  <c r="Q170"/>
  <c r="T167"/>
  <c r="T168"/>
  <c r="T169"/>
  <c r="T170"/>
  <c r="P167"/>
  <c r="P168"/>
  <c r="P169"/>
  <c r="P170"/>
  <c r="U103"/>
  <c r="AD103" s="1"/>
  <c r="U99"/>
  <c r="AD99" s="1"/>
  <c r="U95"/>
  <c r="AD95" s="1"/>
  <c r="U91"/>
  <c r="AD91" s="1"/>
  <c r="U87"/>
  <c r="AD87" s="1"/>
  <c r="U83"/>
  <c r="AD83" s="1"/>
  <c r="U79"/>
  <c r="AD79" s="1"/>
  <c r="U75"/>
  <c r="AD75" s="1"/>
  <c r="U71"/>
  <c r="AD71" s="1"/>
  <c r="U67"/>
  <c r="AD67" s="1"/>
  <c r="U59"/>
  <c r="AD59" s="1"/>
  <c r="U55"/>
  <c r="AD55" s="1"/>
  <c r="U51"/>
  <c r="AD51" s="1"/>
  <c r="U47"/>
  <c r="AD47" s="1"/>
  <c r="U43"/>
  <c r="AD43" s="1"/>
  <c r="U39"/>
  <c r="AD39" s="1"/>
  <c r="U31"/>
  <c r="AD31" s="1"/>
  <c r="U27"/>
  <c r="AD27" s="1"/>
  <c r="U23"/>
  <c r="AD23" s="1"/>
  <c r="U19"/>
  <c r="AD19" s="1"/>
  <c r="U15"/>
  <c r="AD15" s="1"/>
  <c r="U11"/>
  <c r="AD11" s="1"/>
  <c r="U7"/>
  <c r="AD7" s="1"/>
  <c r="U158"/>
  <c r="AD158" s="1"/>
  <c r="U150"/>
  <c r="AD150" s="1"/>
  <c r="U138"/>
  <c r="AD138" s="1"/>
  <c r="U134"/>
  <c r="AD134" s="1"/>
  <c r="U118"/>
  <c r="AD118" s="1"/>
  <c r="U114"/>
  <c r="AD114" s="1"/>
  <c r="U102"/>
  <c r="AD102" s="1"/>
  <c r="U98"/>
  <c r="AD98" s="1"/>
  <c r="U94"/>
  <c r="AD94" s="1"/>
  <c r="U90"/>
  <c r="AD90" s="1"/>
  <c r="U82"/>
  <c r="AD82" s="1"/>
  <c r="U78"/>
  <c r="AD78" s="1"/>
  <c r="U74"/>
  <c r="AD74" s="1"/>
  <c r="U58"/>
  <c r="AD58" s="1"/>
  <c r="U50"/>
  <c r="AD50" s="1"/>
  <c r="U42"/>
  <c r="AD42" s="1"/>
  <c r="U38"/>
  <c r="AD38" s="1"/>
  <c r="U34"/>
  <c r="AD34" s="1"/>
  <c r="U30"/>
  <c r="AD30" s="1"/>
  <c r="U26"/>
  <c r="AD26" s="1"/>
  <c r="U22"/>
  <c r="AD22" s="1"/>
  <c r="U18"/>
  <c r="AD18" s="1"/>
  <c r="U14"/>
  <c r="AD14" s="1"/>
  <c r="U165"/>
  <c r="AD165" s="1"/>
  <c r="U157"/>
  <c r="AD157" s="1"/>
  <c r="U153"/>
  <c r="AD153" s="1"/>
  <c r="U149"/>
  <c r="AD149" s="1"/>
  <c r="U145"/>
  <c r="AD145" s="1"/>
  <c r="U141"/>
  <c r="AD141" s="1"/>
  <c r="U137"/>
  <c r="AD137" s="1"/>
  <c r="U133"/>
  <c r="AD133" s="1"/>
  <c r="U129"/>
  <c r="AD129" s="1"/>
  <c r="U125"/>
  <c r="AD125" s="1"/>
  <c r="U109"/>
  <c r="AD109" s="1"/>
  <c r="U101"/>
  <c r="AD101" s="1"/>
  <c r="U97"/>
  <c r="AD97" s="1"/>
  <c r="U93"/>
  <c r="AD93" s="1"/>
  <c r="U85"/>
  <c r="AD85" s="1"/>
  <c r="U81"/>
  <c r="AD81" s="1"/>
  <c r="U77"/>
  <c r="AD77" s="1"/>
  <c r="U73"/>
  <c r="AD73" s="1"/>
  <c r="U69"/>
  <c r="AD69" s="1"/>
  <c r="U65"/>
  <c r="AD65" s="1"/>
  <c r="U61"/>
  <c r="AD61" s="1"/>
  <c r="U57"/>
  <c r="AD57" s="1"/>
  <c r="U53"/>
  <c r="AD53" s="1"/>
  <c r="U49"/>
  <c r="AD49" s="1"/>
  <c r="U45"/>
  <c r="AD45" s="1"/>
  <c r="U37"/>
  <c r="AD37" s="1"/>
  <c r="U33"/>
  <c r="AD33" s="1"/>
  <c r="U29"/>
  <c r="AD29" s="1"/>
  <c r="U25"/>
  <c r="AD25" s="1"/>
  <c r="U21"/>
  <c r="AD21" s="1"/>
  <c r="U17"/>
  <c r="AD17" s="1"/>
  <c r="U13"/>
  <c r="AD13" s="1"/>
  <c r="U9"/>
  <c r="AD9" s="1"/>
  <c r="S167"/>
  <c r="S168"/>
  <c r="S169"/>
  <c r="S170"/>
  <c r="O167"/>
  <c r="O168"/>
  <c r="O169"/>
  <c r="O170"/>
  <c r="M167"/>
  <c r="M168"/>
  <c r="M169"/>
  <c r="M170"/>
  <c r="U140"/>
  <c r="AD140" s="1"/>
  <c r="U132"/>
  <c r="AD132" s="1"/>
  <c r="U116"/>
  <c r="AD116" s="1"/>
  <c r="U92"/>
  <c r="AD92" s="1"/>
  <c r="U84"/>
  <c r="AD84" s="1"/>
  <c r="U76"/>
  <c r="AD76" s="1"/>
  <c r="U68"/>
  <c r="AD68" s="1"/>
  <c r="U60"/>
  <c r="AD60" s="1"/>
  <c r="U52"/>
  <c r="AD52" s="1"/>
  <c r="U44"/>
  <c r="AD44" s="1"/>
  <c r="U28"/>
  <c r="AD28" s="1"/>
  <c r="U20"/>
  <c r="AD20" s="1"/>
  <c r="U12"/>
  <c r="AD12" s="1"/>
  <c r="U163"/>
  <c r="AD163" s="1"/>
  <c r="U147"/>
  <c r="AD147" s="1"/>
  <c r="U123"/>
  <c r="AD123" s="1"/>
  <c r="U115"/>
  <c r="AD115" s="1"/>
  <c r="U6"/>
  <c r="AD6" l="1"/>
  <c r="T171"/>
  <c r="AC18" s="1"/>
  <c r="AL18" s="1"/>
  <c r="Q171"/>
  <c r="Z52" s="1"/>
  <c r="AI52" s="1"/>
  <c r="R171"/>
  <c r="AA8" s="1"/>
  <c r="AJ8" s="1"/>
  <c r="S171"/>
  <c r="AB9" s="1"/>
  <c r="AK9" s="1"/>
  <c r="M171"/>
  <c r="V9" s="1"/>
  <c r="AE9" s="1"/>
  <c r="O171"/>
  <c r="X7" s="1"/>
  <c r="AG7" s="1"/>
  <c r="P171"/>
  <c r="Y10" s="1"/>
  <c r="AH10" s="1"/>
  <c r="N171"/>
  <c r="W9" s="1"/>
  <c r="AF9" s="1"/>
  <c r="AA35" l="1"/>
  <c r="AJ35" s="1"/>
  <c r="AA99"/>
  <c r="AJ99" s="1"/>
  <c r="AA101"/>
  <c r="AJ101" s="1"/>
  <c r="AB80"/>
  <c r="AK80" s="1"/>
  <c r="AA165"/>
  <c r="AJ165" s="1"/>
  <c r="AA163"/>
  <c r="AJ163" s="1"/>
  <c r="AA70"/>
  <c r="AJ70" s="1"/>
  <c r="AA132"/>
  <c r="AJ132" s="1"/>
  <c r="AC99"/>
  <c r="AL99" s="1"/>
  <c r="AA134"/>
  <c r="AJ134" s="1"/>
  <c r="AA37"/>
  <c r="AJ37" s="1"/>
  <c r="AC37"/>
  <c r="AL37" s="1"/>
  <c r="AA68"/>
  <c r="AJ68" s="1"/>
  <c r="AA127"/>
  <c r="AJ127" s="1"/>
  <c r="AA63"/>
  <c r="AJ63" s="1"/>
  <c r="AA162"/>
  <c r="AJ162" s="1"/>
  <c r="AA98"/>
  <c r="AJ98" s="1"/>
  <c r="AA34"/>
  <c r="AJ34" s="1"/>
  <c r="AA129"/>
  <c r="AJ129" s="1"/>
  <c r="AA65"/>
  <c r="AJ65" s="1"/>
  <c r="AA160"/>
  <c r="AJ160" s="1"/>
  <c r="AA96"/>
  <c r="AJ96" s="1"/>
  <c r="AA32"/>
  <c r="AJ32" s="1"/>
  <c r="AC101"/>
  <c r="AL101" s="1"/>
  <c r="AC163"/>
  <c r="AL163" s="1"/>
  <c r="AC70"/>
  <c r="AL70" s="1"/>
  <c r="AB18"/>
  <c r="AK18" s="1"/>
  <c r="AA131"/>
  <c r="AJ131" s="1"/>
  <c r="AA67"/>
  <c r="AJ67" s="1"/>
  <c r="AA6"/>
  <c r="AJ6" s="1"/>
  <c r="AA102"/>
  <c r="AJ102" s="1"/>
  <c r="AA38"/>
  <c r="AJ38" s="1"/>
  <c r="AA133"/>
  <c r="AJ133" s="1"/>
  <c r="AA69"/>
  <c r="AJ69" s="1"/>
  <c r="AA164"/>
  <c r="AJ164" s="1"/>
  <c r="AA100"/>
  <c r="AJ100" s="1"/>
  <c r="AA36"/>
  <c r="AJ36" s="1"/>
  <c r="AC165"/>
  <c r="AL165" s="1"/>
  <c r="AC68"/>
  <c r="AL68" s="1"/>
  <c r="AC134"/>
  <c r="AL134" s="1"/>
  <c r="AB36"/>
  <c r="AK36" s="1"/>
  <c r="AA159"/>
  <c r="AJ159" s="1"/>
  <c r="AA95"/>
  <c r="AJ95" s="1"/>
  <c r="AA31"/>
  <c r="AJ31" s="1"/>
  <c r="AA130"/>
  <c r="AJ130" s="1"/>
  <c r="AA66"/>
  <c r="AJ66" s="1"/>
  <c r="AA161"/>
  <c r="AJ161" s="1"/>
  <c r="AA97"/>
  <c r="AJ97" s="1"/>
  <c r="AA33"/>
  <c r="AJ33" s="1"/>
  <c r="AA128"/>
  <c r="AJ128" s="1"/>
  <c r="AA64"/>
  <c r="AJ64" s="1"/>
  <c r="AC132"/>
  <c r="AL132" s="1"/>
  <c r="AC35"/>
  <c r="AL35" s="1"/>
  <c r="AB164"/>
  <c r="AK164" s="1"/>
  <c r="AB102"/>
  <c r="AK102" s="1"/>
  <c r="AC117"/>
  <c r="AL117" s="1"/>
  <c r="AC53"/>
  <c r="AL53" s="1"/>
  <c r="AC148"/>
  <c r="AL148" s="1"/>
  <c r="AC84"/>
  <c r="AL84" s="1"/>
  <c r="AC20"/>
  <c r="AL20" s="1"/>
  <c r="AC115"/>
  <c r="AL115" s="1"/>
  <c r="AC51"/>
  <c r="AL51" s="1"/>
  <c r="AC150"/>
  <c r="AL150" s="1"/>
  <c r="AC86"/>
  <c r="AL86" s="1"/>
  <c r="AC22"/>
  <c r="AL22" s="1"/>
  <c r="AB111"/>
  <c r="AK111" s="1"/>
  <c r="AC133"/>
  <c r="AL133" s="1"/>
  <c r="AC69"/>
  <c r="AL69" s="1"/>
  <c r="AC164"/>
  <c r="AL164" s="1"/>
  <c r="AC100"/>
  <c r="AL100" s="1"/>
  <c r="AC36"/>
  <c r="AL36" s="1"/>
  <c r="AC131"/>
  <c r="AL131" s="1"/>
  <c r="AC67"/>
  <c r="AL67" s="1"/>
  <c r="AC6"/>
  <c r="AL6" s="1"/>
  <c r="AC102"/>
  <c r="AL102" s="1"/>
  <c r="AC38"/>
  <c r="AL38" s="1"/>
  <c r="AC149"/>
  <c r="AL149" s="1"/>
  <c r="AC85"/>
  <c r="AL85" s="1"/>
  <c r="AC21"/>
  <c r="AL21" s="1"/>
  <c r="AC116"/>
  <c r="AL116" s="1"/>
  <c r="AC52"/>
  <c r="AL52" s="1"/>
  <c r="AC147"/>
  <c r="AL147" s="1"/>
  <c r="AC83"/>
  <c r="AL83" s="1"/>
  <c r="AC19"/>
  <c r="AL19" s="1"/>
  <c r="AC118"/>
  <c r="AL118" s="1"/>
  <c r="AC54"/>
  <c r="AL54" s="1"/>
  <c r="AC137"/>
  <c r="AL137" s="1"/>
  <c r="AC105"/>
  <c r="AL105" s="1"/>
  <c r="AC73"/>
  <c r="AL73" s="1"/>
  <c r="AC41"/>
  <c r="AL41" s="1"/>
  <c r="AC9"/>
  <c r="AL9" s="1"/>
  <c r="AC136"/>
  <c r="AL136" s="1"/>
  <c r="AC104"/>
  <c r="AL104" s="1"/>
  <c r="AC72"/>
  <c r="AL72" s="1"/>
  <c r="AC40"/>
  <c r="AL40" s="1"/>
  <c r="AC8"/>
  <c r="AL8" s="1"/>
  <c r="AC135"/>
  <c r="AL135" s="1"/>
  <c r="AC103"/>
  <c r="AL103" s="1"/>
  <c r="AC71"/>
  <c r="AL71" s="1"/>
  <c r="AC39"/>
  <c r="AL39" s="1"/>
  <c r="AC23"/>
  <c r="AL23" s="1"/>
  <c r="AC7"/>
  <c r="AL7" s="1"/>
  <c r="AC154"/>
  <c r="AL154" s="1"/>
  <c r="AC138"/>
  <c r="AL138" s="1"/>
  <c r="AC122"/>
  <c r="AL122" s="1"/>
  <c r="AC106"/>
  <c r="AL106" s="1"/>
  <c r="AC90"/>
  <c r="AL90" s="1"/>
  <c r="AC58"/>
  <c r="AL58" s="1"/>
  <c r="AC42"/>
  <c r="AL42" s="1"/>
  <c r="AC26"/>
  <c r="AL26" s="1"/>
  <c r="AC10"/>
  <c r="AL10" s="1"/>
  <c r="AB124"/>
  <c r="AK124" s="1"/>
  <c r="AB27"/>
  <c r="AK27" s="1"/>
  <c r="AC157"/>
  <c r="AL157" s="1"/>
  <c r="AC141"/>
  <c r="AL141" s="1"/>
  <c r="AC125"/>
  <c r="AL125" s="1"/>
  <c r="AC109"/>
  <c r="AL109" s="1"/>
  <c r="AC93"/>
  <c r="AL93" s="1"/>
  <c r="AC77"/>
  <c r="AL77" s="1"/>
  <c r="AC61"/>
  <c r="AL61" s="1"/>
  <c r="AC45"/>
  <c r="AL45" s="1"/>
  <c r="AC29"/>
  <c r="AL29" s="1"/>
  <c r="AC13"/>
  <c r="AL13" s="1"/>
  <c r="AC156"/>
  <c r="AL156" s="1"/>
  <c r="AC140"/>
  <c r="AL140" s="1"/>
  <c r="AC124"/>
  <c r="AL124" s="1"/>
  <c r="AC108"/>
  <c r="AL108" s="1"/>
  <c r="AC92"/>
  <c r="AL92" s="1"/>
  <c r="AC76"/>
  <c r="AL76" s="1"/>
  <c r="AC60"/>
  <c r="AL60" s="1"/>
  <c r="AC44"/>
  <c r="AL44" s="1"/>
  <c r="AC28"/>
  <c r="AL28" s="1"/>
  <c r="AC12"/>
  <c r="AL12" s="1"/>
  <c r="AC155"/>
  <c r="AL155" s="1"/>
  <c r="AC139"/>
  <c r="AL139" s="1"/>
  <c r="AC123"/>
  <c r="AL123" s="1"/>
  <c r="AC107"/>
  <c r="AL107" s="1"/>
  <c r="AC91"/>
  <c r="AL91" s="1"/>
  <c r="AC75"/>
  <c r="AL75" s="1"/>
  <c r="AC59"/>
  <c r="AL59" s="1"/>
  <c r="AC43"/>
  <c r="AL43" s="1"/>
  <c r="AC27"/>
  <c r="AL27" s="1"/>
  <c r="AC11"/>
  <c r="AL11" s="1"/>
  <c r="AC158"/>
  <c r="AL158" s="1"/>
  <c r="AC142"/>
  <c r="AL142" s="1"/>
  <c r="AC126"/>
  <c r="AL126" s="1"/>
  <c r="AC110"/>
  <c r="AL110" s="1"/>
  <c r="AC94"/>
  <c r="AL94" s="1"/>
  <c r="AC78"/>
  <c r="AL78" s="1"/>
  <c r="AC62"/>
  <c r="AL62" s="1"/>
  <c r="AC46"/>
  <c r="AL46" s="1"/>
  <c r="AC30"/>
  <c r="AL30" s="1"/>
  <c r="AC14"/>
  <c r="AL14" s="1"/>
  <c r="AC153"/>
  <c r="AL153" s="1"/>
  <c r="AC121"/>
  <c r="AL121" s="1"/>
  <c r="AC89"/>
  <c r="AL89" s="1"/>
  <c r="AC57"/>
  <c r="AL57" s="1"/>
  <c r="AC25"/>
  <c r="AL25" s="1"/>
  <c r="AC152"/>
  <c r="AL152" s="1"/>
  <c r="AC120"/>
  <c r="AL120" s="1"/>
  <c r="AC88"/>
  <c r="AL88" s="1"/>
  <c r="AC56"/>
  <c r="AL56" s="1"/>
  <c r="AC24"/>
  <c r="AL24" s="1"/>
  <c r="AC151"/>
  <c r="AL151" s="1"/>
  <c r="AC119"/>
  <c r="AL119" s="1"/>
  <c r="AC87"/>
  <c r="AL87" s="1"/>
  <c r="AC55"/>
  <c r="AL55" s="1"/>
  <c r="AC74"/>
  <c r="AL74" s="1"/>
  <c r="AC161"/>
  <c r="AL161" s="1"/>
  <c r="AC145"/>
  <c r="AL145" s="1"/>
  <c r="AC129"/>
  <c r="AL129" s="1"/>
  <c r="AC113"/>
  <c r="AL113" s="1"/>
  <c r="AC97"/>
  <c r="AL97" s="1"/>
  <c r="AC81"/>
  <c r="AL81" s="1"/>
  <c r="AC65"/>
  <c r="AL65" s="1"/>
  <c r="AC49"/>
  <c r="AL49" s="1"/>
  <c r="AC33"/>
  <c r="AL33" s="1"/>
  <c r="AC17"/>
  <c r="AL17" s="1"/>
  <c r="AC160"/>
  <c r="AL160" s="1"/>
  <c r="AC144"/>
  <c r="AL144" s="1"/>
  <c r="AC128"/>
  <c r="AL128" s="1"/>
  <c r="AC112"/>
  <c r="AL112" s="1"/>
  <c r="AC96"/>
  <c r="AL96" s="1"/>
  <c r="AC80"/>
  <c r="AL80" s="1"/>
  <c r="AC64"/>
  <c r="AL64" s="1"/>
  <c r="AC48"/>
  <c r="AL48" s="1"/>
  <c r="AC32"/>
  <c r="AL32" s="1"/>
  <c r="AC16"/>
  <c r="AL16" s="1"/>
  <c r="AC159"/>
  <c r="AL159" s="1"/>
  <c r="AC143"/>
  <c r="AL143" s="1"/>
  <c r="AC127"/>
  <c r="AL127" s="1"/>
  <c r="AC111"/>
  <c r="AL111" s="1"/>
  <c r="AC95"/>
  <c r="AL95" s="1"/>
  <c r="AC79"/>
  <c r="AL79" s="1"/>
  <c r="AC63"/>
  <c r="AL63" s="1"/>
  <c r="AC47"/>
  <c r="AL47" s="1"/>
  <c r="AC31"/>
  <c r="AL31" s="1"/>
  <c r="AC15"/>
  <c r="AL15" s="1"/>
  <c r="AC162"/>
  <c r="AL162" s="1"/>
  <c r="AC146"/>
  <c r="AL146" s="1"/>
  <c r="AC130"/>
  <c r="AL130" s="1"/>
  <c r="AC114"/>
  <c r="AL114" s="1"/>
  <c r="AC98"/>
  <c r="AL98" s="1"/>
  <c r="AC82"/>
  <c r="AL82" s="1"/>
  <c r="AC66"/>
  <c r="AL66" s="1"/>
  <c r="AC50"/>
  <c r="AL50" s="1"/>
  <c r="AC34"/>
  <c r="AL34" s="1"/>
  <c r="AB93"/>
  <c r="AK93" s="1"/>
  <c r="AA147"/>
  <c r="AJ147" s="1"/>
  <c r="AA115"/>
  <c r="AJ115" s="1"/>
  <c r="AA83"/>
  <c r="AJ83" s="1"/>
  <c r="AA51"/>
  <c r="AJ51" s="1"/>
  <c r="AA19"/>
  <c r="AJ19" s="1"/>
  <c r="AA150"/>
  <c r="AJ150" s="1"/>
  <c r="AA118"/>
  <c r="AJ118" s="1"/>
  <c r="AA86"/>
  <c r="AJ86" s="1"/>
  <c r="AA54"/>
  <c r="AJ54" s="1"/>
  <c r="AA22"/>
  <c r="AJ22" s="1"/>
  <c r="AA149"/>
  <c r="AJ149" s="1"/>
  <c r="AA117"/>
  <c r="AJ117" s="1"/>
  <c r="AA85"/>
  <c r="AJ85" s="1"/>
  <c r="AA53"/>
  <c r="AJ53" s="1"/>
  <c r="AA21"/>
  <c r="AJ21" s="1"/>
  <c r="AA148"/>
  <c r="AJ148" s="1"/>
  <c r="AA116"/>
  <c r="AJ116" s="1"/>
  <c r="AA84"/>
  <c r="AJ84" s="1"/>
  <c r="AA52"/>
  <c r="AJ52" s="1"/>
  <c r="AA20"/>
  <c r="AJ20" s="1"/>
  <c r="AA143"/>
  <c r="AJ143" s="1"/>
  <c r="AA111"/>
  <c r="AJ111" s="1"/>
  <c r="AA79"/>
  <c r="AJ79" s="1"/>
  <c r="AA47"/>
  <c r="AJ47" s="1"/>
  <c r="AA15"/>
  <c r="AJ15" s="1"/>
  <c r="AA146"/>
  <c r="AJ146" s="1"/>
  <c r="AA114"/>
  <c r="AJ114" s="1"/>
  <c r="AA82"/>
  <c r="AJ82" s="1"/>
  <c r="AA50"/>
  <c r="AJ50" s="1"/>
  <c r="AA18"/>
  <c r="AJ18" s="1"/>
  <c r="AA145"/>
  <c r="AJ145" s="1"/>
  <c r="AA113"/>
  <c r="AJ113" s="1"/>
  <c r="AA81"/>
  <c r="AJ81" s="1"/>
  <c r="AA49"/>
  <c r="AJ49" s="1"/>
  <c r="AA17"/>
  <c r="AJ17" s="1"/>
  <c r="AA144"/>
  <c r="AJ144" s="1"/>
  <c r="AA112"/>
  <c r="AJ112" s="1"/>
  <c r="AA80"/>
  <c r="AJ80" s="1"/>
  <c r="AA48"/>
  <c r="AJ48" s="1"/>
  <c r="AA16"/>
  <c r="AJ16" s="1"/>
  <c r="X100"/>
  <c r="AG100" s="1"/>
  <c r="X148"/>
  <c r="AG148" s="1"/>
  <c r="AB155"/>
  <c r="AK155" s="1"/>
  <c r="AB67"/>
  <c r="AK67" s="1"/>
  <c r="AB146"/>
  <c r="AK146" s="1"/>
  <c r="AB62"/>
  <c r="AK62" s="1"/>
  <c r="AB133"/>
  <c r="AK133" s="1"/>
  <c r="AB49"/>
  <c r="AK49" s="1"/>
  <c r="Z37"/>
  <c r="AI37" s="1"/>
  <c r="X164"/>
  <c r="AG164" s="1"/>
  <c r="AB100"/>
  <c r="AK100" s="1"/>
  <c r="AB16"/>
  <c r="AK16" s="1"/>
  <c r="AB91"/>
  <c r="AK91" s="1"/>
  <c r="AB6"/>
  <c r="AK6" s="1"/>
  <c r="AB82"/>
  <c r="AK82" s="1"/>
  <c r="AB157"/>
  <c r="AK157" s="1"/>
  <c r="AB69"/>
  <c r="AK69" s="1"/>
  <c r="X132"/>
  <c r="AG132" s="1"/>
  <c r="AB144"/>
  <c r="AK144" s="1"/>
  <c r="AB60"/>
  <c r="AK60" s="1"/>
  <c r="AB131"/>
  <c r="AK131" s="1"/>
  <c r="AB47"/>
  <c r="AK47" s="1"/>
  <c r="AB126"/>
  <c r="AK126" s="1"/>
  <c r="AB38"/>
  <c r="AK38" s="1"/>
  <c r="AB113"/>
  <c r="AK113" s="1"/>
  <c r="AB29"/>
  <c r="AK29" s="1"/>
  <c r="Z99"/>
  <c r="AI99" s="1"/>
  <c r="AB148"/>
  <c r="AK148" s="1"/>
  <c r="AB108"/>
  <c r="AK108" s="1"/>
  <c r="AB64"/>
  <c r="AK64" s="1"/>
  <c r="AB20"/>
  <c r="AK20" s="1"/>
  <c r="AB139"/>
  <c r="AK139" s="1"/>
  <c r="AB95"/>
  <c r="AK95" s="1"/>
  <c r="AB51"/>
  <c r="AK51" s="1"/>
  <c r="AB11"/>
  <c r="AK11" s="1"/>
  <c r="AB130"/>
  <c r="AK130" s="1"/>
  <c r="AB86"/>
  <c r="AK86" s="1"/>
  <c r="AB46"/>
  <c r="AK46" s="1"/>
  <c r="AB161"/>
  <c r="AK161" s="1"/>
  <c r="AB117"/>
  <c r="AK117" s="1"/>
  <c r="AB77"/>
  <c r="AK77" s="1"/>
  <c r="AB33"/>
  <c r="AK33" s="1"/>
  <c r="Z163"/>
  <c r="AI163" s="1"/>
  <c r="X116"/>
  <c r="AG116" s="1"/>
  <c r="AB160"/>
  <c r="AK160" s="1"/>
  <c r="AB140"/>
  <c r="AK140" s="1"/>
  <c r="AB116"/>
  <c r="AK116" s="1"/>
  <c r="AB96"/>
  <c r="AK96" s="1"/>
  <c r="AB76"/>
  <c r="AK76" s="1"/>
  <c r="AB52"/>
  <c r="AK52" s="1"/>
  <c r="AB32"/>
  <c r="AK32" s="1"/>
  <c r="AB12"/>
  <c r="AK12" s="1"/>
  <c r="AB147"/>
  <c r="AK147" s="1"/>
  <c r="AB127"/>
  <c r="AK127" s="1"/>
  <c r="AB107"/>
  <c r="AK107" s="1"/>
  <c r="AB83"/>
  <c r="AK83" s="1"/>
  <c r="AB63"/>
  <c r="AK63" s="1"/>
  <c r="AB43"/>
  <c r="AK43" s="1"/>
  <c r="AB19"/>
  <c r="AK19" s="1"/>
  <c r="AB162"/>
  <c r="AK162" s="1"/>
  <c r="AB142"/>
  <c r="AK142" s="1"/>
  <c r="AB118"/>
  <c r="AK118" s="1"/>
  <c r="AB98"/>
  <c r="AK98" s="1"/>
  <c r="AB78"/>
  <c r="AK78" s="1"/>
  <c r="AB54"/>
  <c r="AK54" s="1"/>
  <c r="AB34"/>
  <c r="AK34" s="1"/>
  <c r="AB14"/>
  <c r="AK14" s="1"/>
  <c r="AB149"/>
  <c r="AK149" s="1"/>
  <c r="AB129"/>
  <c r="AK129" s="1"/>
  <c r="AB109"/>
  <c r="AK109" s="1"/>
  <c r="AB85"/>
  <c r="AK85" s="1"/>
  <c r="AB65"/>
  <c r="AK65" s="1"/>
  <c r="AB45"/>
  <c r="AK45" s="1"/>
  <c r="AB21"/>
  <c r="AK21" s="1"/>
  <c r="Z130"/>
  <c r="AI130" s="1"/>
  <c r="Z35"/>
  <c r="AI35" s="1"/>
  <c r="AB128"/>
  <c r="AK128" s="1"/>
  <c r="AB84"/>
  <c r="AK84" s="1"/>
  <c r="AB44"/>
  <c r="AK44" s="1"/>
  <c r="AB159"/>
  <c r="AK159" s="1"/>
  <c r="AB115"/>
  <c r="AK115" s="1"/>
  <c r="AB75"/>
  <c r="AK75" s="1"/>
  <c r="AB31"/>
  <c r="AK31" s="1"/>
  <c r="AB150"/>
  <c r="AK150" s="1"/>
  <c r="AB110"/>
  <c r="AK110" s="1"/>
  <c r="AB66"/>
  <c r="AK66" s="1"/>
  <c r="AB22"/>
  <c r="AK22" s="1"/>
  <c r="AB141"/>
  <c r="AK141" s="1"/>
  <c r="AB97"/>
  <c r="AK97" s="1"/>
  <c r="AB53"/>
  <c r="AK53" s="1"/>
  <c r="AB13"/>
  <c r="AK13" s="1"/>
  <c r="Z101"/>
  <c r="AI101" s="1"/>
  <c r="Z68"/>
  <c r="AI68" s="1"/>
  <c r="AB156"/>
  <c r="AK156" s="1"/>
  <c r="AB132"/>
  <c r="AK132" s="1"/>
  <c r="AB112"/>
  <c r="AK112" s="1"/>
  <c r="AB92"/>
  <c r="AK92" s="1"/>
  <c r="AB68"/>
  <c r="AK68" s="1"/>
  <c r="AB48"/>
  <c r="AK48" s="1"/>
  <c r="AB28"/>
  <c r="AK28" s="1"/>
  <c r="AB163"/>
  <c r="AK163" s="1"/>
  <c r="AB143"/>
  <c r="AK143" s="1"/>
  <c r="AB123"/>
  <c r="AK123" s="1"/>
  <c r="AB99"/>
  <c r="AK99" s="1"/>
  <c r="AB79"/>
  <c r="AK79" s="1"/>
  <c r="AB59"/>
  <c r="AK59" s="1"/>
  <c r="AB35"/>
  <c r="AK35" s="1"/>
  <c r="AB15"/>
  <c r="AK15" s="1"/>
  <c r="AB158"/>
  <c r="AK158" s="1"/>
  <c r="AB134"/>
  <c r="AK134" s="1"/>
  <c r="AB114"/>
  <c r="AK114" s="1"/>
  <c r="AB94"/>
  <c r="AK94" s="1"/>
  <c r="AB70"/>
  <c r="AK70" s="1"/>
  <c r="AB50"/>
  <c r="AK50" s="1"/>
  <c r="AB30"/>
  <c r="AK30" s="1"/>
  <c r="AB165"/>
  <c r="AK165" s="1"/>
  <c r="AB145"/>
  <c r="AK145" s="1"/>
  <c r="AB125"/>
  <c r="AK125" s="1"/>
  <c r="AB101"/>
  <c r="AK101" s="1"/>
  <c r="AB81"/>
  <c r="AK81" s="1"/>
  <c r="AB61"/>
  <c r="AK61" s="1"/>
  <c r="AB37"/>
  <c r="AK37" s="1"/>
  <c r="AB17"/>
  <c r="AK17" s="1"/>
  <c r="Z165"/>
  <c r="AI165" s="1"/>
  <c r="Z66"/>
  <c r="AI66" s="1"/>
  <c r="Z132"/>
  <c r="AI132" s="1"/>
  <c r="X154"/>
  <c r="AG154" s="1"/>
  <c r="X138"/>
  <c r="AG138" s="1"/>
  <c r="X122"/>
  <c r="AG122" s="1"/>
  <c r="X106"/>
  <c r="AG106" s="1"/>
  <c r="X156"/>
  <c r="AG156" s="1"/>
  <c r="X140"/>
  <c r="AG140" s="1"/>
  <c r="X124"/>
  <c r="AG124" s="1"/>
  <c r="X108"/>
  <c r="AG108" s="1"/>
  <c r="X162"/>
  <c r="AG162" s="1"/>
  <c r="X146"/>
  <c r="AG146" s="1"/>
  <c r="X130"/>
  <c r="AG130" s="1"/>
  <c r="X114"/>
  <c r="AG114" s="1"/>
  <c r="X98"/>
  <c r="AG98" s="1"/>
  <c r="Z117"/>
  <c r="AI117" s="1"/>
  <c r="Z53"/>
  <c r="AI53" s="1"/>
  <c r="Z146"/>
  <c r="AI146" s="1"/>
  <c r="Z18"/>
  <c r="AI18" s="1"/>
  <c r="Z115"/>
  <c r="AI115" s="1"/>
  <c r="Z51"/>
  <c r="AI51" s="1"/>
  <c r="Z148"/>
  <c r="AI148" s="1"/>
  <c r="Z84"/>
  <c r="AI84" s="1"/>
  <c r="Z20"/>
  <c r="AI20" s="1"/>
  <c r="Z133"/>
  <c r="AI133" s="1"/>
  <c r="Z69"/>
  <c r="AI69" s="1"/>
  <c r="Z162"/>
  <c r="AI162" s="1"/>
  <c r="Z98"/>
  <c r="AI98" s="1"/>
  <c r="Z34"/>
  <c r="AI34" s="1"/>
  <c r="Z131"/>
  <c r="AI131" s="1"/>
  <c r="Z67"/>
  <c r="AI67" s="1"/>
  <c r="Z164"/>
  <c r="AI164" s="1"/>
  <c r="Z100"/>
  <c r="AI100" s="1"/>
  <c r="Z149"/>
  <c r="AI149" s="1"/>
  <c r="Z85"/>
  <c r="AI85" s="1"/>
  <c r="Z21"/>
  <c r="AI21" s="1"/>
  <c r="Z114"/>
  <c r="AI114" s="1"/>
  <c r="Z50"/>
  <c r="AI50" s="1"/>
  <c r="Z147"/>
  <c r="AI147" s="1"/>
  <c r="Z83"/>
  <c r="AI83" s="1"/>
  <c r="Z19"/>
  <c r="AI19" s="1"/>
  <c r="Z116"/>
  <c r="AI116" s="1"/>
  <c r="Z12"/>
  <c r="AI12" s="1"/>
  <c r="Z28"/>
  <c r="AI28" s="1"/>
  <c r="Z44"/>
  <c r="AI44" s="1"/>
  <c r="Z60"/>
  <c r="AI60" s="1"/>
  <c r="Z76"/>
  <c r="AI76" s="1"/>
  <c r="Z92"/>
  <c r="AI92" s="1"/>
  <c r="Z108"/>
  <c r="AI108" s="1"/>
  <c r="Z124"/>
  <c r="AI124" s="1"/>
  <c r="Z140"/>
  <c r="AI140" s="1"/>
  <c r="Z156"/>
  <c r="AI156" s="1"/>
  <c r="Z11"/>
  <c r="AI11" s="1"/>
  <c r="Z27"/>
  <c r="AI27" s="1"/>
  <c r="Z43"/>
  <c r="AI43" s="1"/>
  <c r="Z59"/>
  <c r="AI59" s="1"/>
  <c r="Z75"/>
  <c r="AI75" s="1"/>
  <c r="Z91"/>
  <c r="AI91" s="1"/>
  <c r="Z107"/>
  <c r="AI107" s="1"/>
  <c r="Z123"/>
  <c r="AI123" s="1"/>
  <c r="Z139"/>
  <c r="AI139" s="1"/>
  <c r="Z155"/>
  <c r="AI155" s="1"/>
  <c r="Z10"/>
  <c r="AI10" s="1"/>
  <c r="Z26"/>
  <c r="AI26" s="1"/>
  <c r="Z42"/>
  <c r="AI42" s="1"/>
  <c r="Z58"/>
  <c r="AI58" s="1"/>
  <c r="Z74"/>
  <c r="AI74" s="1"/>
  <c r="Z90"/>
  <c r="AI90" s="1"/>
  <c r="Z106"/>
  <c r="AI106" s="1"/>
  <c r="Z122"/>
  <c r="AI122" s="1"/>
  <c r="Z138"/>
  <c r="AI138" s="1"/>
  <c r="Z154"/>
  <c r="AI154" s="1"/>
  <c r="Z13"/>
  <c r="AI13" s="1"/>
  <c r="Z29"/>
  <c r="AI29" s="1"/>
  <c r="Z45"/>
  <c r="AI45" s="1"/>
  <c r="Z61"/>
  <c r="AI61" s="1"/>
  <c r="Z77"/>
  <c r="AI77" s="1"/>
  <c r="Z93"/>
  <c r="AI93" s="1"/>
  <c r="Z109"/>
  <c r="AI109" s="1"/>
  <c r="Z125"/>
  <c r="AI125" s="1"/>
  <c r="Z141"/>
  <c r="AI141" s="1"/>
  <c r="Z157"/>
  <c r="AI157" s="1"/>
  <c r="Z8"/>
  <c r="AI8" s="1"/>
  <c r="Z40"/>
  <c r="AI40" s="1"/>
  <c r="Z72"/>
  <c r="AI72" s="1"/>
  <c r="Z104"/>
  <c r="AI104" s="1"/>
  <c r="Z136"/>
  <c r="AI136" s="1"/>
  <c r="Z55"/>
  <c r="AI55" s="1"/>
  <c r="Z87"/>
  <c r="AI87" s="1"/>
  <c r="Z119"/>
  <c r="AI119" s="1"/>
  <c r="Z151"/>
  <c r="AI151" s="1"/>
  <c r="Z6"/>
  <c r="AI6" s="1"/>
  <c r="Z38"/>
  <c r="AI38" s="1"/>
  <c r="Z70"/>
  <c r="AI70" s="1"/>
  <c r="Z86"/>
  <c r="AI86" s="1"/>
  <c r="Z102"/>
  <c r="AI102" s="1"/>
  <c r="Z134"/>
  <c r="AI134" s="1"/>
  <c r="Z9"/>
  <c r="AI9" s="1"/>
  <c r="Z41"/>
  <c r="AI41" s="1"/>
  <c r="Z73"/>
  <c r="AI73" s="1"/>
  <c r="Z121"/>
  <c r="AI121" s="1"/>
  <c r="Z16"/>
  <c r="AI16" s="1"/>
  <c r="Z32"/>
  <c r="AI32" s="1"/>
  <c r="Z48"/>
  <c r="AI48" s="1"/>
  <c r="Z64"/>
  <c r="AI64" s="1"/>
  <c r="Z80"/>
  <c r="AI80" s="1"/>
  <c r="Z96"/>
  <c r="AI96" s="1"/>
  <c r="Z112"/>
  <c r="AI112" s="1"/>
  <c r="Z128"/>
  <c r="AI128" s="1"/>
  <c r="Z144"/>
  <c r="AI144" s="1"/>
  <c r="Z160"/>
  <c r="AI160" s="1"/>
  <c r="Z15"/>
  <c r="AI15" s="1"/>
  <c r="Z31"/>
  <c r="AI31" s="1"/>
  <c r="Z47"/>
  <c r="AI47" s="1"/>
  <c r="Z63"/>
  <c r="AI63" s="1"/>
  <c r="Z79"/>
  <c r="AI79" s="1"/>
  <c r="Z95"/>
  <c r="AI95" s="1"/>
  <c r="Z111"/>
  <c r="AI111" s="1"/>
  <c r="Z127"/>
  <c r="AI127" s="1"/>
  <c r="Z143"/>
  <c r="AI143" s="1"/>
  <c r="Z159"/>
  <c r="AI159" s="1"/>
  <c r="Z14"/>
  <c r="AI14" s="1"/>
  <c r="Z30"/>
  <c r="AI30" s="1"/>
  <c r="Z46"/>
  <c r="AI46" s="1"/>
  <c r="Z62"/>
  <c r="AI62" s="1"/>
  <c r="Z78"/>
  <c r="AI78" s="1"/>
  <c r="Z94"/>
  <c r="AI94" s="1"/>
  <c r="Z110"/>
  <c r="AI110" s="1"/>
  <c r="Z126"/>
  <c r="AI126" s="1"/>
  <c r="Z142"/>
  <c r="AI142" s="1"/>
  <c r="Z158"/>
  <c r="AI158" s="1"/>
  <c r="Z17"/>
  <c r="AI17" s="1"/>
  <c r="Z33"/>
  <c r="AI33" s="1"/>
  <c r="Z49"/>
  <c r="AI49" s="1"/>
  <c r="Z65"/>
  <c r="AI65" s="1"/>
  <c r="Z81"/>
  <c r="AI81" s="1"/>
  <c r="Z97"/>
  <c r="AI97" s="1"/>
  <c r="Z113"/>
  <c r="AI113" s="1"/>
  <c r="Z129"/>
  <c r="AI129" s="1"/>
  <c r="Z145"/>
  <c r="AI145" s="1"/>
  <c r="Z161"/>
  <c r="AI161" s="1"/>
  <c r="Z24"/>
  <c r="AI24" s="1"/>
  <c r="Z56"/>
  <c r="AI56" s="1"/>
  <c r="Z88"/>
  <c r="AI88" s="1"/>
  <c r="Z120"/>
  <c r="AI120" s="1"/>
  <c r="Z152"/>
  <c r="AI152" s="1"/>
  <c r="Z7"/>
  <c r="AI7" s="1"/>
  <c r="Z23"/>
  <c r="AI23" s="1"/>
  <c r="Z39"/>
  <c r="AI39" s="1"/>
  <c r="Z71"/>
  <c r="AI71" s="1"/>
  <c r="Z103"/>
  <c r="AI103" s="1"/>
  <c r="Z135"/>
  <c r="AI135" s="1"/>
  <c r="Z22"/>
  <c r="AI22" s="1"/>
  <c r="Z54"/>
  <c r="AI54" s="1"/>
  <c r="Z118"/>
  <c r="AI118" s="1"/>
  <c r="Z150"/>
  <c r="AI150" s="1"/>
  <c r="Z25"/>
  <c r="AI25" s="1"/>
  <c r="Z57"/>
  <c r="AI57" s="1"/>
  <c r="Z89"/>
  <c r="AI89" s="1"/>
  <c r="Z105"/>
  <c r="AI105" s="1"/>
  <c r="Z137"/>
  <c r="AI137" s="1"/>
  <c r="Z153"/>
  <c r="AI153" s="1"/>
  <c r="Z82"/>
  <c r="AI82" s="1"/>
  <c r="Z36"/>
  <c r="AI36" s="1"/>
  <c r="X160"/>
  <c r="AG160" s="1"/>
  <c r="X152"/>
  <c r="AG152" s="1"/>
  <c r="X144"/>
  <c r="AG144" s="1"/>
  <c r="X136"/>
  <c r="AG136" s="1"/>
  <c r="X128"/>
  <c r="AG128" s="1"/>
  <c r="X120"/>
  <c r="AG120" s="1"/>
  <c r="X112"/>
  <c r="AG112" s="1"/>
  <c r="X104"/>
  <c r="AG104" s="1"/>
  <c r="X96"/>
  <c r="AG96" s="1"/>
  <c r="AB152"/>
  <c r="AK152" s="1"/>
  <c r="AB136"/>
  <c r="AK136" s="1"/>
  <c r="AB120"/>
  <c r="AK120" s="1"/>
  <c r="AB104"/>
  <c r="AK104" s="1"/>
  <c r="AB88"/>
  <c r="AK88" s="1"/>
  <c r="AB72"/>
  <c r="AK72" s="1"/>
  <c r="AB56"/>
  <c r="AK56" s="1"/>
  <c r="AB40"/>
  <c r="AK40" s="1"/>
  <c r="AB24"/>
  <c r="AK24" s="1"/>
  <c r="AB8"/>
  <c r="AK8" s="1"/>
  <c r="AB151"/>
  <c r="AK151" s="1"/>
  <c r="AB135"/>
  <c r="AK135" s="1"/>
  <c r="AB119"/>
  <c r="AK119" s="1"/>
  <c r="AB103"/>
  <c r="AK103" s="1"/>
  <c r="AB87"/>
  <c r="AK87" s="1"/>
  <c r="AB71"/>
  <c r="AK71" s="1"/>
  <c r="AB55"/>
  <c r="AK55" s="1"/>
  <c r="AB39"/>
  <c r="AK39" s="1"/>
  <c r="AB23"/>
  <c r="AK23" s="1"/>
  <c r="AB7"/>
  <c r="AK7" s="1"/>
  <c r="AB154"/>
  <c r="AK154" s="1"/>
  <c r="AB138"/>
  <c r="AK138" s="1"/>
  <c r="AB122"/>
  <c r="AK122" s="1"/>
  <c r="AB106"/>
  <c r="AK106" s="1"/>
  <c r="AB90"/>
  <c r="AK90" s="1"/>
  <c r="AB74"/>
  <c r="AK74" s="1"/>
  <c r="AB58"/>
  <c r="AK58" s="1"/>
  <c r="AB42"/>
  <c r="AK42" s="1"/>
  <c r="AB26"/>
  <c r="AK26" s="1"/>
  <c r="AB10"/>
  <c r="AK10" s="1"/>
  <c r="AB153"/>
  <c r="AK153" s="1"/>
  <c r="AB137"/>
  <c r="AK137" s="1"/>
  <c r="AB121"/>
  <c r="AK121" s="1"/>
  <c r="AB105"/>
  <c r="AK105" s="1"/>
  <c r="AB89"/>
  <c r="AK89" s="1"/>
  <c r="AB73"/>
  <c r="AK73" s="1"/>
  <c r="AB57"/>
  <c r="AK57" s="1"/>
  <c r="AB41"/>
  <c r="AK41" s="1"/>
  <c r="AB25"/>
  <c r="AK25" s="1"/>
  <c r="AA155"/>
  <c r="AJ155" s="1"/>
  <c r="AA139"/>
  <c r="AJ139" s="1"/>
  <c r="AA123"/>
  <c r="AJ123" s="1"/>
  <c r="AA107"/>
  <c r="AJ107" s="1"/>
  <c r="AA91"/>
  <c r="AJ91" s="1"/>
  <c r="AA75"/>
  <c r="AJ75" s="1"/>
  <c r="AA59"/>
  <c r="AJ59" s="1"/>
  <c r="AA43"/>
  <c r="AJ43" s="1"/>
  <c r="AA27"/>
  <c r="AJ27" s="1"/>
  <c r="AA11"/>
  <c r="AJ11" s="1"/>
  <c r="AA158"/>
  <c r="AJ158" s="1"/>
  <c r="AA142"/>
  <c r="AJ142" s="1"/>
  <c r="AA126"/>
  <c r="AJ126" s="1"/>
  <c r="AA110"/>
  <c r="AJ110" s="1"/>
  <c r="AA94"/>
  <c r="AJ94" s="1"/>
  <c r="AA78"/>
  <c r="AJ78" s="1"/>
  <c r="AA62"/>
  <c r="AJ62" s="1"/>
  <c r="AA46"/>
  <c r="AJ46" s="1"/>
  <c r="AA30"/>
  <c r="AJ30" s="1"/>
  <c r="AA14"/>
  <c r="AJ14" s="1"/>
  <c r="AA157"/>
  <c r="AJ157" s="1"/>
  <c r="AA141"/>
  <c r="AJ141" s="1"/>
  <c r="AA125"/>
  <c r="AJ125" s="1"/>
  <c r="AA109"/>
  <c r="AJ109" s="1"/>
  <c r="AA93"/>
  <c r="AJ93" s="1"/>
  <c r="AA77"/>
  <c r="AJ77" s="1"/>
  <c r="AA61"/>
  <c r="AJ61" s="1"/>
  <c r="AA45"/>
  <c r="AJ45" s="1"/>
  <c r="AA29"/>
  <c r="AJ29" s="1"/>
  <c r="AA13"/>
  <c r="AJ13" s="1"/>
  <c r="AA156"/>
  <c r="AJ156" s="1"/>
  <c r="AA140"/>
  <c r="AJ140" s="1"/>
  <c r="AA124"/>
  <c r="AJ124" s="1"/>
  <c r="AA108"/>
  <c r="AJ108" s="1"/>
  <c r="AA92"/>
  <c r="AJ92" s="1"/>
  <c r="AA76"/>
  <c r="AJ76" s="1"/>
  <c r="AA60"/>
  <c r="AJ60" s="1"/>
  <c r="AA44"/>
  <c r="AJ44" s="1"/>
  <c r="AA28"/>
  <c r="AJ28" s="1"/>
  <c r="AA12"/>
  <c r="AJ12" s="1"/>
  <c r="X6"/>
  <c r="AG6" s="1"/>
  <c r="X158"/>
  <c r="AG158" s="1"/>
  <c r="X150"/>
  <c r="AG150" s="1"/>
  <c r="X142"/>
  <c r="AG142" s="1"/>
  <c r="X134"/>
  <c r="AG134" s="1"/>
  <c r="X126"/>
  <c r="AG126" s="1"/>
  <c r="X118"/>
  <c r="AG118" s="1"/>
  <c r="X110"/>
  <c r="AG110" s="1"/>
  <c r="X102"/>
  <c r="AG102" s="1"/>
  <c r="X94"/>
  <c r="AG94" s="1"/>
  <c r="AA151"/>
  <c r="AJ151" s="1"/>
  <c r="AA135"/>
  <c r="AJ135" s="1"/>
  <c r="AA119"/>
  <c r="AJ119" s="1"/>
  <c r="AA103"/>
  <c r="AJ103" s="1"/>
  <c r="AA87"/>
  <c r="AJ87" s="1"/>
  <c r="AA71"/>
  <c r="AJ71" s="1"/>
  <c r="AA55"/>
  <c r="AJ55" s="1"/>
  <c r="AA39"/>
  <c r="AJ39" s="1"/>
  <c r="AA23"/>
  <c r="AJ23" s="1"/>
  <c r="AA7"/>
  <c r="AJ7" s="1"/>
  <c r="AA154"/>
  <c r="AJ154" s="1"/>
  <c r="AA138"/>
  <c r="AJ138" s="1"/>
  <c r="AA122"/>
  <c r="AJ122" s="1"/>
  <c r="AA106"/>
  <c r="AJ106" s="1"/>
  <c r="AA90"/>
  <c r="AJ90" s="1"/>
  <c r="AA74"/>
  <c r="AJ74" s="1"/>
  <c r="AA58"/>
  <c r="AJ58" s="1"/>
  <c r="AA42"/>
  <c r="AJ42" s="1"/>
  <c r="AA26"/>
  <c r="AJ26" s="1"/>
  <c r="AA10"/>
  <c r="AJ10" s="1"/>
  <c r="AA153"/>
  <c r="AJ153" s="1"/>
  <c r="AA137"/>
  <c r="AJ137" s="1"/>
  <c r="AA121"/>
  <c r="AJ121" s="1"/>
  <c r="AA105"/>
  <c r="AJ105" s="1"/>
  <c r="AA89"/>
  <c r="AJ89" s="1"/>
  <c r="AA73"/>
  <c r="AJ73" s="1"/>
  <c r="AA57"/>
  <c r="AJ57" s="1"/>
  <c r="AA41"/>
  <c r="AJ41" s="1"/>
  <c r="AA25"/>
  <c r="AJ25" s="1"/>
  <c r="AA9"/>
  <c r="AJ9" s="1"/>
  <c r="AA152"/>
  <c r="AJ152" s="1"/>
  <c r="AA136"/>
  <c r="AJ136" s="1"/>
  <c r="AA120"/>
  <c r="AJ120" s="1"/>
  <c r="AA104"/>
  <c r="AJ104" s="1"/>
  <c r="AA88"/>
  <c r="AJ88" s="1"/>
  <c r="AA72"/>
  <c r="AJ72" s="1"/>
  <c r="AA56"/>
  <c r="AJ56" s="1"/>
  <c r="AA40"/>
  <c r="AJ40" s="1"/>
  <c r="AA24"/>
  <c r="AJ24" s="1"/>
  <c r="W160"/>
  <c r="AF160" s="1"/>
  <c r="W152"/>
  <c r="AF152" s="1"/>
  <c r="W144"/>
  <c r="AF144" s="1"/>
  <c r="W136"/>
  <c r="AF136" s="1"/>
  <c r="W128"/>
  <c r="AF128" s="1"/>
  <c r="W120"/>
  <c r="AF120" s="1"/>
  <c r="W112"/>
  <c r="AF112" s="1"/>
  <c r="W104"/>
  <c r="AF104" s="1"/>
  <c r="W96"/>
  <c r="AF96" s="1"/>
  <c r="W88"/>
  <c r="AF88" s="1"/>
  <c r="W80"/>
  <c r="AF80" s="1"/>
  <c r="W72"/>
  <c r="AF72" s="1"/>
  <c r="W64"/>
  <c r="AF64" s="1"/>
  <c r="W56"/>
  <c r="AF56" s="1"/>
  <c r="W48"/>
  <c r="AF48" s="1"/>
  <c r="W40"/>
  <c r="AF40" s="1"/>
  <c r="W32"/>
  <c r="AF32" s="1"/>
  <c r="W24"/>
  <c r="AF24" s="1"/>
  <c r="W16"/>
  <c r="AF16" s="1"/>
  <c r="W8"/>
  <c r="AF8" s="1"/>
  <c r="W162"/>
  <c r="AF162" s="1"/>
  <c r="W154"/>
  <c r="AF154" s="1"/>
  <c r="W146"/>
  <c r="AF146" s="1"/>
  <c r="W138"/>
  <c r="AF138" s="1"/>
  <c r="W130"/>
  <c r="AF130" s="1"/>
  <c r="W122"/>
  <c r="AF122" s="1"/>
  <c r="W114"/>
  <c r="AF114" s="1"/>
  <c r="W106"/>
  <c r="AF106" s="1"/>
  <c r="W98"/>
  <c r="AF98" s="1"/>
  <c r="W90"/>
  <c r="AF90" s="1"/>
  <c r="W82"/>
  <c r="AF82" s="1"/>
  <c r="W74"/>
  <c r="AF74" s="1"/>
  <c r="W66"/>
  <c r="AF66" s="1"/>
  <c r="W58"/>
  <c r="AF58" s="1"/>
  <c r="W50"/>
  <c r="AF50" s="1"/>
  <c r="W42"/>
  <c r="AF42" s="1"/>
  <c r="W34"/>
  <c r="AF34" s="1"/>
  <c r="W26"/>
  <c r="AF26" s="1"/>
  <c r="W18"/>
  <c r="AF18" s="1"/>
  <c r="W10"/>
  <c r="AF10" s="1"/>
  <c r="W163"/>
  <c r="AF163" s="1"/>
  <c r="W159"/>
  <c r="AF159" s="1"/>
  <c r="W155"/>
  <c r="AF155" s="1"/>
  <c r="W151"/>
  <c r="AF151" s="1"/>
  <c r="W147"/>
  <c r="AF147" s="1"/>
  <c r="W143"/>
  <c r="AF143" s="1"/>
  <c r="W139"/>
  <c r="AF139" s="1"/>
  <c r="W135"/>
  <c r="AF135" s="1"/>
  <c r="W131"/>
  <c r="AF131" s="1"/>
  <c r="W127"/>
  <c r="AF127" s="1"/>
  <c r="W123"/>
  <c r="AF123" s="1"/>
  <c r="W119"/>
  <c r="AF119" s="1"/>
  <c r="W115"/>
  <c r="AF115" s="1"/>
  <c r="W111"/>
  <c r="AF111" s="1"/>
  <c r="W107"/>
  <c r="AF107" s="1"/>
  <c r="W103"/>
  <c r="AF103" s="1"/>
  <c r="W99"/>
  <c r="AF99" s="1"/>
  <c r="W95"/>
  <c r="AF95" s="1"/>
  <c r="W91"/>
  <c r="AF91" s="1"/>
  <c r="W87"/>
  <c r="AF87" s="1"/>
  <c r="W83"/>
  <c r="AF83" s="1"/>
  <c r="W79"/>
  <c r="AF79" s="1"/>
  <c r="W75"/>
  <c r="AF75" s="1"/>
  <c r="W71"/>
  <c r="AF71" s="1"/>
  <c r="W67"/>
  <c r="AF67" s="1"/>
  <c r="W63"/>
  <c r="AF63" s="1"/>
  <c r="W59"/>
  <c r="AF59" s="1"/>
  <c r="W55"/>
  <c r="AF55" s="1"/>
  <c r="W51"/>
  <c r="AF51" s="1"/>
  <c r="W47"/>
  <c r="AF47" s="1"/>
  <c r="W43"/>
  <c r="AF43" s="1"/>
  <c r="W39"/>
  <c r="AF39" s="1"/>
  <c r="W35"/>
  <c r="AF35" s="1"/>
  <c r="W31"/>
  <c r="AF31" s="1"/>
  <c r="W27"/>
  <c r="AF27" s="1"/>
  <c r="W23"/>
  <c r="AF23" s="1"/>
  <c r="W19"/>
  <c r="AF19" s="1"/>
  <c r="W15"/>
  <c r="AF15" s="1"/>
  <c r="W11"/>
  <c r="AF11" s="1"/>
  <c r="W7"/>
  <c r="AF7" s="1"/>
  <c r="Y163"/>
  <c r="AH163" s="1"/>
  <c r="Y159"/>
  <c r="AH159" s="1"/>
  <c r="Y155"/>
  <c r="AH155" s="1"/>
  <c r="Y151"/>
  <c r="AH151" s="1"/>
  <c r="Y147"/>
  <c r="AH147" s="1"/>
  <c r="Y143"/>
  <c r="AH143" s="1"/>
  <c r="Y139"/>
  <c r="AH139" s="1"/>
  <c r="Y135"/>
  <c r="AH135" s="1"/>
  <c r="Y131"/>
  <c r="AH131" s="1"/>
  <c r="Y127"/>
  <c r="AH127" s="1"/>
  <c r="Y123"/>
  <c r="AH123" s="1"/>
  <c r="Y119"/>
  <c r="AH119" s="1"/>
  <c r="Y115"/>
  <c r="AH115" s="1"/>
  <c r="Y111"/>
  <c r="AH111" s="1"/>
  <c r="Y107"/>
  <c r="AH107" s="1"/>
  <c r="Y103"/>
  <c r="AH103" s="1"/>
  <c r="Y99"/>
  <c r="AH99" s="1"/>
  <c r="Y95"/>
  <c r="AH95" s="1"/>
  <c r="Y91"/>
  <c r="AH91" s="1"/>
  <c r="Y87"/>
  <c r="AH87" s="1"/>
  <c r="Y83"/>
  <c r="AH83" s="1"/>
  <c r="Y79"/>
  <c r="AH79" s="1"/>
  <c r="Y75"/>
  <c r="AH75" s="1"/>
  <c r="Y71"/>
  <c r="AH71" s="1"/>
  <c r="Y67"/>
  <c r="AH67" s="1"/>
  <c r="Y63"/>
  <c r="AH63" s="1"/>
  <c r="Y59"/>
  <c r="AH59" s="1"/>
  <c r="Y55"/>
  <c r="AH55" s="1"/>
  <c r="Y51"/>
  <c r="AH51" s="1"/>
  <c r="Y47"/>
  <c r="AH47" s="1"/>
  <c r="Y43"/>
  <c r="AH43" s="1"/>
  <c r="Y39"/>
  <c r="AH39" s="1"/>
  <c r="Y35"/>
  <c r="AH35" s="1"/>
  <c r="Y31"/>
  <c r="AH31" s="1"/>
  <c r="Y27"/>
  <c r="AH27" s="1"/>
  <c r="Y23"/>
  <c r="AH23" s="1"/>
  <c r="Y19"/>
  <c r="AH19" s="1"/>
  <c r="Y15"/>
  <c r="AH15" s="1"/>
  <c r="Y11"/>
  <c r="AH11" s="1"/>
  <c r="Y7"/>
  <c r="AH7" s="1"/>
  <c r="Y164"/>
  <c r="AH164" s="1"/>
  <c r="Y160"/>
  <c r="AH160" s="1"/>
  <c r="Y156"/>
  <c r="AH156" s="1"/>
  <c r="Y152"/>
  <c r="AH152" s="1"/>
  <c r="Y148"/>
  <c r="AH148" s="1"/>
  <c r="Y144"/>
  <c r="AH144" s="1"/>
  <c r="Y140"/>
  <c r="AH140" s="1"/>
  <c r="Y136"/>
  <c r="AH136" s="1"/>
  <c r="Y132"/>
  <c r="AH132" s="1"/>
  <c r="Y128"/>
  <c r="AH128" s="1"/>
  <c r="Y124"/>
  <c r="AH124" s="1"/>
  <c r="Y120"/>
  <c r="AH120" s="1"/>
  <c r="Y116"/>
  <c r="AH116" s="1"/>
  <c r="Y112"/>
  <c r="AH112" s="1"/>
  <c r="Y108"/>
  <c r="AH108" s="1"/>
  <c r="Y104"/>
  <c r="AH104" s="1"/>
  <c r="Y100"/>
  <c r="AH100" s="1"/>
  <c r="Y96"/>
  <c r="AH96" s="1"/>
  <c r="Y92"/>
  <c r="AH92" s="1"/>
  <c r="Y88"/>
  <c r="AH88" s="1"/>
  <c r="Y84"/>
  <c r="AH84" s="1"/>
  <c r="Y80"/>
  <c r="AH80" s="1"/>
  <c r="Y76"/>
  <c r="AH76" s="1"/>
  <c r="Y72"/>
  <c r="AH72" s="1"/>
  <c r="Y68"/>
  <c r="AH68" s="1"/>
  <c r="Y64"/>
  <c r="AH64" s="1"/>
  <c r="Y60"/>
  <c r="AH60" s="1"/>
  <c r="Y56"/>
  <c r="AH56" s="1"/>
  <c r="Y52"/>
  <c r="AH52" s="1"/>
  <c r="Y48"/>
  <c r="AH48" s="1"/>
  <c r="Y44"/>
  <c r="AH44" s="1"/>
  <c r="Y40"/>
  <c r="AH40" s="1"/>
  <c r="Y36"/>
  <c r="AH36" s="1"/>
  <c r="Y32"/>
  <c r="AH32" s="1"/>
  <c r="Y28"/>
  <c r="AH28" s="1"/>
  <c r="Y24"/>
  <c r="AH24" s="1"/>
  <c r="Y20"/>
  <c r="AH20" s="1"/>
  <c r="Y16"/>
  <c r="AH16" s="1"/>
  <c r="Y12"/>
  <c r="AH12" s="1"/>
  <c r="Y8"/>
  <c r="AH8" s="1"/>
  <c r="X92"/>
  <c r="AG92" s="1"/>
  <c r="X90"/>
  <c r="AG90" s="1"/>
  <c r="X88"/>
  <c r="AG88" s="1"/>
  <c r="X86"/>
  <c r="AG86" s="1"/>
  <c r="X84"/>
  <c r="AG84" s="1"/>
  <c r="X82"/>
  <c r="AG82" s="1"/>
  <c r="X80"/>
  <c r="AG80" s="1"/>
  <c r="X78"/>
  <c r="AG78" s="1"/>
  <c r="X76"/>
  <c r="AG76" s="1"/>
  <c r="X74"/>
  <c r="AG74" s="1"/>
  <c r="X72"/>
  <c r="AG72" s="1"/>
  <c r="X70"/>
  <c r="AG70" s="1"/>
  <c r="X68"/>
  <c r="AG68" s="1"/>
  <c r="X66"/>
  <c r="AG66" s="1"/>
  <c r="X64"/>
  <c r="AG64" s="1"/>
  <c r="X62"/>
  <c r="AG62" s="1"/>
  <c r="X60"/>
  <c r="AG60" s="1"/>
  <c r="X58"/>
  <c r="AG58" s="1"/>
  <c r="X56"/>
  <c r="AG56" s="1"/>
  <c r="X54"/>
  <c r="AG54" s="1"/>
  <c r="X52"/>
  <c r="AG52" s="1"/>
  <c r="X50"/>
  <c r="AG50" s="1"/>
  <c r="X48"/>
  <c r="AG48" s="1"/>
  <c r="X46"/>
  <c r="AG46" s="1"/>
  <c r="X44"/>
  <c r="AG44" s="1"/>
  <c r="X42"/>
  <c r="AG42" s="1"/>
  <c r="X40"/>
  <c r="AG40" s="1"/>
  <c r="X38"/>
  <c r="AG38" s="1"/>
  <c r="X36"/>
  <c r="AG36" s="1"/>
  <c r="X34"/>
  <c r="AG34" s="1"/>
  <c r="X32"/>
  <c r="AG32" s="1"/>
  <c r="X30"/>
  <c r="AG30" s="1"/>
  <c r="X28"/>
  <c r="AG28" s="1"/>
  <c r="X26"/>
  <c r="AG26" s="1"/>
  <c r="X24"/>
  <c r="AG24" s="1"/>
  <c r="X22"/>
  <c r="AG22" s="1"/>
  <c r="X20"/>
  <c r="AG20" s="1"/>
  <c r="X18"/>
  <c r="AG18" s="1"/>
  <c r="X16"/>
  <c r="AG16" s="1"/>
  <c r="X14"/>
  <c r="AG14" s="1"/>
  <c r="X12"/>
  <c r="AG12" s="1"/>
  <c r="X10"/>
  <c r="AG10" s="1"/>
  <c r="X8"/>
  <c r="AG8" s="1"/>
  <c r="V163"/>
  <c r="AE163" s="1"/>
  <c r="V159"/>
  <c r="AE159" s="1"/>
  <c r="V155"/>
  <c r="AE155" s="1"/>
  <c r="V151"/>
  <c r="AE151" s="1"/>
  <c r="V147"/>
  <c r="AE147" s="1"/>
  <c r="V143"/>
  <c r="AE143" s="1"/>
  <c r="V139"/>
  <c r="AE139" s="1"/>
  <c r="V135"/>
  <c r="AE135" s="1"/>
  <c r="V128"/>
  <c r="AE128" s="1"/>
  <c r="V120"/>
  <c r="AE120" s="1"/>
  <c r="V112"/>
  <c r="AE112" s="1"/>
  <c r="V104"/>
  <c r="AE104" s="1"/>
  <c r="V96"/>
  <c r="AE96" s="1"/>
  <c r="V88"/>
  <c r="AE88" s="1"/>
  <c r="V80"/>
  <c r="AE80" s="1"/>
  <c r="V72"/>
  <c r="AE72" s="1"/>
  <c r="V64"/>
  <c r="AE64" s="1"/>
  <c r="V56"/>
  <c r="AE56" s="1"/>
  <c r="V48"/>
  <c r="AE48" s="1"/>
  <c r="V40"/>
  <c r="AE40" s="1"/>
  <c r="V32"/>
  <c r="AE32" s="1"/>
  <c r="V24"/>
  <c r="AE24" s="1"/>
  <c r="V16"/>
  <c r="AE16" s="1"/>
  <c r="V8"/>
  <c r="AE8" s="1"/>
  <c r="V162"/>
  <c r="AE162" s="1"/>
  <c r="V158"/>
  <c r="AE158" s="1"/>
  <c r="V154"/>
  <c r="AE154" s="1"/>
  <c r="V150"/>
  <c r="AE150" s="1"/>
  <c r="V146"/>
  <c r="AE146" s="1"/>
  <c r="V142"/>
  <c r="AE142" s="1"/>
  <c r="V138"/>
  <c r="AE138" s="1"/>
  <c r="V134"/>
  <c r="AE134" s="1"/>
  <c r="V126"/>
  <c r="AE126" s="1"/>
  <c r="V118"/>
  <c r="AE118" s="1"/>
  <c r="V110"/>
  <c r="AE110" s="1"/>
  <c r="V102"/>
  <c r="AE102" s="1"/>
  <c r="V94"/>
  <c r="AE94" s="1"/>
  <c r="V86"/>
  <c r="AE86" s="1"/>
  <c r="V78"/>
  <c r="AE78" s="1"/>
  <c r="V70"/>
  <c r="AE70" s="1"/>
  <c r="V62"/>
  <c r="AE62" s="1"/>
  <c r="V54"/>
  <c r="AE54" s="1"/>
  <c r="V46"/>
  <c r="AE46" s="1"/>
  <c r="V38"/>
  <c r="AE38" s="1"/>
  <c r="V30"/>
  <c r="AE30" s="1"/>
  <c r="V22"/>
  <c r="AE22" s="1"/>
  <c r="V14"/>
  <c r="AE14" s="1"/>
  <c r="V6"/>
  <c r="V131"/>
  <c r="AE131" s="1"/>
  <c r="V127"/>
  <c r="AE127" s="1"/>
  <c r="V123"/>
  <c r="AE123" s="1"/>
  <c r="V119"/>
  <c r="AE119" s="1"/>
  <c r="V115"/>
  <c r="AE115" s="1"/>
  <c r="V111"/>
  <c r="AE111" s="1"/>
  <c r="V107"/>
  <c r="AE107" s="1"/>
  <c r="V103"/>
  <c r="AE103" s="1"/>
  <c r="V99"/>
  <c r="AE99" s="1"/>
  <c r="V95"/>
  <c r="AE95" s="1"/>
  <c r="V91"/>
  <c r="AE91" s="1"/>
  <c r="V87"/>
  <c r="AE87" s="1"/>
  <c r="V83"/>
  <c r="AE83" s="1"/>
  <c r="V79"/>
  <c r="AE79" s="1"/>
  <c r="V75"/>
  <c r="AE75" s="1"/>
  <c r="V71"/>
  <c r="AE71" s="1"/>
  <c r="V67"/>
  <c r="AE67" s="1"/>
  <c r="V63"/>
  <c r="AE63" s="1"/>
  <c r="V59"/>
  <c r="AE59" s="1"/>
  <c r="V55"/>
  <c r="AE55" s="1"/>
  <c r="V51"/>
  <c r="AE51" s="1"/>
  <c r="V47"/>
  <c r="AE47" s="1"/>
  <c r="V43"/>
  <c r="AE43" s="1"/>
  <c r="V39"/>
  <c r="AE39" s="1"/>
  <c r="V35"/>
  <c r="AE35" s="1"/>
  <c r="V31"/>
  <c r="AE31" s="1"/>
  <c r="V27"/>
  <c r="AE27" s="1"/>
  <c r="V23"/>
  <c r="AE23" s="1"/>
  <c r="V19"/>
  <c r="AE19" s="1"/>
  <c r="V15"/>
  <c r="AE15" s="1"/>
  <c r="V11"/>
  <c r="AE11" s="1"/>
  <c r="V7"/>
  <c r="AE7" s="1"/>
  <c r="W164"/>
  <c r="AF164" s="1"/>
  <c r="W156"/>
  <c r="AF156" s="1"/>
  <c r="W148"/>
  <c r="AF148" s="1"/>
  <c r="W140"/>
  <c r="AF140" s="1"/>
  <c r="W132"/>
  <c r="AF132" s="1"/>
  <c r="W124"/>
  <c r="AF124" s="1"/>
  <c r="W116"/>
  <c r="AF116" s="1"/>
  <c r="W108"/>
  <c r="AF108" s="1"/>
  <c r="W100"/>
  <c r="AF100" s="1"/>
  <c r="W92"/>
  <c r="AF92" s="1"/>
  <c r="W84"/>
  <c r="AF84" s="1"/>
  <c r="W76"/>
  <c r="AF76" s="1"/>
  <c r="W68"/>
  <c r="AF68" s="1"/>
  <c r="W60"/>
  <c r="AF60" s="1"/>
  <c r="W52"/>
  <c r="AF52" s="1"/>
  <c r="W44"/>
  <c r="AF44" s="1"/>
  <c r="W36"/>
  <c r="AF36" s="1"/>
  <c r="W28"/>
  <c r="AF28" s="1"/>
  <c r="W20"/>
  <c r="AF20" s="1"/>
  <c r="W12"/>
  <c r="AF12" s="1"/>
  <c r="W6"/>
  <c r="AF6" s="1"/>
  <c r="W158"/>
  <c r="AF158" s="1"/>
  <c r="W150"/>
  <c r="AF150" s="1"/>
  <c r="W142"/>
  <c r="AF142" s="1"/>
  <c r="W134"/>
  <c r="AF134" s="1"/>
  <c r="W126"/>
  <c r="AF126" s="1"/>
  <c r="W118"/>
  <c r="AF118" s="1"/>
  <c r="W110"/>
  <c r="AF110" s="1"/>
  <c r="W102"/>
  <c r="AF102" s="1"/>
  <c r="W94"/>
  <c r="AF94" s="1"/>
  <c r="W86"/>
  <c r="AF86" s="1"/>
  <c r="W78"/>
  <c r="AF78" s="1"/>
  <c r="W70"/>
  <c r="AF70" s="1"/>
  <c r="W62"/>
  <c r="AF62" s="1"/>
  <c r="W54"/>
  <c r="AF54" s="1"/>
  <c r="W46"/>
  <c r="AF46" s="1"/>
  <c r="W38"/>
  <c r="AF38" s="1"/>
  <c r="W30"/>
  <c r="AF30" s="1"/>
  <c r="W22"/>
  <c r="AF22" s="1"/>
  <c r="W14"/>
  <c r="AF14" s="1"/>
  <c r="W165"/>
  <c r="AF165" s="1"/>
  <c r="W161"/>
  <c r="AF161" s="1"/>
  <c r="W157"/>
  <c r="AF157" s="1"/>
  <c r="W153"/>
  <c r="AF153" s="1"/>
  <c r="W149"/>
  <c r="AF149" s="1"/>
  <c r="W145"/>
  <c r="AF145" s="1"/>
  <c r="W141"/>
  <c r="AF141" s="1"/>
  <c r="W137"/>
  <c r="AF137" s="1"/>
  <c r="W133"/>
  <c r="AF133" s="1"/>
  <c r="W129"/>
  <c r="AF129" s="1"/>
  <c r="W125"/>
  <c r="AF125" s="1"/>
  <c r="W121"/>
  <c r="AF121" s="1"/>
  <c r="W117"/>
  <c r="AF117" s="1"/>
  <c r="W113"/>
  <c r="AF113" s="1"/>
  <c r="W109"/>
  <c r="AF109" s="1"/>
  <c r="W105"/>
  <c r="AF105" s="1"/>
  <c r="W101"/>
  <c r="AF101" s="1"/>
  <c r="W97"/>
  <c r="AF97" s="1"/>
  <c r="W93"/>
  <c r="AF93" s="1"/>
  <c r="W89"/>
  <c r="AF89" s="1"/>
  <c r="W85"/>
  <c r="AF85" s="1"/>
  <c r="W81"/>
  <c r="AF81" s="1"/>
  <c r="W77"/>
  <c r="AF77" s="1"/>
  <c r="W73"/>
  <c r="AF73" s="1"/>
  <c r="W69"/>
  <c r="AF69" s="1"/>
  <c r="W65"/>
  <c r="AF65" s="1"/>
  <c r="W61"/>
  <c r="AF61" s="1"/>
  <c r="W57"/>
  <c r="AF57" s="1"/>
  <c r="W53"/>
  <c r="AF53" s="1"/>
  <c r="W49"/>
  <c r="AF49" s="1"/>
  <c r="W45"/>
  <c r="AF45" s="1"/>
  <c r="W41"/>
  <c r="AF41" s="1"/>
  <c r="W37"/>
  <c r="AF37" s="1"/>
  <c r="W33"/>
  <c r="AF33" s="1"/>
  <c r="W29"/>
  <c r="AF29" s="1"/>
  <c r="W25"/>
  <c r="AF25" s="1"/>
  <c r="W21"/>
  <c r="AF21" s="1"/>
  <c r="W17"/>
  <c r="AF17" s="1"/>
  <c r="W13"/>
  <c r="AF13" s="1"/>
  <c r="Y165"/>
  <c r="AH165" s="1"/>
  <c r="Y161"/>
  <c r="AH161" s="1"/>
  <c r="Y157"/>
  <c r="AH157" s="1"/>
  <c r="Y153"/>
  <c r="AH153" s="1"/>
  <c r="Y149"/>
  <c r="AH149" s="1"/>
  <c r="Y145"/>
  <c r="AH145" s="1"/>
  <c r="Y141"/>
  <c r="AH141" s="1"/>
  <c r="Y137"/>
  <c r="AH137" s="1"/>
  <c r="Y133"/>
  <c r="AH133" s="1"/>
  <c r="Y129"/>
  <c r="AH129" s="1"/>
  <c r="Y125"/>
  <c r="AH125" s="1"/>
  <c r="Y121"/>
  <c r="AH121" s="1"/>
  <c r="Y117"/>
  <c r="AH117" s="1"/>
  <c r="Y113"/>
  <c r="AH113" s="1"/>
  <c r="Y109"/>
  <c r="AH109" s="1"/>
  <c r="Y105"/>
  <c r="AH105" s="1"/>
  <c r="Y101"/>
  <c r="AH101" s="1"/>
  <c r="Y97"/>
  <c r="AH97" s="1"/>
  <c r="Y93"/>
  <c r="AH93" s="1"/>
  <c r="Y89"/>
  <c r="AH89" s="1"/>
  <c r="Y85"/>
  <c r="AH85" s="1"/>
  <c r="Y81"/>
  <c r="AH81" s="1"/>
  <c r="Y77"/>
  <c r="AH77" s="1"/>
  <c r="Y73"/>
  <c r="AH73" s="1"/>
  <c r="Y69"/>
  <c r="AH69" s="1"/>
  <c r="Y65"/>
  <c r="AH65" s="1"/>
  <c r="Y61"/>
  <c r="AH61" s="1"/>
  <c r="Y57"/>
  <c r="AH57" s="1"/>
  <c r="Y53"/>
  <c r="AH53" s="1"/>
  <c r="Y49"/>
  <c r="AH49" s="1"/>
  <c r="Y45"/>
  <c r="AH45" s="1"/>
  <c r="Y41"/>
  <c r="AH41" s="1"/>
  <c r="Y37"/>
  <c r="AH37" s="1"/>
  <c r="Y33"/>
  <c r="AH33" s="1"/>
  <c r="Y29"/>
  <c r="AH29" s="1"/>
  <c r="Y25"/>
  <c r="AH25" s="1"/>
  <c r="Y21"/>
  <c r="AH21" s="1"/>
  <c r="Y17"/>
  <c r="AH17" s="1"/>
  <c r="Y13"/>
  <c r="AH13" s="1"/>
  <c r="Y9"/>
  <c r="AH9" s="1"/>
  <c r="Y6"/>
  <c r="AH6" s="1"/>
  <c r="Y162"/>
  <c r="AH162" s="1"/>
  <c r="Y158"/>
  <c r="AH158" s="1"/>
  <c r="Y154"/>
  <c r="AH154" s="1"/>
  <c r="Y150"/>
  <c r="AH150" s="1"/>
  <c r="Y146"/>
  <c r="AH146" s="1"/>
  <c r="Y142"/>
  <c r="AH142" s="1"/>
  <c r="Y138"/>
  <c r="AH138" s="1"/>
  <c r="Y134"/>
  <c r="AH134" s="1"/>
  <c r="Y130"/>
  <c r="AH130" s="1"/>
  <c r="Y126"/>
  <c r="AH126" s="1"/>
  <c r="Y122"/>
  <c r="AH122" s="1"/>
  <c r="Y118"/>
  <c r="AH118" s="1"/>
  <c r="Y114"/>
  <c r="AH114" s="1"/>
  <c r="Y110"/>
  <c r="AH110" s="1"/>
  <c r="Y106"/>
  <c r="AH106" s="1"/>
  <c r="Y102"/>
  <c r="AH102" s="1"/>
  <c r="Y98"/>
  <c r="AH98" s="1"/>
  <c r="Y94"/>
  <c r="AH94" s="1"/>
  <c r="Y90"/>
  <c r="AH90" s="1"/>
  <c r="Y86"/>
  <c r="AH86" s="1"/>
  <c r="Y82"/>
  <c r="AH82" s="1"/>
  <c r="Y78"/>
  <c r="AH78" s="1"/>
  <c r="Y74"/>
  <c r="AH74" s="1"/>
  <c r="Y70"/>
  <c r="AH70" s="1"/>
  <c r="Y66"/>
  <c r="AH66" s="1"/>
  <c r="Y62"/>
  <c r="AH62" s="1"/>
  <c r="Y58"/>
  <c r="AH58" s="1"/>
  <c r="Y54"/>
  <c r="AH54" s="1"/>
  <c r="Y50"/>
  <c r="AH50" s="1"/>
  <c r="Y46"/>
  <c r="AH46" s="1"/>
  <c r="Y42"/>
  <c r="AH42" s="1"/>
  <c r="Y38"/>
  <c r="AH38" s="1"/>
  <c r="Y34"/>
  <c r="AH34" s="1"/>
  <c r="Y30"/>
  <c r="AH30" s="1"/>
  <c r="Y26"/>
  <c r="AH26" s="1"/>
  <c r="Y22"/>
  <c r="AH22" s="1"/>
  <c r="Y18"/>
  <c r="AH18" s="1"/>
  <c r="Y14"/>
  <c r="AH14" s="1"/>
  <c r="X165"/>
  <c r="AG165" s="1"/>
  <c r="X163"/>
  <c r="AG163" s="1"/>
  <c r="X161"/>
  <c r="AG161" s="1"/>
  <c r="X159"/>
  <c r="AG159" s="1"/>
  <c r="X157"/>
  <c r="AG157" s="1"/>
  <c r="X155"/>
  <c r="AG155" s="1"/>
  <c r="X153"/>
  <c r="AG153" s="1"/>
  <c r="X151"/>
  <c r="AG151" s="1"/>
  <c r="X149"/>
  <c r="AG149" s="1"/>
  <c r="X147"/>
  <c r="AG147" s="1"/>
  <c r="X145"/>
  <c r="AG145" s="1"/>
  <c r="X143"/>
  <c r="AG143" s="1"/>
  <c r="X141"/>
  <c r="AG141" s="1"/>
  <c r="X139"/>
  <c r="AG139" s="1"/>
  <c r="X137"/>
  <c r="AG137" s="1"/>
  <c r="X135"/>
  <c r="AG135" s="1"/>
  <c r="X133"/>
  <c r="AG133" s="1"/>
  <c r="X131"/>
  <c r="AG131" s="1"/>
  <c r="X129"/>
  <c r="AG129" s="1"/>
  <c r="X127"/>
  <c r="AG127" s="1"/>
  <c r="X125"/>
  <c r="AG125" s="1"/>
  <c r="X123"/>
  <c r="AG123" s="1"/>
  <c r="X121"/>
  <c r="AG121" s="1"/>
  <c r="X119"/>
  <c r="AG119" s="1"/>
  <c r="X117"/>
  <c r="AG117" s="1"/>
  <c r="X115"/>
  <c r="AG115" s="1"/>
  <c r="X113"/>
  <c r="AG113" s="1"/>
  <c r="X111"/>
  <c r="AG111" s="1"/>
  <c r="X109"/>
  <c r="AG109" s="1"/>
  <c r="X107"/>
  <c r="AG107" s="1"/>
  <c r="X105"/>
  <c r="AG105" s="1"/>
  <c r="X103"/>
  <c r="AG103" s="1"/>
  <c r="X101"/>
  <c r="AG101" s="1"/>
  <c r="X99"/>
  <c r="AG99" s="1"/>
  <c r="X97"/>
  <c r="AG97" s="1"/>
  <c r="X95"/>
  <c r="AG95" s="1"/>
  <c r="X93"/>
  <c r="AG93" s="1"/>
  <c r="X91"/>
  <c r="AG91" s="1"/>
  <c r="X89"/>
  <c r="AG89" s="1"/>
  <c r="X87"/>
  <c r="AG87" s="1"/>
  <c r="X85"/>
  <c r="AG85" s="1"/>
  <c r="X83"/>
  <c r="AG83" s="1"/>
  <c r="X81"/>
  <c r="AG81" s="1"/>
  <c r="X79"/>
  <c r="AG79" s="1"/>
  <c r="X77"/>
  <c r="AG77" s="1"/>
  <c r="X75"/>
  <c r="AG75" s="1"/>
  <c r="X73"/>
  <c r="AG73" s="1"/>
  <c r="X71"/>
  <c r="AG71" s="1"/>
  <c r="X69"/>
  <c r="AG69" s="1"/>
  <c r="X67"/>
  <c r="AG67" s="1"/>
  <c r="X65"/>
  <c r="AG65" s="1"/>
  <c r="X63"/>
  <c r="AG63" s="1"/>
  <c r="X61"/>
  <c r="AG61" s="1"/>
  <c r="X59"/>
  <c r="AG59" s="1"/>
  <c r="X57"/>
  <c r="AG57" s="1"/>
  <c r="X55"/>
  <c r="AG55" s="1"/>
  <c r="X53"/>
  <c r="AG53" s="1"/>
  <c r="X51"/>
  <c r="AG51" s="1"/>
  <c r="X49"/>
  <c r="AG49" s="1"/>
  <c r="X47"/>
  <c r="AG47" s="1"/>
  <c r="X45"/>
  <c r="AG45" s="1"/>
  <c r="X43"/>
  <c r="AG43" s="1"/>
  <c r="X41"/>
  <c r="AG41" s="1"/>
  <c r="X39"/>
  <c r="AG39" s="1"/>
  <c r="X37"/>
  <c r="AG37" s="1"/>
  <c r="X35"/>
  <c r="AG35" s="1"/>
  <c r="X33"/>
  <c r="AG33" s="1"/>
  <c r="X31"/>
  <c r="AG31" s="1"/>
  <c r="X29"/>
  <c r="AG29" s="1"/>
  <c r="X27"/>
  <c r="AG27" s="1"/>
  <c r="X25"/>
  <c r="AG25" s="1"/>
  <c r="X23"/>
  <c r="AG23" s="1"/>
  <c r="X21"/>
  <c r="AG21" s="1"/>
  <c r="X19"/>
  <c r="AG19" s="1"/>
  <c r="X17"/>
  <c r="AG17" s="1"/>
  <c r="X15"/>
  <c r="AG15" s="1"/>
  <c r="X13"/>
  <c r="AG13" s="1"/>
  <c r="X11"/>
  <c r="AG11" s="1"/>
  <c r="X9"/>
  <c r="AG9" s="1"/>
  <c r="V165"/>
  <c r="AE165" s="1"/>
  <c r="V161"/>
  <c r="AE161" s="1"/>
  <c r="V157"/>
  <c r="AE157" s="1"/>
  <c r="V153"/>
  <c r="AE153" s="1"/>
  <c r="V149"/>
  <c r="AE149" s="1"/>
  <c r="V145"/>
  <c r="AE145" s="1"/>
  <c r="V141"/>
  <c r="AE141" s="1"/>
  <c r="V137"/>
  <c r="AE137" s="1"/>
  <c r="V132"/>
  <c r="AE132" s="1"/>
  <c r="V124"/>
  <c r="AE124" s="1"/>
  <c r="V116"/>
  <c r="AE116" s="1"/>
  <c r="V108"/>
  <c r="AE108" s="1"/>
  <c r="V100"/>
  <c r="AE100" s="1"/>
  <c r="V92"/>
  <c r="AE92" s="1"/>
  <c r="V84"/>
  <c r="AE84" s="1"/>
  <c r="V76"/>
  <c r="AE76" s="1"/>
  <c r="V68"/>
  <c r="AE68" s="1"/>
  <c r="V60"/>
  <c r="AE60" s="1"/>
  <c r="V52"/>
  <c r="AE52" s="1"/>
  <c r="V44"/>
  <c r="AE44" s="1"/>
  <c r="V36"/>
  <c r="AE36" s="1"/>
  <c r="V28"/>
  <c r="AE28" s="1"/>
  <c r="V20"/>
  <c r="AE20" s="1"/>
  <c r="V12"/>
  <c r="AE12" s="1"/>
  <c r="V164"/>
  <c r="AE164" s="1"/>
  <c r="V160"/>
  <c r="AE160" s="1"/>
  <c r="V156"/>
  <c r="AE156" s="1"/>
  <c r="V152"/>
  <c r="AE152" s="1"/>
  <c r="V148"/>
  <c r="AE148" s="1"/>
  <c r="V144"/>
  <c r="AE144" s="1"/>
  <c r="V140"/>
  <c r="AE140" s="1"/>
  <c r="V136"/>
  <c r="AE136" s="1"/>
  <c r="V130"/>
  <c r="AE130" s="1"/>
  <c r="V122"/>
  <c r="AE122" s="1"/>
  <c r="V114"/>
  <c r="AE114" s="1"/>
  <c r="V106"/>
  <c r="AE106" s="1"/>
  <c r="V98"/>
  <c r="AE98" s="1"/>
  <c r="V90"/>
  <c r="AE90" s="1"/>
  <c r="V82"/>
  <c r="AE82" s="1"/>
  <c r="V74"/>
  <c r="AE74" s="1"/>
  <c r="V66"/>
  <c r="AE66" s="1"/>
  <c r="V58"/>
  <c r="AE58" s="1"/>
  <c r="V50"/>
  <c r="AE50" s="1"/>
  <c r="V42"/>
  <c r="AE42" s="1"/>
  <c r="V34"/>
  <c r="AE34" s="1"/>
  <c r="V26"/>
  <c r="AE26" s="1"/>
  <c r="V18"/>
  <c r="AE18" s="1"/>
  <c r="V10"/>
  <c r="AE10" s="1"/>
  <c r="V133"/>
  <c r="AE133" s="1"/>
  <c r="V129"/>
  <c r="AE129" s="1"/>
  <c r="V125"/>
  <c r="AE125" s="1"/>
  <c r="V121"/>
  <c r="AE121" s="1"/>
  <c r="V117"/>
  <c r="AE117" s="1"/>
  <c r="V113"/>
  <c r="AE113" s="1"/>
  <c r="V109"/>
  <c r="AE109" s="1"/>
  <c r="V105"/>
  <c r="AE105" s="1"/>
  <c r="V101"/>
  <c r="AE101" s="1"/>
  <c r="V97"/>
  <c r="AE97" s="1"/>
  <c r="V93"/>
  <c r="AE93" s="1"/>
  <c r="V89"/>
  <c r="AE89" s="1"/>
  <c r="V85"/>
  <c r="AE85" s="1"/>
  <c r="V81"/>
  <c r="AE81" s="1"/>
  <c r="V77"/>
  <c r="AE77" s="1"/>
  <c r="V73"/>
  <c r="AE73" s="1"/>
  <c r="V69"/>
  <c r="AE69" s="1"/>
  <c r="V65"/>
  <c r="AE65" s="1"/>
  <c r="V61"/>
  <c r="AE61" s="1"/>
  <c r="V57"/>
  <c r="AE57" s="1"/>
  <c r="V53"/>
  <c r="AE53" s="1"/>
  <c r="V49"/>
  <c r="AE49" s="1"/>
  <c r="V45"/>
  <c r="AE45" s="1"/>
  <c r="V41"/>
  <c r="AE41" s="1"/>
  <c r="V37"/>
  <c r="AE37" s="1"/>
  <c r="V33"/>
  <c r="AE33" s="1"/>
  <c r="V29"/>
  <c r="AE29" s="1"/>
  <c r="V25"/>
  <c r="AE25" s="1"/>
  <c r="V21"/>
  <c r="AE21" s="1"/>
  <c r="V17"/>
  <c r="AE17" s="1"/>
  <c r="V13"/>
  <c r="AE13" s="1"/>
  <c r="AE6" l="1"/>
  <c r="AM6"/>
  <c r="AM42" l="1"/>
  <c r="AM41"/>
  <c r="AM127"/>
  <c r="AM142"/>
  <c r="AM21"/>
  <c r="AM145"/>
  <c r="AM90"/>
  <c r="AM134"/>
  <c r="AM97"/>
  <c r="AM14"/>
  <c r="AM129"/>
  <c r="AM12"/>
  <c r="AM17"/>
  <c r="AM32"/>
  <c r="AM159"/>
  <c r="AM75"/>
  <c r="AM19"/>
  <c r="AM100"/>
  <c r="AM162"/>
  <c r="AM146"/>
  <c r="AM109"/>
  <c r="AM26"/>
  <c r="AM16"/>
  <c r="AM111"/>
  <c r="AM130"/>
  <c r="AM53"/>
  <c r="AM122"/>
  <c r="AM73"/>
  <c r="AM30"/>
  <c r="AM35"/>
  <c r="AM160"/>
  <c r="AM44"/>
  <c r="AM103"/>
  <c r="AM153"/>
  <c r="AM10"/>
  <c r="AM57"/>
  <c r="AM87"/>
  <c r="AM7"/>
  <c r="AM48"/>
  <c r="AM136"/>
  <c r="AM114"/>
  <c r="AM161"/>
  <c r="AM112"/>
  <c r="AM45"/>
  <c r="AM154"/>
  <c r="AM147"/>
  <c r="AM86"/>
  <c r="AM24"/>
  <c r="AM88"/>
  <c r="AM31"/>
  <c r="AM132"/>
  <c r="AM119"/>
  <c r="AM94"/>
  <c r="AM106"/>
  <c r="AM125"/>
  <c r="AM65"/>
  <c r="AM82"/>
  <c r="AM107"/>
  <c r="AM56"/>
  <c r="AM62"/>
  <c r="AM92"/>
  <c r="AM141"/>
  <c r="AM138"/>
  <c r="AM151"/>
  <c r="AM20"/>
  <c r="AM28"/>
  <c r="AM52"/>
  <c r="AM27"/>
  <c r="AM156"/>
  <c r="AM110"/>
  <c r="AM78"/>
  <c r="AM22"/>
  <c r="AM102"/>
  <c r="AM84"/>
  <c r="AM37"/>
  <c r="AM121"/>
  <c r="AM18"/>
  <c r="AM72"/>
  <c r="AM8"/>
  <c r="AM49"/>
  <c r="AM155"/>
  <c r="AM98"/>
  <c r="AM101"/>
  <c r="AM60"/>
  <c r="AM11"/>
  <c r="AM128"/>
  <c r="AM144"/>
  <c r="AM89"/>
  <c r="AM25"/>
  <c r="AM137"/>
  <c r="AM83"/>
  <c r="AM76"/>
  <c r="AM152"/>
  <c r="AM135"/>
  <c r="AM13"/>
  <c r="AM77"/>
  <c r="AM118"/>
  <c r="AM39"/>
  <c r="AM104"/>
  <c r="AM66"/>
  <c r="AM120"/>
  <c r="AM33"/>
  <c r="AM163"/>
  <c r="AM61"/>
  <c r="AM51"/>
  <c r="AM34"/>
  <c r="AM29"/>
  <c r="AM96"/>
  <c r="AM50"/>
  <c r="AM126"/>
  <c r="AM143"/>
  <c r="AM68"/>
  <c r="AM81"/>
  <c r="AM85"/>
  <c r="AM74"/>
  <c r="AM124"/>
  <c r="AM116"/>
  <c r="AM40"/>
  <c r="AM105"/>
  <c r="AM46"/>
  <c r="AM99"/>
  <c r="AM43"/>
  <c r="AM69"/>
  <c r="AM15"/>
  <c r="AM23"/>
  <c r="AM140"/>
  <c r="AM79"/>
  <c r="AM38"/>
  <c r="AM148"/>
  <c r="AM9"/>
  <c r="AM70"/>
  <c r="AM59"/>
  <c r="AM55"/>
  <c r="AM54"/>
  <c r="AM71"/>
  <c r="AM157"/>
  <c r="AM117"/>
  <c r="AM139"/>
  <c r="AM36"/>
  <c r="AM164"/>
  <c r="AM63"/>
  <c r="AM95"/>
  <c r="AM131"/>
  <c r="AM149"/>
  <c r="AM80"/>
  <c r="AM64"/>
  <c r="AM67"/>
  <c r="AM58"/>
  <c r="AM158"/>
  <c r="AM133"/>
  <c r="AM123"/>
  <c r="AM47"/>
  <c r="AM115"/>
  <c r="AM91"/>
  <c r="AM150"/>
  <c r="AM113"/>
  <c r="AM93"/>
  <c r="AM165"/>
  <c r="AM108"/>
</calcChain>
</file>

<file path=xl/sharedStrings.xml><?xml version="1.0" encoding="utf-8"?>
<sst xmlns="http://schemas.openxmlformats.org/spreadsheetml/2006/main" count="414" uniqueCount="231">
  <si>
    <t>Totalt</t>
  </si>
  <si>
    <t>BA2013</t>
  </si>
  <si>
    <t>B02</t>
  </si>
  <si>
    <t>B12</t>
  </si>
  <si>
    <t>Totalareal</t>
  </si>
  <si>
    <t>Y11</t>
  </si>
  <si>
    <t>Eldre67+</t>
  </si>
  <si>
    <t>Kvinner20-39</t>
  </si>
  <si>
    <t>Folk20-64</t>
  </si>
  <si>
    <t>S01</t>
  </si>
  <si>
    <t>S11</t>
  </si>
  <si>
    <t>BA-reisetid</t>
  </si>
  <si>
    <t>Bruttoinntekt17+</t>
  </si>
  <si>
    <t>Geografi</t>
  </si>
  <si>
    <t>Reisetid Oslo</t>
  </si>
  <si>
    <t>beftettotal</t>
  </si>
  <si>
    <t>Demografi</t>
  </si>
  <si>
    <t>Befvekst10</t>
  </si>
  <si>
    <t>Kvinneandel</t>
  </si>
  <si>
    <t>Eldreandel</t>
  </si>
  <si>
    <t>Arbeidsmarked</t>
  </si>
  <si>
    <t>Syssvekst10</t>
  </si>
  <si>
    <t>Yrkesaktiveandel</t>
  </si>
  <si>
    <t>Levekår</t>
  </si>
  <si>
    <t>BA-region</t>
  </si>
  <si>
    <t>Beftettotal</t>
  </si>
  <si>
    <t>Syssevekst10</t>
  </si>
  <si>
    <t>Reisetid Oslo-T</t>
  </si>
  <si>
    <t>beftettotal-T</t>
  </si>
  <si>
    <t>Befvekst10-T</t>
  </si>
  <si>
    <t>Kvinneandel-T</t>
  </si>
  <si>
    <t>Eldreandel-T</t>
  </si>
  <si>
    <t>Syssvekst10-T</t>
  </si>
  <si>
    <t>Yrkesaktiveandel-T</t>
  </si>
  <si>
    <t>Bruttoinntekt17+-T</t>
  </si>
  <si>
    <t>Reisetid Oslo-I</t>
  </si>
  <si>
    <t>beftettotal-I</t>
  </si>
  <si>
    <t>Befvekst10-I</t>
  </si>
  <si>
    <t>Kvinneandel-I</t>
  </si>
  <si>
    <t>Eldreandel-I</t>
  </si>
  <si>
    <t>Syssvekst10-I</t>
  </si>
  <si>
    <t>Yrkesaktiveandel-I</t>
  </si>
  <si>
    <t>Bruttoinntekt17+-I</t>
  </si>
  <si>
    <t>Persentil 0,1</t>
  </si>
  <si>
    <t>Persentil 0,9</t>
  </si>
  <si>
    <t>Maks</t>
  </si>
  <si>
    <t>Min</t>
  </si>
  <si>
    <t>Bredde</t>
  </si>
  <si>
    <t>n.a.</t>
  </si>
  <si>
    <t>Beregnede tall</t>
  </si>
  <si>
    <t>Trunkerte tall</t>
  </si>
  <si>
    <t>Indekserte (og trunkerte) tall</t>
  </si>
  <si>
    <t>DI-Total</t>
  </si>
  <si>
    <t>NIBR11BA</t>
  </si>
  <si>
    <t>NIBR11-BA-I</t>
  </si>
  <si>
    <t>NIBR11-BA-Utrunk</t>
  </si>
  <si>
    <t>1 Halden</t>
  </si>
  <si>
    <t>2 Moss</t>
  </si>
  <si>
    <t>3 Fredrikstad/Sarpsborg</t>
  </si>
  <si>
    <t>4 Askim/Eidsberg</t>
  </si>
  <si>
    <t>5 Oslo</t>
  </si>
  <si>
    <t>6 Kongsvinger</t>
  </si>
  <si>
    <t>7 Hamar</t>
  </si>
  <si>
    <t>8 Elverum</t>
  </si>
  <si>
    <t>9 Trysil/Engerdal</t>
  </si>
  <si>
    <t>10 Stor-Elvdal</t>
  </si>
  <si>
    <t>11 Tynset</t>
  </si>
  <si>
    <t>12 Lillehammer</t>
  </si>
  <si>
    <t>13 Gjøvik</t>
  </si>
  <si>
    <t>14 Dovre</t>
  </si>
  <si>
    <t>15 Skjåk/Lom</t>
  </si>
  <si>
    <t>16 Midt-Gudbrandsdal</t>
  </si>
  <si>
    <t>17 Sel</t>
  </si>
  <si>
    <t>18 Fagernes</t>
  </si>
  <si>
    <t>19 Drammen</t>
  </si>
  <si>
    <t>20 Kongsberg</t>
  </si>
  <si>
    <t>21 Ringerike</t>
  </si>
  <si>
    <t>22 Hallingdal</t>
  </si>
  <si>
    <t>23 Nore og Uvdal</t>
  </si>
  <si>
    <t>24 Tønsberg</t>
  </si>
  <si>
    <t>25 Sandefjord/Larvik</t>
  </si>
  <si>
    <t>26 Grenland</t>
  </si>
  <si>
    <t>27 Notodden</t>
  </si>
  <si>
    <t>28 Tinn</t>
  </si>
  <si>
    <t>29 Seljord/Kviteseid</t>
  </si>
  <si>
    <t>30 Nissedal</t>
  </si>
  <si>
    <t>31 Fyresdal</t>
  </si>
  <si>
    <t>32 Vinje/Tokke</t>
  </si>
  <si>
    <t>33 Risør</t>
  </si>
  <si>
    <t>34 Arendal</t>
  </si>
  <si>
    <t>35 Evje/Bygland</t>
  </si>
  <si>
    <t>36 Valle/Bykle</t>
  </si>
  <si>
    <t>37 Kristiansand</t>
  </si>
  <si>
    <t>38 Mandal</t>
  </si>
  <si>
    <t>39 Farsund/Lyngdal</t>
  </si>
  <si>
    <t>40 Flekkefjord</t>
  </si>
  <si>
    <t>41 Åseral</t>
  </si>
  <si>
    <t>42 Sirdal</t>
  </si>
  <si>
    <t>43 Eigersund</t>
  </si>
  <si>
    <t>44 Stavanger/Sandnes</t>
  </si>
  <si>
    <t>45 Haugesund</t>
  </si>
  <si>
    <t>46 Hjelmeland</t>
  </si>
  <si>
    <t>47 Suldal</t>
  </si>
  <si>
    <t>48 Sauda</t>
  </si>
  <si>
    <t>49 Utsira</t>
  </si>
  <si>
    <t>50 Bergen</t>
  </si>
  <si>
    <t>51 Stord</t>
  </si>
  <si>
    <t>52 Jondal/Kvam</t>
  </si>
  <si>
    <t>53 Kvinnherad</t>
  </si>
  <si>
    <t>54 Odda</t>
  </si>
  <si>
    <t>55 Voss</t>
  </si>
  <si>
    <t>56 Austevoll</t>
  </si>
  <si>
    <t>57 Modalen</t>
  </si>
  <si>
    <t>58 Fedje</t>
  </si>
  <si>
    <t>59 Masfjorden/Gulen</t>
  </si>
  <si>
    <t>60 Flora</t>
  </si>
  <si>
    <t>61 Solund</t>
  </si>
  <si>
    <t>62 Høyanger</t>
  </si>
  <si>
    <t>63 Vik</t>
  </si>
  <si>
    <t>64 Sogndal</t>
  </si>
  <si>
    <t>65 Aurland</t>
  </si>
  <si>
    <t>66 Lærdal/Årdal</t>
  </si>
  <si>
    <t>67 Hyllestad</t>
  </si>
  <si>
    <t>68 Førde</t>
  </si>
  <si>
    <t>69 Bremanger</t>
  </si>
  <si>
    <t>70 Vågsøy</t>
  </si>
  <si>
    <t>71 Gloppen</t>
  </si>
  <si>
    <t>72 Stryn/Eid</t>
  </si>
  <si>
    <t>73 Molde</t>
  </si>
  <si>
    <t>74 Kristiansund</t>
  </si>
  <si>
    <t>75 Ålesund</t>
  </si>
  <si>
    <t>76 Vanylven</t>
  </si>
  <si>
    <t>77 Ulstein</t>
  </si>
  <si>
    <t>78 Ørsta/Volda</t>
  </si>
  <si>
    <t>79 Norddal/Stranda</t>
  </si>
  <si>
    <t>80 Rauma</t>
  </si>
  <si>
    <t>81 Sandøy</t>
  </si>
  <si>
    <t>82 Sunndal</t>
  </si>
  <si>
    <t>83 Surnadal</t>
  </si>
  <si>
    <t>84 Smøla</t>
  </si>
  <si>
    <t>85 Aure</t>
  </si>
  <si>
    <t>86 Trondheim</t>
  </si>
  <si>
    <t>87 Hemne</t>
  </si>
  <si>
    <t>88 Hitra/Frøya</t>
  </si>
  <si>
    <t>89 Ørland</t>
  </si>
  <si>
    <t>90 Åfjord/Roan</t>
  </si>
  <si>
    <t>91 Osen</t>
  </si>
  <si>
    <t>92 Oppdal/Rennebu</t>
  </si>
  <si>
    <t>93 Orkdal</t>
  </si>
  <si>
    <t>94 Røros</t>
  </si>
  <si>
    <t>95 Tydal</t>
  </si>
  <si>
    <t>96 Steinkjer</t>
  </si>
  <si>
    <t>97 Namsos</t>
  </si>
  <si>
    <t>98 Meråker</t>
  </si>
  <si>
    <t>99 Levanger/Verdal</t>
  </si>
  <si>
    <t>100 Lierne</t>
  </si>
  <si>
    <t>101 Røyrvik</t>
  </si>
  <si>
    <t>102 Namsskogan</t>
  </si>
  <si>
    <t>103 Flatanger</t>
  </si>
  <si>
    <t>104 Vikna/Nærøy</t>
  </si>
  <si>
    <t>105 Leka</t>
  </si>
  <si>
    <t>106 Bodø</t>
  </si>
  <si>
    <t>107 Narvik</t>
  </si>
  <si>
    <t>108 Bindal</t>
  </si>
  <si>
    <t>109 Brønnøy</t>
  </si>
  <si>
    <t>110 Alstahaug</t>
  </si>
  <si>
    <t>111 Vefsn</t>
  </si>
  <si>
    <t>112 Hattfjelldal</t>
  </si>
  <si>
    <t>113 Nesna</t>
  </si>
  <si>
    <t>114 Rana</t>
  </si>
  <si>
    <t>115 Lurøy</t>
  </si>
  <si>
    <t>116 Træna</t>
  </si>
  <si>
    <t>117 Rødøy</t>
  </si>
  <si>
    <t>118 Meløy</t>
  </si>
  <si>
    <t>119 Beiarn</t>
  </si>
  <si>
    <t>120 Fauske</t>
  </si>
  <si>
    <t>121 Steigen</t>
  </si>
  <si>
    <t>122 Hamarøy Hábme</t>
  </si>
  <si>
    <t>123 Tysfjord</t>
  </si>
  <si>
    <t>124 Lødingen</t>
  </si>
  <si>
    <t>125 Røst</t>
  </si>
  <si>
    <t>126 Værøy</t>
  </si>
  <si>
    <t>127 Vestvågøy</t>
  </si>
  <si>
    <t>128 Vågan</t>
  </si>
  <si>
    <t>129 Sortland</t>
  </si>
  <si>
    <t>130 Andøy</t>
  </si>
  <si>
    <t>131 Moskenes</t>
  </si>
  <si>
    <t>132 Tromsø</t>
  </si>
  <si>
    <t>133 Harstad</t>
  </si>
  <si>
    <t>134 Ibestad</t>
  </si>
  <si>
    <t>135 Salangen</t>
  </si>
  <si>
    <t>136 Målselv</t>
  </si>
  <si>
    <t>137 Torsken/Berg</t>
  </si>
  <si>
    <t>138 Lenvik</t>
  </si>
  <si>
    <t>139 Balsfjord/Storfjord</t>
  </si>
  <si>
    <t>140 Lyngen</t>
  </si>
  <si>
    <t>141 Gaivuotna - Kåfjord</t>
  </si>
  <si>
    <t>142 Skjervøy/Nordreisa</t>
  </si>
  <si>
    <t>143 Kvænangen</t>
  </si>
  <si>
    <t>144 Vardø</t>
  </si>
  <si>
    <t>145 Vadsø</t>
  </si>
  <si>
    <t>146 Hammerfest</t>
  </si>
  <si>
    <t>147 Guovdageaidnu-Kautokeino</t>
  </si>
  <si>
    <t>148 Alta</t>
  </si>
  <si>
    <t>149 Loppa</t>
  </si>
  <si>
    <t>150 Hasvik</t>
  </si>
  <si>
    <t>151 Måsøy</t>
  </si>
  <si>
    <t>152 Nordkapp</t>
  </si>
  <si>
    <t>153 Porsanger Porsángu Porsanki</t>
  </si>
  <si>
    <t>154 Kárášjohka - Karasjok</t>
  </si>
  <si>
    <t>155 Lebesby</t>
  </si>
  <si>
    <t>156 Gamvik</t>
  </si>
  <si>
    <t>157 Berlevåg</t>
  </si>
  <si>
    <t>158 Deatnu - Tana</t>
  </si>
  <si>
    <t>159 Båtsfjord</t>
  </si>
  <si>
    <t>160 Sør-Varanger</t>
  </si>
  <si>
    <t>Grunnlagsdata</t>
  </si>
  <si>
    <t>Data som brukes direkte</t>
  </si>
  <si>
    <t>Utregninger</t>
  </si>
  <si>
    <t>Vektede verdier</t>
  </si>
  <si>
    <t>NIBR11-v</t>
  </si>
  <si>
    <t>ReisetidOslo-v</t>
  </si>
  <si>
    <t>Beftettotal-v</t>
  </si>
  <si>
    <t>Befvekst10-v</t>
  </si>
  <si>
    <t>Kvinneandel-v</t>
  </si>
  <si>
    <t>Eldreandel-v</t>
  </si>
  <si>
    <t>Sysselsettingsvekst10-v</t>
  </si>
  <si>
    <t>Yrkesaktivandel-v</t>
  </si>
  <si>
    <t>Inntekt-v</t>
  </si>
  <si>
    <t>Vekter</t>
  </si>
  <si>
    <t>Distrikts-indeksen 2013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</si>
</sst>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0" fillId="2" borderId="0" xfId="0" applyFill="1"/>
    <xf numFmtId="0" fontId="0" fillId="0" borderId="0" xfId="0" applyFill="1"/>
    <xf numFmtId="1" fontId="0" fillId="2" borderId="0" xfId="0" applyNumberFormat="1" applyFill="1"/>
    <xf numFmtId="0" fontId="0" fillId="5" borderId="4" xfId="0" applyFill="1" applyBorder="1"/>
    <xf numFmtId="0" fontId="0" fillId="5" borderId="5" xfId="0" applyFill="1" applyBorder="1"/>
    <xf numFmtId="0" fontId="0" fillId="5" borderId="6" xfId="0" applyFill="1" applyBorder="1"/>
    <xf numFmtId="0" fontId="0" fillId="0" borderId="0" xfId="0" applyFont="1" applyFill="1" applyBorder="1"/>
    <xf numFmtId="0" fontId="0" fillId="0" borderId="0" xfId="0" applyNumberFormat="1" applyFont="1" applyFill="1" applyBorder="1"/>
    <xf numFmtId="0" fontId="2" fillId="0" borderId="0" xfId="0" applyFont="1" applyFill="1" applyBorder="1"/>
    <xf numFmtId="0" fontId="4" fillId="0" borderId="0" xfId="0" applyFont="1"/>
    <xf numFmtId="0" fontId="4" fillId="0" borderId="0" xfId="0" applyNumberFormat="1" applyFont="1"/>
    <xf numFmtId="164" fontId="4" fillId="0" borderId="0" xfId="1" applyNumberFormat="1" applyFont="1"/>
    <xf numFmtId="0" fontId="0" fillId="0" borderId="7" xfId="0" applyBorder="1"/>
    <xf numFmtId="0" fontId="0" fillId="0" borderId="8" xfId="0" applyBorder="1"/>
    <xf numFmtId="0" fontId="0" fillId="0" borderId="8" xfId="0" applyFill="1" applyBorder="1"/>
    <xf numFmtId="0" fontId="0" fillId="0" borderId="9" xfId="0" applyFill="1" applyBorder="1"/>
    <xf numFmtId="0" fontId="0" fillId="10" borderId="5" xfId="0" applyFill="1" applyBorder="1" applyAlignment="1">
      <alignment horizontal="center"/>
    </xf>
    <xf numFmtId="0" fontId="0" fillId="11" borderId="6" xfId="0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3" fillId="8" borderId="0" xfId="0" applyFont="1" applyFill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5" xfId="0" applyFill="1" applyBorder="1"/>
    <xf numFmtId="0" fontId="0" fillId="9" borderId="5" xfId="0" applyFill="1" applyBorder="1" applyAlignment="1">
      <alignment horizontal="center"/>
    </xf>
    <xf numFmtId="0" fontId="0" fillId="10" borderId="5" xfId="0" applyFill="1" applyBorder="1"/>
    <xf numFmtId="0" fontId="0" fillId="10" borderId="5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0" fillId="5" borderId="1" xfId="0" applyFill="1" applyBorder="1" applyAlignment="1">
      <alignment wrapText="1"/>
    </xf>
    <xf numFmtId="0" fontId="0" fillId="5" borderId="3" xfId="0" applyFill="1" applyBorder="1" applyAlignment="1">
      <alignment wrapText="1"/>
    </xf>
    <xf numFmtId="0" fontId="0" fillId="5" borderId="11" xfId="0" applyFill="1" applyBorder="1" applyAlignment="1">
      <alignment wrapText="1"/>
    </xf>
    <xf numFmtId="0" fontId="0" fillId="5" borderId="10" xfId="0" applyFill="1" applyBorder="1" applyAlignment="1">
      <alignment wrapText="1"/>
    </xf>
    <xf numFmtId="0" fontId="0" fillId="5" borderId="4" xfId="0" applyFill="1" applyBorder="1" applyAlignment="1">
      <alignment wrapText="1"/>
    </xf>
    <xf numFmtId="0" fontId="0" fillId="5" borderId="6" xfId="0" applyFill="1" applyBorder="1" applyAlignment="1">
      <alignment wrapText="1"/>
    </xf>
    <xf numFmtId="0" fontId="3" fillId="12" borderId="1" xfId="0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0" xfId="0" applyBorder="1" applyAlignment="1">
      <alignment wrapText="1"/>
    </xf>
    <xf numFmtId="0" fontId="3" fillId="11" borderId="1" xfId="0" applyFont="1" applyFill="1" applyBorder="1" applyAlignment="1">
      <alignment horizontal="center" wrapText="1"/>
    </xf>
    <xf numFmtId="0" fontId="0" fillId="11" borderId="4" xfId="0" applyFill="1" applyBorder="1" applyAlignment="1">
      <alignment horizontal="center"/>
    </xf>
    <xf numFmtId="0" fontId="0" fillId="0" borderId="0" xfId="0" applyBorder="1"/>
    <xf numFmtId="0" fontId="3" fillId="13" borderId="12" xfId="0" applyFont="1" applyFill="1" applyBorder="1" applyAlignment="1">
      <alignment wrapText="1"/>
    </xf>
    <xf numFmtId="0" fontId="3" fillId="13" borderId="13" xfId="0" applyFont="1" applyFill="1" applyBorder="1" applyAlignment="1">
      <alignment wrapText="1"/>
    </xf>
    <xf numFmtId="0" fontId="3" fillId="13" borderId="14" xfId="0" applyFont="1" applyFill="1" applyBorder="1" applyAlignment="1">
      <alignment wrapText="1"/>
    </xf>
    <xf numFmtId="0" fontId="3" fillId="9" borderId="1" xfId="0" applyFont="1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3" fillId="10" borderId="2" xfId="0" applyFont="1" applyFill="1" applyBorder="1" applyAlignment="1">
      <alignment horizontal="center" wrapText="1"/>
    </xf>
    <xf numFmtId="0" fontId="0" fillId="0" borderId="11" xfId="0" applyBorder="1"/>
    <xf numFmtId="0" fontId="0" fillId="0" borderId="10" xfId="0" applyBorder="1"/>
    <xf numFmtId="0" fontId="0" fillId="3" borderId="15" xfId="0" applyFont="1" applyFill="1" applyBorder="1"/>
    <xf numFmtId="0" fontId="0" fillId="0" borderId="0" xfId="0" applyNumberFormat="1" applyBorder="1"/>
    <xf numFmtId="1" fontId="0" fillId="0" borderId="0" xfId="0" applyNumberFormat="1" applyBorder="1"/>
    <xf numFmtId="1" fontId="4" fillId="0" borderId="0" xfId="0" applyNumberFormat="1" applyFont="1" applyBorder="1"/>
    <xf numFmtId="165" fontId="0" fillId="0" borderId="10" xfId="0" applyNumberFormat="1" applyBorder="1"/>
    <xf numFmtId="0" fontId="0" fillId="4" borderId="16" xfId="0" applyFont="1" applyFill="1" applyBorder="1"/>
    <xf numFmtId="0" fontId="0" fillId="3" borderId="16" xfId="0" applyFont="1" applyFill="1" applyBorder="1"/>
    <xf numFmtId="0" fontId="0" fillId="4" borderId="17" xfId="0" applyFont="1" applyFill="1" applyBorder="1"/>
    <xf numFmtId="0" fontId="0" fillId="0" borderId="5" xfId="0" applyNumberFormat="1" applyFont="1" applyFill="1" applyBorder="1"/>
    <xf numFmtId="0" fontId="0" fillId="0" borderId="5" xfId="0" applyBorder="1"/>
    <xf numFmtId="0" fontId="0" fillId="0" borderId="5" xfId="0" applyNumberFormat="1" applyBorder="1"/>
    <xf numFmtId="1" fontId="0" fillId="0" borderId="5" xfId="0" applyNumberFormat="1" applyBorder="1"/>
    <xf numFmtId="165" fontId="0" fillId="0" borderId="6" xfId="0" applyNumberFormat="1" applyBorder="1"/>
    <xf numFmtId="0" fontId="0" fillId="11" borderId="18" xfId="0" applyFill="1" applyBorder="1" applyAlignment="1">
      <alignment horizontal="center"/>
    </xf>
    <xf numFmtId="0" fontId="0" fillId="11" borderId="19" xfId="0" applyFill="1" applyBorder="1" applyAlignment="1">
      <alignment horizontal="center"/>
    </xf>
    <xf numFmtId="0" fontId="0" fillId="10" borderId="18" xfId="0" applyFill="1" applyBorder="1" applyAlignment="1">
      <alignment horizontal="center"/>
    </xf>
    <xf numFmtId="0" fontId="0" fillId="10" borderId="19" xfId="0" applyFill="1" applyBorder="1" applyAlignment="1">
      <alignment horizontal="center"/>
    </xf>
    <xf numFmtId="0" fontId="0" fillId="9" borderId="18" xfId="0" applyFill="1" applyBorder="1" applyAlignment="1">
      <alignment horizontal="center"/>
    </xf>
    <xf numFmtId="0" fontId="0" fillId="9" borderId="19" xfId="0" applyFill="1" applyBorder="1" applyAlignment="1">
      <alignment horizontal="center"/>
    </xf>
    <xf numFmtId="0" fontId="0" fillId="9" borderId="20" xfId="0" applyFill="1" applyBorder="1" applyAlignment="1">
      <alignment horizontal="center"/>
    </xf>
    <xf numFmtId="0" fontId="0" fillId="12" borderId="19" xfId="0" applyFill="1" applyBorder="1" applyAlignment="1">
      <alignment horizontal="center"/>
    </xf>
    <xf numFmtId="0" fontId="0" fillId="12" borderId="18" xfId="0" applyFill="1" applyBorder="1" applyAlignment="1">
      <alignment horizontal="center"/>
    </xf>
    <xf numFmtId="165" fontId="0" fillId="0" borderId="0" xfId="0" applyNumberFormat="1" applyBorder="1"/>
    <xf numFmtId="165" fontId="0" fillId="0" borderId="5" xfId="0" applyNumberFormat="1" applyBorder="1"/>
  </cellXfs>
  <cellStyles count="2">
    <cellStyle name="Normal" xfId="0" builtinId="0"/>
    <cellStyle name="Tusenskille" xfId="1" builtinId="3"/>
  </cellStyles>
  <dxfs count="58">
    <dxf>
      <numFmt numFmtId="165" formatCode="0.0"/>
    </dxf>
    <dxf>
      <numFmt numFmtId="1" formatCode="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0" formatCode="General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0" formatCode="General"/>
    </dxf>
    <dxf>
      <numFmt numFmtId="0" formatCode="General"/>
    </dxf>
    <dxf>
      <numFmt numFmtId="0" formatCode="General"/>
    </dxf>
    <dxf>
      <numFmt numFmtId="1" formatCode="0"/>
    </dxf>
    <dxf>
      <numFmt numFmtId="0" formatCode="General"/>
    </dxf>
    <dxf>
      <numFmt numFmtId="0" formatCode="General"/>
    </dxf>
    <dxf>
      <numFmt numFmtId="0" formatCode="General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 * #,##0_ ;_ * \-#,##0_ ;_ * &quot;-&quot;??_ ;_ @_ 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Rådata" displayName="Rådata" ref="A2:S162" totalsRowShown="0" dataDxfId="57">
  <autoFilter ref="A2:S162">
    <filterColumn colId="13"/>
    <filterColumn colId="14"/>
    <filterColumn colId="15"/>
    <filterColumn colId="16"/>
    <filterColumn colId="17"/>
    <filterColumn colId="18"/>
  </autoFilter>
  <tableColumns count="19">
    <tableColumn id="1" name="BA2013" dataDxfId="56"/>
    <tableColumn id="3" name="B02" dataDxfId="55"/>
    <tableColumn id="5" name="B12" dataDxfId="54"/>
    <tableColumn id="7" name="Totalareal" dataDxfId="53"/>
    <tableColumn id="9" name="Y11" dataDxfId="52"/>
    <tableColumn id="10" name="Eldre67+" dataDxfId="51"/>
    <tableColumn id="11" name="Kvinner20-39" dataDxfId="50"/>
    <tableColumn id="13" name="Folk20-64" dataDxfId="49"/>
    <tableColumn id="14" name="S01" dataDxfId="48"/>
    <tableColumn id="15" name="S11" dataDxfId="47"/>
    <tableColumn id="16" name="BA-reisetid" dataDxfId="46"/>
    <tableColumn id="17" name="NIBR11BA" dataDxfId="45"/>
    <tableColumn id="18" name="Bruttoinntekt17+" dataDxfId="44" dataCellStyle="Tusenskille"/>
    <tableColumn id="20" name="Beftettotal" dataDxfId="43">
      <calculatedColumnFormula>Rådata[[#This Row],[B12]]/Rådata[[#This Row],[Totalareal]]</calculatedColumnFormula>
    </tableColumn>
    <tableColumn id="21" name="Befvekst10" dataDxfId="42">
      <calculatedColumnFormula>Rådata[[#This Row],[B12]]/Rådata[[#This Row],[B02]]-1</calculatedColumnFormula>
    </tableColumn>
    <tableColumn id="22" name="Kvinneandel" dataDxfId="41">
      <calculatedColumnFormula>Rådata[[#This Row],[Kvinner20-39]]/Rådata[[#This Row],[B12]]</calculatedColumnFormula>
    </tableColumn>
    <tableColumn id="23" name="Eldreandel" dataDxfId="40">
      <calculatedColumnFormula>Rådata[[#This Row],[Eldre67+]]/Rådata[[#This Row],[B12]]</calculatedColumnFormula>
    </tableColumn>
    <tableColumn id="24" name="Syssevekst10" dataDxfId="39">
      <calculatedColumnFormula>Rådata[[#This Row],[S11]]/Rådata[[#This Row],[S01]]-1</calculatedColumnFormula>
    </tableColumn>
    <tableColumn id="25" name="Yrkesaktiveandel" dataDxfId="38">
      <calculatedColumnFormula>Rådata[[#This Row],[Y11]]/Rådata[[#This Row],[Folk20-64]]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l2" displayName="Tabell2" ref="A5:AM165" totalsRowShown="0">
  <autoFilter ref="A5:AM165">
    <filterColumn colId="1"/>
    <filterColumn colId="11"/>
    <filterColumn colId="12"/>
    <filterColumn colId="13"/>
    <filterColumn colId="14"/>
    <filterColumn colId="15"/>
    <filterColumn colId="16"/>
    <filterColumn colId="17"/>
    <filterColumn colId="18"/>
    <filterColumn colId="19"/>
    <filterColumn colId="20"/>
    <filterColumn colId="21"/>
    <filterColumn colId="22"/>
    <filterColumn colId="23"/>
    <filterColumn colId="24"/>
    <filterColumn colId="25"/>
    <filterColumn colId="26"/>
    <filterColumn colId="27"/>
    <filterColumn colId="28"/>
    <filterColumn colId="29"/>
    <filterColumn colId="30"/>
    <filterColumn colId="31"/>
    <filterColumn colId="32"/>
    <filterColumn colId="33"/>
    <filterColumn colId="34"/>
    <filterColumn colId="35"/>
    <filterColumn colId="36"/>
    <filterColumn colId="37"/>
    <filterColumn colId="38"/>
  </autoFilter>
  <tableColumns count="39">
    <tableColumn id="1" name="BA-region" dataDxfId="37"/>
    <tableColumn id="35" name="BA2013" dataDxfId="36"/>
    <tableColumn id="2" name="NIBR11BA">
      <calculatedColumnFormula>Råark!L3</calculatedColumnFormula>
    </tableColumn>
    <tableColumn id="3" name="Reisetid Oslo" dataDxfId="17">
      <calculatedColumnFormula>Råark!K3</calculatedColumnFormula>
    </tableColumn>
    <tableColumn id="5" name="beftettotal" dataDxfId="16">
      <calculatedColumnFormula>Råark!N3</calculatedColumnFormula>
    </tableColumn>
    <tableColumn id="6" name="Befvekst10" dataDxfId="15">
      <calculatedColumnFormula>Råark!O3</calculatedColumnFormula>
    </tableColumn>
    <tableColumn id="7" name="Kvinneandel" dataDxfId="14">
      <calculatedColumnFormula>Råark!P3</calculatedColumnFormula>
    </tableColumn>
    <tableColumn id="8" name="Eldreandel" dataDxfId="13">
      <calculatedColumnFormula>Råark!Q3</calculatedColumnFormula>
    </tableColumn>
    <tableColumn id="9" name="Syssvekst10" dataDxfId="12">
      <calculatedColumnFormula>Råark!R3</calculatedColumnFormula>
    </tableColumn>
    <tableColumn id="10" name="Yrkesaktiveandel" dataDxfId="11">
      <calculatedColumnFormula>Råark!S3</calculatedColumnFormula>
    </tableColumn>
    <tableColumn id="11" name="Bruttoinntekt17+" dataDxfId="10">
      <calculatedColumnFormula>Råark!M3</calculatedColumnFormula>
    </tableColumn>
    <tableColumn id="12" name="NIBR11-BA-Utrunk" dataDxfId="9">
      <calculatedColumnFormula>Tabell2[[#This Row],[NIBR11BA]]</calculatedColumnFormula>
    </tableColumn>
    <tableColumn id="13" name="Reisetid Oslo-T" dataDxfId="8">
      <calculatedColumnFormula>IF(Tabell2[[#This Row],[Reisetid Oslo]]&lt;D$167,D$167,IF(Tabell2[[#This Row],[Reisetid Oslo]]&gt;D$168,D$168,Tabell2[[#This Row],[Reisetid Oslo]]))</calculatedColumnFormula>
    </tableColumn>
    <tableColumn id="15" name="beftettotal-T" dataDxfId="7">
      <calculatedColumnFormula>IF(Tabell2[[#This Row],[beftettotal]]&lt;E$167,E$167,IF(Tabell2[[#This Row],[beftettotal]]&gt;E$168,E$168,Tabell2[[#This Row],[beftettotal]]))</calculatedColumnFormula>
    </tableColumn>
    <tableColumn id="16" name="Befvekst10-T" dataDxfId="6">
      <calculatedColumnFormula>IF(Tabell2[[#This Row],[Befvekst10]]&lt;F$167,F$167,IF(Tabell2[[#This Row],[Befvekst10]]&gt;F$168,F$168,Tabell2[[#This Row],[Befvekst10]]))</calculatedColumnFormula>
    </tableColumn>
    <tableColumn id="17" name="Kvinneandel-T" dataDxfId="5">
      <calculatedColumnFormula>IF(Tabell2[[#This Row],[Kvinneandel]]&lt;G$167,G$167,IF(Tabell2[[#This Row],[Kvinneandel]]&gt;G$168,G$168,Tabell2[[#This Row],[Kvinneandel]]))</calculatedColumnFormula>
    </tableColumn>
    <tableColumn id="18" name="Eldreandel-T" dataDxfId="4">
      <calculatedColumnFormula>IF(Tabell2[[#This Row],[Eldreandel]]&lt;H$167,H$167,IF(Tabell2[[#This Row],[Eldreandel]]&gt;H$168,H$168,Tabell2[[#This Row],[Eldreandel]]))</calculatedColumnFormula>
    </tableColumn>
    <tableColumn id="19" name="Syssvekst10-T" dataDxfId="3">
      <calculatedColumnFormula>IF(Tabell2[[#This Row],[Syssvekst10]]&lt;I$167,I$167,IF(Tabell2[[#This Row],[Syssvekst10]]&gt;I$168,I$168,Tabell2[[#This Row],[Syssvekst10]]))</calculatedColumnFormula>
    </tableColumn>
    <tableColumn id="20" name="Yrkesaktiveandel-T" dataDxfId="2">
      <calculatedColumnFormula>IF(Tabell2[[#This Row],[Yrkesaktiveandel]]&lt;J$167,J$167,IF(Tabell2[[#This Row],[Yrkesaktiveandel]]&gt;J$168,J$168,Tabell2[[#This Row],[Yrkesaktiveandel]]))</calculatedColumnFormula>
    </tableColumn>
    <tableColumn id="21" name="Bruttoinntekt17+-T" dataDxfId="0">
      <calculatedColumnFormula>IF(Tabell2[[#This Row],[Bruttoinntekt17+]]&lt;K$167,K$167,IF(Tabell2[[#This Row],[Bruttoinntekt17+]]&gt;K$168,K$168,Tabell2[[#This Row],[Bruttoinntekt17+]]))</calculatedColumnFormula>
    </tableColumn>
    <tableColumn id="22" name="NIBR11-BA-I" dataDxfId="1">
      <calculatedColumnFormula>IF(Tabell2[[#This Row],[NIBR11-BA-Utrunk]]&lt;=L$170,100,IF(Tabell2[[#This Row],[NIBR11-BA-Utrunk]]&gt;=L$169,0,100-Tabell2[[#This Row],[NIBR11-BA-Utrunk]]*100/L$171))</calculatedColumnFormula>
    </tableColumn>
    <tableColumn id="23" name="Reisetid Oslo-I" dataDxfId="35">
      <calculatedColumnFormula>(M$169-Tabell2[[#This Row],[Reisetid Oslo-T]])*100/M$171</calculatedColumnFormula>
    </tableColumn>
    <tableColumn id="25" name="beftettotal-I" dataDxfId="34">
      <calculatedColumnFormula>100-(N$169-Tabell2[[#This Row],[beftettotal-T]])*100/N$171</calculatedColumnFormula>
    </tableColumn>
    <tableColumn id="26" name="Befvekst10-I" dataDxfId="33">
      <calculatedColumnFormula>100-(O$169-Tabell2[[#This Row],[Befvekst10-T]])*100/O$171</calculatedColumnFormula>
    </tableColumn>
    <tableColumn id="27" name="Kvinneandel-I" dataDxfId="32">
      <calculatedColumnFormula>100-(P$169-Tabell2[[#This Row],[Kvinneandel-T]])*100/P$171</calculatedColumnFormula>
    </tableColumn>
    <tableColumn id="28" name="Eldreandel-I" dataDxfId="31">
      <calculatedColumnFormula>(Q$169-Tabell2[[#This Row],[Eldreandel-T]])*100/Q$171</calculatedColumnFormula>
    </tableColumn>
    <tableColumn id="29" name="Syssvekst10-I" dataDxfId="30">
      <calculatedColumnFormula>100-(R$169-Tabell2[[#This Row],[Syssvekst10-T]])*100/R$171</calculatedColumnFormula>
    </tableColumn>
    <tableColumn id="30" name="Yrkesaktiveandel-I" dataDxfId="29">
      <calculatedColumnFormula>100-(S$169-Tabell2[[#This Row],[Yrkesaktiveandel-T]])*100/S$171</calculatedColumnFormula>
    </tableColumn>
    <tableColumn id="31" name="Bruttoinntekt17+-I" dataDxfId="28">
      <calculatedColumnFormula>100-(T$169-Tabell2[[#This Row],[Bruttoinntekt17+-T]])*100/T$171</calculatedColumnFormula>
    </tableColumn>
    <tableColumn id="4" name="NIBR11-v" dataDxfId="27">
      <calculatedColumnFormula>Tabell2[[#This Row],[NIBR11-BA-I]]*$AD$2</calculatedColumnFormula>
    </tableColumn>
    <tableColumn id="14" name="ReisetidOslo-v" dataDxfId="26">
      <calculatedColumnFormula>Tabell2[[#This Row],[Reisetid Oslo-I]]*$AE$2</calculatedColumnFormula>
    </tableColumn>
    <tableColumn id="24" name="Beftettotal-v" dataDxfId="25">
      <calculatedColumnFormula>Tabell2[[#This Row],[beftettotal-I]]*$AF$2</calculatedColumnFormula>
    </tableColumn>
    <tableColumn id="32" name="Befvekst10-v" dataDxfId="24">
      <calculatedColumnFormula>Tabell2[[#This Row],[Befvekst10-I]]*$AG$2</calculatedColumnFormula>
    </tableColumn>
    <tableColumn id="34" name="Kvinneandel-v" dataDxfId="23">
      <calculatedColumnFormula>Tabell2[[#This Row],[Kvinneandel-I]]*$AH$2</calculatedColumnFormula>
    </tableColumn>
    <tableColumn id="36" name="Eldreandel-v" dataDxfId="22">
      <calculatedColumnFormula>Tabell2[[#This Row],[Eldreandel-I]]*$AI$2</calculatedColumnFormula>
    </tableColumn>
    <tableColumn id="37" name="Sysselsettingsvekst10-v" dataDxfId="21">
      <calculatedColumnFormula>Tabell2[[#This Row],[Syssvekst10-I]]*$AJ$2</calculatedColumnFormula>
    </tableColumn>
    <tableColumn id="38" name="Yrkesaktivandel-v" dataDxfId="20">
      <calculatedColumnFormula>Tabell2[[#This Row],[Yrkesaktiveandel-I]]*$AK$2</calculatedColumnFormula>
    </tableColumn>
    <tableColumn id="39" name="Inntekt-v" dataDxfId="19">
      <calculatedColumnFormula>Tabell2[[#This Row],[Bruttoinntekt17+-I]]*$AL$2</calculatedColumnFormula>
    </tableColumn>
    <tableColumn id="33" name="DI-Total" dataDxfId="18">
      <calculatedColumnFormula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64"/>
  <sheetViews>
    <sheetView workbookViewId="0">
      <selection activeCell="E8" sqref="E8"/>
    </sheetView>
  </sheetViews>
  <sheetFormatPr baseColWidth="10" defaultRowHeight="15"/>
  <cols>
    <col min="1" max="1" width="15.42578125" customWidth="1"/>
    <col min="2" max="3" width="8" bestFit="1" customWidth="1"/>
    <col min="4" max="4" width="11.5703125" customWidth="1"/>
    <col min="5" max="6" width="8" bestFit="1" customWidth="1"/>
    <col min="7" max="7" width="10.5703125" customWidth="1"/>
    <col min="8" max="8" width="11.7109375" bestFit="1" customWidth="1"/>
    <col min="9" max="9" width="11.42578125" customWidth="1"/>
    <col min="10" max="11" width="8" bestFit="1" customWidth="1"/>
    <col min="12" max="12" width="9.5703125" customWidth="1"/>
    <col min="13" max="13" width="11.85546875" style="2" bestFit="1" customWidth="1"/>
  </cols>
  <sheetData>
    <row r="1" spans="1:19">
      <c r="B1" s="20" t="s">
        <v>216</v>
      </c>
      <c r="C1" s="20"/>
      <c r="D1" s="20"/>
      <c r="E1" s="20"/>
      <c r="F1" s="20"/>
      <c r="G1" s="20"/>
      <c r="H1" s="20"/>
      <c r="I1" s="20"/>
      <c r="J1" s="20"/>
      <c r="K1" s="21" t="s">
        <v>217</v>
      </c>
      <c r="L1" s="21"/>
      <c r="M1" s="21"/>
      <c r="N1" s="22" t="s">
        <v>218</v>
      </c>
      <c r="O1" s="22"/>
      <c r="P1" s="22"/>
      <c r="Q1" s="22"/>
      <c r="R1" s="22"/>
      <c r="S1" s="22"/>
    </row>
    <row r="2" spans="1:19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53</v>
      </c>
      <c r="M2" t="s">
        <v>12</v>
      </c>
      <c r="N2" t="s">
        <v>25</v>
      </c>
      <c r="O2" t="s">
        <v>17</v>
      </c>
      <c r="P2" t="s">
        <v>18</v>
      </c>
      <c r="Q2" t="s">
        <v>19</v>
      </c>
      <c r="R2" t="s">
        <v>26</v>
      </c>
      <c r="S2" t="s">
        <v>22</v>
      </c>
    </row>
    <row r="3" spans="1:19" s="10" customFormat="1" ht="12.75">
      <c r="A3" s="10" t="s">
        <v>56</v>
      </c>
      <c r="B3" s="10">
        <v>28645</v>
      </c>
      <c r="C3" s="10">
        <v>30966</v>
      </c>
      <c r="D3" s="10">
        <v>961.62</v>
      </c>
      <c r="E3" s="10">
        <v>14367</v>
      </c>
      <c r="F3" s="10">
        <v>4668</v>
      </c>
      <c r="G3" s="10">
        <v>3669</v>
      </c>
      <c r="H3" s="10">
        <v>17979</v>
      </c>
      <c r="I3" s="10">
        <v>12413</v>
      </c>
      <c r="J3" s="10">
        <v>13092</v>
      </c>
      <c r="K3" s="10">
        <v>79.515035661819212</v>
      </c>
      <c r="L3" s="11">
        <v>5</v>
      </c>
      <c r="M3" s="12">
        <v>310522.66386316769</v>
      </c>
      <c r="N3" s="11">
        <f>Rådata[[#This Row],[B12]]/Rådata[[#This Row],[Totalareal]]</f>
        <v>32.201909278093218</v>
      </c>
      <c r="O3" s="11">
        <f>Rådata[[#This Row],[B12]]/Rådata[[#This Row],[B02]]-1</f>
        <v>8.1026357130389304E-2</v>
      </c>
      <c r="P3" s="11">
        <f>Rådata[[#This Row],[Kvinner20-39]]/Rådata[[#This Row],[B12]]</f>
        <v>0.11848478976942453</v>
      </c>
      <c r="Q3" s="11">
        <f>Rådata[[#This Row],[Eldre67+]]/Rådata[[#This Row],[B12]]</f>
        <v>0.15074597946134469</v>
      </c>
      <c r="R3" s="11">
        <f>Rådata[[#This Row],[S11]]/Rådata[[#This Row],[S01]]-1</f>
        <v>5.4700716990252252E-2</v>
      </c>
      <c r="S3" s="11">
        <f>Rådata[[#This Row],[Y11]]/Rådata[[#This Row],[Folk20-64]]</f>
        <v>0.79909894877356913</v>
      </c>
    </row>
    <row r="4" spans="1:19" s="10" customFormat="1" ht="12.75">
      <c r="A4" s="10" t="s">
        <v>57</v>
      </c>
      <c r="B4" s="10">
        <v>45003</v>
      </c>
      <c r="C4" s="10">
        <v>50119</v>
      </c>
      <c r="D4" s="10">
        <v>394.61</v>
      </c>
      <c r="E4" s="10">
        <v>24202</v>
      </c>
      <c r="F4" s="10">
        <v>7139</v>
      </c>
      <c r="G4" s="10">
        <v>5835</v>
      </c>
      <c r="H4" s="10">
        <v>29274</v>
      </c>
      <c r="I4" s="10">
        <v>20362</v>
      </c>
      <c r="J4" s="10">
        <v>21776</v>
      </c>
      <c r="K4" s="10">
        <v>44.0414982495004</v>
      </c>
      <c r="L4" s="11">
        <v>4</v>
      </c>
      <c r="M4" s="12">
        <v>338345.65392556781</v>
      </c>
      <c r="N4" s="11">
        <f>Rådata[[#This Row],[B12]]/Rådata[[#This Row],[Totalareal]]</f>
        <v>127.00894554116722</v>
      </c>
      <c r="O4" s="11">
        <f>Rådata[[#This Row],[B12]]/Rådata[[#This Row],[B02]]-1</f>
        <v>0.11368131013487992</v>
      </c>
      <c r="P4" s="11">
        <f>Rådata[[#This Row],[Kvinner20-39]]/Rådata[[#This Row],[B12]]</f>
        <v>0.11642291346595103</v>
      </c>
      <c r="Q4" s="11">
        <f>Rådata[[#This Row],[Eldre67+]]/Rådata[[#This Row],[B12]]</f>
        <v>0.14244099044274627</v>
      </c>
      <c r="R4" s="11">
        <f>Rådata[[#This Row],[S11]]/Rådata[[#This Row],[S01]]-1</f>
        <v>6.9443080247519884E-2</v>
      </c>
      <c r="S4" s="11">
        <f>Rådata[[#This Row],[Y11]]/Rådata[[#This Row],[Folk20-64]]</f>
        <v>0.82674045227847237</v>
      </c>
    </row>
    <row r="5" spans="1:19" s="10" customFormat="1" ht="12.75">
      <c r="A5" s="10" t="s">
        <v>58</v>
      </c>
      <c r="B5" s="10">
        <v>134195</v>
      </c>
      <c r="C5" s="10">
        <v>147807</v>
      </c>
      <c r="D5" s="10">
        <v>1336.84</v>
      </c>
      <c r="E5" s="10">
        <v>70338</v>
      </c>
      <c r="F5" s="10">
        <v>21412</v>
      </c>
      <c r="G5" s="10">
        <v>17512</v>
      </c>
      <c r="H5" s="10">
        <v>86353</v>
      </c>
      <c r="I5" s="10">
        <v>60476</v>
      </c>
      <c r="J5" s="10">
        <v>65426</v>
      </c>
      <c r="K5" s="10">
        <v>63.807917841928003</v>
      </c>
      <c r="L5" s="11">
        <v>2</v>
      </c>
      <c r="M5" s="12">
        <v>320538.25965557457</v>
      </c>
      <c r="N5" s="11">
        <f>Rådata[[#This Row],[B12]]/Rådata[[#This Row],[Totalareal]]</f>
        <v>110.56446545585112</v>
      </c>
      <c r="O5" s="11">
        <f>Rådata[[#This Row],[B12]]/Rådata[[#This Row],[B02]]-1</f>
        <v>0.10143447967509966</v>
      </c>
      <c r="P5" s="11">
        <f>Rådata[[#This Row],[Kvinner20-39]]/Rådata[[#This Row],[B12]]</f>
        <v>0.11847882711914862</v>
      </c>
      <c r="Q5" s="11">
        <f>Rådata[[#This Row],[Eldre67+]]/Rådata[[#This Row],[B12]]</f>
        <v>0.14486458692754742</v>
      </c>
      <c r="R5" s="11">
        <f>Rådata[[#This Row],[S11]]/Rådata[[#This Row],[S01]]-1</f>
        <v>8.185065149811499E-2</v>
      </c>
      <c r="S5" s="11">
        <f>Rådata[[#This Row],[Y11]]/Rådata[[#This Row],[Folk20-64]]</f>
        <v>0.81454031707062868</v>
      </c>
    </row>
    <row r="6" spans="1:19" s="10" customFormat="1" ht="12.75">
      <c r="A6" s="10" t="s">
        <v>59</v>
      </c>
      <c r="B6" s="10">
        <v>35121</v>
      </c>
      <c r="C6" s="10">
        <v>38513</v>
      </c>
      <c r="D6" s="10">
        <v>1023.62</v>
      </c>
      <c r="E6" s="10">
        <v>18569</v>
      </c>
      <c r="F6" s="10">
        <v>5482</v>
      </c>
      <c r="G6" s="10">
        <v>4409</v>
      </c>
      <c r="H6" s="10">
        <v>22411</v>
      </c>
      <c r="I6" s="10">
        <v>13615</v>
      </c>
      <c r="J6" s="10">
        <v>14433</v>
      </c>
      <c r="K6" s="10">
        <v>51.366213804659623</v>
      </c>
      <c r="L6" s="11">
        <v>5</v>
      </c>
      <c r="M6" s="12">
        <v>318250.75799927651</v>
      </c>
      <c r="N6" s="11">
        <f>Rådata[[#This Row],[B12]]/Rådata[[#This Row],[Totalareal]]</f>
        <v>37.624313710165879</v>
      </c>
      <c r="O6" s="11">
        <f>Rådata[[#This Row],[B12]]/Rådata[[#This Row],[B02]]-1</f>
        <v>9.6580393496768391E-2</v>
      </c>
      <c r="P6" s="11">
        <f>Rådata[[#This Row],[Kvinner20-39]]/Rådata[[#This Row],[B12]]</f>
        <v>0.11448082465660946</v>
      </c>
      <c r="Q6" s="11">
        <f>Rådata[[#This Row],[Eldre67+]]/Rådata[[#This Row],[B12]]</f>
        <v>0.14234154701010049</v>
      </c>
      <c r="R6" s="11">
        <f>Rådata[[#This Row],[S11]]/Rådata[[#This Row],[S01]]-1</f>
        <v>6.0080793242746955E-2</v>
      </c>
      <c r="S6" s="11">
        <f>Rådata[[#This Row],[Y11]]/Rådata[[#This Row],[Folk20-64]]</f>
        <v>0.82856632903484895</v>
      </c>
    </row>
    <row r="7" spans="1:19" s="10" customFormat="1" ht="12.75">
      <c r="A7" s="10" t="s">
        <v>60</v>
      </c>
      <c r="B7" s="10">
        <v>1046537</v>
      </c>
      <c r="C7" s="10">
        <v>1231534</v>
      </c>
      <c r="D7" s="10">
        <v>7161.9599999999991</v>
      </c>
      <c r="E7" s="10">
        <v>650493</v>
      </c>
      <c r="F7" s="10">
        <v>137254</v>
      </c>
      <c r="G7" s="10">
        <v>186449</v>
      </c>
      <c r="H7" s="10">
        <v>768429</v>
      </c>
      <c r="I7" s="10">
        <v>633670</v>
      </c>
      <c r="J7" s="10">
        <v>708635</v>
      </c>
      <c r="K7" s="10">
        <v>13.334452708236922</v>
      </c>
      <c r="L7" s="11">
        <v>1</v>
      </c>
      <c r="M7" s="12">
        <v>405267.99034017808</v>
      </c>
      <c r="N7" s="11">
        <f>Rådata[[#This Row],[B12]]/Rådata[[#This Row],[Totalareal]]</f>
        <v>171.95488385860855</v>
      </c>
      <c r="O7" s="11">
        <f>Rådata[[#This Row],[B12]]/Rådata[[#This Row],[B02]]-1</f>
        <v>0.17677062540550414</v>
      </c>
      <c r="P7" s="11">
        <f>Rådata[[#This Row],[Kvinner20-39]]/Rådata[[#This Row],[B12]]</f>
        <v>0.15139573897269584</v>
      </c>
      <c r="Q7" s="11">
        <f>Rådata[[#This Row],[Eldre67+]]/Rådata[[#This Row],[B12]]</f>
        <v>0.11144962299051427</v>
      </c>
      <c r="R7" s="11">
        <f>Rådata[[#This Row],[S11]]/Rådata[[#This Row],[S01]]-1</f>
        <v>0.11830290214149319</v>
      </c>
      <c r="S7" s="11">
        <f>Rådata[[#This Row],[Y11]]/Rådata[[#This Row],[Folk20-64]]</f>
        <v>0.84652323116384209</v>
      </c>
    </row>
    <row r="8" spans="1:19" s="10" customFormat="1" ht="12.75">
      <c r="A8" s="10" t="s">
        <v>61</v>
      </c>
      <c r="B8" s="10">
        <v>49797</v>
      </c>
      <c r="C8" s="10">
        <v>49419</v>
      </c>
      <c r="D8" s="10">
        <v>4579.84</v>
      </c>
      <c r="E8" s="10">
        <v>22573</v>
      </c>
      <c r="F8" s="10">
        <v>8779</v>
      </c>
      <c r="G8" s="10">
        <v>4954</v>
      </c>
      <c r="H8" s="10">
        <v>28288</v>
      </c>
      <c r="I8" s="10">
        <v>19582</v>
      </c>
      <c r="J8" s="10">
        <v>19110</v>
      </c>
      <c r="K8" s="10">
        <v>78.864359906882555</v>
      </c>
      <c r="L8" s="11">
        <v>5</v>
      </c>
      <c r="M8" s="12">
        <v>299339.03831891227</v>
      </c>
      <c r="N8" s="11">
        <f>Rådata[[#This Row],[B12]]/Rådata[[#This Row],[Totalareal]]</f>
        <v>10.790551634991616</v>
      </c>
      <c r="O8" s="11">
        <f>Rådata[[#This Row],[B12]]/Rådata[[#This Row],[B02]]-1</f>
        <v>-7.5908187240195657E-3</v>
      </c>
      <c r="P8" s="11">
        <f>Rådata[[#This Row],[Kvinner20-39]]/Rådata[[#This Row],[B12]]</f>
        <v>0.10024484510006273</v>
      </c>
      <c r="Q8" s="11">
        <f>Rådata[[#This Row],[Eldre67+]]/Rådata[[#This Row],[B12]]</f>
        <v>0.1776442259050163</v>
      </c>
      <c r="R8" s="11">
        <f>Rådata[[#This Row],[S11]]/Rådata[[#This Row],[S01]]-1</f>
        <v>-2.410376876723519E-2</v>
      </c>
      <c r="S8" s="11">
        <f>Rådata[[#This Row],[Y11]]/Rådata[[#This Row],[Folk20-64]]</f>
        <v>0.79797087104072395</v>
      </c>
    </row>
    <row r="9" spans="1:19" s="10" customFormat="1" ht="12.75">
      <c r="A9" s="10" t="s">
        <v>62</v>
      </c>
      <c r="B9" s="10">
        <v>83975</v>
      </c>
      <c r="C9" s="10">
        <v>88903</v>
      </c>
      <c r="D9" s="10">
        <v>2724.76</v>
      </c>
      <c r="E9" s="10">
        <v>43663</v>
      </c>
      <c r="F9" s="10">
        <v>13937</v>
      </c>
      <c r="G9" s="10">
        <v>10097</v>
      </c>
      <c r="H9" s="10">
        <v>51596</v>
      </c>
      <c r="I9" s="10">
        <v>37765</v>
      </c>
      <c r="J9" s="10">
        <v>41315</v>
      </c>
      <c r="K9" s="10">
        <v>86.545109067465404</v>
      </c>
      <c r="L9" s="11">
        <v>4</v>
      </c>
      <c r="M9" s="12">
        <v>320395.80353888002</v>
      </c>
      <c r="N9" s="11">
        <f>Rådata[[#This Row],[B12]]/Rådata[[#This Row],[Totalareal]]</f>
        <v>32.627827771987256</v>
      </c>
      <c r="O9" s="11">
        <f>Rådata[[#This Row],[B12]]/Rådata[[#This Row],[B02]]-1</f>
        <v>5.8684132182197146E-2</v>
      </c>
      <c r="P9" s="11">
        <f>Rådata[[#This Row],[Kvinner20-39]]/Rådata[[#This Row],[B12]]</f>
        <v>0.11357322025128511</v>
      </c>
      <c r="Q9" s="11">
        <f>Rådata[[#This Row],[Eldre67+]]/Rådata[[#This Row],[B12]]</f>
        <v>0.1567663633398198</v>
      </c>
      <c r="R9" s="11">
        <f>Rådata[[#This Row],[S11]]/Rådata[[#This Row],[S01]]-1</f>
        <v>9.4002383159009772E-2</v>
      </c>
      <c r="S9" s="11">
        <f>Rådata[[#This Row],[Y11]]/Rådata[[#This Row],[Folk20-64]]</f>
        <v>0.84624777114505001</v>
      </c>
    </row>
    <row r="10" spans="1:19" s="10" customFormat="1" ht="12.75">
      <c r="A10" s="10" t="s">
        <v>63</v>
      </c>
      <c r="B10" s="10">
        <v>26945</v>
      </c>
      <c r="C10" s="10">
        <v>28333</v>
      </c>
      <c r="D10" s="10">
        <v>3274.4700000000003</v>
      </c>
      <c r="E10" s="10">
        <v>13864</v>
      </c>
      <c r="F10" s="10">
        <v>4588</v>
      </c>
      <c r="G10" s="10">
        <v>3331</v>
      </c>
      <c r="H10" s="10">
        <v>16400</v>
      </c>
      <c r="I10" s="10">
        <v>12180</v>
      </c>
      <c r="J10" s="10">
        <v>13291</v>
      </c>
      <c r="K10" s="10">
        <v>104.29628687667217</v>
      </c>
      <c r="L10" s="11">
        <v>5</v>
      </c>
      <c r="M10" s="12">
        <v>315270.07711856981</v>
      </c>
      <c r="N10" s="11">
        <f>Rådata[[#This Row],[B12]]/Rådata[[#This Row],[Totalareal]]</f>
        <v>8.6526979938738169</v>
      </c>
      <c r="O10" s="11">
        <f>Rådata[[#This Row],[B12]]/Rådata[[#This Row],[B02]]-1</f>
        <v>5.1512339951753638E-2</v>
      </c>
      <c r="P10" s="11">
        <f>Rådata[[#This Row],[Kvinner20-39]]/Rådata[[#This Row],[B12]]</f>
        <v>0.11756608901281192</v>
      </c>
      <c r="Q10" s="11">
        <f>Rådata[[#This Row],[Eldre67+]]/Rådata[[#This Row],[B12]]</f>
        <v>0.16193131683902162</v>
      </c>
      <c r="R10" s="11">
        <f>Rådata[[#This Row],[S11]]/Rådata[[#This Row],[S01]]-1</f>
        <v>9.1215106732348117E-2</v>
      </c>
      <c r="S10" s="11">
        <f>Rådata[[#This Row],[Y11]]/Rådata[[#This Row],[Folk20-64]]</f>
        <v>0.84536585365853656</v>
      </c>
    </row>
    <row r="11" spans="1:19" s="10" customFormat="1" ht="12.75">
      <c r="A11" s="10" t="s">
        <v>64</v>
      </c>
      <c r="B11" s="10">
        <v>8565</v>
      </c>
      <c r="C11" s="10">
        <v>8142</v>
      </c>
      <c r="D11" s="10">
        <v>5210.95</v>
      </c>
      <c r="E11" s="10">
        <v>3739</v>
      </c>
      <c r="F11" s="10">
        <v>1625</v>
      </c>
      <c r="G11" s="10">
        <v>795</v>
      </c>
      <c r="H11" s="10">
        <v>4517</v>
      </c>
      <c r="I11" s="10">
        <v>3434</v>
      </c>
      <c r="J11" s="10">
        <v>3364</v>
      </c>
      <c r="K11" s="10">
        <v>157.46692513627119</v>
      </c>
      <c r="L11" s="11">
        <v>9</v>
      </c>
      <c r="M11" s="12">
        <v>285645.81720750226</v>
      </c>
      <c r="N11" s="11">
        <f>Rådata[[#This Row],[B12]]/Rådata[[#This Row],[Totalareal]]</f>
        <v>1.5624790105451023</v>
      </c>
      <c r="O11" s="11">
        <f>Rådata[[#This Row],[B12]]/Rådata[[#This Row],[B02]]-1</f>
        <v>-4.9387040280210126E-2</v>
      </c>
      <c r="P11" s="11">
        <f>Rådata[[#This Row],[Kvinner20-39]]/Rådata[[#This Row],[B12]]</f>
        <v>9.7641857037582908E-2</v>
      </c>
      <c r="Q11" s="11">
        <f>Rådata[[#This Row],[Eldre67+]]/Rådata[[#This Row],[B12]]</f>
        <v>0.19958241218373865</v>
      </c>
      <c r="R11" s="11">
        <f>Rådata[[#This Row],[S11]]/Rådata[[#This Row],[S01]]-1</f>
        <v>-2.0384391380314448E-2</v>
      </c>
      <c r="S11" s="11">
        <f>Rådata[[#This Row],[Y11]]/Rådata[[#This Row],[Folk20-64]]</f>
        <v>0.82776178879787465</v>
      </c>
    </row>
    <row r="12" spans="1:19" s="10" customFormat="1" ht="12.75">
      <c r="A12" s="10" t="s">
        <v>65</v>
      </c>
      <c r="B12" s="10">
        <v>2921</v>
      </c>
      <c r="C12" s="10">
        <v>2678</v>
      </c>
      <c r="D12" s="10">
        <v>2165.79</v>
      </c>
      <c r="E12" s="10">
        <v>1201</v>
      </c>
      <c r="F12" s="10">
        <v>522</v>
      </c>
      <c r="G12" s="10">
        <v>277</v>
      </c>
      <c r="H12" s="10">
        <v>1546</v>
      </c>
      <c r="I12" s="10">
        <v>1100</v>
      </c>
      <c r="J12" s="10">
        <v>1028</v>
      </c>
      <c r="K12" s="10">
        <v>165.90602107999999</v>
      </c>
      <c r="L12" s="11">
        <v>11</v>
      </c>
      <c r="M12" s="12">
        <v>290700</v>
      </c>
      <c r="N12" s="11">
        <f>Rådata[[#This Row],[B12]]/Rådata[[#This Row],[Totalareal]]</f>
        <v>1.2365003070473131</v>
      </c>
      <c r="O12" s="11">
        <f>Rådata[[#This Row],[B12]]/Rådata[[#This Row],[B02]]-1</f>
        <v>-8.3190688120506673E-2</v>
      </c>
      <c r="P12" s="11">
        <f>Rådata[[#This Row],[Kvinner20-39]]/Rådata[[#This Row],[B12]]</f>
        <v>0.10343539955190441</v>
      </c>
      <c r="Q12" s="11">
        <f>Rådata[[#This Row],[Eldre67+]]/Rådata[[#This Row],[B12]]</f>
        <v>0.19492158327109785</v>
      </c>
      <c r="R12" s="11">
        <f>Rådata[[#This Row],[S11]]/Rådata[[#This Row],[S01]]-1</f>
        <v>-6.5454545454545432E-2</v>
      </c>
      <c r="S12" s="11">
        <f>Rådata[[#This Row],[Y11]]/Rådata[[#This Row],[Folk20-64]]</f>
        <v>0.77684346701164297</v>
      </c>
    </row>
    <row r="13" spans="1:19" s="10" customFormat="1" ht="12.75">
      <c r="A13" s="10" t="s">
        <v>66</v>
      </c>
      <c r="B13" s="10">
        <v>13615</v>
      </c>
      <c r="C13" s="10">
        <v>13276</v>
      </c>
      <c r="D13" s="10">
        <v>8401.65</v>
      </c>
      <c r="E13" s="10">
        <v>7033</v>
      </c>
      <c r="F13" s="10">
        <v>2334</v>
      </c>
      <c r="G13" s="10">
        <v>1366</v>
      </c>
      <c r="H13" s="10">
        <v>7339</v>
      </c>
      <c r="I13" s="10">
        <v>6246</v>
      </c>
      <c r="J13" s="10">
        <v>6654</v>
      </c>
      <c r="K13" s="10">
        <v>203.35055749686757</v>
      </c>
      <c r="L13" s="11">
        <v>8</v>
      </c>
      <c r="M13" s="12">
        <v>300393.1628787879</v>
      </c>
      <c r="N13" s="11">
        <f>Rådata[[#This Row],[B12]]/Rådata[[#This Row],[Totalareal]]</f>
        <v>1.5801658007653259</v>
      </c>
      <c r="O13" s="11">
        <f>Rådata[[#This Row],[B12]]/Rådata[[#This Row],[B02]]-1</f>
        <v>-2.489900844656634E-2</v>
      </c>
      <c r="P13" s="11">
        <f>Rådata[[#This Row],[Kvinner20-39]]/Rådata[[#This Row],[B12]]</f>
        <v>0.10289243748116902</v>
      </c>
      <c r="Q13" s="11">
        <f>Rådata[[#This Row],[Eldre67+]]/Rådata[[#This Row],[B12]]</f>
        <v>0.17580596565230491</v>
      </c>
      <c r="R13" s="11">
        <f>Rådata[[#This Row],[S11]]/Rådata[[#This Row],[S01]]-1</f>
        <v>6.5321805955811829E-2</v>
      </c>
      <c r="S13" s="11">
        <f>Rådata[[#This Row],[Y11]]/Rådata[[#This Row],[Folk20-64]]</f>
        <v>0.95830494617795337</v>
      </c>
    </row>
    <row r="14" spans="1:19" s="10" customFormat="1" ht="12.75">
      <c r="A14" s="10" t="s">
        <v>67</v>
      </c>
      <c r="B14" s="10">
        <v>35912</v>
      </c>
      <c r="C14" s="10">
        <v>38020</v>
      </c>
      <c r="D14" s="10">
        <v>2309.23</v>
      </c>
      <c r="E14" s="10">
        <v>19675</v>
      </c>
      <c r="F14" s="10">
        <v>6059</v>
      </c>
      <c r="G14" s="10">
        <v>4421</v>
      </c>
      <c r="H14" s="10">
        <v>22023</v>
      </c>
      <c r="I14" s="10">
        <v>18290</v>
      </c>
      <c r="J14" s="10">
        <v>20352</v>
      </c>
      <c r="K14" s="10">
        <v>134.09891347080421</v>
      </c>
      <c r="L14" s="11">
        <v>4</v>
      </c>
      <c r="M14" s="12">
        <v>327965.13752487849</v>
      </c>
      <c r="N14" s="11">
        <f>Rådata[[#This Row],[B12]]/Rådata[[#This Row],[Totalareal]]</f>
        <v>16.46436257973437</v>
      </c>
      <c r="O14" s="11">
        <f>Rådata[[#This Row],[B12]]/Rådata[[#This Row],[B02]]-1</f>
        <v>5.869904210291832E-2</v>
      </c>
      <c r="P14" s="11">
        <f>Rådata[[#This Row],[Kvinner20-39]]/Rådata[[#This Row],[B12]]</f>
        <v>0.11628090478695423</v>
      </c>
      <c r="Q14" s="11">
        <f>Rådata[[#This Row],[Eldre67+]]/Rådata[[#This Row],[B12]]</f>
        <v>0.15936349289847448</v>
      </c>
      <c r="R14" s="11">
        <f>Rådata[[#This Row],[S11]]/Rådata[[#This Row],[S01]]-1</f>
        <v>0.11273920174958985</v>
      </c>
      <c r="S14" s="11">
        <f>Rådata[[#This Row],[Y11]]/Rådata[[#This Row],[Folk20-64]]</f>
        <v>0.89338418925668617</v>
      </c>
    </row>
    <row r="15" spans="1:19" s="10" customFormat="1" ht="12.75">
      <c r="A15" s="10" t="s">
        <v>68</v>
      </c>
      <c r="B15" s="10">
        <v>67417</v>
      </c>
      <c r="C15" s="10">
        <v>69406</v>
      </c>
      <c r="D15" s="10">
        <v>3168.01</v>
      </c>
      <c r="E15" s="10">
        <v>34124</v>
      </c>
      <c r="F15" s="10">
        <v>11166</v>
      </c>
      <c r="G15" s="10">
        <v>7793</v>
      </c>
      <c r="H15" s="10">
        <v>40295</v>
      </c>
      <c r="I15" s="10">
        <v>30728</v>
      </c>
      <c r="J15" s="10">
        <v>32518</v>
      </c>
      <c r="K15" s="10">
        <v>101.99609964097823</v>
      </c>
      <c r="L15" s="11">
        <v>4</v>
      </c>
      <c r="M15" s="12">
        <v>314374.67080612353</v>
      </c>
      <c r="N15" s="11">
        <f>Rådata[[#This Row],[B12]]/Rådata[[#This Row],[Totalareal]]</f>
        <v>21.908390440686738</v>
      </c>
      <c r="O15" s="11">
        <f>Rådata[[#This Row],[B12]]/Rådata[[#This Row],[B02]]-1</f>
        <v>2.9502944361214478E-2</v>
      </c>
      <c r="P15" s="11">
        <f>Rådata[[#This Row],[Kvinner20-39]]/Rådata[[#This Row],[B12]]</f>
        <v>0.11228135896032043</v>
      </c>
      <c r="Q15" s="11">
        <f>Rådata[[#This Row],[Eldre67+]]/Rådata[[#This Row],[B12]]</f>
        <v>0.1608794628706452</v>
      </c>
      <c r="R15" s="11">
        <f>Rådata[[#This Row],[S11]]/Rådata[[#This Row],[S01]]-1</f>
        <v>5.8253059099192983E-2</v>
      </c>
      <c r="S15" s="11">
        <f>Rådata[[#This Row],[Y11]]/Rådata[[#This Row],[Folk20-64]]</f>
        <v>0.84685444844273483</v>
      </c>
    </row>
    <row r="16" spans="1:19" s="10" customFormat="1" ht="12.75">
      <c r="A16" s="10" t="s">
        <v>69</v>
      </c>
      <c r="B16" s="10">
        <v>5110</v>
      </c>
      <c r="C16" s="10">
        <v>4937</v>
      </c>
      <c r="D16" s="10">
        <v>3623.88</v>
      </c>
      <c r="E16" s="10">
        <v>2546</v>
      </c>
      <c r="F16" s="10">
        <v>930</v>
      </c>
      <c r="G16" s="10">
        <v>477</v>
      </c>
      <c r="H16" s="10">
        <v>2749</v>
      </c>
      <c r="I16" s="10">
        <v>2269</v>
      </c>
      <c r="J16" s="10">
        <v>2277</v>
      </c>
      <c r="K16" s="10">
        <v>253.63053009494612</v>
      </c>
      <c r="L16" s="11">
        <v>10</v>
      </c>
      <c r="M16" s="12">
        <v>295348.87218045112</v>
      </c>
      <c r="N16" s="11">
        <f>Rådata[[#This Row],[B12]]/Rådata[[#This Row],[Totalareal]]</f>
        <v>1.362351954258971</v>
      </c>
      <c r="O16" s="11">
        <f>Rådata[[#This Row],[B12]]/Rådata[[#This Row],[B02]]-1</f>
        <v>-3.3855185909980379E-2</v>
      </c>
      <c r="P16" s="11">
        <f>Rådata[[#This Row],[Kvinner20-39]]/Rådata[[#This Row],[B12]]</f>
        <v>9.6617378975086085E-2</v>
      </c>
      <c r="Q16" s="11">
        <f>Rådata[[#This Row],[Eldre67+]]/Rådata[[#This Row],[B12]]</f>
        <v>0.18837350617784079</v>
      </c>
      <c r="R16" s="11">
        <f>Rådata[[#This Row],[S11]]/Rådata[[#This Row],[S01]]-1</f>
        <v>3.5257822829439789E-3</v>
      </c>
      <c r="S16" s="11">
        <f>Rådata[[#This Row],[Y11]]/Rådata[[#This Row],[Folk20-64]]</f>
        <v>0.92615496544197895</v>
      </c>
    </row>
    <row r="17" spans="1:19" s="10" customFormat="1" ht="12.75">
      <c r="A17" s="10" t="s">
        <v>70</v>
      </c>
      <c r="B17" s="10">
        <v>4908</v>
      </c>
      <c r="C17" s="10">
        <v>4689</v>
      </c>
      <c r="D17" s="10">
        <v>4044.09</v>
      </c>
      <c r="E17" s="10">
        <v>2502</v>
      </c>
      <c r="F17" s="10">
        <v>865</v>
      </c>
      <c r="G17" s="10">
        <v>479</v>
      </c>
      <c r="H17" s="10">
        <v>2648</v>
      </c>
      <c r="I17" s="10">
        <v>2387</v>
      </c>
      <c r="J17" s="10">
        <v>2322</v>
      </c>
      <c r="K17" s="10">
        <v>259.99072621595644</v>
      </c>
      <c r="L17" s="11">
        <v>10</v>
      </c>
      <c r="M17" s="12">
        <v>293049.12188728701</v>
      </c>
      <c r="N17" s="11">
        <f>Rådata[[#This Row],[B12]]/Rådata[[#This Row],[Totalareal]]</f>
        <v>1.1594697447386186</v>
      </c>
      <c r="O17" s="11">
        <f>Rådata[[#This Row],[B12]]/Rådata[[#This Row],[B02]]-1</f>
        <v>-4.4621026894865579E-2</v>
      </c>
      <c r="P17" s="11">
        <f>Rådata[[#This Row],[Kvinner20-39]]/Rådata[[#This Row],[B12]]</f>
        <v>0.10215397739390061</v>
      </c>
      <c r="Q17" s="11">
        <f>Rådata[[#This Row],[Eldre67+]]/Rådata[[#This Row],[B12]]</f>
        <v>0.18447430155683514</v>
      </c>
      <c r="R17" s="11">
        <f>Rådata[[#This Row],[S11]]/Rådata[[#This Row],[S01]]-1</f>
        <v>-2.7230833682446609E-2</v>
      </c>
      <c r="S17" s="11">
        <f>Rådata[[#This Row],[Y11]]/Rådata[[#This Row],[Folk20-64]]</f>
        <v>0.94486404833836857</v>
      </c>
    </row>
    <row r="18" spans="1:19" s="10" customFormat="1" ht="12.75">
      <c r="A18" s="10" t="s">
        <v>71</v>
      </c>
      <c r="B18" s="10">
        <v>13901</v>
      </c>
      <c r="C18" s="10">
        <v>13599</v>
      </c>
      <c r="D18" s="10">
        <v>3131.2299999999996</v>
      </c>
      <c r="E18" s="10">
        <v>6912</v>
      </c>
      <c r="F18" s="10">
        <v>2431</v>
      </c>
      <c r="G18" s="10">
        <v>1390</v>
      </c>
      <c r="H18" s="10">
        <v>7656</v>
      </c>
      <c r="I18" s="10">
        <v>5997</v>
      </c>
      <c r="J18" s="10">
        <v>6062</v>
      </c>
      <c r="K18" s="10">
        <v>183.71695845794153</v>
      </c>
      <c r="L18" s="11">
        <v>8</v>
      </c>
      <c r="M18" s="12">
        <v>303113.66482170403</v>
      </c>
      <c r="N18" s="11">
        <f>Rådata[[#This Row],[B12]]/Rådata[[#This Row],[Totalareal]]</f>
        <v>4.3430217518355416</v>
      </c>
      <c r="O18" s="11">
        <f>Rådata[[#This Row],[B12]]/Rådata[[#This Row],[B02]]-1</f>
        <v>-2.1725055751384836E-2</v>
      </c>
      <c r="P18" s="11">
        <f>Rådata[[#This Row],[Kvinner20-39]]/Rådata[[#This Row],[B12]]</f>
        <v>0.10221339804397382</v>
      </c>
      <c r="Q18" s="11">
        <f>Rådata[[#This Row],[Eldre67+]]/Rådata[[#This Row],[B12]]</f>
        <v>0.17876314434884918</v>
      </c>
      <c r="R18" s="11">
        <f>Rådata[[#This Row],[S11]]/Rådata[[#This Row],[S01]]-1</f>
        <v>1.083875270968826E-2</v>
      </c>
      <c r="S18" s="11">
        <f>Rådata[[#This Row],[Y11]]/Rådata[[#This Row],[Folk20-64]]</f>
        <v>0.90282131661442011</v>
      </c>
    </row>
    <row r="19" spans="1:19" s="10" customFormat="1" ht="12.75">
      <c r="A19" s="10" t="s">
        <v>72</v>
      </c>
      <c r="B19" s="10">
        <v>9975</v>
      </c>
      <c r="C19" s="10">
        <v>9731</v>
      </c>
      <c r="D19" s="10">
        <v>2234.92</v>
      </c>
      <c r="E19" s="10">
        <v>4748</v>
      </c>
      <c r="F19" s="10">
        <v>1796</v>
      </c>
      <c r="G19" s="10">
        <v>982</v>
      </c>
      <c r="H19" s="10">
        <v>5420</v>
      </c>
      <c r="I19" s="10">
        <v>4514</v>
      </c>
      <c r="J19" s="10">
        <v>4570</v>
      </c>
      <c r="K19" s="10">
        <v>227.00874410288563</v>
      </c>
      <c r="L19" s="11">
        <v>10</v>
      </c>
      <c r="M19" s="12">
        <v>285455.54565134342</v>
      </c>
      <c r="N19" s="11">
        <f>Rådata[[#This Row],[B12]]/Rådata[[#This Row],[Totalareal]]</f>
        <v>4.3540708392246703</v>
      </c>
      <c r="O19" s="11">
        <f>Rådata[[#This Row],[B12]]/Rådata[[#This Row],[B02]]-1</f>
        <v>-2.4461152882205517E-2</v>
      </c>
      <c r="P19" s="11">
        <f>Rådata[[#This Row],[Kvinner20-39]]/Rådata[[#This Row],[B12]]</f>
        <v>0.10091460281574351</v>
      </c>
      <c r="Q19" s="11">
        <f>Rådata[[#This Row],[Eldre67+]]/Rådata[[#This Row],[B12]]</f>
        <v>0.18456479292981195</v>
      </c>
      <c r="R19" s="11">
        <f>Rådata[[#This Row],[S11]]/Rådata[[#This Row],[S01]]-1</f>
        <v>1.2405848471422232E-2</v>
      </c>
      <c r="S19" s="11">
        <f>Rådata[[#This Row],[Y11]]/Rådata[[#This Row],[Folk20-64]]</f>
        <v>0.87601476014760149</v>
      </c>
    </row>
    <row r="20" spans="1:19" s="10" customFormat="1" ht="12.75">
      <c r="A20" s="10" t="s">
        <v>73</v>
      </c>
      <c r="B20" s="10">
        <v>18292</v>
      </c>
      <c r="C20" s="10">
        <v>18013</v>
      </c>
      <c r="D20" s="10">
        <v>5406.49</v>
      </c>
      <c r="E20" s="10">
        <v>9523</v>
      </c>
      <c r="F20" s="10">
        <v>3083</v>
      </c>
      <c r="G20" s="10">
        <v>1875</v>
      </c>
      <c r="H20" s="10">
        <v>10279</v>
      </c>
      <c r="I20" s="10">
        <v>8811</v>
      </c>
      <c r="J20" s="10">
        <v>8925</v>
      </c>
      <c r="K20" s="10">
        <v>145.06896361945124</v>
      </c>
      <c r="L20" s="11">
        <v>10</v>
      </c>
      <c r="M20" s="12">
        <v>303887.77313514624</v>
      </c>
      <c r="N20" s="11">
        <f>Rådata[[#This Row],[B12]]/Rådata[[#This Row],[Totalareal]]</f>
        <v>3.3317364870738686</v>
      </c>
      <c r="O20" s="11">
        <f>Rådata[[#This Row],[B12]]/Rådata[[#This Row],[B02]]-1</f>
        <v>-1.5252569429258678E-2</v>
      </c>
      <c r="P20" s="11">
        <f>Rådata[[#This Row],[Kvinner20-39]]/Rådata[[#This Row],[B12]]</f>
        <v>0.10409148947982012</v>
      </c>
      <c r="Q20" s="11">
        <f>Rådata[[#This Row],[Eldre67+]]/Rådata[[#This Row],[B12]]</f>
        <v>0.17115416643535225</v>
      </c>
      <c r="R20" s="11">
        <f>Rådata[[#This Row],[S11]]/Rådata[[#This Row],[S01]]-1</f>
        <v>1.2938372488934258E-2</v>
      </c>
      <c r="S20" s="11">
        <f>Rådata[[#This Row],[Y11]]/Rådata[[#This Row],[Folk20-64]]</f>
        <v>0.92645198949314134</v>
      </c>
    </row>
    <row r="21" spans="1:19" s="10" customFormat="1" ht="12.75">
      <c r="A21" s="10" t="s">
        <v>74</v>
      </c>
      <c r="B21" s="10">
        <v>143544</v>
      </c>
      <c r="C21" s="10">
        <v>161369</v>
      </c>
      <c r="D21" s="10">
        <v>2613.0500000000002</v>
      </c>
      <c r="E21" s="10">
        <v>81485</v>
      </c>
      <c r="F21" s="10">
        <v>21431</v>
      </c>
      <c r="G21" s="10">
        <v>20586</v>
      </c>
      <c r="H21" s="10">
        <v>95888</v>
      </c>
      <c r="I21" s="10">
        <v>63394</v>
      </c>
      <c r="J21" s="10">
        <v>72075</v>
      </c>
      <c r="K21" s="10">
        <v>39.475924326190572</v>
      </c>
      <c r="L21" s="11">
        <v>2</v>
      </c>
      <c r="M21" s="12">
        <v>351759.36340022128</v>
      </c>
      <c r="N21" s="11">
        <f>Rådata[[#This Row],[B12]]/Rådata[[#This Row],[Totalareal]]</f>
        <v>61.755037217045214</v>
      </c>
      <c r="O21" s="11">
        <f>Rådata[[#This Row],[B12]]/Rådata[[#This Row],[B02]]-1</f>
        <v>0.12417795240483764</v>
      </c>
      <c r="P21" s="11">
        <f>Rådata[[#This Row],[Kvinner20-39]]/Rådata[[#This Row],[B12]]</f>
        <v>0.12757097088040453</v>
      </c>
      <c r="Q21" s="11">
        <f>Rådata[[#This Row],[Eldre67+]]/Rådata[[#This Row],[B12]]</f>
        <v>0.1328074165422107</v>
      </c>
      <c r="R21" s="11">
        <f>Rådata[[#This Row],[S11]]/Rådata[[#This Row],[S01]]-1</f>
        <v>0.13693724958197939</v>
      </c>
      <c r="S21" s="11">
        <f>Rådata[[#This Row],[Y11]]/Rådata[[#This Row],[Folk20-64]]</f>
        <v>0.84979350909394291</v>
      </c>
    </row>
    <row r="22" spans="1:19" s="10" customFormat="1" ht="12.75">
      <c r="A22" s="10" t="s">
        <v>75</v>
      </c>
      <c r="B22" s="10">
        <v>26666</v>
      </c>
      <c r="C22" s="10">
        <v>29500</v>
      </c>
      <c r="D22" s="10">
        <v>1804.29</v>
      </c>
      <c r="E22" s="10">
        <v>15796</v>
      </c>
      <c r="F22" s="10">
        <v>4156</v>
      </c>
      <c r="G22" s="10">
        <v>3557</v>
      </c>
      <c r="H22" s="10">
        <v>17516</v>
      </c>
      <c r="I22" s="10">
        <v>14571</v>
      </c>
      <c r="J22" s="10">
        <v>17866</v>
      </c>
      <c r="K22" s="10">
        <v>65.198975459445947</v>
      </c>
      <c r="L22" s="11">
        <v>5</v>
      </c>
      <c r="M22" s="12">
        <v>382477.62592072209</v>
      </c>
      <c r="N22" s="11">
        <f>Rådata[[#This Row],[B12]]/Rådata[[#This Row],[Totalareal]]</f>
        <v>16.3499215757999</v>
      </c>
      <c r="O22" s="11">
        <f>Rådata[[#This Row],[B12]]/Rådata[[#This Row],[B02]]-1</f>
        <v>0.10627765694142344</v>
      </c>
      <c r="P22" s="11">
        <f>Rådata[[#This Row],[Kvinner20-39]]/Rådata[[#This Row],[B12]]</f>
        <v>0.12057627118644068</v>
      </c>
      <c r="Q22" s="11">
        <f>Rådata[[#This Row],[Eldre67+]]/Rådata[[#This Row],[B12]]</f>
        <v>0.14088135593220338</v>
      </c>
      <c r="R22" s="11">
        <f>Rådata[[#This Row],[S11]]/Rådata[[#This Row],[S01]]-1</f>
        <v>0.22613410198339157</v>
      </c>
      <c r="S22" s="11">
        <f>Rådata[[#This Row],[Y11]]/Rådata[[#This Row],[Folk20-64]]</f>
        <v>0.90180406485498976</v>
      </c>
    </row>
    <row r="23" spans="1:19" s="10" customFormat="1" ht="12.75">
      <c r="A23" s="10" t="s">
        <v>76</v>
      </c>
      <c r="B23" s="10">
        <v>41489</v>
      </c>
      <c r="C23" s="10">
        <v>44227</v>
      </c>
      <c r="D23" s="10">
        <v>2348.0200000000004</v>
      </c>
      <c r="E23" s="10">
        <v>22505</v>
      </c>
      <c r="F23" s="10">
        <v>6541</v>
      </c>
      <c r="G23" s="10">
        <v>5194</v>
      </c>
      <c r="H23" s="10">
        <v>26299</v>
      </c>
      <c r="I23" s="10">
        <v>18093</v>
      </c>
      <c r="J23" s="10">
        <v>19354</v>
      </c>
      <c r="K23" s="10">
        <v>51.194358219376497</v>
      </c>
      <c r="L23" s="11">
        <v>5</v>
      </c>
      <c r="M23" s="12">
        <v>336620.68124474346</v>
      </c>
      <c r="N23" s="11">
        <f>Rådata[[#This Row],[B12]]/Rådata[[#This Row],[Totalareal]]</f>
        <v>18.835870222570502</v>
      </c>
      <c r="O23" s="11">
        <f>Rådata[[#This Row],[B12]]/Rådata[[#This Row],[B02]]-1</f>
        <v>6.599339583986108E-2</v>
      </c>
      <c r="P23" s="11">
        <f>Rådata[[#This Row],[Kvinner20-39]]/Rådata[[#This Row],[B12]]</f>
        <v>0.11743957311144776</v>
      </c>
      <c r="Q23" s="11">
        <f>Rådata[[#This Row],[Eldre67+]]/Rådata[[#This Row],[B12]]</f>
        <v>0.14789608157912587</v>
      </c>
      <c r="R23" s="11">
        <f>Rådata[[#This Row],[S11]]/Rådata[[#This Row],[S01]]-1</f>
        <v>6.9695462333499103E-2</v>
      </c>
      <c r="S23" s="11">
        <f>Rådata[[#This Row],[Y11]]/Rådata[[#This Row],[Folk20-64]]</f>
        <v>0.85573595954218795</v>
      </c>
    </row>
    <row r="24" spans="1:19" s="10" customFormat="1" ht="12.75">
      <c r="A24" s="10" t="s">
        <v>77</v>
      </c>
      <c r="B24" s="10">
        <v>20188</v>
      </c>
      <c r="C24" s="10">
        <v>20493</v>
      </c>
      <c r="D24" s="10">
        <v>5829.67</v>
      </c>
      <c r="E24" s="10">
        <v>11105</v>
      </c>
      <c r="F24" s="10">
        <v>3345</v>
      </c>
      <c r="G24" s="10">
        <v>2297</v>
      </c>
      <c r="H24" s="10">
        <v>11807</v>
      </c>
      <c r="I24" s="10">
        <v>10235</v>
      </c>
      <c r="J24" s="10">
        <v>10616</v>
      </c>
      <c r="K24" s="10">
        <v>166.38360950759329</v>
      </c>
      <c r="L24" s="11">
        <v>8</v>
      </c>
      <c r="M24" s="12">
        <v>328404.28197798185</v>
      </c>
      <c r="N24" s="11">
        <f>Rådata[[#This Row],[B12]]/Rådata[[#This Row],[Totalareal]]</f>
        <v>3.5152933184897259</v>
      </c>
      <c r="O24" s="11">
        <f>Rådata[[#This Row],[B12]]/Rådata[[#This Row],[B02]]-1</f>
        <v>1.5107984941549413E-2</v>
      </c>
      <c r="P24" s="11">
        <f>Rådata[[#This Row],[Kvinner20-39]]/Rådata[[#This Row],[B12]]</f>
        <v>0.11208705411603963</v>
      </c>
      <c r="Q24" s="11">
        <f>Rådata[[#This Row],[Eldre67+]]/Rådata[[#This Row],[B12]]</f>
        <v>0.16322646757429365</v>
      </c>
      <c r="R24" s="11">
        <f>Rådata[[#This Row],[S11]]/Rådata[[#This Row],[S01]]-1</f>
        <v>3.7225207620908751E-2</v>
      </c>
      <c r="S24" s="11">
        <f>Rådata[[#This Row],[Y11]]/Rådata[[#This Row],[Folk20-64]]</f>
        <v>0.94054374523587703</v>
      </c>
    </row>
    <row r="25" spans="1:19" s="10" customFormat="1" ht="12.75">
      <c r="A25" s="10" t="s">
        <v>78</v>
      </c>
      <c r="B25" s="10">
        <v>2754</v>
      </c>
      <c r="C25" s="10">
        <v>2540</v>
      </c>
      <c r="D25" s="10">
        <v>2502.29</v>
      </c>
      <c r="E25" s="10">
        <v>1374</v>
      </c>
      <c r="F25" s="10">
        <v>472</v>
      </c>
      <c r="G25" s="10">
        <v>234</v>
      </c>
      <c r="H25" s="10">
        <v>1399</v>
      </c>
      <c r="I25" s="10">
        <v>1151</v>
      </c>
      <c r="J25" s="10">
        <v>1294</v>
      </c>
      <c r="K25" s="10">
        <v>134.60092777</v>
      </c>
      <c r="L25" s="11">
        <v>11</v>
      </c>
      <c r="M25" s="12">
        <v>305000</v>
      </c>
      <c r="N25" s="11">
        <f>Rådata[[#This Row],[B12]]/Rådata[[#This Row],[Totalareal]]</f>
        <v>1.0150701957007382</v>
      </c>
      <c r="O25" s="11">
        <f>Rådata[[#This Row],[B12]]/Rådata[[#This Row],[B02]]-1</f>
        <v>-7.770515613652873E-2</v>
      </c>
      <c r="P25" s="11">
        <f>Rådata[[#This Row],[Kvinner20-39]]/Rådata[[#This Row],[B12]]</f>
        <v>9.212598425196851E-2</v>
      </c>
      <c r="Q25" s="11">
        <f>Rådata[[#This Row],[Eldre67+]]/Rådata[[#This Row],[B12]]</f>
        <v>0.1858267716535433</v>
      </c>
      <c r="R25" s="11">
        <f>Rådata[[#This Row],[S11]]/Rådata[[#This Row],[S01]]-1</f>
        <v>0.12423979148566455</v>
      </c>
      <c r="S25" s="11">
        <f>Rådata[[#This Row],[Y11]]/Rådata[[#This Row],[Folk20-64]]</f>
        <v>0.98213009292351683</v>
      </c>
    </row>
    <row r="26" spans="1:19" s="10" customFormat="1" ht="12.75">
      <c r="A26" s="10" t="s">
        <v>79</v>
      </c>
      <c r="B26" s="10">
        <v>119227</v>
      </c>
      <c r="C26" s="10">
        <v>131653</v>
      </c>
      <c r="D26" s="10">
        <v>1055.19</v>
      </c>
      <c r="E26" s="10">
        <v>65141</v>
      </c>
      <c r="F26" s="10">
        <v>18425</v>
      </c>
      <c r="G26" s="10">
        <v>15859</v>
      </c>
      <c r="H26" s="10">
        <v>77369</v>
      </c>
      <c r="I26" s="10">
        <v>55031</v>
      </c>
      <c r="J26" s="10">
        <v>60439</v>
      </c>
      <c r="K26" s="10">
        <v>68.37862671283969</v>
      </c>
      <c r="L26" s="11">
        <v>2</v>
      </c>
      <c r="M26" s="12">
        <v>344833.724171624</v>
      </c>
      <c r="N26" s="11">
        <f>Rådata[[#This Row],[B12]]/Rådata[[#This Row],[Totalareal]]</f>
        <v>124.76710355481002</v>
      </c>
      <c r="O26" s="11">
        <f>Rådata[[#This Row],[B12]]/Rådata[[#This Row],[B02]]-1</f>
        <v>0.10422135925587317</v>
      </c>
      <c r="P26" s="11">
        <f>Rådata[[#This Row],[Kvinner20-39]]/Rådata[[#This Row],[B12]]</f>
        <v>0.12046060477163452</v>
      </c>
      <c r="Q26" s="11">
        <f>Rådata[[#This Row],[Eldre67+]]/Rådata[[#This Row],[B12]]</f>
        <v>0.13995123544469174</v>
      </c>
      <c r="R26" s="11">
        <f>Rådata[[#This Row],[S11]]/Rådata[[#This Row],[S01]]-1</f>
        <v>9.8271883120423009E-2</v>
      </c>
      <c r="S26" s="11">
        <f>Rådata[[#This Row],[Y11]]/Rådata[[#This Row],[Folk20-64]]</f>
        <v>0.84195220307875251</v>
      </c>
    </row>
    <row r="27" spans="1:19" s="10" customFormat="1" ht="12.75">
      <c r="A27" s="10" t="s">
        <v>80</v>
      </c>
      <c r="B27" s="10">
        <v>83260</v>
      </c>
      <c r="C27" s="10">
        <v>89510</v>
      </c>
      <c r="D27" s="10">
        <v>933.24</v>
      </c>
      <c r="E27" s="10">
        <v>43083</v>
      </c>
      <c r="F27" s="10">
        <v>13375</v>
      </c>
      <c r="G27" s="10">
        <v>10468</v>
      </c>
      <c r="H27" s="10">
        <v>52035</v>
      </c>
      <c r="I27" s="10">
        <v>35937</v>
      </c>
      <c r="J27" s="10">
        <v>39706</v>
      </c>
      <c r="K27" s="10">
        <v>84.908135464726158</v>
      </c>
      <c r="L27" s="11">
        <v>4</v>
      </c>
      <c r="M27" s="12">
        <v>333812.68468063592</v>
      </c>
      <c r="N27" s="11">
        <f>Rådata[[#This Row],[B12]]/Rådata[[#This Row],[Totalareal]]</f>
        <v>95.913162744845906</v>
      </c>
      <c r="O27" s="11">
        <f>Rådata[[#This Row],[B12]]/Rådata[[#This Row],[B02]]-1</f>
        <v>7.5066058131155522E-2</v>
      </c>
      <c r="P27" s="11">
        <f>Rådata[[#This Row],[Kvinner20-39]]/Rådata[[#This Row],[B12]]</f>
        <v>0.11694782705842922</v>
      </c>
      <c r="Q27" s="11">
        <f>Rådata[[#This Row],[Eldre67+]]/Rådata[[#This Row],[B12]]</f>
        <v>0.14942464529102895</v>
      </c>
      <c r="R27" s="11">
        <f>Rådata[[#This Row],[S11]]/Rådata[[#This Row],[S01]]-1</f>
        <v>0.10487798091103873</v>
      </c>
      <c r="S27" s="11">
        <f>Rådata[[#This Row],[Y11]]/Rådata[[#This Row],[Folk20-64]]</f>
        <v>0.8279619486883828</v>
      </c>
    </row>
    <row r="28" spans="1:19" s="10" customFormat="1" ht="12.75">
      <c r="A28" s="10" t="s">
        <v>81</v>
      </c>
      <c r="B28" s="10">
        <v>120997</v>
      </c>
      <c r="C28" s="10">
        <v>125681</v>
      </c>
      <c r="D28" s="10">
        <v>3259.57</v>
      </c>
      <c r="E28" s="10">
        <v>60663</v>
      </c>
      <c r="F28" s="10">
        <v>18459</v>
      </c>
      <c r="G28" s="10">
        <v>14742</v>
      </c>
      <c r="H28" s="10">
        <v>73725</v>
      </c>
      <c r="I28" s="10">
        <v>54264</v>
      </c>
      <c r="J28" s="10">
        <v>56927</v>
      </c>
      <c r="K28" s="10">
        <v>112.13767639999142</v>
      </c>
      <c r="L28" s="11">
        <v>4</v>
      </c>
      <c r="M28" s="12">
        <v>331870.14388489211</v>
      </c>
      <c r="N28" s="11">
        <f>Rådata[[#This Row],[B12]]/Rådata[[#This Row],[Totalareal]]</f>
        <v>38.557539798194242</v>
      </c>
      <c r="O28" s="11">
        <f>Rådata[[#This Row],[B12]]/Rådata[[#This Row],[B02]]-1</f>
        <v>3.8711703595956992E-2</v>
      </c>
      <c r="P28" s="11">
        <f>Rådata[[#This Row],[Kvinner20-39]]/Rådata[[#This Row],[B12]]</f>
        <v>0.11729696612853176</v>
      </c>
      <c r="Q28" s="11">
        <f>Rådata[[#This Row],[Eldre67+]]/Rådata[[#This Row],[B12]]</f>
        <v>0.14687184220367439</v>
      </c>
      <c r="R28" s="11">
        <f>Rådata[[#This Row],[S11]]/Rådata[[#This Row],[S01]]-1</f>
        <v>4.9074893115140794E-2</v>
      </c>
      <c r="S28" s="11">
        <f>Rådata[[#This Row],[Y11]]/Rådata[[#This Row],[Folk20-64]]</f>
        <v>0.82282807731434382</v>
      </c>
    </row>
    <row r="29" spans="1:19" s="10" customFormat="1" ht="12.75">
      <c r="A29" s="10" t="s">
        <v>82</v>
      </c>
      <c r="B29" s="10">
        <v>23495</v>
      </c>
      <c r="C29" s="10">
        <v>24151</v>
      </c>
      <c r="D29" s="10">
        <v>2294.17</v>
      </c>
      <c r="E29" s="10">
        <v>11583</v>
      </c>
      <c r="F29" s="10">
        <v>4020</v>
      </c>
      <c r="G29" s="10">
        <v>2860</v>
      </c>
      <c r="H29" s="10">
        <v>13884</v>
      </c>
      <c r="I29" s="10">
        <v>10030</v>
      </c>
      <c r="J29" s="10">
        <v>10271</v>
      </c>
      <c r="K29" s="10">
        <v>103.58960133060239</v>
      </c>
      <c r="L29" s="11">
        <v>5</v>
      </c>
      <c r="M29" s="12">
        <v>318481.70788134285</v>
      </c>
      <c r="N29" s="11">
        <f>Rådata[[#This Row],[B12]]/Rådata[[#This Row],[Totalareal]]</f>
        <v>10.527118740110803</v>
      </c>
      <c r="O29" s="11">
        <f>Rådata[[#This Row],[B12]]/Rådata[[#This Row],[B02]]-1</f>
        <v>2.7920834220046764E-2</v>
      </c>
      <c r="P29" s="11">
        <f>Rådata[[#This Row],[Kvinner20-39]]/Rådata[[#This Row],[B12]]</f>
        <v>0.11842159744938098</v>
      </c>
      <c r="Q29" s="11">
        <f>Rådata[[#This Row],[Eldre67+]]/Rådata[[#This Row],[B12]]</f>
        <v>0.16645273487640264</v>
      </c>
      <c r="R29" s="11">
        <f>Rådata[[#This Row],[S11]]/Rådata[[#This Row],[S01]]-1</f>
        <v>2.4027916251246229E-2</v>
      </c>
      <c r="S29" s="11">
        <f>Rådata[[#This Row],[Y11]]/Rådata[[#This Row],[Folk20-64]]</f>
        <v>0.8342696629213483</v>
      </c>
    </row>
    <row r="30" spans="1:19" s="10" customFormat="1" ht="12.75">
      <c r="A30" s="10" t="s">
        <v>83</v>
      </c>
      <c r="B30" s="10">
        <v>6490</v>
      </c>
      <c r="C30" s="10">
        <v>5982</v>
      </c>
      <c r="D30" s="10">
        <v>2044.94</v>
      </c>
      <c r="E30" s="10">
        <v>2954</v>
      </c>
      <c r="F30" s="10">
        <v>1071</v>
      </c>
      <c r="G30" s="10">
        <v>628</v>
      </c>
      <c r="H30" s="10">
        <v>3426</v>
      </c>
      <c r="I30" s="10">
        <v>3033</v>
      </c>
      <c r="J30" s="10">
        <v>2846</v>
      </c>
      <c r="K30" s="10">
        <v>140.31703096999999</v>
      </c>
      <c r="L30" s="11">
        <v>9</v>
      </c>
      <c r="M30" s="12">
        <v>322700</v>
      </c>
      <c r="N30" s="11">
        <f>Rådata[[#This Row],[B12]]/Rådata[[#This Row],[Totalareal]]</f>
        <v>2.9252692010523536</v>
      </c>
      <c r="O30" s="11">
        <f>Rådata[[#This Row],[B12]]/Rådata[[#This Row],[B02]]-1</f>
        <v>-7.8274268104776556E-2</v>
      </c>
      <c r="P30" s="11">
        <f>Rådata[[#This Row],[Kvinner20-39]]/Rådata[[#This Row],[B12]]</f>
        <v>0.10498161150117018</v>
      </c>
      <c r="Q30" s="11">
        <f>Rådata[[#This Row],[Eldre67+]]/Rådata[[#This Row],[B12]]</f>
        <v>0.17903711133400202</v>
      </c>
      <c r="R30" s="11">
        <f>Rådata[[#This Row],[S11]]/Rådata[[#This Row],[S01]]-1</f>
        <v>-6.1655126937026017E-2</v>
      </c>
      <c r="S30" s="11">
        <f>Rådata[[#This Row],[Y11]]/Rådata[[#This Row],[Folk20-64]]</f>
        <v>0.86223000583771159</v>
      </c>
    </row>
    <row r="31" spans="1:19" s="10" customFormat="1" ht="12.75">
      <c r="A31" s="10" t="s">
        <v>84</v>
      </c>
      <c r="B31" s="10">
        <v>5607</v>
      </c>
      <c r="C31" s="10">
        <v>5457</v>
      </c>
      <c r="D31" s="10">
        <v>1423.58</v>
      </c>
      <c r="E31" s="10">
        <v>2835</v>
      </c>
      <c r="F31" s="10">
        <v>974</v>
      </c>
      <c r="G31" s="10">
        <v>548</v>
      </c>
      <c r="H31" s="10">
        <v>3120</v>
      </c>
      <c r="I31" s="10">
        <v>2502</v>
      </c>
      <c r="J31" s="10">
        <v>2729</v>
      </c>
      <c r="K31" s="10">
        <v>144.68913294214093</v>
      </c>
      <c r="L31" s="11">
        <v>10</v>
      </c>
      <c r="M31" s="12">
        <v>312269.42876495823</v>
      </c>
      <c r="N31" s="11">
        <f>Rådata[[#This Row],[B12]]/Rådata[[#This Row],[Totalareal]]</f>
        <v>3.8332935275853837</v>
      </c>
      <c r="O31" s="11">
        <f>Rådata[[#This Row],[B12]]/Rådata[[#This Row],[B02]]-1</f>
        <v>-2.6752273943285165E-2</v>
      </c>
      <c r="P31" s="11">
        <f>Rådata[[#This Row],[Kvinner20-39]]/Rådata[[#This Row],[B12]]</f>
        <v>0.10042147700201576</v>
      </c>
      <c r="Q31" s="11">
        <f>Rådata[[#This Row],[Eldre67+]]/Rådata[[#This Row],[B12]]</f>
        <v>0.1784863478101521</v>
      </c>
      <c r="R31" s="11">
        <f>Rådata[[#This Row],[S11]]/Rådata[[#This Row],[S01]]-1</f>
        <v>9.0727418065547516E-2</v>
      </c>
      <c r="S31" s="11">
        <f>Rådata[[#This Row],[Y11]]/Rådata[[#This Row],[Folk20-64]]</f>
        <v>0.90865384615384615</v>
      </c>
    </row>
    <row r="32" spans="1:19" s="10" customFormat="1" ht="12.75">
      <c r="A32" s="10" t="s">
        <v>85</v>
      </c>
      <c r="B32" s="10">
        <v>1441</v>
      </c>
      <c r="C32" s="10">
        <v>1430</v>
      </c>
      <c r="D32" s="10">
        <v>905.18</v>
      </c>
      <c r="E32" s="10">
        <v>768</v>
      </c>
      <c r="F32" s="10">
        <v>218</v>
      </c>
      <c r="G32" s="10">
        <v>142</v>
      </c>
      <c r="H32" s="10">
        <v>831</v>
      </c>
      <c r="I32" s="10">
        <v>504</v>
      </c>
      <c r="J32" s="10">
        <v>624</v>
      </c>
      <c r="K32" s="10">
        <v>178.67316270800001</v>
      </c>
      <c r="L32" s="11">
        <v>11</v>
      </c>
      <c r="M32" s="12">
        <v>313400</v>
      </c>
      <c r="N32" s="11">
        <f>Rådata[[#This Row],[B12]]/Rådata[[#This Row],[Totalareal]]</f>
        <v>1.5797962836120993</v>
      </c>
      <c r="O32" s="11">
        <f>Rådata[[#This Row],[B12]]/Rådata[[#This Row],[B02]]-1</f>
        <v>-7.6335877862595547E-3</v>
      </c>
      <c r="P32" s="11">
        <f>Rådata[[#This Row],[Kvinner20-39]]/Rådata[[#This Row],[B12]]</f>
        <v>9.9300699300699305E-2</v>
      </c>
      <c r="Q32" s="11">
        <f>Rådata[[#This Row],[Eldre67+]]/Rådata[[#This Row],[B12]]</f>
        <v>0.15244755244755245</v>
      </c>
      <c r="R32" s="11">
        <f>Rådata[[#This Row],[S11]]/Rådata[[#This Row],[S01]]-1</f>
        <v>0.23809523809523814</v>
      </c>
      <c r="S32" s="11">
        <f>Rådata[[#This Row],[Y11]]/Rådata[[#This Row],[Folk20-64]]</f>
        <v>0.92418772563176899</v>
      </c>
    </row>
    <row r="33" spans="1:19" s="10" customFormat="1" ht="12.75">
      <c r="A33" s="10" t="s">
        <v>86</v>
      </c>
      <c r="B33" s="10">
        <v>1333</v>
      </c>
      <c r="C33" s="10">
        <v>1335</v>
      </c>
      <c r="D33" s="10">
        <v>1280.5899999999999</v>
      </c>
      <c r="E33" s="10">
        <v>705</v>
      </c>
      <c r="F33" s="10">
        <v>212</v>
      </c>
      <c r="G33" s="10">
        <v>132</v>
      </c>
      <c r="H33" s="10">
        <v>739</v>
      </c>
      <c r="I33" s="10">
        <v>534</v>
      </c>
      <c r="J33" s="10">
        <v>533</v>
      </c>
      <c r="K33" s="10">
        <v>198.182136974</v>
      </c>
      <c r="L33" s="11">
        <v>11</v>
      </c>
      <c r="M33" s="12">
        <v>302900</v>
      </c>
      <c r="N33" s="11">
        <f>Rådata[[#This Row],[B12]]/Rådata[[#This Row],[Totalareal]]</f>
        <v>1.0424882280823684</v>
      </c>
      <c r="O33" s="11">
        <f>Rådata[[#This Row],[B12]]/Rådata[[#This Row],[B02]]-1</f>
        <v>1.5003750937734317E-3</v>
      </c>
      <c r="P33" s="11">
        <f>Rådata[[#This Row],[Kvinner20-39]]/Rådata[[#This Row],[B12]]</f>
        <v>9.8876404494382023E-2</v>
      </c>
      <c r="Q33" s="11">
        <f>Rådata[[#This Row],[Eldre67+]]/Rådata[[#This Row],[B12]]</f>
        <v>0.15880149812734082</v>
      </c>
      <c r="R33" s="11">
        <f>Rådata[[#This Row],[S11]]/Rådata[[#This Row],[S01]]-1</f>
        <v>-1.8726591760299671E-3</v>
      </c>
      <c r="S33" s="11">
        <f>Rådata[[#This Row],[Y11]]/Rådata[[#This Row],[Folk20-64]]</f>
        <v>0.95399188092016241</v>
      </c>
    </row>
    <row r="34" spans="1:19" s="10" customFormat="1" ht="12.75">
      <c r="A34" s="10" t="s">
        <v>87</v>
      </c>
      <c r="B34" s="10">
        <v>6347</v>
      </c>
      <c r="C34" s="10">
        <v>5987</v>
      </c>
      <c r="D34" s="10">
        <v>4090.31</v>
      </c>
      <c r="E34" s="10">
        <v>3223</v>
      </c>
      <c r="F34" s="10">
        <v>1010</v>
      </c>
      <c r="G34" s="10">
        <v>621</v>
      </c>
      <c r="H34" s="10">
        <v>3389</v>
      </c>
      <c r="I34" s="10">
        <v>2726</v>
      </c>
      <c r="J34" s="10">
        <v>2763</v>
      </c>
      <c r="K34" s="10">
        <v>174.99956912182981</v>
      </c>
      <c r="L34" s="11">
        <v>10</v>
      </c>
      <c r="M34" s="12">
        <v>328098.38241393614</v>
      </c>
      <c r="N34" s="11">
        <f>Rådata[[#This Row],[B12]]/Rådata[[#This Row],[Totalareal]]</f>
        <v>1.4637032400967165</v>
      </c>
      <c r="O34" s="11">
        <f>Rådata[[#This Row],[B12]]/Rådata[[#This Row],[B02]]-1</f>
        <v>-5.6719710099259468E-2</v>
      </c>
      <c r="P34" s="11">
        <f>Rådata[[#This Row],[Kvinner20-39]]/Rådata[[#This Row],[B12]]</f>
        <v>0.10372473693001504</v>
      </c>
      <c r="Q34" s="11">
        <f>Rådata[[#This Row],[Eldre67+]]/Rådata[[#This Row],[B12]]</f>
        <v>0.16869884750292299</v>
      </c>
      <c r="R34" s="11">
        <f>Rådata[[#This Row],[S11]]/Rådata[[#This Row],[S01]]-1</f>
        <v>1.3573000733675622E-2</v>
      </c>
      <c r="S34" s="11">
        <f>Rådata[[#This Row],[Y11]]/Rådata[[#This Row],[Folk20-64]]</f>
        <v>0.95101799940985543</v>
      </c>
    </row>
    <row r="35" spans="1:19" s="10" customFormat="1" ht="12.75">
      <c r="A35" s="10" t="s">
        <v>88</v>
      </c>
      <c r="B35" s="10">
        <v>9513</v>
      </c>
      <c r="C35" s="10">
        <v>9377</v>
      </c>
      <c r="D35" s="10">
        <v>515.15</v>
      </c>
      <c r="E35" s="10">
        <v>4426</v>
      </c>
      <c r="F35" s="10">
        <v>1495</v>
      </c>
      <c r="G35" s="10">
        <v>1023</v>
      </c>
      <c r="H35" s="10">
        <v>5449</v>
      </c>
      <c r="I35" s="10">
        <v>3513</v>
      </c>
      <c r="J35" s="10">
        <v>3533</v>
      </c>
      <c r="K35" s="10">
        <v>167.26580622659816</v>
      </c>
      <c r="L35" s="11">
        <v>5</v>
      </c>
      <c r="M35" s="12">
        <v>302920.45574986754</v>
      </c>
      <c r="N35" s="11">
        <f>Rådata[[#This Row],[B12]]/Rådata[[#This Row],[Totalareal]]</f>
        <v>18.202465301368534</v>
      </c>
      <c r="O35" s="11">
        <f>Rådata[[#This Row],[B12]]/Rådata[[#This Row],[B02]]-1</f>
        <v>-1.4296226216755969E-2</v>
      </c>
      <c r="P35" s="11">
        <f>Rådata[[#This Row],[Kvinner20-39]]/Rådata[[#This Row],[B12]]</f>
        <v>0.10909672603177989</v>
      </c>
      <c r="Q35" s="11">
        <f>Rådata[[#This Row],[Eldre67+]]/Rådata[[#This Row],[B12]]</f>
        <v>0.15943265436706835</v>
      </c>
      <c r="R35" s="11">
        <f>Rådata[[#This Row],[S11]]/Rådata[[#This Row],[S01]]-1</f>
        <v>5.6931397665813677E-3</v>
      </c>
      <c r="S35" s="11">
        <f>Rådata[[#This Row],[Y11]]/Rådata[[#This Row],[Folk20-64]]</f>
        <v>0.81225913011561757</v>
      </c>
    </row>
    <row r="36" spans="1:19" s="10" customFormat="1" ht="12.75">
      <c r="A36" s="10" t="s">
        <v>89</v>
      </c>
      <c r="B36" s="10">
        <v>72132</v>
      </c>
      <c r="C36" s="10">
        <v>79136</v>
      </c>
      <c r="D36" s="10">
        <v>2922.2799999999997</v>
      </c>
      <c r="E36" s="10">
        <v>38289</v>
      </c>
      <c r="F36" s="10">
        <v>10343</v>
      </c>
      <c r="G36" s="10">
        <v>9779</v>
      </c>
      <c r="H36" s="10">
        <v>46427</v>
      </c>
      <c r="I36" s="10">
        <v>32281</v>
      </c>
      <c r="J36" s="10">
        <v>34992</v>
      </c>
      <c r="K36" s="10">
        <v>184.6883108031237</v>
      </c>
      <c r="L36" s="11">
        <v>4</v>
      </c>
      <c r="M36" s="12">
        <v>333520.03550677857</v>
      </c>
      <c r="N36" s="11">
        <f>Rådata[[#This Row],[B12]]/Rådata[[#This Row],[Totalareal]]</f>
        <v>27.080225029771277</v>
      </c>
      <c r="O36" s="11">
        <f>Rådata[[#This Row],[B12]]/Rådata[[#This Row],[B02]]-1</f>
        <v>9.7099761548272712E-2</v>
      </c>
      <c r="P36" s="11">
        <f>Rådata[[#This Row],[Kvinner20-39]]/Rådata[[#This Row],[B12]]</f>
        <v>0.12357207844723009</v>
      </c>
      <c r="Q36" s="11">
        <f>Rådata[[#This Row],[Eldre67+]]/Rådata[[#This Row],[B12]]</f>
        <v>0.13069904973716134</v>
      </c>
      <c r="R36" s="11">
        <f>Rådata[[#This Row],[S11]]/Rådata[[#This Row],[S01]]-1</f>
        <v>8.3981289303305395E-2</v>
      </c>
      <c r="S36" s="11">
        <f>Rådata[[#This Row],[Y11]]/Rådata[[#This Row],[Folk20-64]]</f>
        <v>0.8247140672453529</v>
      </c>
    </row>
    <row r="37" spans="1:19" s="10" customFormat="1" ht="12.75">
      <c r="A37" s="10" t="s">
        <v>90</v>
      </c>
      <c r="B37" s="10">
        <v>4651</v>
      </c>
      <c r="C37" s="10">
        <v>4715</v>
      </c>
      <c r="D37" s="10">
        <v>1861.8700000000001</v>
      </c>
      <c r="E37" s="10">
        <v>2340</v>
      </c>
      <c r="F37" s="10">
        <v>735</v>
      </c>
      <c r="G37" s="10">
        <v>530</v>
      </c>
      <c r="H37" s="10">
        <v>2672</v>
      </c>
      <c r="I37" s="10">
        <v>2050</v>
      </c>
      <c r="J37" s="10">
        <v>2152</v>
      </c>
      <c r="K37" s="10">
        <v>207.66227046235707</v>
      </c>
      <c r="L37" s="11">
        <v>5</v>
      </c>
      <c r="M37" s="12">
        <v>318161.60064672597</v>
      </c>
      <c r="N37" s="11">
        <f>Rådata[[#This Row],[B12]]/Rådata[[#This Row],[Totalareal]]</f>
        <v>2.5324002212829035</v>
      </c>
      <c r="O37" s="11">
        <f>Rådata[[#This Row],[B12]]/Rådata[[#This Row],[B02]]-1</f>
        <v>1.3760481616856612E-2</v>
      </c>
      <c r="P37" s="11">
        <f>Rådata[[#This Row],[Kvinner20-39]]/Rådata[[#This Row],[B12]]</f>
        <v>0.11240721102863202</v>
      </c>
      <c r="Q37" s="11">
        <f>Rådata[[#This Row],[Eldre67+]]/Rådata[[#This Row],[B12]]</f>
        <v>0.15588547189819724</v>
      </c>
      <c r="R37" s="11">
        <f>Rådata[[#This Row],[S11]]/Rådata[[#This Row],[S01]]-1</f>
        <v>4.9756097560975654E-2</v>
      </c>
      <c r="S37" s="11">
        <f>Rådata[[#This Row],[Y11]]/Rådata[[#This Row],[Folk20-64]]</f>
        <v>0.87574850299401197</v>
      </c>
    </row>
    <row r="38" spans="1:19" s="10" customFormat="1" ht="12.75">
      <c r="A38" s="10" t="s">
        <v>91</v>
      </c>
      <c r="B38" s="10">
        <v>2291</v>
      </c>
      <c r="C38" s="10">
        <v>2263</v>
      </c>
      <c r="D38" s="10">
        <v>2732</v>
      </c>
      <c r="E38" s="10">
        <v>1281</v>
      </c>
      <c r="F38" s="10">
        <v>301</v>
      </c>
      <c r="G38" s="10">
        <v>254</v>
      </c>
      <c r="H38" s="10">
        <v>1353</v>
      </c>
      <c r="I38" s="10">
        <v>1035</v>
      </c>
      <c r="J38" s="10">
        <v>1224</v>
      </c>
      <c r="K38" s="10">
        <v>224.70491453895272</v>
      </c>
      <c r="L38" s="11">
        <v>11</v>
      </c>
      <c r="M38" s="12">
        <v>343944.5863409217</v>
      </c>
      <c r="N38" s="11">
        <f>Rådata[[#This Row],[B12]]/Rådata[[#This Row],[Totalareal]]</f>
        <v>0.82833089311859442</v>
      </c>
      <c r="O38" s="11">
        <f>Rådata[[#This Row],[B12]]/Rådata[[#This Row],[B02]]-1</f>
        <v>-1.2221737232649521E-2</v>
      </c>
      <c r="P38" s="11">
        <f>Rådata[[#This Row],[Kvinner20-39]]/Rådata[[#This Row],[B12]]</f>
        <v>0.11224038886433937</v>
      </c>
      <c r="Q38" s="11">
        <f>Rådata[[#This Row],[Eldre67+]]/Rådata[[#This Row],[B12]]</f>
        <v>0.13300927971718957</v>
      </c>
      <c r="R38" s="11">
        <f>Rådata[[#This Row],[S11]]/Rådata[[#This Row],[S01]]-1</f>
        <v>0.18260869565217397</v>
      </c>
      <c r="S38" s="11">
        <f>Rådata[[#This Row],[Y11]]/Rådata[[#This Row],[Folk20-64]]</f>
        <v>0.94678492239467849</v>
      </c>
    </row>
    <row r="39" spans="1:19" s="10" customFormat="1" ht="12.75">
      <c r="A39" s="10" t="s">
        <v>92</v>
      </c>
      <c r="B39" s="10">
        <v>115321</v>
      </c>
      <c r="C39" s="10">
        <v>129850</v>
      </c>
      <c r="D39" s="10">
        <v>2154.25</v>
      </c>
      <c r="E39" s="10">
        <v>65251</v>
      </c>
      <c r="F39" s="10">
        <v>15776</v>
      </c>
      <c r="G39" s="10">
        <v>17459</v>
      </c>
      <c r="H39" s="10">
        <v>76618</v>
      </c>
      <c r="I39" s="10">
        <v>53658</v>
      </c>
      <c r="J39" s="10">
        <v>67527</v>
      </c>
      <c r="K39" s="10">
        <v>162.5423324248957</v>
      </c>
      <c r="L39" s="11">
        <v>2</v>
      </c>
      <c r="M39" s="12">
        <v>347518.25727378455</v>
      </c>
      <c r="N39" s="11">
        <f>Rådata[[#This Row],[B12]]/Rådata[[#This Row],[Totalareal]]</f>
        <v>60.276198212835091</v>
      </c>
      <c r="O39" s="11">
        <f>Rådata[[#This Row],[B12]]/Rådata[[#This Row],[B02]]-1</f>
        <v>0.12598746108687919</v>
      </c>
      <c r="P39" s="11">
        <f>Rådata[[#This Row],[Kvinner20-39]]/Rådata[[#This Row],[B12]]</f>
        <v>0.13445514054678476</v>
      </c>
      <c r="Q39" s="11">
        <f>Rådata[[#This Row],[Eldre67+]]/Rådata[[#This Row],[B12]]</f>
        <v>0.12149403157489411</v>
      </c>
      <c r="R39" s="11">
        <f>Rådata[[#This Row],[S11]]/Rådata[[#This Row],[S01]]-1</f>
        <v>0.25847031197584713</v>
      </c>
      <c r="S39" s="11">
        <f>Rådata[[#This Row],[Y11]]/Rådata[[#This Row],[Folk20-64]]</f>
        <v>0.85164060664595786</v>
      </c>
    </row>
    <row r="40" spans="1:19" s="10" customFormat="1" ht="12.75">
      <c r="A40" s="10" t="s">
        <v>93</v>
      </c>
      <c r="B40" s="10">
        <v>21568</v>
      </c>
      <c r="C40" s="10">
        <v>23877</v>
      </c>
      <c r="D40" s="10">
        <v>1185.3200000000002</v>
      </c>
      <c r="E40" s="10">
        <v>11520</v>
      </c>
      <c r="F40" s="10">
        <v>3202</v>
      </c>
      <c r="G40" s="10">
        <v>2885</v>
      </c>
      <c r="H40" s="10">
        <v>13652</v>
      </c>
      <c r="I40" s="10">
        <v>8067</v>
      </c>
      <c r="J40" s="10">
        <v>9379</v>
      </c>
      <c r="K40" s="10">
        <v>197.69744391274179</v>
      </c>
      <c r="L40" s="11">
        <v>5</v>
      </c>
      <c r="M40" s="12">
        <v>324672.21043468796</v>
      </c>
      <c r="N40" s="11">
        <f>Rådata[[#This Row],[B12]]/Rådata[[#This Row],[Totalareal]]</f>
        <v>20.14392737826072</v>
      </c>
      <c r="O40" s="11">
        <f>Rådata[[#This Row],[B12]]/Rådata[[#This Row],[B02]]-1</f>
        <v>0.10705675074183985</v>
      </c>
      <c r="P40" s="11">
        <f>Rådata[[#This Row],[Kvinner20-39]]/Rådata[[#This Row],[B12]]</f>
        <v>0.12082757465343218</v>
      </c>
      <c r="Q40" s="11">
        <f>Rådata[[#This Row],[Eldre67+]]/Rådata[[#This Row],[B12]]</f>
        <v>0.13410394940737949</v>
      </c>
      <c r="R40" s="11">
        <f>Rådata[[#This Row],[S11]]/Rådata[[#This Row],[S01]]-1</f>
        <v>0.16263790752448237</v>
      </c>
      <c r="S40" s="11">
        <f>Rådata[[#This Row],[Y11]]/Rådata[[#This Row],[Folk20-64]]</f>
        <v>0.84383240550835037</v>
      </c>
    </row>
    <row r="41" spans="1:19" s="10" customFormat="1" ht="12.75">
      <c r="A41" s="10" t="s">
        <v>94</v>
      </c>
      <c r="B41" s="10">
        <v>18291</v>
      </c>
      <c r="C41" s="10">
        <v>18993</v>
      </c>
      <c r="D41" s="10">
        <v>1114.81</v>
      </c>
      <c r="E41" s="10">
        <v>9239</v>
      </c>
      <c r="F41" s="10">
        <v>2675</v>
      </c>
      <c r="G41" s="10">
        <v>2236</v>
      </c>
      <c r="H41" s="10">
        <v>10532</v>
      </c>
      <c r="I41" s="10">
        <v>7478</v>
      </c>
      <c r="J41" s="10">
        <v>8136</v>
      </c>
      <c r="K41" s="10">
        <v>227.14659701281133</v>
      </c>
      <c r="L41" s="11">
        <v>5</v>
      </c>
      <c r="M41" s="12">
        <v>331292.42340601713</v>
      </c>
      <c r="N41" s="11">
        <f>Rådata[[#This Row],[B12]]/Rådata[[#This Row],[Totalareal]]</f>
        <v>17.036983880661278</v>
      </c>
      <c r="O41" s="11">
        <f>Rådata[[#This Row],[B12]]/Rådata[[#This Row],[B02]]-1</f>
        <v>3.8379530916844429E-2</v>
      </c>
      <c r="P41" s="11">
        <f>Rådata[[#This Row],[Kvinner20-39]]/Rådata[[#This Row],[B12]]</f>
        <v>0.11772758384668036</v>
      </c>
      <c r="Q41" s="11">
        <f>Rådata[[#This Row],[Eldre67+]]/Rådata[[#This Row],[B12]]</f>
        <v>0.14084136260727637</v>
      </c>
      <c r="R41" s="11">
        <f>Rådata[[#This Row],[S11]]/Rådata[[#This Row],[S01]]-1</f>
        <v>8.7991441561914963E-2</v>
      </c>
      <c r="S41" s="11">
        <f>Rådata[[#This Row],[Y11]]/Rådata[[#This Row],[Folk20-64]]</f>
        <v>0.87723129510064568</v>
      </c>
    </row>
    <row r="42" spans="1:19" s="10" customFormat="1" ht="12.75">
      <c r="A42" s="10" t="s">
        <v>95</v>
      </c>
      <c r="B42" s="10">
        <v>17499</v>
      </c>
      <c r="C42" s="10">
        <v>18063</v>
      </c>
      <c r="D42" s="10">
        <v>1914.8199999999997</v>
      </c>
      <c r="E42" s="10">
        <v>9084</v>
      </c>
      <c r="F42" s="10">
        <v>2767</v>
      </c>
      <c r="G42" s="10">
        <v>1971</v>
      </c>
      <c r="H42" s="10">
        <v>10173</v>
      </c>
      <c r="I42" s="10">
        <v>7547</v>
      </c>
      <c r="J42" s="10">
        <v>8124</v>
      </c>
      <c r="K42" s="10">
        <v>239.8717532102481</v>
      </c>
      <c r="L42" s="11">
        <v>6</v>
      </c>
      <c r="M42" s="12">
        <v>329154.03818953322</v>
      </c>
      <c r="N42" s="11">
        <f>Rådata[[#This Row],[B12]]/Rådata[[#This Row],[Totalareal]]</f>
        <v>9.43326265654213</v>
      </c>
      <c r="O42" s="11">
        <f>Rådata[[#This Row],[B12]]/Rådata[[#This Row],[B02]]-1</f>
        <v>3.2230413166466576E-2</v>
      </c>
      <c r="P42" s="11">
        <f>Rådata[[#This Row],[Kvinner20-39]]/Rådata[[#This Row],[B12]]</f>
        <v>0.10911808669656203</v>
      </c>
      <c r="Q42" s="11">
        <f>Rådata[[#This Row],[Eldre67+]]/Rådata[[#This Row],[B12]]</f>
        <v>0.15318607097381387</v>
      </c>
      <c r="R42" s="11">
        <f>Rådata[[#This Row],[S11]]/Rådata[[#This Row],[S01]]-1</f>
        <v>7.645422021995496E-2</v>
      </c>
      <c r="S42" s="11">
        <f>Rådata[[#This Row],[Y11]]/Rådata[[#This Row],[Folk20-64]]</f>
        <v>0.89295193158360364</v>
      </c>
    </row>
    <row r="43" spans="1:19" s="10" customFormat="1" ht="12.75">
      <c r="A43" s="10" t="s">
        <v>96</v>
      </c>
      <c r="B43" s="10">
        <v>902</v>
      </c>
      <c r="C43" s="10">
        <v>912</v>
      </c>
      <c r="D43" s="10">
        <v>887.52</v>
      </c>
      <c r="E43" s="10">
        <v>471</v>
      </c>
      <c r="F43" s="10">
        <v>129</v>
      </c>
      <c r="G43" s="10">
        <v>83</v>
      </c>
      <c r="H43" s="10">
        <v>488</v>
      </c>
      <c r="I43" s="10">
        <v>489</v>
      </c>
      <c r="J43" s="10">
        <v>658</v>
      </c>
      <c r="K43" s="10">
        <v>220.3435747648</v>
      </c>
      <c r="L43" s="11">
        <v>5</v>
      </c>
      <c r="M43" s="12">
        <v>336000</v>
      </c>
      <c r="N43" s="11">
        <f>Rådata[[#This Row],[B12]]/Rådata[[#This Row],[Totalareal]]</f>
        <v>1.0275824770146025</v>
      </c>
      <c r="O43" s="11">
        <f>Rådata[[#This Row],[B12]]/Rådata[[#This Row],[B02]]-1</f>
        <v>1.1086474501108556E-2</v>
      </c>
      <c r="P43" s="11">
        <f>Rådata[[#This Row],[Kvinner20-39]]/Rådata[[#This Row],[B12]]</f>
        <v>9.1008771929824567E-2</v>
      </c>
      <c r="Q43" s="11">
        <f>Rådata[[#This Row],[Eldre67+]]/Rådata[[#This Row],[B12]]</f>
        <v>0.14144736842105263</v>
      </c>
      <c r="R43" s="11">
        <f>Rådata[[#This Row],[S11]]/Rådata[[#This Row],[S01]]-1</f>
        <v>0.34560327198364016</v>
      </c>
      <c r="S43" s="11">
        <f>Rådata[[#This Row],[Y11]]/Rådata[[#This Row],[Folk20-64]]</f>
        <v>0.9651639344262295</v>
      </c>
    </row>
    <row r="44" spans="1:19" s="10" customFormat="1" ht="12.75">
      <c r="A44" s="10" t="s">
        <v>97</v>
      </c>
      <c r="B44" s="10">
        <v>1758</v>
      </c>
      <c r="C44" s="10">
        <v>1816</v>
      </c>
      <c r="D44" s="10">
        <v>1554.8300000000002</v>
      </c>
      <c r="E44" s="10">
        <v>1009</v>
      </c>
      <c r="F44" s="10">
        <v>272</v>
      </c>
      <c r="G44" s="10">
        <v>218</v>
      </c>
      <c r="H44" s="10">
        <v>1027</v>
      </c>
      <c r="I44" s="10">
        <v>906</v>
      </c>
      <c r="J44" s="10">
        <v>1045</v>
      </c>
      <c r="K44" s="10">
        <v>237.8116612961</v>
      </c>
      <c r="L44" s="11">
        <v>7</v>
      </c>
      <c r="M44" s="12">
        <v>367200</v>
      </c>
      <c r="N44" s="11">
        <f>Rådata[[#This Row],[B12]]/Rådata[[#This Row],[Totalareal]]</f>
        <v>1.1679733475685443</v>
      </c>
      <c r="O44" s="11">
        <f>Rådata[[#This Row],[B12]]/Rådata[[#This Row],[B02]]-1</f>
        <v>3.2992036405005587E-2</v>
      </c>
      <c r="P44" s="11">
        <f>Rådata[[#This Row],[Kvinner20-39]]/Rådata[[#This Row],[B12]]</f>
        <v>0.12004405286343613</v>
      </c>
      <c r="Q44" s="11">
        <f>Rådata[[#This Row],[Eldre67+]]/Rådata[[#This Row],[B12]]</f>
        <v>0.14977973568281938</v>
      </c>
      <c r="R44" s="11">
        <f>Rådata[[#This Row],[S11]]/Rådata[[#This Row],[S01]]-1</f>
        <v>0.15342163355408389</v>
      </c>
      <c r="S44" s="11">
        <f>Rådata[[#This Row],[Y11]]/Rådata[[#This Row],[Folk20-64]]</f>
        <v>0.98247322297955209</v>
      </c>
    </row>
    <row r="45" spans="1:19" s="10" customFormat="1" ht="12.75">
      <c r="A45" s="10" t="s">
        <v>98</v>
      </c>
      <c r="B45" s="10">
        <v>16633</v>
      </c>
      <c r="C45" s="10">
        <v>17732</v>
      </c>
      <c r="D45" s="10">
        <v>726.49</v>
      </c>
      <c r="E45" s="10">
        <v>9225</v>
      </c>
      <c r="F45" s="10">
        <v>2393</v>
      </c>
      <c r="G45" s="10">
        <v>2044</v>
      </c>
      <c r="H45" s="10">
        <v>10141</v>
      </c>
      <c r="I45" s="10">
        <v>7208</v>
      </c>
      <c r="J45" s="10">
        <v>7806</v>
      </c>
      <c r="K45" s="10">
        <v>214.06868639783585</v>
      </c>
      <c r="L45" s="11">
        <v>5</v>
      </c>
      <c r="M45" s="12">
        <v>354755.08239754994</v>
      </c>
      <c r="N45" s="11">
        <f>Rådata[[#This Row],[B12]]/Rådata[[#This Row],[Totalareal]]</f>
        <v>24.407768861236907</v>
      </c>
      <c r="O45" s="11">
        <f>Rådata[[#This Row],[B12]]/Rådata[[#This Row],[B02]]-1</f>
        <v>6.6073468406180558E-2</v>
      </c>
      <c r="P45" s="11">
        <f>Rådata[[#This Row],[Kvinner20-39]]/Rådata[[#This Row],[B12]]</f>
        <v>0.1152718249492443</v>
      </c>
      <c r="Q45" s="11">
        <f>Rådata[[#This Row],[Eldre67+]]/Rådata[[#This Row],[B12]]</f>
        <v>0.13495375592149786</v>
      </c>
      <c r="R45" s="11">
        <f>Rådata[[#This Row],[S11]]/Rådata[[#This Row],[S01]]-1</f>
        <v>8.2963374028856895E-2</v>
      </c>
      <c r="S45" s="11">
        <f>Rådata[[#This Row],[Y11]]/Rådata[[#This Row],[Folk20-64]]</f>
        <v>0.90967360220885518</v>
      </c>
    </row>
    <row r="46" spans="1:19" s="10" customFormat="1" ht="12.75">
      <c r="A46" s="10" t="s">
        <v>99</v>
      </c>
      <c r="B46" s="10">
        <v>263960</v>
      </c>
      <c r="C46" s="10">
        <v>315323</v>
      </c>
      <c r="D46" s="10">
        <v>3467.2200000000003</v>
      </c>
      <c r="E46" s="10">
        <v>172663</v>
      </c>
      <c r="F46" s="10">
        <v>31731</v>
      </c>
      <c r="G46" s="10">
        <v>44650</v>
      </c>
      <c r="H46" s="10">
        <v>190271</v>
      </c>
      <c r="I46" s="10">
        <v>136605</v>
      </c>
      <c r="J46" s="10">
        <v>176654</v>
      </c>
      <c r="K46" s="10">
        <v>167.67578435493775</v>
      </c>
      <c r="L46" s="11">
        <v>2</v>
      </c>
      <c r="M46" s="12">
        <v>417893.75943194242</v>
      </c>
      <c r="N46" s="11">
        <f>Rådata[[#This Row],[B12]]/Rådata[[#This Row],[Totalareal]]</f>
        <v>90.944041624125376</v>
      </c>
      <c r="O46" s="11">
        <f>Rådata[[#This Row],[B12]]/Rådata[[#This Row],[B02]]-1</f>
        <v>0.19458630095469021</v>
      </c>
      <c r="P46" s="11">
        <f>Rådata[[#This Row],[Kvinner20-39]]/Rådata[[#This Row],[B12]]</f>
        <v>0.14160083469965717</v>
      </c>
      <c r="Q46" s="11">
        <f>Rådata[[#This Row],[Eldre67+]]/Rådata[[#This Row],[B12]]</f>
        <v>0.10063014749954809</v>
      </c>
      <c r="R46" s="11">
        <f>Rådata[[#This Row],[S11]]/Rådata[[#This Row],[S01]]-1</f>
        <v>0.29317374913070537</v>
      </c>
      <c r="S46" s="11">
        <f>Rådata[[#This Row],[Y11]]/Rådata[[#This Row],[Folk20-64]]</f>
        <v>0.90745830946386996</v>
      </c>
    </row>
    <row r="47" spans="1:19" s="10" customFormat="1" ht="12.75">
      <c r="A47" s="10" t="s">
        <v>100</v>
      </c>
      <c r="B47" s="10">
        <v>94450</v>
      </c>
      <c r="C47" s="10">
        <v>104444</v>
      </c>
      <c r="D47" s="10">
        <v>2376.67</v>
      </c>
      <c r="E47" s="10">
        <v>53305</v>
      </c>
      <c r="F47" s="10">
        <v>13151</v>
      </c>
      <c r="G47" s="10">
        <v>13205</v>
      </c>
      <c r="H47" s="10">
        <v>60789</v>
      </c>
      <c r="I47" s="10">
        <v>41256</v>
      </c>
      <c r="J47" s="10">
        <v>49162</v>
      </c>
      <c r="K47" s="10">
        <v>169.00792713503543</v>
      </c>
      <c r="L47" s="11">
        <v>4</v>
      </c>
      <c r="M47" s="12">
        <v>359541.9311906065</v>
      </c>
      <c r="N47" s="11">
        <f>Rådata[[#This Row],[B12]]/Rådata[[#This Row],[Totalareal]]</f>
        <v>43.945520413014847</v>
      </c>
      <c r="O47" s="11">
        <f>Rådata[[#This Row],[B12]]/Rådata[[#This Row],[B02]]-1</f>
        <v>0.10581259925886721</v>
      </c>
      <c r="P47" s="11">
        <f>Rådata[[#This Row],[Kvinner20-39]]/Rådata[[#This Row],[B12]]</f>
        <v>0.12643138906974072</v>
      </c>
      <c r="Q47" s="11">
        <f>Rådata[[#This Row],[Eldre67+]]/Rådata[[#This Row],[B12]]</f>
        <v>0.12591436559304509</v>
      </c>
      <c r="R47" s="11">
        <f>Rådata[[#This Row],[S11]]/Rådata[[#This Row],[S01]]-1</f>
        <v>0.1916327322086484</v>
      </c>
      <c r="S47" s="11">
        <f>Rådata[[#This Row],[Y11]]/Rådata[[#This Row],[Folk20-64]]</f>
        <v>0.87688562075375476</v>
      </c>
    </row>
    <row r="48" spans="1:19" s="10" customFormat="1" ht="12.75">
      <c r="A48" s="10" t="s">
        <v>101</v>
      </c>
      <c r="B48" s="10">
        <v>2708</v>
      </c>
      <c r="C48" s="10">
        <v>2807</v>
      </c>
      <c r="D48" s="10">
        <v>1088.96</v>
      </c>
      <c r="E48" s="10">
        <v>1506</v>
      </c>
      <c r="F48" s="10">
        <v>411</v>
      </c>
      <c r="G48" s="10">
        <v>321</v>
      </c>
      <c r="H48" s="10">
        <v>1563</v>
      </c>
      <c r="I48" s="10">
        <v>1348</v>
      </c>
      <c r="J48" s="10">
        <v>1467</v>
      </c>
      <c r="K48" s="10">
        <v>252.69941515799999</v>
      </c>
      <c r="L48" s="11">
        <v>11</v>
      </c>
      <c r="M48" s="12">
        <v>350700</v>
      </c>
      <c r="N48" s="11">
        <f>Rådata[[#This Row],[B12]]/Rådata[[#This Row],[Totalareal]]</f>
        <v>2.5776888039964736</v>
      </c>
      <c r="O48" s="11">
        <f>Rådata[[#This Row],[B12]]/Rådata[[#This Row],[B02]]-1</f>
        <v>3.6558345642540679E-2</v>
      </c>
      <c r="P48" s="11">
        <f>Rådata[[#This Row],[Kvinner20-39]]/Rådata[[#This Row],[B12]]</f>
        <v>0.11435696473102958</v>
      </c>
      <c r="Q48" s="11">
        <f>Rådata[[#This Row],[Eldre67+]]/Rådata[[#This Row],[B12]]</f>
        <v>0.14641966512290702</v>
      </c>
      <c r="R48" s="11">
        <f>Rådata[[#This Row],[S11]]/Rådata[[#This Row],[S01]]-1</f>
        <v>8.8278931750741751E-2</v>
      </c>
      <c r="S48" s="11">
        <f>Rådata[[#This Row],[Y11]]/Rådata[[#This Row],[Folk20-64]]</f>
        <v>0.96353166986564298</v>
      </c>
    </row>
    <row r="49" spans="1:19" s="10" customFormat="1" ht="12.75">
      <c r="A49" s="10" t="s">
        <v>102</v>
      </c>
      <c r="B49" s="10">
        <v>3984</v>
      </c>
      <c r="C49" s="10">
        <v>3845</v>
      </c>
      <c r="D49" s="10">
        <v>1737.1599999999999</v>
      </c>
      <c r="E49" s="10">
        <v>2043</v>
      </c>
      <c r="F49" s="10">
        <v>625</v>
      </c>
      <c r="G49" s="10">
        <v>406</v>
      </c>
      <c r="H49" s="10">
        <v>2116</v>
      </c>
      <c r="I49" s="10">
        <v>1945</v>
      </c>
      <c r="J49" s="10">
        <v>2140</v>
      </c>
      <c r="K49" s="10">
        <v>239.61046894770001</v>
      </c>
      <c r="L49" s="11">
        <v>10</v>
      </c>
      <c r="M49" s="12">
        <v>335000</v>
      </c>
      <c r="N49" s="11">
        <f>Rådata[[#This Row],[B12]]/Rådata[[#This Row],[Totalareal]]</f>
        <v>2.2133827626701055</v>
      </c>
      <c r="O49" s="11">
        <f>Rådata[[#This Row],[B12]]/Rådata[[#This Row],[B02]]-1</f>
        <v>-3.4889558232931717E-2</v>
      </c>
      <c r="P49" s="11">
        <f>Rådata[[#This Row],[Kvinner20-39]]/Rådata[[#This Row],[B12]]</f>
        <v>0.10559167750325098</v>
      </c>
      <c r="Q49" s="11">
        <f>Rådata[[#This Row],[Eldre67+]]/Rådata[[#This Row],[B12]]</f>
        <v>0.1625487646293888</v>
      </c>
      <c r="R49" s="11">
        <f>Rådata[[#This Row],[S11]]/Rådata[[#This Row],[S01]]-1</f>
        <v>0.10025706940874035</v>
      </c>
      <c r="S49" s="11">
        <f>Rådata[[#This Row],[Y11]]/Rådata[[#This Row],[Folk20-64]]</f>
        <v>0.96550094517958407</v>
      </c>
    </row>
    <row r="50" spans="1:19" s="10" customFormat="1" ht="12.75">
      <c r="A50" s="10" t="s">
        <v>103</v>
      </c>
      <c r="B50" s="10">
        <v>4926</v>
      </c>
      <c r="C50" s="10">
        <v>4754</v>
      </c>
      <c r="D50" s="10">
        <v>546.36</v>
      </c>
      <c r="E50" s="10">
        <v>2418</v>
      </c>
      <c r="F50" s="10">
        <v>858</v>
      </c>
      <c r="G50" s="10">
        <v>528</v>
      </c>
      <c r="H50" s="10">
        <v>2667</v>
      </c>
      <c r="I50" s="10">
        <v>2040</v>
      </c>
      <c r="J50" s="10">
        <v>2131</v>
      </c>
      <c r="K50" s="10">
        <v>251.86443753</v>
      </c>
      <c r="L50" s="11">
        <v>9</v>
      </c>
      <c r="M50" s="12">
        <v>337900</v>
      </c>
      <c r="N50" s="11">
        <f>Rådata[[#This Row],[B12]]/Rådata[[#This Row],[Totalareal]]</f>
        <v>8.7012226370890993</v>
      </c>
      <c r="O50" s="11">
        <f>Rådata[[#This Row],[B12]]/Rådata[[#This Row],[B02]]-1</f>
        <v>-3.491676816889977E-2</v>
      </c>
      <c r="P50" s="11">
        <f>Rådata[[#This Row],[Kvinner20-39]]/Rådata[[#This Row],[B12]]</f>
        <v>0.1110643668489693</v>
      </c>
      <c r="Q50" s="11">
        <f>Rådata[[#This Row],[Eldre67+]]/Rådata[[#This Row],[B12]]</f>
        <v>0.18047959612957509</v>
      </c>
      <c r="R50" s="11">
        <f>Rådata[[#This Row],[S11]]/Rådata[[#This Row],[S01]]-1</f>
        <v>4.4607843137254966E-2</v>
      </c>
      <c r="S50" s="11">
        <f>Rådata[[#This Row],[Y11]]/Rådata[[#This Row],[Folk20-64]]</f>
        <v>0.906636670416198</v>
      </c>
    </row>
    <row r="51" spans="1:19" s="10" customFormat="1" ht="12.75">
      <c r="A51" s="10" t="s">
        <v>104</v>
      </c>
      <c r="B51" s="10">
        <v>233</v>
      </c>
      <c r="C51" s="10">
        <v>218</v>
      </c>
      <c r="D51" s="10">
        <v>6.3</v>
      </c>
      <c r="E51" s="10">
        <v>127</v>
      </c>
      <c r="F51" s="10">
        <v>37</v>
      </c>
      <c r="G51" s="10">
        <v>19</v>
      </c>
      <c r="H51" s="10">
        <v>125</v>
      </c>
      <c r="I51" s="10">
        <v>119</v>
      </c>
      <c r="J51" s="10">
        <v>116</v>
      </c>
      <c r="K51" s="10">
        <v>233</v>
      </c>
      <c r="L51" s="11">
        <v>11</v>
      </c>
      <c r="M51" s="12">
        <v>363700</v>
      </c>
      <c r="N51" s="11">
        <f>Rådata[[#This Row],[B12]]/Rådata[[#This Row],[Totalareal]]</f>
        <v>34.603174603174601</v>
      </c>
      <c r="O51" s="11">
        <f>Rådata[[#This Row],[B12]]/Rådata[[#This Row],[B02]]-1</f>
        <v>-6.4377682403433445E-2</v>
      </c>
      <c r="P51" s="11">
        <f>Rådata[[#This Row],[Kvinner20-39]]/Rådata[[#This Row],[B12]]</f>
        <v>8.7155963302752298E-2</v>
      </c>
      <c r="Q51" s="11">
        <f>Rådata[[#This Row],[Eldre67+]]/Rådata[[#This Row],[B12]]</f>
        <v>0.16972477064220184</v>
      </c>
      <c r="R51" s="11">
        <f>Rådata[[#This Row],[S11]]/Rådata[[#This Row],[S01]]-1</f>
        <v>-2.5210084033613467E-2</v>
      </c>
      <c r="S51" s="11">
        <f>Rådata[[#This Row],[Y11]]/Rådata[[#This Row],[Folk20-64]]</f>
        <v>1.016</v>
      </c>
    </row>
    <row r="52" spans="1:19" s="10" customFormat="1" ht="12.75">
      <c r="A52" s="10" t="s">
        <v>105</v>
      </c>
      <c r="B52" s="10">
        <v>338611</v>
      </c>
      <c r="C52" s="10">
        <v>388565</v>
      </c>
      <c r="D52" s="10">
        <v>3376.65</v>
      </c>
      <c r="E52" s="10">
        <v>204067</v>
      </c>
      <c r="F52" s="10">
        <v>46645</v>
      </c>
      <c r="G52" s="10">
        <v>54861</v>
      </c>
      <c r="H52" s="10">
        <v>234504</v>
      </c>
      <c r="I52" s="10">
        <v>168989</v>
      </c>
      <c r="J52" s="10">
        <v>203908</v>
      </c>
      <c r="K52" s="10">
        <v>171.36902233269481</v>
      </c>
      <c r="L52" s="11">
        <v>1</v>
      </c>
      <c r="M52" s="12">
        <v>369699.16066121357</v>
      </c>
      <c r="N52" s="11">
        <f>Rådata[[#This Row],[B12]]/Rådata[[#This Row],[Totalareal]]</f>
        <v>115.07411191565605</v>
      </c>
      <c r="O52" s="11">
        <f>Rådata[[#This Row],[B12]]/Rådata[[#This Row],[B02]]-1</f>
        <v>0.14752621739990723</v>
      </c>
      <c r="P52" s="11">
        <f>Rådata[[#This Row],[Kvinner20-39]]/Rådata[[#This Row],[B12]]</f>
        <v>0.14118873290183109</v>
      </c>
      <c r="Q52" s="11">
        <f>Rådata[[#This Row],[Eldre67+]]/Rådata[[#This Row],[B12]]</f>
        <v>0.12004426543821498</v>
      </c>
      <c r="R52" s="11">
        <f>Rådata[[#This Row],[S11]]/Rådata[[#This Row],[S01]]-1</f>
        <v>0.20663475137434983</v>
      </c>
      <c r="S52" s="11">
        <f>Rådata[[#This Row],[Y11]]/Rådata[[#This Row],[Folk20-64]]</f>
        <v>0.87020690478627227</v>
      </c>
    </row>
    <row r="53" spans="1:19" s="10" customFormat="1" ht="12.75">
      <c r="A53" s="10" t="s">
        <v>106</v>
      </c>
      <c r="B53" s="10">
        <v>32875</v>
      </c>
      <c r="C53" s="10">
        <v>35170</v>
      </c>
      <c r="D53" s="10">
        <v>787.47</v>
      </c>
      <c r="E53" s="10">
        <v>17912</v>
      </c>
      <c r="F53" s="10">
        <v>4426</v>
      </c>
      <c r="G53" s="10">
        <v>4225</v>
      </c>
      <c r="H53" s="10">
        <v>19924</v>
      </c>
      <c r="I53" s="10">
        <v>14897</v>
      </c>
      <c r="J53" s="10">
        <v>16405</v>
      </c>
      <c r="K53" s="10">
        <v>176.62100621121698</v>
      </c>
      <c r="L53" s="11">
        <v>6</v>
      </c>
      <c r="M53" s="12">
        <v>358877.89528756682</v>
      </c>
      <c r="N53" s="11">
        <f>Rådata[[#This Row],[B12]]/Rådata[[#This Row],[Totalareal]]</f>
        <v>44.662018870560146</v>
      </c>
      <c r="O53" s="11">
        <f>Rådata[[#This Row],[B12]]/Rådata[[#This Row],[B02]]-1</f>
        <v>6.9809885931559013E-2</v>
      </c>
      <c r="P53" s="11">
        <f>Rådata[[#This Row],[Kvinner20-39]]/Rådata[[#This Row],[B12]]</f>
        <v>0.12013079328973557</v>
      </c>
      <c r="Q53" s="11">
        <f>Rådata[[#This Row],[Eldre67+]]/Rådata[[#This Row],[B12]]</f>
        <v>0.12584589138470287</v>
      </c>
      <c r="R53" s="11">
        <f>Rådata[[#This Row],[S11]]/Rådata[[#This Row],[S01]]-1</f>
        <v>0.10122843525542047</v>
      </c>
      <c r="S53" s="11">
        <f>Rådata[[#This Row],[Y11]]/Rådata[[#This Row],[Folk20-64]]</f>
        <v>0.8990162617948203</v>
      </c>
    </row>
    <row r="54" spans="1:19" s="10" customFormat="1" ht="12.75">
      <c r="A54" s="10" t="s">
        <v>107</v>
      </c>
      <c r="B54" s="10">
        <v>9628</v>
      </c>
      <c r="C54" s="10">
        <v>9572</v>
      </c>
      <c r="D54" s="10">
        <v>826.52</v>
      </c>
      <c r="E54" s="10">
        <v>4872</v>
      </c>
      <c r="F54" s="10">
        <v>1662</v>
      </c>
      <c r="G54" s="10">
        <v>1005</v>
      </c>
      <c r="H54" s="10">
        <v>5266</v>
      </c>
      <c r="I54" s="10">
        <v>4370</v>
      </c>
      <c r="J54" s="10">
        <v>4332</v>
      </c>
      <c r="K54" s="10">
        <v>218.93005854618286</v>
      </c>
      <c r="L54" s="11">
        <v>5</v>
      </c>
      <c r="M54" s="12">
        <v>327975.1769331586</v>
      </c>
      <c r="N54" s="11">
        <f>Rådata[[#This Row],[B12]]/Rådata[[#This Row],[Totalareal]]</f>
        <v>11.581086967042539</v>
      </c>
      <c r="O54" s="11">
        <f>Rådata[[#This Row],[B12]]/Rådata[[#This Row],[B02]]-1</f>
        <v>-5.8163689239717487E-3</v>
      </c>
      <c r="P54" s="11">
        <f>Rådata[[#This Row],[Kvinner20-39]]/Rådata[[#This Row],[B12]]</f>
        <v>0.10499373171750941</v>
      </c>
      <c r="Q54" s="11">
        <f>Rådata[[#This Row],[Eldre67+]]/Rådata[[#This Row],[B12]]</f>
        <v>0.17363142498955286</v>
      </c>
      <c r="R54" s="11">
        <f>Rådata[[#This Row],[S11]]/Rådata[[#This Row],[S01]]-1</f>
        <v>-8.6956521739129933E-3</v>
      </c>
      <c r="S54" s="11">
        <f>Rådata[[#This Row],[Y11]]/Rådata[[#This Row],[Folk20-64]]</f>
        <v>0.92518040258260537</v>
      </c>
    </row>
    <row r="55" spans="1:19" s="10" customFormat="1" ht="12.75">
      <c r="A55" s="10" t="s">
        <v>108</v>
      </c>
      <c r="B55" s="10">
        <v>13140</v>
      </c>
      <c r="C55" s="10">
        <v>13318</v>
      </c>
      <c r="D55" s="10">
        <v>1128.02</v>
      </c>
      <c r="E55" s="10">
        <v>6602</v>
      </c>
      <c r="F55" s="10">
        <v>2095</v>
      </c>
      <c r="G55" s="10">
        <v>1438</v>
      </c>
      <c r="H55" s="10">
        <v>7354</v>
      </c>
      <c r="I55" s="10">
        <v>5657</v>
      </c>
      <c r="J55" s="10">
        <v>6028</v>
      </c>
      <c r="K55" s="10">
        <v>267.881399837</v>
      </c>
      <c r="L55" s="11">
        <v>8</v>
      </c>
      <c r="M55" s="12">
        <v>335600</v>
      </c>
      <c r="N55" s="11">
        <f>Rådata[[#This Row],[B12]]/Rådata[[#This Row],[Totalareal]]</f>
        <v>11.806528253045158</v>
      </c>
      <c r="O55" s="11">
        <f>Rådata[[#This Row],[B12]]/Rådata[[#This Row],[B02]]-1</f>
        <v>1.3546423135464281E-2</v>
      </c>
      <c r="P55" s="11">
        <f>Rådata[[#This Row],[Kvinner20-39]]/Rådata[[#This Row],[B12]]</f>
        <v>0.10797417029584022</v>
      </c>
      <c r="Q55" s="11">
        <f>Rådata[[#This Row],[Eldre67+]]/Rådata[[#This Row],[B12]]</f>
        <v>0.15730590178705511</v>
      </c>
      <c r="R55" s="11">
        <f>Rådata[[#This Row],[S11]]/Rådata[[#This Row],[S01]]-1</f>
        <v>6.5582464203641555E-2</v>
      </c>
      <c r="S55" s="11">
        <f>Rådata[[#This Row],[Y11]]/Rådata[[#This Row],[Folk20-64]]</f>
        <v>0.89774272504759312</v>
      </c>
    </row>
    <row r="56" spans="1:19" s="10" customFormat="1" ht="12.75">
      <c r="A56" s="10" t="s">
        <v>109</v>
      </c>
      <c r="B56" s="10">
        <v>12094</v>
      </c>
      <c r="C56" s="10">
        <v>11320</v>
      </c>
      <c r="D56" s="10">
        <v>4506.3599999999997</v>
      </c>
      <c r="E56" s="10">
        <v>5789</v>
      </c>
      <c r="F56" s="10">
        <v>2151</v>
      </c>
      <c r="G56" s="10">
        <v>1172</v>
      </c>
      <c r="H56" s="10">
        <v>6277</v>
      </c>
      <c r="I56" s="10">
        <v>5535</v>
      </c>
      <c r="J56" s="10">
        <v>5512</v>
      </c>
      <c r="K56" s="10">
        <v>273.05154038970255</v>
      </c>
      <c r="L56" s="11">
        <v>7</v>
      </c>
      <c r="M56" s="12">
        <v>329069.89540204837</v>
      </c>
      <c r="N56" s="11">
        <f>Rådata[[#This Row],[B12]]/Rådata[[#This Row],[Totalareal]]</f>
        <v>2.512005254795445</v>
      </c>
      <c r="O56" s="11">
        <f>Rådata[[#This Row],[B12]]/Rådata[[#This Row],[B02]]-1</f>
        <v>-6.3998677029932227E-2</v>
      </c>
      <c r="P56" s="11">
        <f>Rådata[[#This Row],[Kvinner20-39]]/Rådata[[#This Row],[B12]]</f>
        <v>0.10353356890459364</v>
      </c>
      <c r="Q56" s="11">
        <f>Rådata[[#This Row],[Eldre67+]]/Rådata[[#This Row],[B12]]</f>
        <v>0.19001766784452298</v>
      </c>
      <c r="R56" s="11">
        <f>Rådata[[#This Row],[S11]]/Rådata[[#This Row],[S01]]-1</f>
        <v>-4.155374887082175E-3</v>
      </c>
      <c r="S56" s="11">
        <f>Rådata[[#This Row],[Y11]]/Rådata[[#This Row],[Folk20-64]]</f>
        <v>0.92225585470766291</v>
      </c>
    </row>
    <row r="57" spans="1:19" s="10" customFormat="1" ht="12.75">
      <c r="A57" s="10" t="s">
        <v>110</v>
      </c>
      <c r="B57" s="10">
        <v>16003</v>
      </c>
      <c r="C57" s="10">
        <v>16013</v>
      </c>
      <c r="D57" s="10">
        <v>2739.13</v>
      </c>
      <c r="E57" s="10">
        <v>8342</v>
      </c>
      <c r="F57" s="10">
        <v>2798</v>
      </c>
      <c r="G57" s="10">
        <v>1765</v>
      </c>
      <c r="H57" s="10">
        <v>8837</v>
      </c>
      <c r="I57" s="10">
        <v>7196</v>
      </c>
      <c r="J57" s="10">
        <v>7634</v>
      </c>
      <c r="K57" s="10">
        <v>242.0528983915446</v>
      </c>
      <c r="L57" s="11">
        <v>6</v>
      </c>
      <c r="M57" s="12">
        <v>320727.46838425891</v>
      </c>
      <c r="N57" s="11">
        <f>Rådata[[#This Row],[B12]]/Rådata[[#This Row],[Totalareal]]</f>
        <v>5.8460168009550477</v>
      </c>
      <c r="O57" s="11">
        <f>Rådata[[#This Row],[B12]]/Rådata[[#This Row],[B02]]-1</f>
        <v>6.248828344685986E-4</v>
      </c>
      <c r="P57" s="11">
        <f>Rådata[[#This Row],[Kvinner20-39]]/Rådata[[#This Row],[B12]]</f>
        <v>0.11022294385811528</v>
      </c>
      <c r="Q57" s="11">
        <f>Rådata[[#This Row],[Eldre67+]]/Rådata[[#This Row],[B12]]</f>
        <v>0.17473302941360144</v>
      </c>
      <c r="R57" s="11">
        <f>Rådata[[#This Row],[S11]]/Rådata[[#This Row],[S01]]-1</f>
        <v>6.0867148415786554E-2</v>
      </c>
      <c r="S57" s="11">
        <f>Rådata[[#This Row],[Y11]]/Rådata[[#This Row],[Folk20-64]]</f>
        <v>0.94398551544641851</v>
      </c>
    </row>
    <row r="58" spans="1:19" s="10" customFormat="1" ht="12.75">
      <c r="A58" s="10" t="s">
        <v>111</v>
      </c>
      <c r="B58" s="10">
        <v>4460</v>
      </c>
      <c r="C58" s="10">
        <v>4792</v>
      </c>
      <c r="D58" s="10">
        <v>117.22</v>
      </c>
      <c r="E58" s="10">
        <v>2606</v>
      </c>
      <c r="F58" s="10">
        <v>602</v>
      </c>
      <c r="G58" s="10">
        <v>610</v>
      </c>
      <c r="H58" s="10">
        <v>2739</v>
      </c>
      <c r="I58" s="10">
        <v>2271</v>
      </c>
      <c r="J58" s="10">
        <v>2696</v>
      </c>
      <c r="K58" s="10">
        <v>216.4344654484</v>
      </c>
      <c r="L58" s="11">
        <v>5</v>
      </c>
      <c r="M58" s="12">
        <v>439700</v>
      </c>
      <c r="N58" s="11">
        <f>Rådata[[#This Row],[B12]]/Rådata[[#This Row],[Totalareal]]</f>
        <v>40.880395836887907</v>
      </c>
      <c r="O58" s="11">
        <f>Rådata[[#This Row],[B12]]/Rådata[[#This Row],[B02]]-1</f>
        <v>7.4439461883408109E-2</v>
      </c>
      <c r="P58" s="11">
        <f>Rådata[[#This Row],[Kvinner20-39]]/Rådata[[#This Row],[B12]]</f>
        <v>0.12729549248747912</v>
      </c>
      <c r="Q58" s="11">
        <f>Rådata[[#This Row],[Eldre67+]]/Rådata[[#This Row],[B12]]</f>
        <v>0.12562604340567612</v>
      </c>
      <c r="R58" s="11">
        <f>Rådata[[#This Row],[S11]]/Rådata[[#This Row],[S01]]-1</f>
        <v>0.18714222809335102</v>
      </c>
      <c r="S58" s="11">
        <f>Rådata[[#This Row],[Y11]]/Rådata[[#This Row],[Folk20-64]]</f>
        <v>0.95144213216502371</v>
      </c>
    </row>
    <row r="59" spans="1:19" s="10" customFormat="1" ht="12.75">
      <c r="A59" s="10" t="s">
        <v>112</v>
      </c>
      <c r="B59" s="10">
        <v>345</v>
      </c>
      <c r="C59" s="10">
        <v>370</v>
      </c>
      <c r="D59" s="10">
        <v>412.15000000000003</v>
      </c>
      <c r="E59" s="10">
        <v>175</v>
      </c>
      <c r="F59" s="10">
        <v>53</v>
      </c>
      <c r="G59" s="10">
        <v>42</v>
      </c>
      <c r="H59" s="10">
        <v>199</v>
      </c>
      <c r="I59" s="10">
        <v>210</v>
      </c>
      <c r="J59" s="10">
        <v>221</v>
      </c>
      <c r="K59" s="10">
        <v>230.6496714914</v>
      </c>
      <c r="L59" s="11">
        <v>5</v>
      </c>
      <c r="M59" s="12">
        <v>321900</v>
      </c>
      <c r="N59" s="11">
        <f>Rådata[[#This Row],[B12]]/Rådata[[#This Row],[Totalareal]]</f>
        <v>0.89773140846779076</v>
      </c>
      <c r="O59" s="11">
        <f>Rådata[[#This Row],[B12]]/Rådata[[#This Row],[B02]]-1</f>
        <v>7.2463768115942129E-2</v>
      </c>
      <c r="P59" s="11">
        <f>Rådata[[#This Row],[Kvinner20-39]]/Rådata[[#This Row],[B12]]</f>
        <v>0.11351351351351352</v>
      </c>
      <c r="Q59" s="11">
        <f>Rådata[[#This Row],[Eldre67+]]/Rådata[[#This Row],[B12]]</f>
        <v>0.14324324324324325</v>
      </c>
      <c r="R59" s="11">
        <f>Rådata[[#This Row],[S11]]/Rådata[[#This Row],[S01]]-1</f>
        <v>5.2380952380952417E-2</v>
      </c>
      <c r="S59" s="11">
        <f>Rådata[[#This Row],[Y11]]/Rådata[[#This Row],[Folk20-64]]</f>
        <v>0.87939698492462315</v>
      </c>
    </row>
    <row r="60" spans="1:19" s="10" customFormat="1" ht="12.75">
      <c r="A60" s="10" t="s">
        <v>113</v>
      </c>
      <c r="B60" s="10">
        <v>685</v>
      </c>
      <c r="C60" s="10">
        <v>576</v>
      </c>
      <c r="D60" s="10">
        <v>9.26</v>
      </c>
      <c r="E60" s="10">
        <v>273</v>
      </c>
      <c r="F60" s="10">
        <v>127</v>
      </c>
      <c r="G60" s="10">
        <v>52</v>
      </c>
      <c r="H60" s="10">
        <v>302</v>
      </c>
      <c r="I60" s="10">
        <v>295</v>
      </c>
      <c r="J60" s="10">
        <v>267</v>
      </c>
      <c r="K60" s="10">
        <v>258.81720152700001</v>
      </c>
      <c r="L60" s="11">
        <v>11</v>
      </c>
      <c r="M60" s="12">
        <v>354400</v>
      </c>
      <c r="N60" s="11">
        <f>Rådata[[#This Row],[B12]]/Rådata[[#This Row],[Totalareal]]</f>
        <v>62.203023758099356</v>
      </c>
      <c r="O60" s="11">
        <f>Rådata[[#This Row],[B12]]/Rådata[[#This Row],[B02]]-1</f>
        <v>-0.15912408759124086</v>
      </c>
      <c r="P60" s="11">
        <f>Rådata[[#This Row],[Kvinner20-39]]/Rådata[[#This Row],[B12]]</f>
        <v>9.0277777777777776E-2</v>
      </c>
      <c r="Q60" s="11">
        <f>Rådata[[#This Row],[Eldre67+]]/Rådata[[#This Row],[B12]]</f>
        <v>0.2204861111111111</v>
      </c>
      <c r="R60" s="11">
        <f>Rådata[[#This Row],[S11]]/Rådata[[#This Row],[S01]]-1</f>
        <v>-9.4915254237288083E-2</v>
      </c>
      <c r="S60" s="11">
        <f>Rådata[[#This Row],[Y11]]/Rådata[[#This Row],[Folk20-64]]</f>
        <v>0.90397350993377479</v>
      </c>
    </row>
    <row r="61" spans="1:19" s="10" customFormat="1" ht="12.75">
      <c r="A61" s="10" t="s">
        <v>114</v>
      </c>
      <c r="B61" s="10">
        <v>4236</v>
      </c>
      <c r="C61" s="10">
        <v>3993</v>
      </c>
      <c r="D61" s="10">
        <v>1153.71</v>
      </c>
      <c r="E61" s="10">
        <v>2104</v>
      </c>
      <c r="F61" s="10">
        <v>738</v>
      </c>
      <c r="G61" s="10">
        <v>402</v>
      </c>
      <c r="H61" s="10">
        <v>2174</v>
      </c>
      <c r="I61" s="10">
        <v>1730</v>
      </c>
      <c r="J61" s="10">
        <v>1806</v>
      </c>
      <c r="K61" s="10">
        <v>247.08731750069336</v>
      </c>
      <c r="L61" s="11">
        <v>11</v>
      </c>
      <c r="M61" s="12">
        <v>335746.65409990575</v>
      </c>
      <c r="N61" s="11">
        <f>Rådata[[#This Row],[B12]]/Rådata[[#This Row],[Totalareal]]</f>
        <v>3.4610083989910807</v>
      </c>
      <c r="O61" s="11">
        <f>Rådata[[#This Row],[B12]]/Rådata[[#This Row],[B02]]-1</f>
        <v>-5.736543909348446E-2</v>
      </c>
      <c r="P61" s="11">
        <f>Rådata[[#This Row],[Kvinner20-39]]/Rådata[[#This Row],[B12]]</f>
        <v>0.10067618332081142</v>
      </c>
      <c r="Q61" s="11">
        <f>Rådata[[#This Row],[Eldre67+]]/Rådata[[#This Row],[B12]]</f>
        <v>0.18482344102178813</v>
      </c>
      <c r="R61" s="11">
        <f>Rådata[[#This Row],[S11]]/Rådata[[#This Row],[S01]]-1</f>
        <v>4.3930635838150378E-2</v>
      </c>
      <c r="S61" s="11">
        <f>Rådata[[#This Row],[Y11]]/Rådata[[#This Row],[Folk20-64]]</f>
        <v>0.96780128794848208</v>
      </c>
    </row>
    <row r="62" spans="1:19" s="10" customFormat="1" ht="12.75">
      <c r="A62" s="10" t="s">
        <v>115</v>
      </c>
      <c r="B62" s="10">
        <v>11323</v>
      </c>
      <c r="C62" s="10">
        <v>11654</v>
      </c>
      <c r="D62" s="10">
        <v>692.1</v>
      </c>
      <c r="E62" s="10">
        <v>6068</v>
      </c>
      <c r="F62" s="10">
        <v>1398</v>
      </c>
      <c r="G62" s="10">
        <v>1373</v>
      </c>
      <c r="H62" s="10">
        <v>6740</v>
      </c>
      <c r="I62" s="10">
        <v>5383</v>
      </c>
      <c r="J62" s="10">
        <v>5789</v>
      </c>
      <c r="K62" s="10">
        <v>167.71914329310999</v>
      </c>
      <c r="L62" s="11">
        <v>7</v>
      </c>
      <c r="M62" s="12">
        <v>347100</v>
      </c>
      <c r="N62" s="11">
        <f>Rådata[[#This Row],[B12]]/Rådata[[#This Row],[Totalareal]]</f>
        <v>16.838607137696865</v>
      </c>
      <c r="O62" s="11">
        <f>Rådata[[#This Row],[B12]]/Rådata[[#This Row],[B02]]-1</f>
        <v>2.9232535547116578E-2</v>
      </c>
      <c r="P62" s="11">
        <f>Rådata[[#This Row],[Kvinner20-39]]/Rådata[[#This Row],[B12]]</f>
        <v>0.11781362622275614</v>
      </c>
      <c r="Q62" s="11">
        <f>Rådata[[#This Row],[Eldre67+]]/Rådata[[#This Row],[B12]]</f>
        <v>0.11995881242491849</v>
      </c>
      <c r="R62" s="11">
        <f>Rådata[[#This Row],[S11]]/Rådata[[#This Row],[S01]]-1</f>
        <v>7.5422626788036462E-2</v>
      </c>
      <c r="S62" s="11">
        <f>Rådata[[#This Row],[Y11]]/Rådata[[#This Row],[Folk20-64]]</f>
        <v>0.90029673590504455</v>
      </c>
    </row>
    <row r="63" spans="1:19" s="10" customFormat="1" ht="12.75">
      <c r="A63" s="10" t="s">
        <v>116</v>
      </c>
      <c r="B63" s="10">
        <v>921</v>
      </c>
      <c r="C63" s="10">
        <v>851</v>
      </c>
      <c r="D63" s="10">
        <v>228.45</v>
      </c>
      <c r="E63" s="10">
        <v>456</v>
      </c>
      <c r="F63" s="10">
        <v>166</v>
      </c>
      <c r="G63" s="10">
        <v>62</v>
      </c>
      <c r="H63" s="10">
        <v>469</v>
      </c>
      <c r="I63" s="10">
        <v>439</v>
      </c>
      <c r="J63" s="10">
        <v>413</v>
      </c>
      <c r="K63" s="10">
        <v>311.54441855300001</v>
      </c>
      <c r="L63" s="11">
        <v>11</v>
      </c>
      <c r="M63" s="12">
        <v>319500</v>
      </c>
      <c r="N63" s="11">
        <f>Rådata[[#This Row],[B12]]/Rådata[[#This Row],[Totalareal]]</f>
        <v>3.7251039614795363</v>
      </c>
      <c r="O63" s="11">
        <f>Rådata[[#This Row],[B12]]/Rådata[[#This Row],[B02]]-1</f>
        <v>-7.6004343105320338E-2</v>
      </c>
      <c r="P63" s="11">
        <f>Rådata[[#This Row],[Kvinner20-39]]/Rådata[[#This Row],[B12]]</f>
        <v>7.2855464159811992E-2</v>
      </c>
      <c r="Q63" s="11">
        <f>Rådata[[#This Row],[Eldre67+]]/Rådata[[#This Row],[B12]]</f>
        <v>0.19506462984723855</v>
      </c>
      <c r="R63" s="11">
        <f>Rådata[[#This Row],[S11]]/Rådata[[#This Row],[S01]]-1</f>
        <v>-5.9225512528473856E-2</v>
      </c>
      <c r="S63" s="11">
        <f>Rådata[[#This Row],[Y11]]/Rådata[[#This Row],[Folk20-64]]</f>
        <v>0.97228144989339016</v>
      </c>
    </row>
    <row r="64" spans="1:19" s="10" customFormat="1" ht="12.75">
      <c r="A64" s="10" t="s">
        <v>117</v>
      </c>
      <c r="B64" s="10">
        <v>6138</v>
      </c>
      <c r="C64" s="10">
        <v>5554</v>
      </c>
      <c r="D64" s="10">
        <v>1337.76</v>
      </c>
      <c r="E64" s="10">
        <v>2785</v>
      </c>
      <c r="F64" s="10">
        <v>941</v>
      </c>
      <c r="G64" s="10">
        <v>566</v>
      </c>
      <c r="H64" s="10">
        <v>3090</v>
      </c>
      <c r="I64" s="10">
        <v>2951</v>
      </c>
      <c r="J64" s="10">
        <v>2352</v>
      </c>
      <c r="K64" s="10">
        <v>202.16038943850242</v>
      </c>
      <c r="L64" s="11">
        <v>9</v>
      </c>
      <c r="M64" s="12">
        <v>324775.12528473802</v>
      </c>
      <c r="N64" s="11">
        <f>Rådata[[#This Row],[B12]]/Rådata[[#This Row],[Totalareal]]</f>
        <v>4.1517163018777659</v>
      </c>
      <c r="O64" s="11">
        <f>Rådata[[#This Row],[B12]]/Rådata[[#This Row],[B02]]-1</f>
        <v>-9.5144998370804812E-2</v>
      </c>
      <c r="P64" s="11">
        <f>Rådata[[#This Row],[Kvinner20-39]]/Rådata[[#This Row],[B12]]</f>
        <v>0.1019085343896291</v>
      </c>
      <c r="Q64" s="11">
        <f>Rådata[[#This Row],[Eldre67+]]/Rådata[[#This Row],[B12]]</f>
        <v>0.16942743968311128</v>
      </c>
      <c r="R64" s="11">
        <f>Rådata[[#This Row],[S11]]/Rådata[[#This Row],[S01]]-1</f>
        <v>-0.20298203998644526</v>
      </c>
      <c r="S64" s="11">
        <f>Rådata[[#This Row],[Y11]]/Rådata[[#This Row],[Folk20-64]]</f>
        <v>0.90129449838187703</v>
      </c>
    </row>
    <row r="65" spans="1:19" s="10" customFormat="1" ht="12.75">
      <c r="A65" s="10" t="s">
        <v>118</v>
      </c>
      <c r="B65" s="10">
        <v>2915</v>
      </c>
      <c r="C65" s="10">
        <v>2748</v>
      </c>
      <c r="D65" s="10">
        <v>833.28000000000009</v>
      </c>
      <c r="E65" s="10">
        <v>1397</v>
      </c>
      <c r="F65" s="10">
        <v>577</v>
      </c>
      <c r="G65" s="10">
        <v>271</v>
      </c>
      <c r="H65" s="10">
        <v>1460</v>
      </c>
      <c r="I65" s="10">
        <v>1250</v>
      </c>
      <c r="J65" s="10">
        <v>1260</v>
      </c>
      <c r="K65" s="10">
        <v>220.90599999999998</v>
      </c>
      <c r="L65" s="11">
        <v>11</v>
      </c>
      <c r="M65" s="12">
        <v>317500</v>
      </c>
      <c r="N65" s="11">
        <f>Rådata[[#This Row],[B12]]/Rådata[[#This Row],[Totalareal]]</f>
        <v>3.2978110599078336</v>
      </c>
      <c r="O65" s="11">
        <f>Rådata[[#This Row],[B12]]/Rådata[[#This Row],[B02]]-1</f>
        <v>-5.7289879931389343E-2</v>
      </c>
      <c r="P65" s="11">
        <f>Rådata[[#This Row],[Kvinner20-39]]/Rådata[[#This Row],[B12]]</f>
        <v>9.8617176128093162E-2</v>
      </c>
      <c r="Q65" s="11">
        <f>Rådata[[#This Row],[Eldre67+]]/Rådata[[#This Row],[B12]]</f>
        <v>0.20997088791848617</v>
      </c>
      <c r="R65" s="11">
        <f>Rådata[[#This Row],[S11]]/Rådata[[#This Row],[S01]]-1</f>
        <v>8.0000000000000071E-3</v>
      </c>
      <c r="S65" s="11">
        <f>Rådata[[#This Row],[Y11]]/Rådata[[#This Row],[Folk20-64]]</f>
        <v>0.95684931506849313</v>
      </c>
    </row>
    <row r="66" spans="1:19" s="10" customFormat="1" ht="12.75">
      <c r="A66" s="10" t="s">
        <v>119</v>
      </c>
      <c r="B66" s="10">
        <v>13771</v>
      </c>
      <c r="C66" s="10">
        <v>14610</v>
      </c>
      <c r="D66" s="10">
        <v>3632.37</v>
      </c>
      <c r="E66" s="10">
        <v>7889</v>
      </c>
      <c r="F66" s="10">
        <v>2146</v>
      </c>
      <c r="G66" s="10">
        <v>1767</v>
      </c>
      <c r="H66" s="10">
        <v>8324</v>
      </c>
      <c r="I66" s="10">
        <v>7309</v>
      </c>
      <c r="J66" s="10">
        <v>7773</v>
      </c>
      <c r="K66" s="10">
        <v>173.60517666935331</v>
      </c>
      <c r="L66" s="11">
        <v>8</v>
      </c>
      <c r="M66" s="12">
        <v>329466.3250109505</v>
      </c>
      <c r="N66" s="11">
        <f>Rådata[[#This Row],[B12]]/Rådata[[#This Row],[Totalareal]]</f>
        <v>4.0221673452869613</v>
      </c>
      <c r="O66" s="11">
        <f>Rådata[[#This Row],[B12]]/Rådata[[#This Row],[B02]]-1</f>
        <v>6.0925132524871195E-2</v>
      </c>
      <c r="P66" s="11">
        <f>Rådata[[#This Row],[Kvinner20-39]]/Rådata[[#This Row],[B12]]</f>
        <v>0.12094455852156058</v>
      </c>
      <c r="Q66" s="11">
        <f>Rådata[[#This Row],[Eldre67+]]/Rådata[[#This Row],[B12]]</f>
        <v>0.14688569472963722</v>
      </c>
      <c r="R66" s="11">
        <f>Rådata[[#This Row],[S11]]/Rådata[[#This Row],[S01]]-1</f>
        <v>6.3483376658913571E-2</v>
      </c>
      <c r="S66" s="11">
        <f>Rådata[[#This Row],[Y11]]/Rådata[[#This Row],[Folk20-64]]</f>
        <v>0.94774147044690049</v>
      </c>
    </row>
    <row r="67" spans="1:19" s="10" customFormat="1" ht="12.75">
      <c r="A67" s="10" t="s">
        <v>120</v>
      </c>
      <c r="B67" s="10">
        <v>1807</v>
      </c>
      <c r="C67" s="10">
        <v>1712</v>
      </c>
      <c r="D67" s="10">
        <v>1467.85</v>
      </c>
      <c r="E67" s="10">
        <v>932</v>
      </c>
      <c r="F67" s="10">
        <v>281</v>
      </c>
      <c r="G67" s="10">
        <v>177</v>
      </c>
      <c r="H67" s="10">
        <v>987</v>
      </c>
      <c r="I67" s="10">
        <v>893</v>
      </c>
      <c r="J67" s="10">
        <v>908</v>
      </c>
      <c r="K67" s="10">
        <v>206.8877959502</v>
      </c>
      <c r="L67" s="11">
        <v>11</v>
      </c>
      <c r="M67" s="12">
        <v>329200</v>
      </c>
      <c r="N67" s="11">
        <f>Rådata[[#This Row],[B12]]/Rådata[[#This Row],[Totalareal]]</f>
        <v>1.1663317096433561</v>
      </c>
      <c r="O67" s="11">
        <f>Rådata[[#This Row],[B12]]/Rådata[[#This Row],[B02]]-1</f>
        <v>-5.2573325954620942E-2</v>
      </c>
      <c r="P67" s="11">
        <f>Rådata[[#This Row],[Kvinner20-39]]/Rådata[[#This Row],[B12]]</f>
        <v>0.10338785046728972</v>
      </c>
      <c r="Q67" s="11">
        <f>Rådata[[#This Row],[Eldre67+]]/Rådata[[#This Row],[B12]]</f>
        <v>0.16413551401869159</v>
      </c>
      <c r="R67" s="11">
        <f>Rådata[[#This Row],[S11]]/Rådata[[#This Row],[S01]]-1</f>
        <v>1.6797312430011146E-2</v>
      </c>
      <c r="S67" s="11">
        <f>Rådata[[#This Row],[Y11]]/Rådata[[#This Row],[Folk20-64]]</f>
        <v>0.9442755825734549</v>
      </c>
    </row>
    <row r="68" spans="1:19" s="10" customFormat="1" ht="12.75">
      <c r="A68" s="10" t="s">
        <v>121</v>
      </c>
      <c r="B68" s="10">
        <v>7887</v>
      </c>
      <c r="C68" s="10">
        <v>7777</v>
      </c>
      <c r="D68" s="10">
        <v>2319.0299999999997</v>
      </c>
      <c r="E68" s="10">
        <v>3965</v>
      </c>
      <c r="F68" s="10">
        <v>1379</v>
      </c>
      <c r="G68" s="10">
        <v>813</v>
      </c>
      <c r="H68" s="10">
        <v>4415</v>
      </c>
      <c r="I68" s="10">
        <v>4152</v>
      </c>
      <c r="J68" s="10">
        <v>4014</v>
      </c>
      <c r="K68" s="10">
        <v>188.96040774465894</v>
      </c>
      <c r="L68" s="11">
        <v>9</v>
      </c>
      <c r="M68" s="12">
        <v>354763.02934179222</v>
      </c>
      <c r="N68" s="11">
        <f>Rådata[[#This Row],[B12]]/Rådata[[#This Row],[Totalareal]]</f>
        <v>3.3535573062875428</v>
      </c>
      <c r="O68" s="11">
        <f>Rådata[[#This Row],[B12]]/Rådata[[#This Row],[B02]]-1</f>
        <v>-1.3947001394700176E-2</v>
      </c>
      <c r="P68" s="11">
        <f>Rådata[[#This Row],[Kvinner20-39]]/Rådata[[#This Row],[B12]]</f>
        <v>0.10453902533110454</v>
      </c>
      <c r="Q68" s="11">
        <f>Rådata[[#This Row],[Eldre67+]]/Rådata[[#This Row],[B12]]</f>
        <v>0.17731773177317731</v>
      </c>
      <c r="R68" s="11">
        <f>Rådata[[#This Row],[S11]]/Rådata[[#This Row],[S01]]-1</f>
        <v>-3.3236994219653204E-2</v>
      </c>
      <c r="S68" s="11">
        <f>Rådata[[#This Row],[Y11]]/Rådata[[#This Row],[Folk20-64]]</f>
        <v>0.89807474518686292</v>
      </c>
    </row>
    <row r="69" spans="1:19" s="10" customFormat="1" ht="12.75">
      <c r="A69" s="10" t="s">
        <v>122</v>
      </c>
      <c r="B69" s="10">
        <v>1528</v>
      </c>
      <c r="C69" s="10">
        <v>1461</v>
      </c>
      <c r="D69" s="10">
        <v>259.07</v>
      </c>
      <c r="E69" s="10">
        <v>732</v>
      </c>
      <c r="F69" s="10">
        <v>291</v>
      </c>
      <c r="G69" s="10">
        <v>112</v>
      </c>
      <c r="H69" s="10">
        <v>775</v>
      </c>
      <c r="I69" s="10">
        <v>748</v>
      </c>
      <c r="J69" s="10">
        <v>672</v>
      </c>
      <c r="K69" s="10">
        <v>210.97684935489997</v>
      </c>
      <c r="L69" s="11">
        <v>11</v>
      </c>
      <c r="M69" s="12">
        <v>305700</v>
      </c>
      <c r="N69" s="11">
        <f>Rådata[[#This Row],[B12]]/Rådata[[#This Row],[Totalareal]]</f>
        <v>5.6394024780947234</v>
      </c>
      <c r="O69" s="11">
        <f>Rådata[[#This Row],[B12]]/Rådata[[#This Row],[B02]]-1</f>
        <v>-4.3848167539267013E-2</v>
      </c>
      <c r="P69" s="11">
        <f>Rådata[[#This Row],[Kvinner20-39]]/Rådata[[#This Row],[B12]]</f>
        <v>7.665982203969883E-2</v>
      </c>
      <c r="Q69" s="11">
        <f>Rådata[[#This Row],[Eldre67+]]/Rådata[[#This Row],[B12]]</f>
        <v>0.19917864476386038</v>
      </c>
      <c r="R69" s="11">
        <f>Rådata[[#This Row],[S11]]/Rådata[[#This Row],[S01]]-1</f>
        <v>-0.10160427807486627</v>
      </c>
      <c r="S69" s="11">
        <f>Rådata[[#This Row],[Y11]]/Rådata[[#This Row],[Folk20-64]]</f>
        <v>0.94451612903225801</v>
      </c>
    </row>
    <row r="70" spans="1:19" s="10" customFormat="1" ht="12.75">
      <c r="A70" s="10" t="s">
        <v>123</v>
      </c>
      <c r="B70" s="10">
        <v>25597</v>
      </c>
      <c r="C70" s="10">
        <v>26759</v>
      </c>
      <c r="D70" s="10">
        <v>2951.8300000000004</v>
      </c>
      <c r="E70" s="10">
        <v>14393</v>
      </c>
      <c r="F70" s="10">
        <v>3551</v>
      </c>
      <c r="G70" s="10">
        <v>3178</v>
      </c>
      <c r="H70" s="10">
        <v>15157</v>
      </c>
      <c r="I70" s="10">
        <v>12791</v>
      </c>
      <c r="J70" s="10">
        <v>14058</v>
      </c>
      <c r="K70" s="10">
        <v>179.24147412369726</v>
      </c>
      <c r="L70" s="11">
        <v>6</v>
      </c>
      <c r="M70" s="12">
        <v>333087.92542603292</v>
      </c>
      <c r="N70" s="11">
        <f>Rådata[[#This Row],[B12]]/Rådata[[#This Row],[Totalareal]]</f>
        <v>9.0652239458234369</v>
      </c>
      <c r="O70" s="11">
        <f>Rådata[[#This Row],[B12]]/Rådata[[#This Row],[B02]]-1</f>
        <v>4.5395944837285596E-2</v>
      </c>
      <c r="P70" s="11">
        <f>Rådata[[#This Row],[Kvinner20-39]]/Rådata[[#This Row],[B12]]</f>
        <v>0.11876378041032923</v>
      </c>
      <c r="Q70" s="11">
        <f>Rådata[[#This Row],[Eldre67+]]/Rådata[[#This Row],[B12]]</f>
        <v>0.13270301580776561</v>
      </c>
      <c r="R70" s="11">
        <f>Rådata[[#This Row],[S11]]/Rådata[[#This Row],[S01]]-1</f>
        <v>9.9054022359471583E-2</v>
      </c>
      <c r="S70" s="11">
        <f>Rådata[[#This Row],[Y11]]/Rådata[[#This Row],[Folk20-64]]</f>
        <v>0.9495942468826285</v>
      </c>
    </row>
    <row r="71" spans="1:19" s="10" customFormat="1" ht="12.75">
      <c r="A71" s="10" t="s">
        <v>124</v>
      </c>
      <c r="B71" s="10">
        <v>4093</v>
      </c>
      <c r="C71" s="10">
        <v>3891</v>
      </c>
      <c r="D71" s="10">
        <v>832.43999999999994</v>
      </c>
      <c r="E71" s="10">
        <v>1867</v>
      </c>
      <c r="F71" s="10">
        <v>817</v>
      </c>
      <c r="G71" s="10">
        <v>372</v>
      </c>
      <c r="H71" s="10">
        <v>2023</v>
      </c>
      <c r="I71" s="10">
        <v>1799</v>
      </c>
      <c r="J71" s="10">
        <v>1601</v>
      </c>
      <c r="K71" s="10">
        <v>215.2085479863</v>
      </c>
      <c r="L71" s="11">
        <v>11</v>
      </c>
      <c r="M71" s="12">
        <v>314200</v>
      </c>
      <c r="N71" s="11">
        <f>Rådata[[#This Row],[B12]]/Rådata[[#This Row],[Totalareal]]</f>
        <v>4.6742107539282109</v>
      </c>
      <c r="O71" s="11">
        <f>Rådata[[#This Row],[B12]]/Rådata[[#This Row],[B02]]-1</f>
        <v>-4.9352553139506483E-2</v>
      </c>
      <c r="P71" s="11">
        <f>Rådata[[#This Row],[Kvinner20-39]]/Rådata[[#This Row],[B12]]</f>
        <v>9.5605242868157289E-2</v>
      </c>
      <c r="Q71" s="11">
        <f>Rådata[[#This Row],[Eldre67+]]/Rådata[[#This Row],[B12]]</f>
        <v>0.20997172963248523</v>
      </c>
      <c r="R71" s="11">
        <f>Rådata[[#This Row],[S11]]/Rådata[[#This Row],[S01]]-1</f>
        <v>-0.11006114508060039</v>
      </c>
      <c r="S71" s="11">
        <f>Rådata[[#This Row],[Y11]]/Rådata[[#This Row],[Folk20-64]]</f>
        <v>0.9228868017795353</v>
      </c>
    </row>
    <row r="72" spans="1:19" s="10" customFormat="1" ht="12.75">
      <c r="A72" s="10" t="s">
        <v>125</v>
      </c>
      <c r="B72" s="10">
        <v>9422</v>
      </c>
      <c r="C72" s="10">
        <v>8960</v>
      </c>
      <c r="D72" s="10">
        <v>402.65999999999997</v>
      </c>
      <c r="E72" s="10">
        <v>4604</v>
      </c>
      <c r="F72" s="10">
        <v>1477</v>
      </c>
      <c r="G72" s="10">
        <v>881</v>
      </c>
      <c r="H72" s="10">
        <v>4986</v>
      </c>
      <c r="I72" s="10">
        <v>4517</v>
      </c>
      <c r="J72" s="10">
        <v>4299</v>
      </c>
      <c r="K72" s="10">
        <v>221.71785161076954</v>
      </c>
      <c r="L72" s="11">
        <v>9</v>
      </c>
      <c r="M72" s="12">
        <v>331413.26732673269</v>
      </c>
      <c r="N72" s="11">
        <f>Rådata[[#This Row],[B12]]/Rådata[[#This Row],[Totalareal]]</f>
        <v>22.252024040133115</v>
      </c>
      <c r="O72" s="11">
        <f>Rådata[[#This Row],[B12]]/Rådata[[#This Row],[B02]]-1</f>
        <v>-4.9034175334323971E-2</v>
      </c>
      <c r="P72" s="11">
        <f>Rådata[[#This Row],[Kvinner20-39]]/Rådata[[#This Row],[B12]]</f>
        <v>9.8325892857142855E-2</v>
      </c>
      <c r="Q72" s="11">
        <f>Rådata[[#This Row],[Eldre67+]]/Rådata[[#This Row],[B12]]</f>
        <v>0.16484375000000001</v>
      </c>
      <c r="R72" s="11">
        <f>Rådata[[#This Row],[S11]]/Rådata[[#This Row],[S01]]-1</f>
        <v>-4.8262120876688019E-2</v>
      </c>
      <c r="S72" s="11">
        <f>Rådata[[#This Row],[Y11]]/Rådata[[#This Row],[Folk20-64]]</f>
        <v>0.92338547934215809</v>
      </c>
    </row>
    <row r="73" spans="1:19" s="10" customFormat="1" ht="12.75">
      <c r="A73" s="10" t="s">
        <v>126</v>
      </c>
      <c r="B73" s="10">
        <v>5716</v>
      </c>
      <c r="C73" s="10">
        <v>5679</v>
      </c>
      <c r="D73" s="10">
        <v>1031.22</v>
      </c>
      <c r="E73" s="10">
        <v>3022</v>
      </c>
      <c r="F73" s="10">
        <v>988</v>
      </c>
      <c r="G73" s="10">
        <v>591</v>
      </c>
      <c r="H73" s="10">
        <v>3078</v>
      </c>
      <c r="I73" s="10">
        <v>2571</v>
      </c>
      <c r="J73" s="10">
        <v>2761</v>
      </c>
      <c r="K73" s="10">
        <v>165.96171553433999</v>
      </c>
      <c r="L73" s="11">
        <v>9</v>
      </c>
      <c r="M73" s="12">
        <v>319400</v>
      </c>
      <c r="N73" s="11">
        <f>Rådata[[#This Row],[B12]]/Rådata[[#This Row],[Totalareal]]</f>
        <v>5.5070692965613546</v>
      </c>
      <c r="O73" s="11">
        <f>Rådata[[#This Row],[B12]]/Rådata[[#This Row],[B02]]-1</f>
        <v>-6.4730580825752559E-3</v>
      </c>
      <c r="P73" s="11">
        <f>Rådata[[#This Row],[Kvinner20-39]]/Rådata[[#This Row],[B12]]</f>
        <v>0.10406761753829899</v>
      </c>
      <c r="Q73" s="11">
        <f>Rådata[[#This Row],[Eldre67+]]/Rådata[[#This Row],[B12]]</f>
        <v>0.17397429124845923</v>
      </c>
      <c r="R73" s="11">
        <f>Rådata[[#This Row],[S11]]/Rådata[[#This Row],[S01]]-1</f>
        <v>7.3901205756514932E-2</v>
      </c>
      <c r="S73" s="11">
        <f>Rådata[[#This Row],[Y11]]/Rådata[[#This Row],[Folk20-64]]</f>
        <v>0.98180636777128005</v>
      </c>
    </row>
    <row r="74" spans="1:19" s="10" customFormat="1" ht="12.75">
      <c r="A74" s="10" t="s">
        <v>127</v>
      </c>
      <c r="B74" s="10">
        <v>13689</v>
      </c>
      <c r="C74" s="10">
        <v>14235</v>
      </c>
      <c r="D74" s="10">
        <v>2038.1</v>
      </c>
      <c r="E74" s="10">
        <v>7670</v>
      </c>
      <c r="F74" s="10">
        <v>2081</v>
      </c>
      <c r="G74" s="10">
        <v>1599</v>
      </c>
      <c r="H74" s="10">
        <v>7944</v>
      </c>
      <c r="I74" s="10">
        <v>6908</v>
      </c>
      <c r="J74" s="10">
        <v>7155</v>
      </c>
      <c r="K74" s="10">
        <v>190.6592816317997</v>
      </c>
      <c r="L74" s="11">
        <v>8</v>
      </c>
      <c r="M74" s="12">
        <v>313848.66485013627</v>
      </c>
      <c r="N74" s="11">
        <f>Rådata[[#This Row],[B12]]/Rådata[[#This Row],[Totalareal]]</f>
        <v>6.9844462980226689</v>
      </c>
      <c r="O74" s="11">
        <f>Rådata[[#This Row],[B12]]/Rådata[[#This Row],[B02]]-1</f>
        <v>3.9886039886039892E-2</v>
      </c>
      <c r="P74" s="11">
        <f>Rådata[[#This Row],[Kvinner20-39]]/Rådata[[#This Row],[B12]]</f>
        <v>0.11232876712328767</v>
      </c>
      <c r="Q74" s="11">
        <f>Rådata[[#This Row],[Eldre67+]]/Rådata[[#This Row],[B12]]</f>
        <v>0.14618897084650509</v>
      </c>
      <c r="R74" s="11">
        <f>Rådata[[#This Row],[S11]]/Rådata[[#This Row],[S01]]-1</f>
        <v>3.575564562825706E-2</v>
      </c>
      <c r="S74" s="11">
        <f>Rådata[[#This Row],[Y11]]/Rådata[[#This Row],[Folk20-64]]</f>
        <v>0.96550855991943607</v>
      </c>
    </row>
    <row r="75" spans="1:19" s="10" customFormat="1" ht="12.75">
      <c r="A75" s="10" t="s">
        <v>128</v>
      </c>
      <c r="B75" s="10">
        <v>53378</v>
      </c>
      <c r="C75" s="10">
        <v>55813</v>
      </c>
      <c r="D75" s="10">
        <v>2819.01</v>
      </c>
      <c r="E75" s="10">
        <v>29314</v>
      </c>
      <c r="F75" s="10">
        <v>8009</v>
      </c>
      <c r="G75" s="10">
        <v>6314</v>
      </c>
      <c r="H75" s="10">
        <v>32242</v>
      </c>
      <c r="I75" s="10">
        <v>26142</v>
      </c>
      <c r="J75" s="10">
        <v>28715</v>
      </c>
      <c r="K75" s="10">
        <v>171.77627295250502</v>
      </c>
      <c r="L75" s="11">
        <v>4</v>
      </c>
      <c r="M75" s="12">
        <v>345883.77654138755</v>
      </c>
      <c r="N75" s="11">
        <f>Rådata[[#This Row],[B12]]/Rådata[[#This Row],[Totalareal]]</f>
        <v>19.798794612292966</v>
      </c>
      <c r="O75" s="11">
        <f>Rådata[[#This Row],[B12]]/Rådata[[#This Row],[B02]]-1</f>
        <v>4.5618044887406839E-2</v>
      </c>
      <c r="P75" s="11">
        <f>Rådata[[#This Row],[Kvinner20-39]]/Rådata[[#This Row],[B12]]</f>
        <v>0.11312776593266802</v>
      </c>
      <c r="Q75" s="11">
        <f>Rådata[[#This Row],[Eldre67+]]/Rådata[[#This Row],[B12]]</f>
        <v>0.14349703474101017</v>
      </c>
      <c r="R75" s="11">
        <f>Rådata[[#This Row],[S11]]/Rådata[[#This Row],[S01]]-1</f>
        <v>9.8423992043454867E-2</v>
      </c>
      <c r="S75" s="11">
        <f>Rådata[[#This Row],[Y11]]/Rådata[[#This Row],[Folk20-64]]</f>
        <v>0.90918677501395695</v>
      </c>
    </row>
    <row r="76" spans="1:19" s="10" customFormat="1" ht="12.75">
      <c r="A76" s="10" t="s">
        <v>129</v>
      </c>
      <c r="B76" s="10">
        <v>30801</v>
      </c>
      <c r="C76" s="10">
        <v>32507</v>
      </c>
      <c r="D76" s="10">
        <v>600.46</v>
      </c>
      <c r="E76" s="10">
        <v>16269</v>
      </c>
      <c r="F76" s="10">
        <v>4713</v>
      </c>
      <c r="G76" s="10">
        <v>3706</v>
      </c>
      <c r="H76" s="10">
        <v>19073</v>
      </c>
      <c r="I76" s="10">
        <v>13155</v>
      </c>
      <c r="J76" s="10">
        <v>15137</v>
      </c>
      <c r="K76" s="10">
        <v>168.14935820557432</v>
      </c>
      <c r="L76" s="11">
        <v>5</v>
      </c>
      <c r="M76" s="12">
        <v>341580.47754976084</v>
      </c>
      <c r="N76" s="11">
        <f>Rådata[[#This Row],[B12]]/Rådata[[#This Row],[Totalareal]]</f>
        <v>54.136828431535818</v>
      </c>
      <c r="O76" s="11">
        <f>Rådata[[#This Row],[B12]]/Rådata[[#This Row],[B02]]-1</f>
        <v>5.5387812084023214E-2</v>
      </c>
      <c r="P76" s="11">
        <f>Rådata[[#This Row],[Kvinner20-39]]/Rådata[[#This Row],[B12]]</f>
        <v>0.11400621404620544</v>
      </c>
      <c r="Q76" s="11">
        <f>Rådata[[#This Row],[Eldre67+]]/Rådata[[#This Row],[B12]]</f>
        <v>0.14498415725843664</v>
      </c>
      <c r="R76" s="11">
        <f>Rådata[[#This Row],[S11]]/Rådata[[#This Row],[S01]]-1</f>
        <v>0.15066514633219308</v>
      </c>
      <c r="S76" s="11">
        <f>Rådata[[#This Row],[Y11]]/Rådata[[#This Row],[Folk20-64]]</f>
        <v>0.85298589629318933</v>
      </c>
    </row>
    <row r="77" spans="1:19" s="10" customFormat="1" ht="12.75">
      <c r="A77" s="10" t="s">
        <v>130</v>
      </c>
      <c r="B77" s="10">
        <v>75959</v>
      </c>
      <c r="C77" s="10">
        <v>84033</v>
      </c>
      <c r="D77" s="10">
        <v>1295.6599999999999</v>
      </c>
      <c r="E77" s="10">
        <v>44806</v>
      </c>
      <c r="F77" s="10">
        <v>11050</v>
      </c>
      <c r="G77" s="10">
        <v>10545</v>
      </c>
      <c r="H77" s="10">
        <v>49249</v>
      </c>
      <c r="I77" s="10">
        <v>38530</v>
      </c>
      <c r="J77" s="10">
        <v>43631</v>
      </c>
      <c r="K77" s="10">
        <v>174.62588938204513</v>
      </c>
      <c r="L77" s="11">
        <v>4</v>
      </c>
      <c r="M77" s="12">
        <v>357454.73751796252</v>
      </c>
      <c r="N77" s="11">
        <f>Rådata[[#This Row],[B12]]/Rådata[[#This Row],[Totalareal]]</f>
        <v>64.857292808298482</v>
      </c>
      <c r="O77" s="11">
        <f>Rådata[[#This Row],[B12]]/Rådata[[#This Row],[B02]]-1</f>
        <v>0.10629418502086652</v>
      </c>
      <c r="P77" s="11">
        <f>Rådata[[#This Row],[Kvinner20-39]]/Rådata[[#This Row],[B12]]</f>
        <v>0.12548641605083716</v>
      </c>
      <c r="Q77" s="11">
        <f>Rådata[[#This Row],[Eldre67+]]/Rådata[[#This Row],[B12]]</f>
        <v>0.13149595992050742</v>
      </c>
      <c r="R77" s="11">
        <f>Rådata[[#This Row],[S11]]/Rådata[[#This Row],[S01]]-1</f>
        <v>0.13239034518556969</v>
      </c>
      <c r="S77" s="11">
        <f>Rådata[[#This Row],[Y11]]/Rådata[[#This Row],[Folk20-64]]</f>
        <v>0.90978497025320315</v>
      </c>
    </row>
    <row r="78" spans="1:19" s="10" customFormat="1" ht="12.75">
      <c r="A78" s="10" t="s">
        <v>131</v>
      </c>
      <c r="B78" s="10">
        <v>3899</v>
      </c>
      <c r="C78" s="10">
        <v>3388</v>
      </c>
      <c r="D78" s="10">
        <v>385.23</v>
      </c>
      <c r="E78" s="10">
        <v>1673</v>
      </c>
      <c r="F78" s="10">
        <v>641</v>
      </c>
      <c r="G78" s="10">
        <v>298</v>
      </c>
      <c r="H78" s="10">
        <v>1869</v>
      </c>
      <c r="I78" s="10">
        <v>1515</v>
      </c>
      <c r="J78" s="10">
        <v>1335</v>
      </c>
      <c r="K78" s="10">
        <v>222.10938798840002</v>
      </c>
      <c r="L78" s="11">
        <v>11</v>
      </c>
      <c r="M78" s="12">
        <v>326800</v>
      </c>
      <c r="N78" s="11">
        <f>Rådata[[#This Row],[B12]]/Rådata[[#This Row],[Totalareal]]</f>
        <v>8.7947459958985537</v>
      </c>
      <c r="O78" s="11">
        <f>Rådata[[#This Row],[B12]]/Rådata[[#This Row],[B02]]-1</f>
        <v>-0.13105924596050267</v>
      </c>
      <c r="P78" s="11">
        <f>Rådata[[#This Row],[Kvinner20-39]]/Rådata[[#This Row],[B12]]</f>
        <v>8.7957497048406136E-2</v>
      </c>
      <c r="Q78" s="11">
        <f>Rådata[[#This Row],[Eldre67+]]/Rådata[[#This Row],[B12]]</f>
        <v>0.18919716646989373</v>
      </c>
      <c r="R78" s="11">
        <f>Rådata[[#This Row],[S11]]/Rådata[[#This Row],[S01]]-1</f>
        <v>-0.11881188118811881</v>
      </c>
      <c r="S78" s="11">
        <f>Rådata[[#This Row],[Y11]]/Rådata[[#This Row],[Folk20-64]]</f>
        <v>0.89513108614232206</v>
      </c>
    </row>
    <row r="79" spans="1:19" s="10" customFormat="1" ht="12.75">
      <c r="A79" s="10" t="s">
        <v>132</v>
      </c>
      <c r="B79" s="10">
        <v>22451</v>
      </c>
      <c r="C79" s="10">
        <v>24143</v>
      </c>
      <c r="D79" s="10">
        <v>392.64</v>
      </c>
      <c r="E79" s="10">
        <v>12411</v>
      </c>
      <c r="F79" s="10">
        <v>3336</v>
      </c>
      <c r="G79" s="10">
        <v>2770</v>
      </c>
      <c r="H79" s="10">
        <v>13969</v>
      </c>
      <c r="I79" s="10">
        <v>10475</v>
      </c>
      <c r="J79" s="10">
        <v>12474</v>
      </c>
      <c r="K79" s="10">
        <v>191.71474805216883</v>
      </c>
      <c r="L79" s="11">
        <v>5</v>
      </c>
      <c r="M79" s="12">
        <v>363427.4889351037</v>
      </c>
      <c r="N79" s="11">
        <f>Rådata[[#This Row],[B12]]/Rådata[[#This Row],[Totalareal]]</f>
        <v>61.488895680521601</v>
      </c>
      <c r="O79" s="11">
        <f>Rådata[[#This Row],[B12]]/Rådata[[#This Row],[B02]]-1</f>
        <v>7.536412631954037E-2</v>
      </c>
      <c r="P79" s="11">
        <f>Rådata[[#This Row],[Kvinner20-39]]/Rådata[[#This Row],[B12]]</f>
        <v>0.11473304891687032</v>
      </c>
      <c r="Q79" s="11">
        <f>Rådata[[#This Row],[Eldre67+]]/Rådata[[#This Row],[B12]]</f>
        <v>0.13817669717930664</v>
      </c>
      <c r="R79" s="11">
        <f>Rådata[[#This Row],[S11]]/Rådata[[#This Row],[S01]]-1</f>
        <v>0.19083532219570398</v>
      </c>
      <c r="S79" s="11">
        <f>Rådata[[#This Row],[Y11]]/Rådata[[#This Row],[Folk20-64]]</f>
        <v>0.88846732049538268</v>
      </c>
    </row>
    <row r="80" spans="1:19" s="10" customFormat="1" ht="12.75">
      <c r="A80" s="10" t="s">
        <v>133</v>
      </c>
      <c r="B80" s="10">
        <v>18547</v>
      </c>
      <c r="C80" s="10">
        <v>19091</v>
      </c>
      <c r="D80" s="10">
        <v>1352.4299999999998</v>
      </c>
      <c r="E80" s="10">
        <v>9680</v>
      </c>
      <c r="F80" s="10">
        <v>2908</v>
      </c>
      <c r="G80" s="10">
        <v>2246</v>
      </c>
      <c r="H80" s="10">
        <v>10798</v>
      </c>
      <c r="I80" s="10">
        <v>8151</v>
      </c>
      <c r="J80" s="10">
        <v>8955</v>
      </c>
      <c r="K80" s="10">
        <v>165.34601883158217</v>
      </c>
      <c r="L80" s="11">
        <v>6</v>
      </c>
      <c r="M80" s="12">
        <v>322654.4056692071</v>
      </c>
      <c r="N80" s="11">
        <f>Rådata[[#This Row],[B12]]/Rådata[[#This Row],[Totalareal]]</f>
        <v>14.116072550889882</v>
      </c>
      <c r="O80" s="11">
        <f>Rådata[[#This Row],[B12]]/Rådata[[#This Row],[B02]]-1</f>
        <v>2.933088909257564E-2</v>
      </c>
      <c r="P80" s="11">
        <f>Rådata[[#This Row],[Kvinner20-39]]/Rådata[[#This Row],[B12]]</f>
        <v>0.11764705882352941</v>
      </c>
      <c r="Q80" s="11">
        <f>Rådata[[#This Row],[Eldre67+]]/Rådata[[#This Row],[B12]]</f>
        <v>0.15232308417578963</v>
      </c>
      <c r="R80" s="11">
        <f>Rådata[[#This Row],[S11]]/Rådata[[#This Row],[S01]]-1</f>
        <v>9.8638203901361798E-2</v>
      </c>
      <c r="S80" s="11">
        <f>Rådata[[#This Row],[Y11]]/Rådata[[#This Row],[Folk20-64]]</f>
        <v>0.8964623078347842</v>
      </c>
    </row>
    <row r="81" spans="1:19" s="10" customFormat="1" ht="12.75">
      <c r="A81" s="10" t="s">
        <v>134</v>
      </c>
      <c r="B81" s="10">
        <v>6588</v>
      </c>
      <c r="C81" s="10">
        <v>6340</v>
      </c>
      <c r="D81" s="10">
        <v>1809.65</v>
      </c>
      <c r="E81" s="10">
        <v>3458</v>
      </c>
      <c r="F81" s="10">
        <v>1159</v>
      </c>
      <c r="G81" s="10">
        <v>671</v>
      </c>
      <c r="H81" s="10">
        <v>3434</v>
      </c>
      <c r="I81" s="10">
        <v>3439</v>
      </c>
      <c r="J81" s="10">
        <v>3364</v>
      </c>
      <c r="K81" s="10">
        <v>229.44621309650421</v>
      </c>
      <c r="L81" s="11">
        <v>5</v>
      </c>
      <c r="M81" s="12">
        <v>321364.53476788203</v>
      </c>
      <c r="N81" s="11">
        <f>Rådata[[#This Row],[B12]]/Rådata[[#This Row],[Totalareal]]</f>
        <v>3.5034398916917633</v>
      </c>
      <c r="O81" s="11">
        <f>Rådata[[#This Row],[B12]]/Rådata[[#This Row],[B02]]-1</f>
        <v>-3.7644201578627801E-2</v>
      </c>
      <c r="P81" s="11">
        <f>Rådata[[#This Row],[Kvinner20-39]]/Rådata[[#This Row],[B12]]</f>
        <v>0.10583596214511042</v>
      </c>
      <c r="Q81" s="11">
        <f>Rådata[[#This Row],[Eldre67+]]/Rådata[[#This Row],[B12]]</f>
        <v>0.18280757097791797</v>
      </c>
      <c r="R81" s="11">
        <f>Rådata[[#This Row],[S11]]/Rådata[[#This Row],[S01]]-1</f>
        <v>-2.1808665309683062E-2</v>
      </c>
      <c r="S81" s="11">
        <f>Rådata[[#This Row],[Y11]]/Rådata[[#This Row],[Folk20-64]]</f>
        <v>1.0069889341875364</v>
      </c>
    </row>
    <row r="82" spans="1:19" s="10" customFormat="1" ht="12.75">
      <c r="A82" s="10" t="s">
        <v>135</v>
      </c>
      <c r="B82" s="10">
        <v>7381</v>
      </c>
      <c r="C82" s="10">
        <v>7428</v>
      </c>
      <c r="D82" s="10">
        <v>1502.2099999999998</v>
      </c>
      <c r="E82" s="10">
        <v>3848</v>
      </c>
      <c r="F82" s="10">
        <v>1309</v>
      </c>
      <c r="G82" s="10">
        <v>749</v>
      </c>
      <c r="H82" s="10">
        <v>4150</v>
      </c>
      <c r="I82" s="10">
        <v>3342</v>
      </c>
      <c r="J82" s="10">
        <v>3613</v>
      </c>
      <c r="K82" s="10">
        <v>204.25833785169999</v>
      </c>
      <c r="L82" s="11">
        <v>5</v>
      </c>
      <c r="M82" s="12">
        <v>324200</v>
      </c>
      <c r="N82" s="11">
        <f>Rådata[[#This Row],[B12]]/Rådata[[#This Row],[Totalareal]]</f>
        <v>4.9447147868806631</v>
      </c>
      <c r="O82" s="11">
        <f>Rådata[[#This Row],[B12]]/Rådata[[#This Row],[B02]]-1</f>
        <v>6.3677008535429902E-3</v>
      </c>
      <c r="P82" s="11">
        <f>Rådata[[#This Row],[Kvinner20-39]]/Rådata[[#This Row],[B12]]</f>
        <v>0.10083467959073775</v>
      </c>
      <c r="Q82" s="11">
        <f>Rådata[[#This Row],[Eldre67+]]/Rådata[[#This Row],[B12]]</f>
        <v>0.1762250942380183</v>
      </c>
      <c r="R82" s="11">
        <f>Rådata[[#This Row],[S11]]/Rådata[[#This Row],[S01]]-1</f>
        <v>8.1089168162776781E-2</v>
      </c>
      <c r="S82" s="11">
        <f>Rådata[[#This Row],[Y11]]/Rådata[[#This Row],[Folk20-64]]</f>
        <v>0.92722891566265064</v>
      </c>
    </row>
    <row r="83" spans="1:19" s="10" customFormat="1" ht="12.75">
      <c r="A83" s="10" t="s">
        <v>136</v>
      </c>
      <c r="B83" s="10">
        <v>1305</v>
      </c>
      <c r="C83" s="10">
        <v>1315</v>
      </c>
      <c r="D83" s="10">
        <v>20.420000000000002</v>
      </c>
      <c r="E83" s="10">
        <v>683</v>
      </c>
      <c r="F83" s="10">
        <v>235</v>
      </c>
      <c r="G83" s="10">
        <v>132</v>
      </c>
      <c r="H83" s="10">
        <v>726</v>
      </c>
      <c r="I83" s="10">
        <v>617</v>
      </c>
      <c r="J83" s="10">
        <v>644</v>
      </c>
      <c r="K83" s="10">
        <v>253.085921533</v>
      </c>
      <c r="L83" s="11">
        <v>11</v>
      </c>
      <c r="M83" s="12">
        <v>368200</v>
      </c>
      <c r="N83" s="11">
        <f>Rådata[[#This Row],[B12]]/Rådata[[#This Row],[Totalareal]]</f>
        <v>64.39764936336924</v>
      </c>
      <c r="O83" s="11">
        <f>Rådata[[#This Row],[B12]]/Rådata[[#This Row],[B02]]-1</f>
        <v>7.6628352490422103E-3</v>
      </c>
      <c r="P83" s="11">
        <f>Rådata[[#This Row],[Kvinner20-39]]/Rådata[[#This Row],[B12]]</f>
        <v>0.10038022813688213</v>
      </c>
      <c r="Q83" s="11">
        <f>Rådata[[#This Row],[Eldre67+]]/Rådata[[#This Row],[B12]]</f>
        <v>0.17870722433460076</v>
      </c>
      <c r="R83" s="11">
        <f>Rådata[[#This Row],[S11]]/Rådata[[#This Row],[S01]]-1</f>
        <v>4.3760129659643487E-2</v>
      </c>
      <c r="S83" s="11">
        <f>Rådata[[#This Row],[Y11]]/Rådata[[#This Row],[Folk20-64]]</f>
        <v>0.94077134986225897</v>
      </c>
    </row>
    <row r="84" spans="1:19" s="10" customFormat="1" ht="12.75">
      <c r="A84" s="10" t="s">
        <v>137</v>
      </c>
      <c r="B84" s="10">
        <v>7354</v>
      </c>
      <c r="C84" s="10">
        <v>7196</v>
      </c>
      <c r="D84" s="10">
        <v>1713.41</v>
      </c>
      <c r="E84" s="10">
        <v>3561</v>
      </c>
      <c r="F84" s="10">
        <v>1219</v>
      </c>
      <c r="G84" s="10">
        <v>741</v>
      </c>
      <c r="H84" s="10">
        <v>4120</v>
      </c>
      <c r="I84" s="10">
        <v>3744</v>
      </c>
      <c r="J84" s="10">
        <v>3712</v>
      </c>
      <c r="K84" s="10">
        <v>220.9231681631</v>
      </c>
      <c r="L84" s="11">
        <v>9</v>
      </c>
      <c r="M84" s="12">
        <v>332900</v>
      </c>
      <c r="N84" s="11">
        <f>Rådata[[#This Row],[B12]]/Rådata[[#This Row],[Totalareal]]</f>
        <v>4.1998120706660984</v>
      </c>
      <c r="O84" s="11">
        <f>Rådata[[#This Row],[B12]]/Rådata[[#This Row],[B02]]-1</f>
        <v>-2.1484906173511065E-2</v>
      </c>
      <c r="P84" s="11">
        <f>Rådata[[#This Row],[Kvinner20-39]]/Rådata[[#This Row],[B12]]</f>
        <v>0.10297387437465258</v>
      </c>
      <c r="Q84" s="11">
        <f>Rådata[[#This Row],[Eldre67+]]/Rådata[[#This Row],[B12]]</f>
        <v>0.16939966648137855</v>
      </c>
      <c r="R84" s="11">
        <f>Rådata[[#This Row],[S11]]/Rådata[[#This Row],[S01]]-1</f>
        <v>-8.5470085470085166E-3</v>
      </c>
      <c r="S84" s="11">
        <f>Rådata[[#This Row],[Y11]]/Rådata[[#This Row],[Folk20-64]]</f>
        <v>0.86432038834951452</v>
      </c>
    </row>
    <row r="85" spans="1:19" s="10" customFormat="1" ht="12.75">
      <c r="A85" s="10" t="s">
        <v>138</v>
      </c>
      <c r="B85" s="10">
        <v>10116</v>
      </c>
      <c r="C85" s="10">
        <v>9681</v>
      </c>
      <c r="D85" s="10">
        <v>2298.27</v>
      </c>
      <c r="E85" s="10">
        <v>4895</v>
      </c>
      <c r="F85" s="10">
        <v>1754</v>
      </c>
      <c r="G85" s="10">
        <v>944</v>
      </c>
      <c r="H85" s="10">
        <v>5291</v>
      </c>
      <c r="I85" s="10">
        <v>4400</v>
      </c>
      <c r="J85" s="10">
        <v>4414</v>
      </c>
      <c r="K85" s="10">
        <v>242.55626915722257</v>
      </c>
      <c r="L85" s="11">
        <v>9</v>
      </c>
      <c r="M85" s="12">
        <v>299088.35127772734</v>
      </c>
      <c r="N85" s="11">
        <f>Rådata[[#This Row],[B12]]/Rådata[[#This Row],[Totalareal]]</f>
        <v>4.2122988160659975</v>
      </c>
      <c r="O85" s="11">
        <f>Rådata[[#This Row],[B12]]/Rådata[[#This Row],[B02]]-1</f>
        <v>-4.3001186239620348E-2</v>
      </c>
      <c r="P85" s="11">
        <f>Rådata[[#This Row],[Kvinner20-39]]/Rådata[[#This Row],[B12]]</f>
        <v>9.7510587749199462E-2</v>
      </c>
      <c r="Q85" s="11">
        <f>Rådata[[#This Row],[Eldre67+]]/Rådata[[#This Row],[B12]]</f>
        <v>0.18117963020349137</v>
      </c>
      <c r="R85" s="11">
        <f>Rådata[[#This Row],[S11]]/Rådata[[#This Row],[S01]]-1</f>
        <v>3.1818181818181746E-3</v>
      </c>
      <c r="S85" s="11">
        <f>Rådata[[#This Row],[Y11]]/Rådata[[#This Row],[Folk20-64]]</f>
        <v>0.92515592515592515</v>
      </c>
    </row>
    <row r="86" spans="1:19" s="10" customFormat="1" ht="12.75">
      <c r="A86" s="10" t="s">
        <v>139</v>
      </c>
      <c r="B86" s="10">
        <v>2329</v>
      </c>
      <c r="C86" s="10">
        <v>2182</v>
      </c>
      <c r="D86" s="10">
        <v>281.82</v>
      </c>
      <c r="E86" s="10">
        <v>1085</v>
      </c>
      <c r="F86" s="10">
        <v>429</v>
      </c>
      <c r="G86" s="10">
        <v>207</v>
      </c>
      <c r="H86" s="10">
        <v>1204</v>
      </c>
      <c r="I86" s="10">
        <v>942</v>
      </c>
      <c r="J86" s="10">
        <v>988</v>
      </c>
      <c r="K86" s="10">
        <v>249.91838921329997</v>
      </c>
      <c r="L86" s="11">
        <v>11</v>
      </c>
      <c r="M86" s="12">
        <v>328200</v>
      </c>
      <c r="N86" s="11">
        <f>Rådata[[#This Row],[B12]]/Rådata[[#This Row],[Totalareal]]</f>
        <v>7.7425306933503659</v>
      </c>
      <c r="O86" s="11">
        <f>Rådata[[#This Row],[B12]]/Rådata[[#This Row],[B02]]-1</f>
        <v>-6.3117217689995675E-2</v>
      </c>
      <c r="P86" s="11">
        <f>Rådata[[#This Row],[Kvinner20-39]]/Rådata[[#This Row],[B12]]</f>
        <v>9.4867094408799271E-2</v>
      </c>
      <c r="Q86" s="11">
        <f>Rådata[[#This Row],[Eldre67+]]/Rådata[[#This Row],[B12]]</f>
        <v>0.19660861594867093</v>
      </c>
      <c r="R86" s="11">
        <f>Rådata[[#This Row],[S11]]/Rådata[[#This Row],[S01]]-1</f>
        <v>4.8832271762208057E-2</v>
      </c>
      <c r="S86" s="11">
        <f>Rådata[[#This Row],[Y11]]/Rådata[[#This Row],[Folk20-64]]</f>
        <v>0.90116279069767447</v>
      </c>
    </row>
    <row r="87" spans="1:19" s="10" customFormat="1" ht="12.75">
      <c r="A87" s="10" t="s">
        <v>140</v>
      </c>
      <c r="B87" s="10">
        <v>3747</v>
      </c>
      <c r="C87" s="10">
        <v>3511</v>
      </c>
      <c r="D87" s="10">
        <v>643.94000000000005</v>
      </c>
      <c r="E87" s="10">
        <v>1763</v>
      </c>
      <c r="F87" s="10">
        <v>650</v>
      </c>
      <c r="G87" s="10">
        <v>330</v>
      </c>
      <c r="H87" s="10">
        <v>1972</v>
      </c>
      <c r="I87" s="10">
        <v>1447</v>
      </c>
      <c r="J87" s="10">
        <v>1490</v>
      </c>
      <c r="K87" s="10">
        <v>221.96109544550001</v>
      </c>
      <c r="L87" s="11">
        <v>11</v>
      </c>
      <c r="M87" s="12">
        <v>317000</v>
      </c>
      <c r="N87" s="11">
        <f>Rådata[[#This Row],[B12]]/Rådata[[#This Row],[Totalareal]]</f>
        <v>5.452371338944622</v>
      </c>
      <c r="O87" s="11">
        <f>Rådata[[#This Row],[B12]]/Rådata[[#This Row],[B02]]-1</f>
        <v>-6.2983720309580993E-2</v>
      </c>
      <c r="P87" s="11">
        <f>Rådata[[#This Row],[Kvinner20-39]]/Rådata[[#This Row],[B12]]</f>
        <v>9.3990316149245232E-2</v>
      </c>
      <c r="Q87" s="11">
        <f>Rådata[[#This Row],[Eldre67+]]/Rådata[[#This Row],[B12]]</f>
        <v>0.18513244090002848</v>
      </c>
      <c r="R87" s="11">
        <f>Rådata[[#This Row],[S11]]/Rådata[[#This Row],[S01]]-1</f>
        <v>2.9716655148583238E-2</v>
      </c>
      <c r="S87" s="11">
        <f>Rådata[[#This Row],[Y11]]/Rådata[[#This Row],[Folk20-64]]</f>
        <v>0.89401622718052742</v>
      </c>
    </row>
    <row r="88" spans="1:19" s="10" customFormat="1" ht="12.75">
      <c r="A88" s="10" t="s">
        <v>141</v>
      </c>
      <c r="B88" s="10">
        <v>225759</v>
      </c>
      <c r="C88" s="10">
        <v>259719</v>
      </c>
      <c r="D88" s="10">
        <v>6701.26</v>
      </c>
      <c r="E88" s="10">
        <v>135786</v>
      </c>
      <c r="F88" s="10">
        <v>30337</v>
      </c>
      <c r="G88" s="10">
        <v>36871</v>
      </c>
      <c r="H88" s="10">
        <v>158748</v>
      </c>
      <c r="I88" s="10">
        <v>115596</v>
      </c>
      <c r="J88" s="10">
        <v>138380</v>
      </c>
      <c r="K88" s="10">
        <v>182.01435970218043</v>
      </c>
      <c r="L88" s="11">
        <v>2</v>
      </c>
      <c r="M88" s="12">
        <v>349674.02306714887</v>
      </c>
      <c r="N88" s="11">
        <f>Rådata[[#This Row],[B12]]/Rådata[[#This Row],[Totalareal]]</f>
        <v>38.756741269552293</v>
      </c>
      <c r="O88" s="11">
        <f>Rådata[[#This Row],[B12]]/Rådata[[#This Row],[B02]]-1</f>
        <v>0.15042589664199424</v>
      </c>
      <c r="P88" s="11">
        <f>Rådata[[#This Row],[Kvinner20-39]]/Rådata[[#This Row],[B12]]</f>
        <v>0.14196496983278081</v>
      </c>
      <c r="Q88" s="11">
        <f>Rådata[[#This Row],[Eldre67+]]/Rådata[[#This Row],[B12]]</f>
        <v>0.11680701065382201</v>
      </c>
      <c r="R88" s="11">
        <f>Rådata[[#This Row],[S11]]/Rådata[[#This Row],[S01]]-1</f>
        <v>0.19710024568324158</v>
      </c>
      <c r="S88" s="11">
        <f>Rådata[[#This Row],[Y11]]/Rådata[[#This Row],[Folk20-64]]</f>
        <v>0.85535565802403812</v>
      </c>
    </row>
    <row r="89" spans="1:19" s="10" customFormat="1" ht="12.75">
      <c r="A89" s="10" t="s">
        <v>142</v>
      </c>
      <c r="B89" s="10">
        <v>4278</v>
      </c>
      <c r="C89" s="10">
        <v>4221</v>
      </c>
      <c r="D89" s="10">
        <v>670.29000000000008</v>
      </c>
      <c r="E89" s="10">
        <v>2070</v>
      </c>
      <c r="F89" s="10">
        <v>709</v>
      </c>
      <c r="G89" s="10">
        <v>447</v>
      </c>
      <c r="H89" s="10">
        <v>2305</v>
      </c>
      <c r="I89" s="10">
        <v>1779</v>
      </c>
      <c r="J89" s="10">
        <v>1963</v>
      </c>
      <c r="K89" s="10">
        <v>253.51839397930001</v>
      </c>
      <c r="L89" s="11">
        <v>9</v>
      </c>
      <c r="M89" s="12">
        <v>315800</v>
      </c>
      <c r="N89" s="11">
        <f>Rådata[[#This Row],[B12]]/Rådata[[#This Row],[Totalareal]]</f>
        <v>6.2972743141028502</v>
      </c>
      <c r="O89" s="11">
        <f>Rådata[[#This Row],[B12]]/Rådata[[#This Row],[B02]]-1</f>
        <v>-1.3323983169705511E-2</v>
      </c>
      <c r="P89" s="11">
        <f>Rådata[[#This Row],[Kvinner20-39]]/Rådata[[#This Row],[B12]]</f>
        <v>0.10589907604832978</v>
      </c>
      <c r="Q89" s="11">
        <f>Rådata[[#This Row],[Eldre67+]]/Rådata[[#This Row],[B12]]</f>
        <v>0.16796967543236199</v>
      </c>
      <c r="R89" s="11">
        <f>Rådata[[#This Row],[S11]]/Rådata[[#This Row],[S01]]-1</f>
        <v>0.1034288926363125</v>
      </c>
      <c r="S89" s="11">
        <f>Rådata[[#This Row],[Y11]]/Rådata[[#This Row],[Folk20-64]]</f>
        <v>0.89804772234273322</v>
      </c>
    </row>
    <row r="90" spans="1:19" s="10" customFormat="1" ht="12.75">
      <c r="A90" s="10" t="s">
        <v>143</v>
      </c>
      <c r="B90" s="10">
        <v>8158</v>
      </c>
      <c r="C90" s="10">
        <v>8768</v>
      </c>
      <c r="D90" s="10">
        <v>926.75</v>
      </c>
      <c r="E90" s="10">
        <v>4450</v>
      </c>
      <c r="F90" s="10">
        <v>1405</v>
      </c>
      <c r="G90" s="10">
        <v>1023</v>
      </c>
      <c r="H90" s="10">
        <v>5104</v>
      </c>
      <c r="I90" s="10">
        <v>3853</v>
      </c>
      <c r="J90" s="10">
        <v>4404</v>
      </c>
      <c r="K90" s="10">
        <v>295.99943208568652</v>
      </c>
      <c r="L90" s="11">
        <v>10</v>
      </c>
      <c r="M90" s="12">
        <v>313620.84043157299</v>
      </c>
      <c r="N90" s="11">
        <f>Rådata[[#This Row],[B12]]/Rådata[[#This Row],[Totalareal]]</f>
        <v>9.4610196924736982</v>
      </c>
      <c r="O90" s="11">
        <f>Rådata[[#This Row],[B12]]/Rådata[[#This Row],[B02]]-1</f>
        <v>7.4773228732532449E-2</v>
      </c>
      <c r="P90" s="11">
        <f>Rådata[[#This Row],[Kvinner20-39]]/Rådata[[#This Row],[B12]]</f>
        <v>0.11667427007299271</v>
      </c>
      <c r="Q90" s="11">
        <f>Rådata[[#This Row],[Eldre67+]]/Rådata[[#This Row],[B12]]</f>
        <v>0.16024178832116789</v>
      </c>
      <c r="R90" s="11">
        <f>Rådata[[#This Row],[S11]]/Rådata[[#This Row],[S01]]-1</f>
        <v>0.14300545029846878</v>
      </c>
      <c r="S90" s="11">
        <f>Rådata[[#This Row],[Y11]]/Rådata[[#This Row],[Folk20-64]]</f>
        <v>0.87186520376175547</v>
      </c>
    </row>
    <row r="91" spans="1:19" s="10" customFormat="1" ht="12.75">
      <c r="A91" s="10" t="s">
        <v>144</v>
      </c>
      <c r="B91" s="10">
        <v>9762</v>
      </c>
      <c r="C91" s="10">
        <v>9703</v>
      </c>
      <c r="D91" s="10">
        <v>457.35999999999996</v>
      </c>
      <c r="E91" s="10">
        <v>4646</v>
      </c>
      <c r="F91" s="10">
        <v>1632</v>
      </c>
      <c r="G91" s="10">
        <v>1025</v>
      </c>
      <c r="H91" s="10">
        <v>5404</v>
      </c>
      <c r="I91" s="10">
        <v>3952</v>
      </c>
      <c r="J91" s="10">
        <v>4127</v>
      </c>
      <c r="K91" s="10">
        <v>179.22156812890836</v>
      </c>
      <c r="L91" s="11">
        <v>10</v>
      </c>
      <c r="M91" s="12">
        <v>311886.87823834195</v>
      </c>
      <c r="N91" s="11">
        <f>Rådata[[#This Row],[B12]]/Rådata[[#This Row],[Totalareal]]</f>
        <v>21.215235263249959</v>
      </c>
      <c r="O91" s="11">
        <f>Rådata[[#This Row],[B12]]/Rådata[[#This Row],[B02]]-1</f>
        <v>-6.0438434746977743E-3</v>
      </c>
      <c r="P91" s="11">
        <f>Rådata[[#This Row],[Kvinner20-39]]/Rådata[[#This Row],[B12]]</f>
        <v>0.10563743172214779</v>
      </c>
      <c r="Q91" s="11">
        <f>Rådata[[#This Row],[Eldre67+]]/Rådata[[#This Row],[B12]]</f>
        <v>0.16819540348345871</v>
      </c>
      <c r="R91" s="11">
        <f>Rådata[[#This Row],[S11]]/Rådata[[#This Row],[S01]]-1</f>
        <v>4.4281376518218618E-2</v>
      </c>
      <c r="S91" s="11">
        <f>Rådata[[#This Row],[Y11]]/Rådata[[#This Row],[Folk20-64]]</f>
        <v>0.85973353071798664</v>
      </c>
    </row>
    <row r="92" spans="1:19" s="10" customFormat="1" ht="12.75">
      <c r="A92" s="10" t="s">
        <v>145</v>
      </c>
      <c r="B92" s="10">
        <v>4473</v>
      </c>
      <c r="C92" s="10">
        <v>4244</v>
      </c>
      <c r="D92" s="10">
        <v>1330</v>
      </c>
      <c r="E92" s="10">
        <v>2142</v>
      </c>
      <c r="F92" s="10">
        <v>864</v>
      </c>
      <c r="G92" s="10">
        <v>374</v>
      </c>
      <c r="H92" s="10">
        <v>2279</v>
      </c>
      <c r="I92" s="10">
        <v>1947</v>
      </c>
      <c r="J92" s="10">
        <v>1982</v>
      </c>
      <c r="K92" s="10">
        <v>230.42989884862806</v>
      </c>
      <c r="L92" s="11">
        <v>11</v>
      </c>
      <c r="M92" s="12">
        <v>297004.07396706153</v>
      </c>
      <c r="N92" s="11">
        <f>Rådata[[#This Row],[B12]]/Rådata[[#This Row],[Totalareal]]</f>
        <v>3.1909774436090226</v>
      </c>
      <c r="O92" s="11">
        <f>Rådata[[#This Row],[B12]]/Rådata[[#This Row],[B02]]-1</f>
        <v>-5.11960652805723E-2</v>
      </c>
      <c r="P92" s="11">
        <f>Rådata[[#This Row],[Kvinner20-39]]/Rådata[[#This Row],[B12]]</f>
        <v>8.8124410933082001E-2</v>
      </c>
      <c r="Q92" s="11">
        <f>Rådata[[#This Row],[Eldre67+]]/Rådata[[#This Row],[B12]]</f>
        <v>0.20358152686145145</v>
      </c>
      <c r="R92" s="11">
        <f>Rådata[[#This Row],[S11]]/Rådata[[#This Row],[S01]]-1</f>
        <v>1.7976373908577203E-2</v>
      </c>
      <c r="S92" s="11">
        <f>Rådata[[#This Row],[Y11]]/Rådata[[#This Row],[Folk20-64]]</f>
        <v>0.93988591487494511</v>
      </c>
    </row>
    <row r="93" spans="1:19" s="10" customFormat="1" ht="12.75">
      <c r="A93" s="10" t="s">
        <v>146</v>
      </c>
      <c r="B93" s="10">
        <v>1152</v>
      </c>
      <c r="C93" s="10">
        <v>1020</v>
      </c>
      <c r="D93" s="10">
        <v>387.48</v>
      </c>
      <c r="E93" s="10">
        <v>485</v>
      </c>
      <c r="F93" s="10">
        <v>227</v>
      </c>
      <c r="G93" s="10">
        <v>87</v>
      </c>
      <c r="H93" s="10">
        <v>525</v>
      </c>
      <c r="I93" s="10">
        <v>429</v>
      </c>
      <c r="J93" s="10">
        <v>402</v>
      </c>
      <c r="K93" s="10">
        <v>267.2582173358</v>
      </c>
      <c r="L93" s="11">
        <v>11</v>
      </c>
      <c r="M93" s="12">
        <v>302200</v>
      </c>
      <c r="N93" s="11">
        <f>Rådata[[#This Row],[B12]]/Rådata[[#This Row],[Totalareal]]</f>
        <v>2.6323939300092909</v>
      </c>
      <c r="O93" s="11">
        <f>Rådata[[#This Row],[B12]]/Rådata[[#This Row],[B02]]-1</f>
        <v>-0.11458333333333337</v>
      </c>
      <c r="P93" s="11">
        <f>Rådata[[#This Row],[Kvinner20-39]]/Rådata[[#This Row],[B12]]</f>
        <v>8.5294117647058826E-2</v>
      </c>
      <c r="Q93" s="11">
        <f>Rådata[[#This Row],[Eldre67+]]/Rådata[[#This Row],[B12]]</f>
        <v>0.22254901960784312</v>
      </c>
      <c r="R93" s="11">
        <f>Rådata[[#This Row],[S11]]/Rådata[[#This Row],[S01]]-1</f>
        <v>-6.2937062937062915E-2</v>
      </c>
      <c r="S93" s="11">
        <f>Rådata[[#This Row],[Y11]]/Rådata[[#This Row],[Folk20-64]]</f>
        <v>0.92380952380952386</v>
      </c>
    </row>
    <row r="94" spans="1:19" s="10" customFormat="1" ht="12.75">
      <c r="A94" s="10" t="s">
        <v>147</v>
      </c>
      <c r="B94" s="10">
        <v>9054</v>
      </c>
      <c r="C94" s="10">
        <v>9324</v>
      </c>
      <c r="D94" s="10">
        <v>3222.08</v>
      </c>
      <c r="E94" s="10">
        <v>4833</v>
      </c>
      <c r="F94" s="10">
        <v>1585</v>
      </c>
      <c r="G94" s="10">
        <v>972</v>
      </c>
      <c r="H94" s="10">
        <v>5182</v>
      </c>
      <c r="I94" s="10">
        <v>4263</v>
      </c>
      <c r="J94" s="10">
        <v>4386</v>
      </c>
      <c r="K94" s="10">
        <v>265.21708657918037</v>
      </c>
      <c r="L94" s="11">
        <v>9</v>
      </c>
      <c r="M94" s="12">
        <v>305465.82039162726</v>
      </c>
      <c r="N94" s="11">
        <f>Rådata[[#This Row],[B12]]/Rådata[[#This Row],[Totalareal]]</f>
        <v>2.8937828980037739</v>
      </c>
      <c r="O94" s="11">
        <f>Rådata[[#This Row],[B12]]/Rådata[[#This Row],[B02]]-1</f>
        <v>2.9821073558648159E-2</v>
      </c>
      <c r="P94" s="11">
        <f>Rådata[[#This Row],[Kvinner20-39]]/Rådata[[#This Row],[B12]]</f>
        <v>0.10424710424710425</v>
      </c>
      <c r="Q94" s="11">
        <f>Rådata[[#This Row],[Eldre67+]]/Rådata[[#This Row],[B12]]</f>
        <v>0.16999141999141998</v>
      </c>
      <c r="R94" s="11">
        <f>Rådata[[#This Row],[S11]]/Rådata[[#This Row],[S01]]-1</f>
        <v>2.8852920478536159E-2</v>
      </c>
      <c r="S94" s="11">
        <f>Rådata[[#This Row],[Y11]]/Rådata[[#This Row],[Folk20-64]]</f>
        <v>0.93265148591277502</v>
      </c>
    </row>
    <row r="95" spans="1:19" s="10" customFormat="1" ht="12.75">
      <c r="A95" s="10" t="s">
        <v>148</v>
      </c>
      <c r="B95" s="10">
        <v>17239</v>
      </c>
      <c r="C95" s="10">
        <v>18049</v>
      </c>
      <c r="D95" s="10">
        <v>2033.6699999999998</v>
      </c>
      <c r="E95" s="10">
        <v>9067</v>
      </c>
      <c r="F95" s="10">
        <v>2853</v>
      </c>
      <c r="G95" s="10">
        <v>1986</v>
      </c>
      <c r="H95" s="10">
        <v>10333</v>
      </c>
      <c r="I95" s="10">
        <v>7596</v>
      </c>
      <c r="J95" s="10">
        <v>8255</v>
      </c>
      <c r="K95" s="10">
        <v>216.99488098125366</v>
      </c>
      <c r="L95" s="11">
        <v>5</v>
      </c>
      <c r="M95" s="12">
        <v>313563.54319180088</v>
      </c>
      <c r="N95" s="11">
        <f>Rådata[[#This Row],[B12]]/Rådata[[#This Row],[Totalareal]]</f>
        <v>8.8750878952829133</v>
      </c>
      <c r="O95" s="11">
        <f>Rådata[[#This Row],[B12]]/Rådata[[#This Row],[B02]]-1</f>
        <v>4.6986484134810658E-2</v>
      </c>
      <c r="P95" s="11">
        <f>Rådata[[#This Row],[Kvinner20-39]]/Rådata[[#This Row],[B12]]</f>
        <v>0.11003379688625409</v>
      </c>
      <c r="Q95" s="11">
        <f>Rådata[[#This Row],[Eldre67+]]/Rådata[[#This Row],[B12]]</f>
        <v>0.15806969915230762</v>
      </c>
      <c r="R95" s="11">
        <f>Rådata[[#This Row],[S11]]/Rådata[[#This Row],[S01]]-1</f>
        <v>8.6756187467087909E-2</v>
      </c>
      <c r="S95" s="11">
        <f>Rådata[[#This Row],[Y11]]/Rådata[[#This Row],[Folk20-64]]</f>
        <v>0.87747991870705511</v>
      </c>
    </row>
    <row r="96" spans="1:19" s="10" customFormat="1" ht="12.75">
      <c r="A96" s="10" t="s">
        <v>149</v>
      </c>
      <c r="B96" s="10">
        <v>9937</v>
      </c>
      <c r="C96" s="10">
        <v>9657</v>
      </c>
      <c r="D96" s="10">
        <v>4206.3600000000006</v>
      </c>
      <c r="E96" s="10">
        <v>5134</v>
      </c>
      <c r="F96" s="10">
        <v>1767</v>
      </c>
      <c r="G96" s="10">
        <v>986</v>
      </c>
      <c r="H96" s="10">
        <v>5368</v>
      </c>
      <c r="I96" s="10">
        <v>4756</v>
      </c>
      <c r="J96" s="10">
        <v>4860</v>
      </c>
      <c r="K96" s="10">
        <v>161.28128219857652</v>
      </c>
      <c r="L96" s="11">
        <v>9</v>
      </c>
      <c r="M96" s="12">
        <v>306871.95481966372</v>
      </c>
      <c r="N96" s="11">
        <f>Rådata[[#This Row],[B12]]/Rådata[[#This Row],[Totalareal]]</f>
        <v>2.2958092032065727</v>
      </c>
      <c r="O96" s="11">
        <f>Rådata[[#This Row],[B12]]/Rådata[[#This Row],[B02]]-1</f>
        <v>-2.8177518365703924E-2</v>
      </c>
      <c r="P96" s="11">
        <f>Rådata[[#This Row],[Kvinner20-39]]/Rådata[[#This Row],[B12]]</f>
        <v>0.1021021021021021</v>
      </c>
      <c r="Q96" s="11">
        <f>Rådata[[#This Row],[Eldre67+]]/Rådata[[#This Row],[B12]]</f>
        <v>0.18297607952780368</v>
      </c>
      <c r="R96" s="11">
        <f>Rådata[[#This Row],[S11]]/Rådata[[#This Row],[S01]]-1</f>
        <v>2.1867115222876432E-2</v>
      </c>
      <c r="S96" s="11">
        <f>Rådata[[#This Row],[Y11]]/Rådata[[#This Row],[Folk20-64]]</f>
        <v>0.95640834575260802</v>
      </c>
    </row>
    <row r="97" spans="1:19" s="10" customFormat="1" ht="12.75">
      <c r="A97" s="10" t="s">
        <v>150</v>
      </c>
      <c r="B97" s="10">
        <v>914</v>
      </c>
      <c r="C97" s="10">
        <v>870</v>
      </c>
      <c r="D97" s="10">
        <v>1329.21</v>
      </c>
      <c r="E97" s="10">
        <v>474</v>
      </c>
      <c r="F97" s="10">
        <v>193</v>
      </c>
      <c r="G97" s="10">
        <v>92</v>
      </c>
      <c r="H97" s="10">
        <v>477</v>
      </c>
      <c r="I97" s="10">
        <v>413</v>
      </c>
      <c r="J97" s="10">
        <v>406</v>
      </c>
      <c r="K97" s="10">
        <v>203.073546593</v>
      </c>
      <c r="L97" s="11">
        <v>11</v>
      </c>
      <c r="M97" s="12">
        <v>294700</v>
      </c>
      <c r="N97" s="11">
        <f>Rådata[[#This Row],[B12]]/Rådata[[#This Row],[Totalareal]]</f>
        <v>0.65452411582819869</v>
      </c>
      <c r="O97" s="11">
        <f>Rådata[[#This Row],[B12]]/Rådata[[#This Row],[B02]]-1</f>
        <v>-4.8140043763676199E-2</v>
      </c>
      <c r="P97" s="11">
        <f>Rådata[[#This Row],[Kvinner20-39]]/Rådata[[#This Row],[B12]]</f>
        <v>0.10574712643678161</v>
      </c>
      <c r="Q97" s="11">
        <f>Rådata[[#This Row],[Eldre67+]]/Rådata[[#This Row],[B12]]</f>
        <v>0.2218390804597701</v>
      </c>
      <c r="R97" s="11">
        <f>Rådata[[#This Row],[S11]]/Rådata[[#This Row],[S01]]-1</f>
        <v>-1.6949152542372836E-2</v>
      </c>
      <c r="S97" s="11">
        <f>Rådata[[#This Row],[Y11]]/Rådata[[#This Row],[Folk20-64]]</f>
        <v>0.99371069182389937</v>
      </c>
    </row>
    <row r="98" spans="1:19" s="10" customFormat="1" ht="12.75">
      <c r="A98" s="10" t="s">
        <v>151</v>
      </c>
      <c r="B98" s="10">
        <v>32257</v>
      </c>
      <c r="C98" s="10">
        <v>32857</v>
      </c>
      <c r="D98" s="10">
        <v>4873.71</v>
      </c>
      <c r="E98" s="10">
        <v>16142</v>
      </c>
      <c r="F98" s="10">
        <v>5335</v>
      </c>
      <c r="G98" s="10">
        <v>3408</v>
      </c>
      <c r="H98" s="10">
        <v>18519</v>
      </c>
      <c r="I98" s="10">
        <v>13454</v>
      </c>
      <c r="J98" s="10">
        <v>14765</v>
      </c>
      <c r="K98" s="10">
        <v>228.63077878776969</v>
      </c>
      <c r="L98" s="11">
        <v>6</v>
      </c>
      <c r="M98" s="12">
        <v>307978.71150605177</v>
      </c>
      <c r="N98" s="11">
        <f>Rådata[[#This Row],[B12]]/Rådata[[#This Row],[Totalareal]]</f>
        <v>6.7416813885110107</v>
      </c>
      <c r="O98" s="11">
        <f>Rådata[[#This Row],[B12]]/Rådata[[#This Row],[B02]]-1</f>
        <v>1.8600613820256129E-2</v>
      </c>
      <c r="P98" s="11">
        <f>Rådata[[#This Row],[Kvinner20-39]]/Rådata[[#This Row],[B12]]</f>
        <v>0.10372219009647868</v>
      </c>
      <c r="Q98" s="11">
        <f>Rådata[[#This Row],[Eldre67+]]/Rådata[[#This Row],[B12]]</f>
        <v>0.16237027117509206</v>
      </c>
      <c r="R98" s="11">
        <f>Rådata[[#This Row],[S11]]/Rådata[[#This Row],[S01]]-1</f>
        <v>9.7443139586740113E-2</v>
      </c>
      <c r="S98" s="11">
        <f>Rådata[[#This Row],[Y11]]/Rådata[[#This Row],[Folk20-64]]</f>
        <v>0.87164533722123227</v>
      </c>
    </row>
    <row r="99" spans="1:19" s="10" customFormat="1" ht="12.75">
      <c r="A99" s="10" t="s">
        <v>152</v>
      </c>
      <c r="B99" s="10">
        <v>22428</v>
      </c>
      <c r="C99" s="10">
        <v>22667</v>
      </c>
      <c r="D99" s="10">
        <v>4712.8100000000004</v>
      </c>
      <c r="E99" s="10">
        <v>11504</v>
      </c>
      <c r="F99" s="10">
        <v>3445</v>
      </c>
      <c r="G99" s="10">
        <v>2604</v>
      </c>
      <c r="H99" s="10">
        <v>12636</v>
      </c>
      <c r="I99" s="10">
        <v>10197</v>
      </c>
      <c r="J99" s="10">
        <v>11154</v>
      </c>
      <c r="K99" s="10">
        <v>225.55040931499039</v>
      </c>
      <c r="L99" s="11">
        <v>6</v>
      </c>
      <c r="M99" s="12">
        <v>316294.15834845736</v>
      </c>
      <c r="N99" s="11">
        <f>Rådata[[#This Row],[B12]]/Rådata[[#This Row],[Totalareal]]</f>
        <v>4.8096570835658552</v>
      </c>
      <c r="O99" s="11">
        <f>Rådata[[#This Row],[B12]]/Rådata[[#This Row],[B02]]-1</f>
        <v>1.0656322454075218E-2</v>
      </c>
      <c r="P99" s="11">
        <f>Rådata[[#This Row],[Kvinner20-39]]/Rådata[[#This Row],[B12]]</f>
        <v>0.11488066351965412</v>
      </c>
      <c r="Q99" s="11">
        <f>Rådata[[#This Row],[Eldre67+]]/Rådata[[#This Row],[B12]]</f>
        <v>0.15198305907266069</v>
      </c>
      <c r="R99" s="11">
        <f>Rådata[[#This Row],[S11]]/Rådata[[#This Row],[S01]]-1</f>
        <v>9.3851132686084249E-2</v>
      </c>
      <c r="S99" s="11">
        <f>Rådata[[#This Row],[Y11]]/Rådata[[#This Row],[Folk20-64]]</f>
        <v>0.91041468819246596</v>
      </c>
    </row>
    <row r="100" spans="1:19" s="10" customFormat="1" ht="12.75">
      <c r="A100" s="10" t="s">
        <v>153</v>
      </c>
      <c r="B100" s="10">
        <v>2559</v>
      </c>
      <c r="C100" s="10">
        <v>2513</v>
      </c>
      <c r="D100" s="10">
        <v>1273.4100000000001</v>
      </c>
      <c r="E100" s="10">
        <v>1164</v>
      </c>
      <c r="F100" s="10">
        <v>465</v>
      </c>
      <c r="G100" s="10">
        <v>267</v>
      </c>
      <c r="H100" s="10">
        <v>1420</v>
      </c>
      <c r="I100" s="10">
        <v>1112</v>
      </c>
      <c r="J100" s="10">
        <v>967</v>
      </c>
      <c r="K100" s="10">
        <v>198.31502900409998</v>
      </c>
      <c r="L100" s="11">
        <v>5</v>
      </c>
      <c r="M100" s="12">
        <v>287700</v>
      </c>
      <c r="N100" s="11">
        <f>Rådata[[#This Row],[B12]]/Rådata[[#This Row],[Totalareal]]</f>
        <v>1.9734413896545495</v>
      </c>
      <c r="O100" s="11">
        <f>Rådata[[#This Row],[B12]]/Rådata[[#This Row],[B02]]-1</f>
        <v>-1.7975771785853856E-2</v>
      </c>
      <c r="P100" s="11">
        <f>Rådata[[#This Row],[Kvinner20-39]]/Rådata[[#This Row],[B12]]</f>
        <v>0.1062475129327497</v>
      </c>
      <c r="Q100" s="11">
        <f>Rådata[[#This Row],[Eldre67+]]/Rådata[[#This Row],[B12]]</f>
        <v>0.18503780342220455</v>
      </c>
      <c r="R100" s="11">
        <f>Rådata[[#This Row],[S11]]/Rådata[[#This Row],[S01]]-1</f>
        <v>-0.13039568345323738</v>
      </c>
      <c r="S100" s="11">
        <f>Rådata[[#This Row],[Y11]]/Rådata[[#This Row],[Folk20-64]]</f>
        <v>0.81971830985915495</v>
      </c>
    </row>
    <row r="101" spans="1:19" s="10" customFormat="1" ht="12.75">
      <c r="A101" s="10" t="s">
        <v>154</v>
      </c>
      <c r="B101" s="10">
        <v>33682</v>
      </c>
      <c r="C101" s="10">
        <v>35927</v>
      </c>
      <c r="D101" s="10">
        <v>2269.5500000000002</v>
      </c>
      <c r="E101" s="10">
        <v>17885</v>
      </c>
      <c r="F101" s="10">
        <v>4944</v>
      </c>
      <c r="G101" s="10">
        <v>4243</v>
      </c>
      <c r="H101" s="10">
        <v>20560</v>
      </c>
      <c r="I101" s="10">
        <v>14779</v>
      </c>
      <c r="J101" s="10">
        <v>16762</v>
      </c>
      <c r="K101" s="10">
        <v>197.88142254466996</v>
      </c>
      <c r="L101" s="11">
        <v>5</v>
      </c>
      <c r="M101" s="12">
        <v>313938.21851376409</v>
      </c>
      <c r="N101" s="11">
        <f>Rådata[[#This Row],[B12]]/Rådata[[#This Row],[Totalareal]]</f>
        <v>15.830010354475556</v>
      </c>
      <c r="O101" s="11">
        <f>Rådata[[#This Row],[B12]]/Rådata[[#This Row],[B02]]-1</f>
        <v>6.6652811590760752E-2</v>
      </c>
      <c r="P101" s="11">
        <f>Rådata[[#This Row],[Kvinner20-39]]/Rådata[[#This Row],[B12]]</f>
        <v>0.11810059286887299</v>
      </c>
      <c r="Q101" s="11">
        <f>Rådata[[#This Row],[Eldre67+]]/Rådata[[#This Row],[B12]]</f>
        <v>0.13761238066078438</v>
      </c>
      <c r="R101" s="11">
        <f>Rådata[[#This Row],[S11]]/Rådata[[#This Row],[S01]]-1</f>
        <v>0.13417687258948519</v>
      </c>
      <c r="S101" s="11">
        <f>Rådata[[#This Row],[Y11]]/Rådata[[#This Row],[Folk20-64]]</f>
        <v>0.86989299610894943</v>
      </c>
    </row>
    <row r="102" spans="1:19" s="10" customFormat="1" ht="12.75">
      <c r="A102" s="10" t="s">
        <v>155</v>
      </c>
      <c r="B102" s="10">
        <v>1558</v>
      </c>
      <c r="C102" s="10">
        <v>1410</v>
      </c>
      <c r="D102" s="10">
        <v>2961.71</v>
      </c>
      <c r="E102" s="10">
        <v>746</v>
      </c>
      <c r="F102" s="10">
        <v>266</v>
      </c>
      <c r="G102" s="10">
        <v>139</v>
      </c>
      <c r="H102" s="10">
        <v>774</v>
      </c>
      <c r="I102" s="10">
        <v>641</v>
      </c>
      <c r="J102" s="10">
        <v>641</v>
      </c>
      <c r="K102" s="10">
        <v>304.97622563970003</v>
      </c>
      <c r="L102" s="11">
        <v>11</v>
      </c>
      <c r="M102" s="12">
        <v>297200</v>
      </c>
      <c r="N102" s="11">
        <f>Rådata[[#This Row],[B12]]/Rådata[[#This Row],[Totalareal]]</f>
        <v>0.47607632077414735</v>
      </c>
      <c r="O102" s="11">
        <f>Rådata[[#This Row],[B12]]/Rådata[[#This Row],[B02]]-1</f>
        <v>-9.499358151476256E-2</v>
      </c>
      <c r="P102" s="11">
        <f>Rådata[[#This Row],[Kvinner20-39]]/Rådata[[#This Row],[B12]]</f>
        <v>9.8581560283687947E-2</v>
      </c>
      <c r="Q102" s="11">
        <f>Rådata[[#This Row],[Eldre67+]]/Rådata[[#This Row],[B12]]</f>
        <v>0.18865248226950354</v>
      </c>
      <c r="R102" s="11">
        <f>Rådata[[#This Row],[S11]]/Rådata[[#This Row],[S01]]-1</f>
        <v>0</v>
      </c>
      <c r="S102" s="11">
        <f>Rådata[[#This Row],[Y11]]/Rådata[[#This Row],[Folk20-64]]</f>
        <v>0.96382428940568476</v>
      </c>
    </row>
    <row r="103" spans="1:19" s="10" customFormat="1" ht="12.75">
      <c r="A103" s="10" t="s">
        <v>156</v>
      </c>
      <c r="B103" s="10">
        <v>563</v>
      </c>
      <c r="C103" s="10">
        <v>494</v>
      </c>
      <c r="D103" s="10">
        <v>1584.7600000000002</v>
      </c>
      <c r="E103" s="10">
        <v>265</v>
      </c>
      <c r="F103" s="10">
        <v>102</v>
      </c>
      <c r="G103" s="10">
        <v>48</v>
      </c>
      <c r="H103" s="10">
        <v>268</v>
      </c>
      <c r="I103" s="10">
        <v>232</v>
      </c>
      <c r="J103" s="10">
        <v>210</v>
      </c>
      <c r="K103" s="10">
        <v>317.791532485</v>
      </c>
      <c r="L103" s="11">
        <v>11</v>
      </c>
      <c r="M103" s="12">
        <v>300900</v>
      </c>
      <c r="N103" s="11">
        <f>Rådata[[#This Row],[B12]]/Rådata[[#This Row],[Totalareal]]</f>
        <v>0.31171912466240942</v>
      </c>
      <c r="O103" s="11">
        <f>Rådata[[#This Row],[B12]]/Rådata[[#This Row],[B02]]-1</f>
        <v>-0.12255772646536411</v>
      </c>
      <c r="P103" s="11">
        <f>Rådata[[#This Row],[Kvinner20-39]]/Rådata[[#This Row],[B12]]</f>
        <v>9.7165991902834009E-2</v>
      </c>
      <c r="Q103" s="11">
        <f>Rådata[[#This Row],[Eldre67+]]/Rådata[[#This Row],[B12]]</f>
        <v>0.20647773279352227</v>
      </c>
      <c r="R103" s="11">
        <f>Rådata[[#This Row],[S11]]/Rådata[[#This Row],[S01]]-1</f>
        <v>-9.4827586206896575E-2</v>
      </c>
      <c r="S103" s="11">
        <f>Rådata[[#This Row],[Y11]]/Rådata[[#This Row],[Folk20-64]]</f>
        <v>0.98880597014925375</v>
      </c>
    </row>
    <row r="104" spans="1:19" s="10" customFormat="1" ht="12.75">
      <c r="A104" s="10" t="s">
        <v>157</v>
      </c>
      <c r="B104" s="10">
        <v>969</v>
      </c>
      <c r="C104" s="10">
        <v>916</v>
      </c>
      <c r="D104" s="10">
        <v>1417.16</v>
      </c>
      <c r="E104" s="10">
        <v>442</v>
      </c>
      <c r="F104" s="10">
        <v>202</v>
      </c>
      <c r="G104" s="10">
        <v>75</v>
      </c>
      <c r="H104" s="10">
        <v>464</v>
      </c>
      <c r="I104" s="10">
        <v>415</v>
      </c>
      <c r="J104" s="10">
        <v>400</v>
      </c>
      <c r="K104" s="10">
        <v>303.37588427659995</v>
      </c>
      <c r="L104" s="11">
        <v>11</v>
      </c>
      <c r="M104" s="12">
        <v>296800</v>
      </c>
      <c r="N104" s="11">
        <f>Rådata[[#This Row],[B12]]/Rådata[[#This Row],[Totalareal]]</f>
        <v>0.64636314883287693</v>
      </c>
      <c r="O104" s="11">
        <f>Rådata[[#This Row],[B12]]/Rådata[[#This Row],[B02]]-1</f>
        <v>-5.4695562435500555E-2</v>
      </c>
      <c r="P104" s="11">
        <f>Rådata[[#This Row],[Kvinner20-39]]/Rådata[[#This Row],[B12]]</f>
        <v>8.1877729257641918E-2</v>
      </c>
      <c r="Q104" s="11">
        <f>Rådata[[#This Row],[Eldre67+]]/Rådata[[#This Row],[B12]]</f>
        <v>0.2205240174672489</v>
      </c>
      <c r="R104" s="11">
        <f>Rådata[[#This Row],[S11]]/Rådata[[#This Row],[S01]]-1</f>
        <v>-3.6144578313253017E-2</v>
      </c>
      <c r="S104" s="11">
        <f>Rådata[[#This Row],[Y11]]/Rådata[[#This Row],[Folk20-64]]</f>
        <v>0.95258620689655171</v>
      </c>
    </row>
    <row r="105" spans="1:19" s="10" customFormat="1" ht="12.75">
      <c r="A105" s="10" t="s">
        <v>158</v>
      </c>
      <c r="B105" s="10">
        <v>1254</v>
      </c>
      <c r="C105" s="10">
        <v>1141</v>
      </c>
      <c r="D105" s="10">
        <v>459.3</v>
      </c>
      <c r="E105" s="10">
        <v>598</v>
      </c>
      <c r="F105" s="10">
        <v>216</v>
      </c>
      <c r="G105" s="10">
        <v>91</v>
      </c>
      <c r="H105" s="10">
        <v>615</v>
      </c>
      <c r="I105" s="10">
        <v>469</v>
      </c>
      <c r="J105" s="10">
        <v>513</v>
      </c>
      <c r="K105" s="10">
        <v>266.4131057852</v>
      </c>
      <c r="L105" s="11">
        <v>11</v>
      </c>
      <c r="M105" s="12">
        <v>279700</v>
      </c>
      <c r="N105" s="11">
        <f>Rådata[[#This Row],[B12]]/Rådata[[#This Row],[Totalareal]]</f>
        <v>2.4842151099499237</v>
      </c>
      <c r="O105" s="11">
        <f>Rådata[[#This Row],[B12]]/Rådata[[#This Row],[B02]]-1</f>
        <v>-9.0111642743221698E-2</v>
      </c>
      <c r="P105" s="11">
        <f>Rådata[[#This Row],[Kvinner20-39]]/Rådata[[#This Row],[B12]]</f>
        <v>7.9754601226993863E-2</v>
      </c>
      <c r="Q105" s="11">
        <f>Rådata[[#This Row],[Eldre67+]]/Rådata[[#This Row],[B12]]</f>
        <v>0.18930762489044697</v>
      </c>
      <c r="R105" s="11">
        <f>Rådata[[#This Row],[S11]]/Rådata[[#This Row],[S01]]-1</f>
        <v>9.3816631130063888E-2</v>
      </c>
      <c r="S105" s="11">
        <f>Rådata[[#This Row],[Y11]]/Rådata[[#This Row],[Folk20-64]]</f>
        <v>0.97235772357723582</v>
      </c>
    </row>
    <row r="106" spans="1:19" s="10" customFormat="1" ht="12.75">
      <c r="A106" s="10" t="s">
        <v>159</v>
      </c>
      <c r="B106" s="10">
        <v>9247</v>
      </c>
      <c r="C106" s="10">
        <v>9310</v>
      </c>
      <c r="D106" s="10">
        <v>1384.83</v>
      </c>
      <c r="E106" s="10">
        <v>4731</v>
      </c>
      <c r="F106" s="10">
        <v>1461</v>
      </c>
      <c r="G106" s="10">
        <v>1008</v>
      </c>
      <c r="H106" s="10">
        <v>5239</v>
      </c>
      <c r="I106" s="10">
        <v>4094</v>
      </c>
      <c r="J106" s="10">
        <v>4440</v>
      </c>
      <c r="K106" s="10">
        <v>226.9696132105459</v>
      </c>
      <c r="L106" s="11">
        <v>9</v>
      </c>
      <c r="M106" s="12">
        <v>318585.86523946753</v>
      </c>
      <c r="N106" s="11">
        <f>Rådata[[#This Row],[B12]]/Rådata[[#This Row],[Totalareal]]</f>
        <v>6.7228468476275074</v>
      </c>
      <c r="O106" s="11">
        <f>Rådata[[#This Row],[B12]]/Rådata[[#This Row],[B02]]-1</f>
        <v>6.8130204390612903E-3</v>
      </c>
      <c r="P106" s="11">
        <f>Rådata[[#This Row],[Kvinner20-39]]/Rådata[[#This Row],[B12]]</f>
        <v>0.10827067669172932</v>
      </c>
      <c r="Q106" s="11">
        <f>Rådata[[#This Row],[Eldre67+]]/Rådata[[#This Row],[B12]]</f>
        <v>0.1569280343716434</v>
      </c>
      <c r="R106" s="11">
        <f>Rådata[[#This Row],[S11]]/Rådata[[#This Row],[S01]]-1</f>
        <v>8.4513922813874043E-2</v>
      </c>
      <c r="S106" s="11">
        <f>Rådata[[#This Row],[Y11]]/Rådata[[#This Row],[Folk20-64]]</f>
        <v>0.90303493033021565</v>
      </c>
    </row>
    <row r="107" spans="1:19" s="10" customFormat="1" ht="12.75">
      <c r="A107" s="10" t="s">
        <v>160</v>
      </c>
      <c r="B107" s="10">
        <v>684</v>
      </c>
      <c r="C107" s="10">
        <v>573</v>
      </c>
      <c r="D107" s="10">
        <v>109.48</v>
      </c>
      <c r="E107" s="10">
        <v>296</v>
      </c>
      <c r="F107" s="10">
        <v>140</v>
      </c>
      <c r="G107" s="10">
        <v>50</v>
      </c>
      <c r="H107" s="10">
        <v>294</v>
      </c>
      <c r="I107" s="10">
        <v>257</v>
      </c>
      <c r="J107" s="10">
        <v>267</v>
      </c>
      <c r="K107" s="10">
        <v>296.17561002799999</v>
      </c>
      <c r="L107" s="11">
        <v>11</v>
      </c>
      <c r="M107" s="12">
        <v>279500</v>
      </c>
      <c r="N107" s="11">
        <f>Rådata[[#This Row],[B12]]/Rådata[[#This Row],[Totalareal]]</f>
        <v>5.2338326635001824</v>
      </c>
      <c r="O107" s="11">
        <f>Rådata[[#This Row],[B12]]/Rådata[[#This Row],[B02]]-1</f>
        <v>-0.16228070175438591</v>
      </c>
      <c r="P107" s="11">
        <f>Rådata[[#This Row],[Kvinner20-39]]/Rådata[[#This Row],[B12]]</f>
        <v>8.7260034904013961E-2</v>
      </c>
      <c r="Q107" s="11">
        <f>Rådata[[#This Row],[Eldre67+]]/Rådata[[#This Row],[B12]]</f>
        <v>0.24432809773123909</v>
      </c>
      <c r="R107" s="11">
        <f>Rådata[[#This Row],[S11]]/Rådata[[#This Row],[S01]]-1</f>
        <v>3.8910505836575959E-2</v>
      </c>
      <c r="S107" s="11">
        <f>Rådata[[#This Row],[Y11]]/Rådata[[#This Row],[Folk20-64]]</f>
        <v>1.0068027210884354</v>
      </c>
    </row>
    <row r="108" spans="1:19" s="10" customFormat="1" ht="12.75">
      <c r="A108" s="10" t="s">
        <v>161</v>
      </c>
      <c r="B108" s="10">
        <v>45116</v>
      </c>
      <c r="C108" s="10">
        <v>50422</v>
      </c>
      <c r="D108" s="10">
        <v>2053.79</v>
      </c>
      <c r="E108" s="10">
        <v>27261</v>
      </c>
      <c r="F108" s="10">
        <v>5951</v>
      </c>
      <c r="G108" s="10">
        <v>6773</v>
      </c>
      <c r="H108" s="10">
        <v>30532</v>
      </c>
      <c r="I108" s="10">
        <v>24711</v>
      </c>
      <c r="J108" s="10">
        <v>27828</v>
      </c>
      <c r="K108" s="10">
        <v>195.80237442443513</v>
      </c>
      <c r="L108" s="11">
        <v>4</v>
      </c>
      <c r="M108" s="12">
        <v>355497.5435756027</v>
      </c>
      <c r="N108" s="11">
        <f>Rådata[[#This Row],[B12]]/Rådata[[#This Row],[Totalareal]]</f>
        <v>24.550708689788149</v>
      </c>
      <c r="O108" s="11">
        <f>Rådata[[#This Row],[B12]]/Rådata[[#This Row],[B02]]-1</f>
        <v>0.11760794396666374</v>
      </c>
      <c r="P108" s="11">
        <f>Rådata[[#This Row],[Kvinner20-39]]/Rådata[[#This Row],[B12]]</f>
        <v>0.13432628614493675</v>
      </c>
      <c r="Q108" s="11">
        <f>Rådata[[#This Row],[Eldre67+]]/Rådata[[#This Row],[B12]]</f>
        <v>0.11802387846574908</v>
      </c>
      <c r="R108" s="11">
        <f>Rådata[[#This Row],[S11]]/Rådata[[#This Row],[S01]]-1</f>
        <v>0.12613815709603005</v>
      </c>
      <c r="S108" s="11">
        <f>Rådata[[#This Row],[Y11]]/Rådata[[#This Row],[Folk20-64]]</f>
        <v>0.89286650072055551</v>
      </c>
    </row>
    <row r="109" spans="1:19" s="10" customFormat="1" ht="12.75">
      <c r="A109" s="10" t="s">
        <v>162</v>
      </c>
      <c r="B109" s="10">
        <v>22490</v>
      </c>
      <c r="C109" s="10">
        <v>22225</v>
      </c>
      <c r="D109" s="10">
        <v>3266.55</v>
      </c>
      <c r="E109" s="10">
        <v>10804</v>
      </c>
      <c r="F109" s="10">
        <v>3601</v>
      </c>
      <c r="G109" s="10">
        <v>2469</v>
      </c>
      <c r="H109" s="10">
        <v>12830</v>
      </c>
      <c r="I109" s="10">
        <v>10098</v>
      </c>
      <c r="J109" s="10">
        <v>10678</v>
      </c>
      <c r="K109" s="10">
        <v>260.62199083844848</v>
      </c>
      <c r="L109" s="11">
        <v>5</v>
      </c>
      <c r="M109" s="12">
        <v>329081.12807936687</v>
      </c>
      <c r="N109" s="11">
        <f>Rådata[[#This Row],[B12]]/Rådata[[#This Row],[Totalareal]]</f>
        <v>6.8038144219436401</v>
      </c>
      <c r="O109" s="11">
        <f>Rådata[[#This Row],[B12]]/Rådata[[#This Row],[B02]]-1</f>
        <v>-1.1783014673188097E-2</v>
      </c>
      <c r="P109" s="11">
        <f>Rådata[[#This Row],[Kvinner20-39]]/Rådata[[#This Row],[B12]]</f>
        <v>0.11109111361079865</v>
      </c>
      <c r="Q109" s="11">
        <f>Rådata[[#This Row],[Eldre67+]]/Rådata[[#This Row],[B12]]</f>
        <v>0.16202474690663668</v>
      </c>
      <c r="R109" s="11">
        <f>Rådata[[#This Row],[S11]]/Rådata[[#This Row],[S01]]-1</f>
        <v>5.7437116260645737E-2</v>
      </c>
      <c r="S109" s="11">
        <f>Rådata[[#This Row],[Y11]]/Rådata[[#This Row],[Folk20-64]]</f>
        <v>0.84208885424785662</v>
      </c>
    </row>
    <row r="110" spans="1:19" s="10" customFormat="1" ht="12.75">
      <c r="A110" s="10" t="s">
        <v>163</v>
      </c>
      <c r="B110" s="10">
        <v>1867</v>
      </c>
      <c r="C110" s="10">
        <v>1562</v>
      </c>
      <c r="D110" s="10">
        <v>1264.48</v>
      </c>
      <c r="E110" s="10">
        <v>688</v>
      </c>
      <c r="F110" s="10">
        <v>329</v>
      </c>
      <c r="G110" s="10">
        <v>133</v>
      </c>
      <c r="H110" s="10">
        <v>841</v>
      </c>
      <c r="I110" s="10">
        <v>706</v>
      </c>
      <c r="J110" s="10">
        <v>535</v>
      </c>
      <c r="K110" s="10">
        <v>275.81586618590001</v>
      </c>
      <c r="L110" s="11">
        <v>11</v>
      </c>
      <c r="M110" s="12">
        <v>278400</v>
      </c>
      <c r="N110" s="11">
        <f>Rådata[[#This Row],[B12]]/Rådata[[#This Row],[Totalareal]]</f>
        <v>1.235290396052132</v>
      </c>
      <c r="O110" s="11">
        <f>Rådata[[#This Row],[B12]]/Rådata[[#This Row],[B02]]-1</f>
        <v>-0.16336368505623999</v>
      </c>
      <c r="P110" s="11">
        <f>Rådata[[#This Row],[Kvinner20-39]]/Rådata[[#This Row],[B12]]</f>
        <v>8.5147247119078104E-2</v>
      </c>
      <c r="Q110" s="11">
        <f>Rådata[[#This Row],[Eldre67+]]/Rådata[[#This Row],[B12]]</f>
        <v>0.21062740076824585</v>
      </c>
      <c r="R110" s="11">
        <f>Rådata[[#This Row],[S11]]/Rådata[[#This Row],[S01]]-1</f>
        <v>-0.24220963172804533</v>
      </c>
      <c r="S110" s="11">
        <f>Rådata[[#This Row],[Y11]]/Rådata[[#This Row],[Folk20-64]]</f>
        <v>0.81807372175980975</v>
      </c>
    </row>
    <row r="111" spans="1:19" s="10" customFormat="1" ht="12.75">
      <c r="A111" s="10" t="s">
        <v>164</v>
      </c>
      <c r="B111" s="10">
        <v>11592</v>
      </c>
      <c r="C111" s="10">
        <v>11583</v>
      </c>
      <c r="D111" s="10">
        <v>1943.37</v>
      </c>
      <c r="E111" s="10">
        <v>5797</v>
      </c>
      <c r="F111" s="10">
        <v>1737</v>
      </c>
      <c r="G111" s="10">
        <v>1255</v>
      </c>
      <c r="H111" s="10">
        <v>6512</v>
      </c>
      <c r="I111" s="10">
        <v>4823</v>
      </c>
      <c r="J111" s="10">
        <v>5408</v>
      </c>
      <c r="K111" s="10">
        <v>212.48893280251252</v>
      </c>
      <c r="L111" s="11">
        <v>7</v>
      </c>
      <c r="M111" s="12">
        <v>312348.34232845029</v>
      </c>
      <c r="N111" s="11">
        <f>Rådata[[#This Row],[B12]]/Rådata[[#This Row],[Totalareal]]</f>
        <v>5.9602649006622519</v>
      </c>
      <c r="O111" s="11">
        <f>Rådata[[#This Row],[B12]]/Rådata[[#This Row],[B02]]-1</f>
        <v>-7.763975155279379E-4</v>
      </c>
      <c r="P111" s="11">
        <f>Rådata[[#This Row],[Kvinner20-39]]/Rådata[[#This Row],[B12]]</f>
        <v>0.10834844168177502</v>
      </c>
      <c r="Q111" s="11">
        <f>Rådata[[#This Row],[Eldre67+]]/Rådata[[#This Row],[B12]]</f>
        <v>0.14996114996114995</v>
      </c>
      <c r="R111" s="11">
        <f>Rådata[[#This Row],[S11]]/Rådata[[#This Row],[S01]]-1</f>
        <v>0.12129380053908356</v>
      </c>
      <c r="S111" s="11">
        <f>Rådata[[#This Row],[Y11]]/Rådata[[#This Row],[Folk20-64]]</f>
        <v>0.89020270270270274</v>
      </c>
    </row>
    <row r="112" spans="1:19" s="10" customFormat="1" ht="12.75">
      <c r="A112" s="10" t="s">
        <v>165</v>
      </c>
      <c r="B112" s="10">
        <v>13025</v>
      </c>
      <c r="C112" s="10">
        <v>12623</v>
      </c>
      <c r="D112" s="10">
        <v>911.2399999999999</v>
      </c>
      <c r="E112" s="10">
        <v>6255</v>
      </c>
      <c r="F112" s="10">
        <v>1912</v>
      </c>
      <c r="G112" s="10">
        <v>1392</v>
      </c>
      <c r="H112" s="10">
        <v>7299</v>
      </c>
      <c r="I112" s="10">
        <v>5786</v>
      </c>
      <c r="J112" s="10">
        <v>5947</v>
      </c>
      <c r="K112" s="10">
        <v>249.90690308841567</v>
      </c>
      <c r="L112" s="11">
        <v>7</v>
      </c>
      <c r="M112" s="12">
        <v>315139.5115655713</v>
      </c>
      <c r="N112" s="11">
        <f>Rådata[[#This Row],[B12]]/Rådata[[#This Row],[Totalareal]]</f>
        <v>13.852552565734605</v>
      </c>
      <c r="O112" s="11">
        <f>Rådata[[#This Row],[B12]]/Rådata[[#This Row],[B02]]-1</f>
        <v>-3.0863723608445248E-2</v>
      </c>
      <c r="P112" s="11">
        <f>Rådata[[#This Row],[Kvinner20-39]]/Rådata[[#This Row],[B12]]</f>
        <v>0.11027489503287649</v>
      </c>
      <c r="Q112" s="11">
        <f>Rådata[[#This Row],[Eldre67+]]/Rådata[[#This Row],[B12]]</f>
        <v>0.15146953972906599</v>
      </c>
      <c r="R112" s="11">
        <f>Rådata[[#This Row],[S11]]/Rådata[[#This Row],[S01]]-1</f>
        <v>2.7825786380919482E-2</v>
      </c>
      <c r="S112" s="11">
        <f>Rådata[[#This Row],[Y11]]/Rådata[[#This Row],[Folk20-64]]</f>
        <v>0.8569667077681874</v>
      </c>
    </row>
    <row r="113" spans="1:19" s="10" customFormat="1" ht="12.75">
      <c r="A113" s="10" t="s">
        <v>166</v>
      </c>
      <c r="B113" s="10">
        <v>15053</v>
      </c>
      <c r="C113" s="10">
        <v>14713</v>
      </c>
      <c r="D113" s="10">
        <v>3932.87</v>
      </c>
      <c r="E113" s="10">
        <v>7400</v>
      </c>
      <c r="F113" s="10">
        <v>2466</v>
      </c>
      <c r="G113" s="10">
        <v>1567</v>
      </c>
      <c r="H113" s="10">
        <v>8352</v>
      </c>
      <c r="I113" s="10">
        <v>7191</v>
      </c>
      <c r="J113" s="10">
        <v>7245</v>
      </c>
      <c r="K113" s="10">
        <v>238.51638958606998</v>
      </c>
      <c r="L113" s="11">
        <v>6</v>
      </c>
      <c r="M113" s="12">
        <v>318166.1587946504</v>
      </c>
      <c r="N113" s="11">
        <f>Rådata[[#This Row],[B12]]/Rådata[[#This Row],[Totalareal]]</f>
        <v>3.7410339014511034</v>
      </c>
      <c r="O113" s="11">
        <f>Rådata[[#This Row],[B12]]/Rådata[[#This Row],[B02]]-1</f>
        <v>-2.2586859762173672E-2</v>
      </c>
      <c r="P113" s="11">
        <f>Rådata[[#This Row],[Kvinner20-39]]/Rådata[[#This Row],[B12]]</f>
        <v>0.10650445184530687</v>
      </c>
      <c r="Q113" s="11">
        <f>Rådata[[#This Row],[Eldre67+]]/Rådata[[#This Row],[B12]]</f>
        <v>0.16760687827091689</v>
      </c>
      <c r="R113" s="11">
        <f>Rådata[[#This Row],[S11]]/Rådata[[#This Row],[S01]]-1</f>
        <v>7.509386733416834E-3</v>
      </c>
      <c r="S113" s="11">
        <f>Rådata[[#This Row],[Y11]]/Rådata[[#This Row],[Folk20-64]]</f>
        <v>0.88601532567049812</v>
      </c>
    </row>
    <row r="114" spans="1:19" s="10" customFormat="1" ht="12.75">
      <c r="A114" s="10" t="s">
        <v>167</v>
      </c>
      <c r="B114" s="10">
        <v>1603</v>
      </c>
      <c r="C114" s="10">
        <v>1456</v>
      </c>
      <c r="D114" s="10">
        <v>2684.32</v>
      </c>
      <c r="E114" s="10">
        <v>719</v>
      </c>
      <c r="F114" s="10">
        <v>280</v>
      </c>
      <c r="G114" s="10">
        <v>135</v>
      </c>
      <c r="H114" s="10">
        <v>774</v>
      </c>
      <c r="I114" s="10">
        <v>631</v>
      </c>
      <c r="J114" s="10">
        <v>632</v>
      </c>
      <c r="K114" s="10">
        <v>286.58460247689999</v>
      </c>
      <c r="L114" s="11">
        <v>11</v>
      </c>
      <c r="M114" s="12">
        <v>275600</v>
      </c>
      <c r="N114" s="11">
        <f>Rådata[[#This Row],[B12]]/Rådata[[#This Row],[Totalareal]]</f>
        <v>0.54240925075996893</v>
      </c>
      <c r="O114" s="11">
        <f>Rådata[[#This Row],[B12]]/Rådata[[#This Row],[B02]]-1</f>
        <v>-9.1703056768558944E-2</v>
      </c>
      <c r="P114" s="11">
        <f>Rådata[[#This Row],[Kvinner20-39]]/Rådata[[#This Row],[B12]]</f>
        <v>9.2719780219780223E-2</v>
      </c>
      <c r="Q114" s="11">
        <f>Rådata[[#This Row],[Eldre67+]]/Rådata[[#This Row],[B12]]</f>
        <v>0.19230769230769232</v>
      </c>
      <c r="R114" s="11">
        <f>Rådata[[#This Row],[S11]]/Rådata[[#This Row],[S01]]-1</f>
        <v>1.5847860538826808E-3</v>
      </c>
      <c r="S114" s="11">
        <f>Rådata[[#This Row],[Y11]]/Rådata[[#This Row],[Folk20-64]]</f>
        <v>0.92894056847545214</v>
      </c>
    </row>
    <row r="115" spans="1:19" s="10" customFormat="1" ht="12.75">
      <c r="A115" s="10" t="s">
        <v>168</v>
      </c>
      <c r="B115" s="10">
        <v>1855</v>
      </c>
      <c r="C115" s="10">
        <v>1813</v>
      </c>
      <c r="D115" s="10">
        <v>183.13</v>
      </c>
      <c r="E115" s="10">
        <v>839</v>
      </c>
      <c r="F115" s="10">
        <v>276</v>
      </c>
      <c r="G115" s="10">
        <v>220</v>
      </c>
      <c r="H115" s="10">
        <v>1018</v>
      </c>
      <c r="I115" s="10">
        <v>905</v>
      </c>
      <c r="J115" s="10">
        <v>883</v>
      </c>
      <c r="K115" s="10">
        <v>297.9812655298</v>
      </c>
      <c r="L115" s="11">
        <v>5</v>
      </c>
      <c r="M115" s="12">
        <v>278000</v>
      </c>
      <c r="N115" s="11">
        <f>Rådata[[#This Row],[B12]]/Rådata[[#This Row],[Totalareal]]</f>
        <v>9.9000709878228577</v>
      </c>
      <c r="O115" s="11">
        <f>Rådata[[#This Row],[B12]]/Rådata[[#This Row],[B02]]-1</f>
        <v>-2.2641509433962259E-2</v>
      </c>
      <c r="P115" s="11">
        <f>Rådata[[#This Row],[Kvinner20-39]]/Rådata[[#This Row],[B12]]</f>
        <v>0.12134583563154992</v>
      </c>
      <c r="Q115" s="11">
        <f>Rådata[[#This Row],[Eldre67+]]/Rådata[[#This Row],[B12]]</f>
        <v>0.15223386651958082</v>
      </c>
      <c r="R115" s="11">
        <f>Rådata[[#This Row],[S11]]/Rådata[[#This Row],[S01]]-1</f>
        <v>-2.4309392265193353E-2</v>
      </c>
      <c r="S115" s="11">
        <f>Rådata[[#This Row],[Y11]]/Rådata[[#This Row],[Folk20-64]]</f>
        <v>0.82416502946954817</v>
      </c>
    </row>
    <row r="116" spans="1:19" s="10" customFormat="1" ht="12.75">
      <c r="A116" s="10" t="s">
        <v>169</v>
      </c>
      <c r="B116" s="10">
        <v>29930</v>
      </c>
      <c r="C116" s="10">
        <v>30237</v>
      </c>
      <c r="D116" s="10">
        <v>6049.51</v>
      </c>
      <c r="E116" s="10">
        <v>15048</v>
      </c>
      <c r="F116" s="10">
        <v>4677</v>
      </c>
      <c r="G116" s="10">
        <v>3347</v>
      </c>
      <c r="H116" s="10">
        <v>17188</v>
      </c>
      <c r="I116" s="10">
        <v>13108</v>
      </c>
      <c r="J116" s="10">
        <v>14657</v>
      </c>
      <c r="K116" s="10">
        <v>257.45429444360195</v>
      </c>
      <c r="L116" s="11">
        <v>5</v>
      </c>
      <c r="M116" s="12">
        <v>321025.75446820981</v>
      </c>
      <c r="N116" s="11">
        <f>Rådata[[#This Row],[B12]]/Rådata[[#This Row],[Totalareal]]</f>
        <v>4.9982560571021457</v>
      </c>
      <c r="O116" s="11">
        <f>Rådata[[#This Row],[B12]]/Rådata[[#This Row],[B02]]-1</f>
        <v>1.0257266956231303E-2</v>
      </c>
      <c r="P116" s="11">
        <f>Rådata[[#This Row],[Kvinner20-39]]/Rådata[[#This Row],[B12]]</f>
        <v>0.11069219830009591</v>
      </c>
      <c r="Q116" s="11">
        <f>Rådata[[#This Row],[Eldre67+]]/Rådata[[#This Row],[B12]]</f>
        <v>0.15467804345669214</v>
      </c>
      <c r="R116" s="11">
        <f>Rådata[[#This Row],[S11]]/Rådata[[#This Row],[S01]]-1</f>
        <v>0.11817210863594751</v>
      </c>
      <c r="S116" s="11">
        <f>Rådata[[#This Row],[Y11]]/Rådata[[#This Row],[Folk20-64]]</f>
        <v>0.87549453106818709</v>
      </c>
    </row>
    <row r="117" spans="1:19" s="10" customFormat="1" ht="12.75">
      <c r="A117" s="10" t="s">
        <v>170</v>
      </c>
      <c r="B117" s="10">
        <v>2066</v>
      </c>
      <c r="C117" s="10">
        <v>1937</v>
      </c>
      <c r="D117" s="10">
        <v>264.55</v>
      </c>
      <c r="E117" s="10">
        <v>962</v>
      </c>
      <c r="F117" s="10">
        <v>375</v>
      </c>
      <c r="G117" s="10">
        <v>197</v>
      </c>
      <c r="H117" s="10">
        <v>1058</v>
      </c>
      <c r="I117" s="10">
        <v>846</v>
      </c>
      <c r="J117" s="10">
        <v>887</v>
      </c>
      <c r="K117" s="10">
        <v>367.19264821299998</v>
      </c>
      <c r="L117" s="11">
        <v>11</v>
      </c>
      <c r="M117" s="12">
        <v>319000</v>
      </c>
      <c r="N117" s="11">
        <f>Rådata[[#This Row],[B12]]/Rådata[[#This Row],[Totalareal]]</f>
        <v>7.3218673218673214</v>
      </c>
      <c r="O117" s="11">
        <f>Rådata[[#This Row],[B12]]/Rådata[[#This Row],[B02]]-1</f>
        <v>-6.2439496611810252E-2</v>
      </c>
      <c r="P117" s="11">
        <f>Rådata[[#This Row],[Kvinner20-39]]/Rådata[[#This Row],[B12]]</f>
        <v>0.10170366546205473</v>
      </c>
      <c r="Q117" s="11">
        <f>Rådata[[#This Row],[Eldre67+]]/Rådata[[#This Row],[B12]]</f>
        <v>0.19359834796076406</v>
      </c>
      <c r="R117" s="11">
        <f>Rådata[[#This Row],[S11]]/Rådata[[#This Row],[S01]]-1</f>
        <v>4.8463356973995175E-2</v>
      </c>
      <c r="S117" s="11">
        <f>Rådata[[#This Row],[Y11]]/Rådata[[#This Row],[Folk20-64]]</f>
        <v>0.90926275992438566</v>
      </c>
    </row>
    <row r="118" spans="1:19" s="10" customFormat="1" ht="12.75">
      <c r="A118" s="10" t="s">
        <v>171</v>
      </c>
      <c r="B118" s="10">
        <v>474</v>
      </c>
      <c r="C118" s="10">
        <v>497</v>
      </c>
      <c r="D118" s="10">
        <v>16.32</v>
      </c>
      <c r="E118" s="10">
        <v>256</v>
      </c>
      <c r="F118" s="10">
        <v>75</v>
      </c>
      <c r="G118" s="10">
        <v>61</v>
      </c>
      <c r="H118" s="10">
        <v>278</v>
      </c>
      <c r="I118" s="10">
        <v>221</v>
      </c>
      <c r="J118" s="10">
        <v>259</v>
      </c>
      <c r="K118" s="10">
        <v>399</v>
      </c>
      <c r="L118" s="11">
        <v>11</v>
      </c>
      <c r="M118" s="12">
        <v>300100</v>
      </c>
      <c r="N118" s="11">
        <f>Rådata[[#This Row],[B12]]/Rådata[[#This Row],[Totalareal]]</f>
        <v>30.453431372549019</v>
      </c>
      <c r="O118" s="11">
        <f>Rådata[[#This Row],[B12]]/Rådata[[#This Row],[B02]]-1</f>
        <v>4.8523206751054815E-2</v>
      </c>
      <c r="P118" s="11">
        <f>Rådata[[#This Row],[Kvinner20-39]]/Rådata[[#This Row],[B12]]</f>
        <v>0.1227364185110664</v>
      </c>
      <c r="Q118" s="11">
        <f>Rådata[[#This Row],[Eldre67+]]/Rådata[[#This Row],[B12]]</f>
        <v>0.15090543259557343</v>
      </c>
      <c r="R118" s="11">
        <f>Rådata[[#This Row],[S11]]/Rådata[[#This Row],[S01]]-1</f>
        <v>0.17194570135746612</v>
      </c>
      <c r="S118" s="11">
        <f>Rådata[[#This Row],[Y11]]/Rådata[[#This Row],[Folk20-64]]</f>
        <v>0.92086330935251803</v>
      </c>
    </row>
    <row r="119" spans="1:19" s="10" customFormat="1" ht="12.75">
      <c r="A119" s="10" t="s">
        <v>172</v>
      </c>
      <c r="B119" s="10">
        <v>1509</v>
      </c>
      <c r="C119" s="10">
        <v>1320</v>
      </c>
      <c r="D119" s="10">
        <v>711.27</v>
      </c>
      <c r="E119" s="10">
        <v>660</v>
      </c>
      <c r="F119" s="10">
        <v>218</v>
      </c>
      <c r="G119" s="10">
        <v>132</v>
      </c>
      <c r="H119" s="10">
        <v>698</v>
      </c>
      <c r="I119" s="10">
        <v>579</v>
      </c>
      <c r="J119" s="10">
        <v>570</v>
      </c>
      <c r="K119" s="10">
        <v>356.49084885899998</v>
      </c>
      <c r="L119" s="11">
        <v>11</v>
      </c>
      <c r="M119" s="12">
        <v>297000</v>
      </c>
      <c r="N119" s="11">
        <f>Rådata[[#This Row],[B12]]/Rådata[[#This Row],[Totalareal]]</f>
        <v>1.8558353367919356</v>
      </c>
      <c r="O119" s="11">
        <f>Rådata[[#This Row],[B12]]/Rådata[[#This Row],[B02]]-1</f>
        <v>-0.12524850894632211</v>
      </c>
      <c r="P119" s="11">
        <f>Rådata[[#This Row],[Kvinner20-39]]/Rådata[[#This Row],[B12]]</f>
        <v>0.1</v>
      </c>
      <c r="Q119" s="11">
        <f>Rådata[[#This Row],[Eldre67+]]/Rådata[[#This Row],[B12]]</f>
        <v>0.16515151515151516</v>
      </c>
      <c r="R119" s="11">
        <f>Rådata[[#This Row],[S11]]/Rådata[[#This Row],[S01]]-1</f>
        <v>-1.5544041450777257E-2</v>
      </c>
      <c r="S119" s="11">
        <f>Rådata[[#This Row],[Y11]]/Rådata[[#This Row],[Folk20-64]]</f>
        <v>0.94555873925501432</v>
      </c>
    </row>
    <row r="120" spans="1:19" s="10" customFormat="1" ht="12.75">
      <c r="A120" s="10" t="s">
        <v>173</v>
      </c>
      <c r="B120" s="10">
        <v>6830</v>
      </c>
      <c r="C120" s="10">
        <v>6657</v>
      </c>
      <c r="D120" s="10">
        <v>873.8900000000001</v>
      </c>
      <c r="E120" s="10">
        <v>3238</v>
      </c>
      <c r="F120" s="10">
        <v>1081</v>
      </c>
      <c r="G120" s="10">
        <v>718</v>
      </c>
      <c r="H120" s="10">
        <v>3712</v>
      </c>
      <c r="I120" s="10">
        <v>2872</v>
      </c>
      <c r="J120" s="10">
        <v>3134</v>
      </c>
      <c r="K120" s="10">
        <v>289.23257691110001</v>
      </c>
      <c r="L120" s="11">
        <v>10</v>
      </c>
      <c r="M120" s="12">
        <v>347400</v>
      </c>
      <c r="N120" s="11">
        <f>Rådata[[#This Row],[B12]]/Rådata[[#This Row],[Totalareal]]</f>
        <v>7.6176635503324208</v>
      </c>
      <c r="O120" s="11">
        <f>Rådata[[#This Row],[B12]]/Rådata[[#This Row],[B02]]-1</f>
        <v>-2.5329428989751102E-2</v>
      </c>
      <c r="P120" s="11">
        <f>Rådata[[#This Row],[Kvinner20-39]]/Rådata[[#This Row],[B12]]</f>
        <v>0.10785639176806369</v>
      </c>
      <c r="Q120" s="11">
        <f>Rådata[[#This Row],[Eldre67+]]/Rådata[[#This Row],[B12]]</f>
        <v>0.16238545891542738</v>
      </c>
      <c r="R120" s="11">
        <f>Rådata[[#This Row],[S11]]/Rådata[[#This Row],[S01]]-1</f>
        <v>9.122562674094703E-2</v>
      </c>
      <c r="S120" s="11">
        <f>Rådata[[#This Row],[Y11]]/Rådata[[#This Row],[Folk20-64]]</f>
        <v>0.87230603448275867</v>
      </c>
    </row>
    <row r="121" spans="1:19" s="10" customFormat="1" ht="12.75">
      <c r="A121" s="10" t="s">
        <v>174</v>
      </c>
      <c r="B121" s="10">
        <v>1257</v>
      </c>
      <c r="C121" s="10">
        <v>1097</v>
      </c>
      <c r="D121" s="10">
        <v>1222.1599999999999</v>
      </c>
      <c r="E121" s="10">
        <v>538</v>
      </c>
      <c r="F121" s="10">
        <v>254</v>
      </c>
      <c r="G121" s="10">
        <v>88</v>
      </c>
      <c r="H121" s="10">
        <v>599</v>
      </c>
      <c r="I121" s="10">
        <v>415</v>
      </c>
      <c r="J121" s="10">
        <v>471</v>
      </c>
      <c r="K121" s="10">
        <v>280.86956907180002</v>
      </c>
      <c r="L121" s="11">
        <v>11</v>
      </c>
      <c r="M121" s="12">
        <v>278300</v>
      </c>
      <c r="N121" s="11">
        <f>Rådata[[#This Row],[B12]]/Rådata[[#This Row],[Totalareal]]</f>
        <v>0.89759115009491408</v>
      </c>
      <c r="O121" s="11">
        <f>Rådata[[#This Row],[B12]]/Rådata[[#This Row],[B02]]-1</f>
        <v>-0.12728719172633252</v>
      </c>
      <c r="P121" s="11">
        <f>Rådata[[#This Row],[Kvinner20-39]]/Rådata[[#This Row],[B12]]</f>
        <v>8.0218778486782133E-2</v>
      </c>
      <c r="Q121" s="11">
        <f>Rådata[[#This Row],[Eldre67+]]/Rådata[[#This Row],[B12]]</f>
        <v>0.23154056517775751</v>
      </c>
      <c r="R121" s="11">
        <f>Rådata[[#This Row],[S11]]/Rådata[[#This Row],[S01]]-1</f>
        <v>0.13493975903614452</v>
      </c>
      <c r="S121" s="11">
        <f>Rådata[[#This Row],[Y11]]/Rådata[[#This Row],[Folk20-64]]</f>
        <v>0.89816360601001666</v>
      </c>
    </row>
    <row r="122" spans="1:19" s="10" customFormat="1" ht="12.75">
      <c r="A122" s="10" t="s">
        <v>175</v>
      </c>
      <c r="B122" s="10">
        <v>16768</v>
      </c>
      <c r="C122" s="10">
        <v>16226</v>
      </c>
      <c r="D122" s="10">
        <v>5062.45</v>
      </c>
      <c r="E122" s="10">
        <v>7975</v>
      </c>
      <c r="F122" s="10">
        <v>2678</v>
      </c>
      <c r="G122" s="10">
        <v>1708</v>
      </c>
      <c r="H122" s="10">
        <v>9260</v>
      </c>
      <c r="I122" s="10">
        <v>6672</v>
      </c>
      <c r="J122" s="10">
        <v>6957</v>
      </c>
      <c r="K122" s="10">
        <v>248.42805992911073</v>
      </c>
      <c r="L122" s="11">
        <v>5</v>
      </c>
      <c r="M122" s="12">
        <v>312329.99006951338</v>
      </c>
      <c r="N122" s="11">
        <f>Rådata[[#This Row],[B12]]/Rådata[[#This Row],[Totalareal]]</f>
        <v>3.2051674584440342</v>
      </c>
      <c r="O122" s="11">
        <f>Rådata[[#This Row],[B12]]/Rådata[[#This Row],[B02]]-1</f>
        <v>-3.2323473282442783E-2</v>
      </c>
      <c r="P122" s="11">
        <f>Rådata[[#This Row],[Kvinner20-39]]/Rådata[[#This Row],[B12]]</f>
        <v>0.10526315789473684</v>
      </c>
      <c r="Q122" s="11">
        <f>Rådata[[#This Row],[Eldre67+]]/Rådata[[#This Row],[B12]]</f>
        <v>0.16504375693331691</v>
      </c>
      <c r="R122" s="11">
        <f>Rådata[[#This Row],[S11]]/Rådata[[#This Row],[S01]]-1</f>
        <v>4.2715827338129397E-2</v>
      </c>
      <c r="S122" s="11">
        <f>Rådata[[#This Row],[Y11]]/Rådata[[#This Row],[Folk20-64]]</f>
        <v>0.86123110151187909</v>
      </c>
    </row>
    <row r="123" spans="1:19" s="10" customFormat="1" ht="12.75">
      <c r="A123" s="10" t="s">
        <v>176</v>
      </c>
      <c r="B123" s="10">
        <v>2889</v>
      </c>
      <c r="C123" s="10">
        <v>2609</v>
      </c>
      <c r="D123" s="10">
        <v>1007.86</v>
      </c>
      <c r="E123" s="10">
        <v>1254</v>
      </c>
      <c r="F123" s="10">
        <v>498</v>
      </c>
      <c r="G123" s="10">
        <v>253</v>
      </c>
      <c r="H123" s="10">
        <v>1430</v>
      </c>
      <c r="I123" s="10">
        <v>1111</v>
      </c>
      <c r="J123" s="10">
        <v>1100</v>
      </c>
      <c r="K123" s="10">
        <v>361.76036978000002</v>
      </c>
      <c r="L123" s="11">
        <v>11</v>
      </c>
      <c r="M123" s="12">
        <v>294600</v>
      </c>
      <c r="N123" s="11">
        <f>Rådata[[#This Row],[B12]]/Rådata[[#This Row],[Totalareal]]</f>
        <v>2.5886531859583672</v>
      </c>
      <c r="O123" s="11">
        <f>Rådata[[#This Row],[B12]]/Rådata[[#This Row],[B02]]-1</f>
        <v>-9.6919349255797815E-2</v>
      </c>
      <c r="P123" s="11">
        <f>Rådata[[#This Row],[Kvinner20-39]]/Rådata[[#This Row],[B12]]</f>
        <v>9.6972019931008055E-2</v>
      </c>
      <c r="Q123" s="11">
        <f>Rådata[[#This Row],[Eldre67+]]/Rådata[[#This Row],[B12]]</f>
        <v>0.19087773093139135</v>
      </c>
      <c r="R123" s="11">
        <f>Rådata[[#This Row],[S11]]/Rådata[[#This Row],[S01]]-1</f>
        <v>-9.9009900990099098E-3</v>
      </c>
      <c r="S123" s="11">
        <f>Rådata[[#This Row],[Y11]]/Rådata[[#This Row],[Folk20-64]]</f>
        <v>0.87692307692307692</v>
      </c>
    </row>
    <row r="124" spans="1:19" s="10" customFormat="1" ht="12.75">
      <c r="A124" s="10" t="s">
        <v>177</v>
      </c>
      <c r="B124" s="10">
        <v>1932</v>
      </c>
      <c r="C124" s="10">
        <v>1783</v>
      </c>
      <c r="D124" s="10">
        <v>1029.95</v>
      </c>
      <c r="E124" s="10">
        <v>892</v>
      </c>
      <c r="F124" s="10">
        <v>345</v>
      </c>
      <c r="G124" s="10">
        <v>165</v>
      </c>
      <c r="H124" s="10">
        <v>986</v>
      </c>
      <c r="I124" s="10">
        <v>768</v>
      </c>
      <c r="J124" s="10">
        <v>848</v>
      </c>
      <c r="K124" s="10">
        <v>362.16962157699999</v>
      </c>
      <c r="L124" s="11">
        <v>11</v>
      </c>
      <c r="M124" s="12">
        <v>309900</v>
      </c>
      <c r="N124" s="11">
        <f>Rådata[[#This Row],[B12]]/Rådata[[#This Row],[Totalareal]]</f>
        <v>1.7311519976697898</v>
      </c>
      <c r="O124" s="11">
        <f>Rådata[[#This Row],[B12]]/Rådata[[#This Row],[B02]]-1</f>
        <v>-7.7122153209109756E-2</v>
      </c>
      <c r="P124" s="11">
        <f>Rådata[[#This Row],[Kvinner20-39]]/Rådata[[#This Row],[B12]]</f>
        <v>9.2540661805945043E-2</v>
      </c>
      <c r="Q124" s="11">
        <f>Rådata[[#This Row],[Eldre67+]]/Rådata[[#This Row],[B12]]</f>
        <v>0.19349411104879416</v>
      </c>
      <c r="R124" s="11">
        <f>Rådata[[#This Row],[S11]]/Rådata[[#This Row],[S01]]-1</f>
        <v>0.10416666666666674</v>
      </c>
      <c r="S124" s="11">
        <f>Rådata[[#This Row],[Y11]]/Rådata[[#This Row],[Folk20-64]]</f>
        <v>0.90466531440162268</v>
      </c>
    </row>
    <row r="125" spans="1:19" s="10" customFormat="1" ht="12.75">
      <c r="A125" s="10" t="s">
        <v>178</v>
      </c>
      <c r="B125" s="10">
        <v>2283</v>
      </c>
      <c r="C125" s="10">
        <v>1956</v>
      </c>
      <c r="D125" s="10">
        <v>1464.0300000000002</v>
      </c>
      <c r="E125" s="10">
        <v>866</v>
      </c>
      <c r="F125" s="10">
        <v>369</v>
      </c>
      <c r="G125" s="10">
        <v>179</v>
      </c>
      <c r="H125" s="10">
        <v>1104</v>
      </c>
      <c r="I125" s="10">
        <v>872</v>
      </c>
      <c r="J125" s="10">
        <v>845</v>
      </c>
      <c r="K125" s="10">
        <v>333.8756979186</v>
      </c>
      <c r="L125" s="11">
        <v>11</v>
      </c>
      <c r="M125" s="12">
        <v>293100</v>
      </c>
      <c r="N125" s="11">
        <f>Rådata[[#This Row],[B12]]/Rådata[[#This Row],[Totalareal]]</f>
        <v>1.3360381959386076</v>
      </c>
      <c r="O125" s="11">
        <f>Rådata[[#This Row],[B12]]/Rådata[[#This Row],[B02]]-1</f>
        <v>-0.14323258869908018</v>
      </c>
      <c r="P125" s="11">
        <f>Rådata[[#This Row],[Kvinner20-39]]/Rådata[[#This Row],[B12]]</f>
        <v>9.1513292433537827E-2</v>
      </c>
      <c r="Q125" s="11">
        <f>Rådata[[#This Row],[Eldre67+]]/Rådata[[#This Row],[B12]]</f>
        <v>0.18865030674846625</v>
      </c>
      <c r="R125" s="11">
        <f>Rådata[[#This Row],[S11]]/Rådata[[#This Row],[S01]]-1</f>
        <v>-3.0963302752293531E-2</v>
      </c>
      <c r="S125" s="11">
        <f>Rådata[[#This Row],[Y11]]/Rådata[[#This Row],[Folk20-64]]</f>
        <v>0.78442028985507251</v>
      </c>
    </row>
    <row r="126" spans="1:19" s="10" customFormat="1" ht="12.75">
      <c r="A126" s="10" t="s">
        <v>179</v>
      </c>
      <c r="B126" s="10">
        <v>2358</v>
      </c>
      <c r="C126" s="10">
        <v>2179</v>
      </c>
      <c r="D126" s="10">
        <v>524.51</v>
      </c>
      <c r="E126" s="10">
        <v>1002</v>
      </c>
      <c r="F126" s="10">
        <v>475</v>
      </c>
      <c r="G126" s="10">
        <v>200</v>
      </c>
      <c r="H126" s="10">
        <v>1185</v>
      </c>
      <c r="I126" s="10">
        <v>985</v>
      </c>
      <c r="J126" s="10">
        <v>981</v>
      </c>
      <c r="K126" s="10">
        <v>258.49374085709997</v>
      </c>
      <c r="L126" s="11">
        <v>11</v>
      </c>
      <c r="M126" s="12">
        <v>314600</v>
      </c>
      <c r="N126" s="11">
        <f>Rådata[[#This Row],[B12]]/Rådata[[#This Row],[Totalareal]]</f>
        <v>4.1543535871575372</v>
      </c>
      <c r="O126" s="11">
        <f>Rådata[[#This Row],[B12]]/Rådata[[#This Row],[B02]]-1</f>
        <v>-7.5911789652247652E-2</v>
      </c>
      <c r="P126" s="11">
        <f>Rådata[[#This Row],[Kvinner20-39]]/Rådata[[#This Row],[B12]]</f>
        <v>9.1785222579164757E-2</v>
      </c>
      <c r="Q126" s="11">
        <f>Rådata[[#This Row],[Eldre67+]]/Rådata[[#This Row],[B12]]</f>
        <v>0.21798990362551629</v>
      </c>
      <c r="R126" s="11">
        <f>Rådata[[#This Row],[S11]]/Rådata[[#This Row],[S01]]-1</f>
        <v>-4.0609137055837019E-3</v>
      </c>
      <c r="S126" s="11">
        <f>Rådata[[#This Row],[Y11]]/Rådata[[#This Row],[Folk20-64]]</f>
        <v>0.84556962025316451</v>
      </c>
    </row>
    <row r="127" spans="1:19" s="10" customFormat="1" ht="12.75">
      <c r="A127" s="10" t="s">
        <v>180</v>
      </c>
      <c r="B127" s="10">
        <v>649</v>
      </c>
      <c r="C127" s="10">
        <v>595</v>
      </c>
      <c r="D127" s="10">
        <v>10.46</v>
      </c>
      <c r="E127" s="10">
        <v>303</v>
      </c>
      <c r="F127" s="10">
        <v>87</v>
      </c>
      <c r="G127" s="10">
        <v>70</v>
      </c>
      <c r="H127" s="10">
        <v>348</v>
      </c>
      <c r="I127" s="10">
        <v>310</v>
      </c>
      <c r="J127" s="10">
        <v>290</v>
      </c>
      <c r="K127" s="10">
        <v>241.53038907685001</v>
      </c>
      <c r="L127" s="11">
        <v>11</v>
      </c>
      <c r="M127" s="12">
        <v>313900</v>
      </c>
      <c r="N127" s="11">
        <f>Rådata[[#This Row],[B12]]/Rådata[[#This Row],[Totalareal]]</f>
        <v>56.883365200764814</v>
      </c>
      <c r="O127" s="11">
        <f>Rådata[[#This Row],[B12]]/Rådata[[#This Row],[B02]]-1</f>
        <v>-8.3204930662557741E-2</v>
      </c>
      <c r="P127" s="11">
        <f>Rådata[[#This Row],[Kvinner20-39]]/Rådata[[#This Row],[B12]]</f>
        <v>0.11764705882352941</v>
      </c>
      <c r="Q127" s="11">
        <f>Rådata[[#This Row],[Eldre67+]]/Rådata[[#This Row],[B12]]</f>
        <v>0.14621848739495799</v>
      </c>
      <c r="R127" s="11">
        <f>Rådata[[#This Row],[S11]]/Rådata[[#This Row],[S01]]-1</f>
        <v>-6.4516129032258118E-2</v>
      </c>
      <c r="S127" s="11">
        <f>Rådata[[#This Row],[Y11]]/Rådata[[#This Row],[Folk20-64]]</f>
        <v>0.87068965517241381</v>
      </c>
    </row>
    <row r="128" spans="1:19" s="10" customFormat="1" ht="12.75">
      <c r="A128" s="10" t="s">
        <v>181</v>
      </c>
      <c r="B128" s="10">
        <v>770</v>
      </c>
      <c r="C128" s="10">
        <v>751</v>
      </c>
      <c r="D128" s="10">
        <v>18.529999999999998</v>
      </c>
      <c r="E128" s="10">
        <v>378</v>
      </c>
      <c r="F128" s="10">
        <v>127</v>
      </c>
      <c r="G128" s="10">
        <v>89</v>
      </c>
      <c r="H128" s="10">
        <v>428</v>
      </c>
      <c r="I128" s="10">
        <v>388</v>
      </c>
      <c r="J128" s="10">
        <v>373</v>
      </c>
      <c r="K128" s="10">
        <v>248.39309006892</v>
      </c>
      <c r="L128" s="11">
        <v>11</v>
      </c>
      <c r="M128" s="12">
        <v>325000</v>
      </c>
      <c r="N128" s="11">
        <f>Rådata[[#This Row],[B12]]/Rådata[[#This Row],[Totalareal]]</f>
        <v>40.528872099298439</v>
      </c>
      <c r="O128" s="11">
        <f>Rådata[[#This Row],[B12]]/Rådata[[#This Row],[B02]]-1</f>
        <v>-2.4675324675324628E-2</v>
      </c>
      <c r="P128" s="11">
        <f>Rådata[[#This Row],[Kvinner20-39]]/Rådata[[#This Row],[B12]]</f>
        <v>0.118508655126498</v>
      </c>
      <c r="Q128" s="11">
        <f>Rådata[[#This Row],[Eldre67+]]/Rådata[[#This Row],[B12]]</f>
        <v>0.16910785619174434</v>
      </c>
      <c r="R128" s="11">
        <f>Rådata[[#This Row],[S11]]/Rådata[[#This Row],[S01]]-1</f>
        <v>-3.8659793814432963E-2</v>
      </c>
      <c r="S128" s="11">
        <f>Rådata[[#This Row],[Y11]]/Rådata[[#This Row],[Folk20-64]]</f>
        <v>0.88317757009345799</v>
      </c>
    </row>
    <row r="129" spans="1:19" s="10" customFormat="1" ht="12.75">
      <c r="A129" s="10" t="s">
        <v>182</v>
      </c>
      <c r="B129" s="10">
        <v>12208</v>
      </c>
      <c r="C129" s="10">
        <v>12231</v>
      </c>
      <c r="D129" s="10">
        <v>601.5</v>
      </c>
      <c r="E129" s="10">
        <v>5961</v>
      </c>
      <c r="F129" s="10">
        <v>1948</v>
      </c>
      <c r="G129" s="10">
        <v>1288</v>
      </c>
      <c r="H129" s="10">
        <v>6703</v>
      </c>
      <c r="I129" s="10">
        <v>5031</v>
      </c>
      <c r="J129" s="10">
        <v>5735</v>
      </c>
      <c r="K129" s="10">
        <v>244.45159144428914</v>
      </c>
      <c r="L129" s="11">
        <v>9</v>
      </c>
      <c r="M129" s="12">
        <v>309136.90152623877</v>
      </c>
      <c r="N129" s="11">
        <f>Rådata[[#This Row],[B12]]/Rådata[[#This Row],[Totalareal]]</f>
        <v>20.334164588528679</v>
      </c>
      <c r="O129" s="11">
        <f>Rådata[[#This Row],[B12]]/Rådata[[#This Row],[B02]]-1</f>
        <v>1.8840104849278116E-3</v>
      </c>
      <c r="P129" s="11">
        <f>Rådata[[#This Row],[Kvinner20-39]]/Rådata[[#This Row],[B12]]</f>
        <v>0.10530618919139891</v>
      </c>
      <c r="Q129" s="11">
        <f>Rådata[[#This Row],[Eldre67+]]/Rådata[[#This Row],[B12]]</f>
        <v>0.15926743520562506</v>
      </c>
      <c r="R129" s="11">
        <f>Rådata[[#This Row],[S11]]/Rådata[[#This Row],[S01]]-1</f>
        <v>0.13993241900218645</v>
      </c>
      <c r="S129" s="11">
        <f>Rådata[[#This Row],[Y11]]/Rådata[[#This Row],[Folk20-64]]</f>
        <v>0.88930329703118005</v>
      </c>
    </row>
    <row r="130" spans="1:19" s="10" customFormat="1" ht="12.75">
      <c r="A130" s="10" t="s">
        <v>183</v>
      </c>
      <c r="B130" s="10">
        <v>9094</v>
      </c>
      <c r="C130" s="10">
        <v>9086</v>
      </c>
      <c r="D130" s="10">
        <v>477.71000000000004</v>
      </c>
      <c r="E130" s="10">
        <v>4578</v>
      </c>
      <c r="F130" s="10">
        <v>1372</v>
      </c>
      <c r="G130" s="10">
        <v>1030</v>
      </c>
      <c r="H130" s="10">
        <v>5265</v>
      </c>
      <c r="I130" s="10">
        <v>4167</v>
      </c>
      <c r="J130" s="10">
        <v>4463</v>
      </c>
      <c r="K130" s="10">
        <v>245.31326180873998</v>
      </c>
      <c r="L130" s="11">
        <v>7</v>
      </c>
      <c r="M130" s="12">
        <v>316700</v>
      </c>
      <c r="N130" s="11">
        <f>Rådata[[#This Row],[B12]]/Rådata[[#This Row],[Totalareal]]</f>
        <v>19.019907475246487</v>
      </c>
      <c r="O130" s="11">
        <f>Rådata[[#This Row],[B12]]/Rådata[[#This Row],[B02]]-1</f>
        <v>-8.7970090169342541E-4</v>
      </c>
      <c r="P130" s="11">
        <f>Rådata[[#This Row],[Kvinner20-39]]/Rådata[[#This Row],[B12]]</f>
        <v>0.11336121505613031</v>
      </c>
      <c r="Q130" s="11">
        <f>Rådata[[#This Row],[Eldre67+]]/Rådata[[#This Row],[B12]]</f>
        <v>0.15100154083204931</v>
      </c>
      <c r="R130" s="11">
        <f>Rådata[[#This Row],[S11]]/Rådata[[#This Row],[S01]]-1</f>
        <v>7.1034317254619728E-2</v>
      </c>
      <c r="S130" s="11">
        <f>Rådata[[#This Row],[Y11]]/Rådata[[#This Row],[Folk20-64]]</f>
        <v>0.8695156695156695</v>
      </c>
    </row>
    <row r="131" spans="1:19" s="10" customFormat="1" ht="12.75">
      <c r="A131" s="10" t="s">
        <v>184</v>
      </c>
      <c r="B131" s="10">
        <v>25385</v>
      </c>
      <c r="C131" s="10">
        <v>25107</v>
      </c>
      <c r="D131" s="10">
        <v>1855.1599999999999</v>
      </c>
      <c r="E131" s="10">
        <v>12267</v>
      </c>
      <c r="F131" s="10">
        <v>3952</v>
      </c>
      <c r="G131" s="10">
        <v>2707</v>
      </c>
      <c r="H131" s="10">
        <v>14173</v>
      </c>
      <c r="I131" s="10">
        <v>11512</v>
      </c>
      <c r="J131" s="10">
        <v>11803</v>
      </c>
      <c r="K131" s="10">
        <v>273.49632521846485</v>
      </c>
      <c r="L131" s="11">
        <v>8</v>
      </c>
      <c r="M131" s="12">
        <v>317554.71849731304</v>
      </c>
      <c r="N131" s="11">
        <f>Rådata[[#This Row],[B12]]/Rådata[[#This Row],[Totalareal]]</f>
        <v>13.533603570581514</v>
      </c>
      <c r="O131" s="11">
        <f>Rådata[[#This Row],[B12]]/Rådata[[#This Row],[B02]]-1</f>
        <v>-1.0951349221981488E-2</v>
      </c>
      <c r="P131" s="11">
        <f>Rådata[[#This Row],[Kvinner20-39]]/Rådata[[#This Row],[B12]]</f>
        <v>0.10781853666308201</v>
      </c>
      <c r="Q131" s="11">
        <f>Rådata[[#This Row],[Eldre67+]]/Rådata[[#This Row],[B12]]</f>
        <v>0.15740630103158482</v>
      </c>
      <c r="R131" s="11">
        <f>Rådata[[#This Row],[S11]]/Rådata[[#This Row],[S01]]-1</f>
        <v>2.5277970813064599E-2</v>
      </c>
      <c r="S131" s="11">
        <f>Rådata[[#This Row],[Y11]]/Rådata[[#This Row],[Folk20-64]]</f>
        <v>0.86551894447188316</v>
      </c>
    </row>
    <row r="132" spans="1:19" s="10" customFormat="1" ht="12.75">
      <c r="A132" s="10" t="s">
        <v>185</v>
      </c>
      <c r="B132" s="10">
        <v>5549</v>
      </c>
      <c r="C132" s="10">
        <v>5032</v>
      </c>
      <c r="D132" s="10">
        <v>655.68999999999994</v>
      </c>
      <c r="E132" s="10">
        <v>2357</v>
      </c>
      <c r="F132" s="10">
        <v>942</v>
      </c>
      <c r="G132" s="10">
        <v>473</v>
      </c>
      <c r="H132" s="10">
        <v>2748</v>
      </c>
      <c r="I132" s="10">
        <v>2585</v>
      </c>
      <c r="J132" s="10">
        <v>2497</v>
      </c>
      <c r="K132" s="10">
        <v>251.44344475393004</v>
      </c>
      <c r="L132" s="11">
        <v>9</v>
      </c>
      <c r="M132" s="12">
        <v>318900</v>
      </c>
      <c r="N132" s="11">
        <f>Rådata[[#This Row],[B12]]/Rådata[[#This Row],[Totalareal]]</f>
        <v>7.6743583095670216</v>
      </c>
      <c r="O132" s="11">
        <f>Rådata[[#This Row],[B12]]/Rådata[[#This Row],[B02]]-1</f>
        <v>-9.316994052982519E-2</v>
      </c>
      <c r="P132" s="11">
        <f>Rådata[[#This Row],[Kvinner20-39]]/Rådata[[#This Row],[B12]]</f>
        <v>9.3998410174880767E-2</v>
      </c>
      <c r="Q132" s="11">
        <f>Rådata[[#This Row],[Eldre67+]]/Rådata[[#This Row],[B12]]</f>
        <v>0.18720190779014309</v>
      </c>
      <c r="R132" s="11">
        <f>Rådata[[#This Row],[S11]]/Rådata[[#This Row],[S01]]-1</f>
        <v>-3.4042553191489411E-2</v>
      </c>
      <c r="S132" s="11">
        <f>Rådata[[#This Row],[Y11]]/Rådata[[#This Row],[Folk20-64]]</f>
        <v>0.85771470160116448</v>
      </c>
    </row>
    <row r="133" spans="1:19" s="10" customFormat="1" ht="12.75">
      <c r="A133" s="10" t="s">
        <v>186</v>
      </c>
      <c r="B133" s="10">
        <v>1282</v>
      </c>
      <c r="C133" s="10">
        <v>1116</v>
      </c>
      <c r="D133" s="10">
        <v>118.58000000000001</v>
      </c>
      <c r="E133" s="10">
        <v>553</v>
      </c>
      <c r="F133" s="10">
        <v>244</v>
      </c>
      <c r="G133" s="10">
        <v>111</v>
      </c>
      <c r="H133" s="10">
        <v>621</v>
      </c>
      <c r="I133" s="10">
        <v>524</v>
      </c>
      <c r="J133" s="10">
        <v>481</v>
      </c>
      <c r="K133" s="10">
        <v>290.22977776059997</v>
      </c>
      <c r="L133" s="11">
        <v>11</v>
      </c>
      <c r="M133" s="12">
        <v>311700</v>
      </c>
      <c r="N133" s="11">
        <f>Rådata[[#This Row],[B12]]/Rådata[[#This Row],[Totalareal]]</f>
        <v>9.4113678529262934</v>
      </c>
      <c r="O133" s="11">
        <f>Rådata[[#This Row],[B12]]/Rådata[[#This Row],[B02]]-1</f>
        <v>-0.1294851794071763</v>
      </c>
      <c r="P133" s="11">
        <f>Rådata[[#This Row],[Kvinner20-39]]/Rådata[[#This Row],[B12]]</f>
        <v>9.9462365591397844E-2</v>
      </c>
      <c r="Q133" s="11">
        <f>Rådata[[#This Row],[Eldre67+]]/Rådata[[#This Row],[B12]]</f>
        <v>0.21863799283154123</v>
      </c>
      <c r="R133" s="11">
        <f>Rådata[[#This Row],[S11]]/Rådata[[#This Row],[S01]]-1</f>
        <v>-8.206106870229013E-2</v>
      </c>
      <c r="S133" s="11">
        <f>Rådata[[#This Row],[Y11]]/Rådata[[#This Row],[Folk20-64]]</f>
        <v>0.89049919484702089</v>
      </c>
    </row>
    <row r="134" spans="1:19" s="10" customFormat="1" ht="12.75">
      <c r="A134" s="10" t="s">
        <v>187</v>
      </c>
      <c r="B134" s="10">
        <v>62988</v>
      </c>
      <c r="C134" s="10">
        <v>71471</v>
      </c>
      <c r="D134" s="10">
        <v>3610.15</v>
      </c>
      <c r="E134" s="10">
        <v>39025</v>
      </c>
      <c r="F134" s="10">
        <v>6970</v>
      </c>
      <c r="G134" s="10">
        <v>10372</v>
      </c>
      <c r="H134" s="10">
        <v>44901</v>
      </c>
      <c r="I134" s="10">
        <v>36218</v>
      </c>
      <c r="J134" s="10">
        <v>40633</v>
      </c>
      <c r="K134" s="10">
        <v>217.81742266860147</v>
      </c>
      <c r="L134" s="11">
        <v>4</v>
      </c>
      <c r="M134" s="12">
        <v>353925.30569320166</v>
      </c>
      <c r="N134" s="11">
        <f>Rådata[[#This Row],[B12]]/Rådata[[#This Row],[Totalareal]]</f>
        <v>19.797238341897149</v>
      </c>
      <c r="O134" s="11">
        <f>Rådata[[#This Row],[B12]]/Rådata[[#This Row],[B02]]-1</f>
        <v>0.13467644630723319</v>
      </c>
      <c r="P134" s="11">
        <f>Rådata[[#This Row],[Kvinner20-39]]/Rådata[[#This Row],[B12]]</f>
        <v>0.1451217976521946</v>
      </c>
      <c r="Q134" s="11">
        <f>Rådata[[#This Row],[Eldre67+]]/Rådata[[#This Row],[B12]]</f>
        <v>9.7522071889297762E-2</v>
      </c>
      <c r="R134" s="11">
        <f>Rådata[[#This Row],[S11]]/Rådata[[#This Row],[S01]]-1</f>
        <v>0.12190071235297362</v>
      </c>
      <c r="S134" s="11">
        <f>Rådata[[#This Row],[Y11]]/Rådata[[#This Row],[Folk20-64]]</f>
        <v>0.86913431772120886</v>
      </c>
    </row>
    <row r="135" spans="1:19" s="10" customFormat="1" ht="12.75">
      <c r="A135" s="10" t="s">
        <v>188</v>
      </c>
      <c r="B135" s="10">
        <v>32846</v>
      </c>
      <c r="C135" s="10">
        <v>32735</v>
      </c>
      <c r="D135" s="10">
        <v>2024.16</v>
      </c>
      <c r="E135" s="10">
        <v>16347</v>
      </c>
      <c r="F135" s="10">
        <v>4906</v>
      </c>
      <c r="G135" s="10">
        <v>3796</v>
      </c>
      <c r="H135" s="10">
        <v>18998</v>
      </c>
      <c r="I135" s="10">
        <v>15086</v>
      </c>
      <c r="J135" s="10">
        <v>15697</v>
      </c>
      <c r="K135" s="10">
        <v>233.05093196059295</v>
      </c>
      <c r="L135" s="11">
        <v>5</v>
      </c>
      <c r="M135" s="12">
        <v>327228.38936162094</v>
      </c>
      <c r="N135" s="11">
        <f>Rådata[[#This Row],[B12]]/Rådata[[#This Row],[Totalareal]]</f>
        <v>16.172140542249625</v>
      </c>
      <c r="O135" s="11">
        <f>Rådata[[#This Row],[B12]]/Rådata[[#This Row],[B02]]-1</f>
        <v>-3.3794069293064943E-3</v>
      </c>
      <c r="P135" s="11">
        <f>Rådata[[#This Row],[Kvinner20-39]]/Rådata[[#This Row],[B12]]</f>
        <v>0.11596150908813196</v>
      </c>
      <c r="Q135" s="11">
        <f>Rådata[[#This Row],[Eldre67+]]/Rådata[[#This Row],[B12]]</f>
        <v>0.14987016954330229</v>
      </c>
      <c r="R135" s="11">
        <f>Rådata[[#This Row],[S11]]/Rådata[[#This Row],[S01]]-1</f>
        <v>4.0501126872597215E-2</v>
      </c>
      <c r="S135" s="11">
        <f>Rådata[[#This Row],[Y11]]/Rådata[[#This Row],[Folk20-64]]</f>
        <v>0.86045899568375617</v>
      </c>
    </row>
    <row r="136" spans="1:19" s="10" customFormat="1" ht="12.75">
      <c r="A136" s="10" t="s">
        <v>189</v>
      </c>
      <c r="B136" s="10">
        <v>1715</v>
      </c>
      <c r="C136" s="10">
        <v>1410</v>
      </c>
      <c r="D136" s="10">
        <v>241.27</v>
      </c>
      <c r="E136" s="10">
        <v>639</v>
      </c>
      <c r="F136" s="10">
        <v>362</v>
      </c>
      <c r="G136" s="10">
        <v>102</v>
      </c>
      <c r="H136" s="10">
        <v>731</v>
      </c>
      <c r="I136" s="10">
        <v>650</v>
      </c>
      <c r="J136" s="10">
        <v>566</v>
      </c>
      <c r="K136" s="10">
        <v>289.06791315190003</v>
      </c>
      <c r="L136" s="11">
        <v>11</v>
      </c>
      <c r="M136" s="12">
        <v>279300</v>
      </c>
      <c r="N136" s="11">
        <f>Rådata[[#This Row],[B12]]/Rådata[[#This Row],[Totalareal]]</f>
        <v>5.8440751025821687</v>
      </c>
      <c r="O136" s="11">
        <f>Rådata[[#This Row],[B12]]/Rådata[[#This Row],[B02]]-1</f>
        <v>-0.17784256559766765</v>
      </c>
      <c r="P136" s="11">
        <f>Rådata[[#This Row],[Kvinner20-39]]/Rådata[[#This Row],[B12]]</f>
        <v>7.2340425531914887E-2</v>
      </c>
      <c r="Q136" s="11">
        <f>Rådata[[#This Row],[Eldre67+]]/Rådata[[#This Row],[B12]]</f>
        <v>0.25673758865248225</v>
      </c>
      <c r="R136" s="11">
        <f>Rådata[[#This Row],[S11]]/Rådata[[#This Row],[S01]]-1</f>
        <v>-0.12923076923076926</v>
      </c>
      <c r="S136" s="11">
        <f>Rådata[[#This Row],[Y11]]/Rådata[[#This Row],[Folk20-64]]</f>
        <v>0.87414500683994523</v>
      </c>
    </row>
    <row r="137" spans="1:19" s="10" customFormat="1" ht="12.75">
      <c r="A137" s="10" t="s">
        <v>190</v>
      </c>
      <c r="B137" s="10">
        <v>3353</v>
      </c>
      <c r="C137" s="10">
        <v>3230</v>
      </c>
      <c r="D137" s="10">
        <v>759.72</v>
      </c>
      <c r="E137" s="10">
        <v>1527</v>
      </c>
      <c r="F137" s="10">
        <v>560</v>
      </c>
      <c r="G137" s="10">
        <v>316</v>
      </c>
      <c r="H137" s="10">
        <v>1715</v>
      </c>
      <c r="I137" s="10">
        <v>1281</v>
      </c>
      <c r="J137" s="10">
        <v>1297</v>
      </c>
      <c r="K137" s="10">
        <v>255.31841538190471</v>
      </c>
      <c r="L137" s="11">
        <v>11</v>
      </c>
      <c r="M137" s="12">
        <v>294416.25538582058</v>
      </c>
      <c r="N137" s="11">
        <f>Rådata[[#This Row],[B12]]/Rådata[[#This Row],[Totalareal]]</f>
        <v>4.2515663665560997</v>
      </c>
      <c r="O137" s="11">
        <f>Rådata[[#This Row],[B12]]/Rådata[[#This Row],[B02]]-1</f>
        <v>-3.6683566954965663E-2</v>
      </c>
      <c r="P137" s="11">
        <f>Rådata[[#This Row],[Kvinner20-39]]/Rådata[[#This Row],[B12]]</f>
        <v>9.7832817337461297E-2</v>
      </c>
      <c r="Q137" s="11">
        <f>Rådata[[#This Row],[Eldre67+]]/Rådata[[#This Row],[B12]]</f>
        <v>0.17337461300309598</v>
      </c>
      <c r="R137" s="11">
        <f>Rådata[[#This Row],[S11]]/Rådata[[#This Row],[S01]]-1</f>
        <v>1.2490241998438734E-2</v>
      </c>
      <c r="S137" s="11">
        <f>Rådata[[#This Row],[Y11]]/Rådata[[#This Row],[Folk20-64]]</f>
        <v>0.89037900874635567</v>
      </c>
    </row>
    <row r="138" spans="1:19" s="10" customFormat="1" ht="12.75">
      <c r="A138" s="10" t="s">
        <v>191</v>
      </c>
      <c r="B138" s="10">
        <v>10655</v>
      </c>
      <c r="C138" s="10">
        <v>10474</v>
      </c>
      <c r="D138" s="10">
        <v>6025.61</v>
      </c>
      <c r="E138" s="10">
        <v>5592</v>
      </c>
      <c r="F138" s="10">
        <v>1563</v>
      </c>
      <c r="G138" s="10">
        <v>1191</v>
      </c>
      <c r="H138" s="10">
        <v>6014</v>
      </c>
      <c r="I138" s="10">
        <v>5416</v>
      </c>
      <c r="J138" s="10">
        <v>5655</v>
      </c>
      <c r="K138" s="10">
        <v>221.14546338270296</v>
      </c>
      <c r="L138" s="11">
        <v>9</v>
      </c>
      <c r="M138" s="12">
        <v>338558.05125725339</v>
      </c>
      <c r="N138" s="11">
        <f>Rådata[[#This Row],[B12]]/Rådata[[#This Row],[Totalareal]]</f>
        <v>1.7382472479964686</v>
      </c>
      <c r="O138" s="11">
        <f>Rådata[[#This Row],[B12]]/Rådata[[#This Row],[B02]]-1</f>
        <v>-1.6987329892069414E-2</v>
      </c>
      <c r="P138" s="11">
        <f>Rådata[[#This Row],[Kvinner20-39]]/Rådata[[#This Row],[B12]]</f>
        <v>0.11371013939278213</v>
      </c>
      <c r="Q138" s="11">
        <f>Rådata[[#This Row],[Eldre67+]]/Rådata[[#This Row],[B12]]</f>
        <v>0.14922665648271913</v>
      </c>
      <c r="R138" s="11">
        <f>Rådata[[#This Row],[S11]]/Rådata[[#This Row],[S01]]-1</f>
        <v>4.412850812407676E-2</v>
      </c>
      <c r="S138" s="11">
        <f>Rådata[[#This Row],[Y11]]/Rådata[[#This Row],[Folk20-64]]</f>
        <v>0.92983039574326576</v>
      </c>
    </row>
    <row r="139" spans="1:19" s="10" customFormat="1" ht="12.75">
      <c r="A139" s="10" t="s">
        <v>192</v>
      </c>
      <c r="B139" s="10">
        <v>2190</v>
      </c>
      <c r="C139" s="10">
        <v>1779</v>
      </c>
      <c r="D139" s="10">
        <v>537.29000000000008</v>
      </c>
      <c r="E139" s="10">
        <v>885</v>
      </c>
      <c r="F139" s="10">
        <v>385</v>
      </c>
      <c r="G139" s="10">
        <v>169</v>
      </c>
      <c r="H139" s="10">
        <v>990</v>
      </c>
      <c r="I139" s="10">
        <v>930</v>
      </c>
      <c r="J139" s="10">
        <v>833</v>
      </c>
      <c r="K139" s="10">
        <v>298.74419278877224</v>
      </c>
      <c r="L139" s="11">
        <v>11</v>
      </c>
      <c r="M139" s="12">
        <v>306438.47167325427</v>
      </c>
      <c r="N139" s="11">
        <f>Rådata[[#This Row],[B12]]/Rådata[[#This Row],[Totalareal]]</f>
        <v>3.311061065718699</v>
      </c>
      <c r="O139" s="11">
        <f>Rådata[[#This Row],[B12]]/Rådata[[#This Row],[B02]]-1</f>
        <v>-0.18767123287671228</v>
      </c>
      <c r="P139" s="11">
        <f>Rådata[[#This Row],[Kvinner20-39]]/Rådata[[#This Row],[B12]]</f>
        <v>9.4997189432265317E-2</v>
      </c>
      <c r="Q139" s="11">
        <f>Rådata[[#This Row],[Eldre67+]]/Rådata[[#This Row],[B12]]</f>
        <v>0.21641371557054526</v>
      </c>
      <c r="R139" s="11">
        <f>Rådata[[#This Row],[S11]]/Rådata[[#This Row],[S01]]-1</f>
        <v>-0.10430107526881716</v>
      </c>
      <c r="S139" s="11">
        <f>Rådata[[#This Row],[Y11]]/Rådata[[#This Row],[Folk20-64]]</f>
        <v>0.89393939393939392</v>
      </c>
    </row>
    <row r="140" spans="1:19" s="10" customFormat="1" ht="12.75">
      <c r="A140" s="10" t="s">
        <v>193</v>
      </c>
      <c r="B140" s="10">
        <v>17371</v>
      </c>
      <c r="C140" s="10">
        <v>17438</v>
      </c>
      <c r="D140" s="10">
        <v>2067.59</v>
      </c>
      <c r="E140" s="10">
        <v>8382</v>
      </c>
      <c r="F140" s="10">
        <v>2683</v>
      </c>
      <c r="G140" s="10">
        <v>1861</v>
      </c>
      <c r="H140" s="10">
        <v>9723</v>
      </c>
      <c r="I140" s="10">
        <v>7469</v>
      </c>
      <c r="J140" s="10">
        <v>7640</v>
      </c>
      <c r="K140" s="10">
        <v>243.20477231894338</v>
      </c>
      <c r="L140" s="11">
        <v>8</v>
      </c>
      <c r="M140" s="12">
        <v>317652.35779546126</v>
      </c>
      <c r="N140" s="11">
        <f>Rådata[[#This Row],[B12]]/Rådata[[#This Row],[Totalareal]]</f>
        <v>8.4339738536170117</v>
      </c>
      <c r="O140" s="11">
        <f>Rådata[[#This Row],[B12]]/Rådata[[#This Row],[B02]]-1</f>
        <v>3.857003051062069E-3</v>
      </c>
      <c r="P140" s="11">
        <f>Rådata[[#This Row],[Kvinner20-39]]/Rådata[[#This Row],[B12]]</f>
        <v>0.10672095423787131</v>
      </c>
      <c r="Q140" s="11">
        <f>Rådata[[#This Row],[Eldre67+]]/Rådata[[#This Row],[B12]]</f>
        <v>0.15385938754444317</v>
      </c>
      <c r="R140" s="11">
        <f>Rådata[[#This Row],[S11]]/Rådata[[#This Row],[S01]]-1</f>
        <v>2.2894631142053923E-2</v>
      </c>
      <c r="S140" s="11">
        <f>Rådata[[#This Row],[Y11]]/Rådata[[#This Row],[Folk20-64]]</f>
        <v>0.86207960506016656</v>
      </c>
    </row>
    <row r="141" spans="1:19" s="10" customFormat="1" ht="12.75">
      <c r="A141" s="10" t="s">
        <v>194</v>
      </c>
      <c r="B141" s="10">
        <v>7502</v>
      </c>
      <c r="C141" s="10">
        <v>7411</v>
      </c>
      <c r="D141" s="10">
        <v>3039.7200000000003</v>
      </c>
      <c r="E141" s="10">
        <v>3561</v>
      </c>
      <c r="F141" s="10">
        <v>1323</v>
      </c>
      <c r="G141" s="10">
        <v>698</v>
      </c>
      <c r="H141" s="10">
        <v>4092</v>
      </c>
      <c r="I141" s="10">
        <v>2751</v>
      </c>
      <c r="J141" s="10">
        <v>2988</v>
      </c>
      <c r="K141" s="10">
        <v>252.22639973134523</v>
      </c>
      <c r="L141" s="11">
        <v>5</v>
      </c>
      <c r="M141" s="12">
        <v>295557.56861424481</v>
      </c>
      <c r="N141" s="11">
        <f>Rådata[[#This Row],[B12]]/Rådata[[#This Row],[Totalareal]]</f>
        <v>2.4380535049280851</v>
      </c>
      <c r="O141" s="11">
        <f>Rådata[[#This Row],[B12]]/Rådata[[#This Row],[B02]]-1</f>
        <v>-1.2130098640362519E-2</v>
      </c>
      <c r="P141" s="11">
        <f>Rådata[[#This Row],[Kvinner20-39]]/Rådata[[#This Row],[B12]]</f>
        <v>9.4184320604506808E-2</v>
      </c>
      <c r="Q141" s="11">
        <f>Rådata[[#This Row],[Eldre67+]]/Rådata[[#This Row],[B12]]</f>
        <v>0.17851841856699502</v>
      </c>
      <c r="R141" s="11">
        <f>Rådata[[#This Row],[S11]]/Rådata[[#This Row],[S01]]-1</f>
        <v>8.6150490730643403E-2</v>
      </c>
      <c r="S141" s="11">
        <f>Rådata[[#This Row],[Y11]]/Rådata[[#This Row],[Folk20-64]]</f>
        <v>0.87023460410557185</v>
      </c>
    </row>
    <row r="142" spans="1:19" s="10" customFormat="1" ht="12.75">
      <c r="A142" s="10" t="s">
        <v>195</v>
      </c>
      <c r="B142" s="10">
        <v>3183</v>
      </c>
      <c r="C142" s="10">
        <v>3028</v>
      </c>
      <c r="D142" s="10">
        <v>812.76</v>
      </c>
      <c r="E142" s="10">
        <v>1464</v>
      </c>
      <c r="F142" s="10">
        <v>578</v>
      </c>
      <c r="G142" s="10">
        <v>281</v>
      </c>
      <c r="H142" s="10">
        <v>1667</v>
      </c>
      <c r="I142" s="10">
        <v>1236</v>
      </c>
      <c r="J142" s="10">
        <v>1333</v>
      </c>
      <c r="K142" s="10">
        <v>297.40674266389999</v>
      </c>
      <c r="L142" s="11">
        <v>11</v>
      </c>
      <c r="M142" s="12">
        <v>297600</v>
      </c>
      <c r="N142" s="11">
        <f>Rådata[[#This Row],[B12]]/Rådata[[#This Row],[Totalareal]]</f>
        <v>3.7255770461144744</v>
      </c>
      <c r="O142" s="11">
        <f>Rådata[[#This Row],[B12]]/Rådata[[#This Row],[B02]]-1</f>
        <v>-4.8696198554822545E-2</v>
      </c>
      <c r="P142" s="11">
        <f>Rådata[[#This Row],[Kvinner20-39]]/Rådata[[#This Row],[B12]]</f>
        <v>9.2800528401585203E-2</v>
      </c>
      <c r="Q142" s="11">
        <f>Rådata[[#This Row],[Eldre67+]]/Rådata[[#This Row],[B12]]</f>
        <v>0.19088507265521795</v>
      </c>
      <c r="R142" s="11">
        <f>Rådata[[#This Row],[S11]]/Rådata[[#This Row],[S01]]-1</f>
        <v>7.8478964401294427E-2</v>
      </c>
      <c r="S142" s="11">
        <f>Rådata[[#This Row],[Y11]]/Rådata[[#This Row],[Folk20-64]]</f>
        <v>0.87822435512897423</v>
      </c>
    </row>
    <row r="143" spans="1:19" s="10" customFormat="1" ht="12.75">
      <c r="A143" s="10" t="s">
        <v>196</v>
      </c>
      <c r="B143" s="10">
        <v>2344</v>
      </c>
      <c r="C143" s="10">
        <v>2210</v>
      </c>
      <c r="D143" s="10">
        <v>991.1</v>
      </c>
      <c r="E143" s="10">
        <v>1031</v>
      </c>
      <c r="F143" s="10">
        <v>418</v>
      </c>
      <c r="G143" s="10">
        <v>226</v>
      </c>
      <c r="H143" s="10">
        <v>1244</v>
      </c>
      <c r="I143" s="10">
        <v>782</v>
      </c>
      <c r="J143" s="10">
        <v>748</v>
      </c>
      <c r="K143" s="10">
        <v>297.9257134513</v>
      </c>
      <c r="L143" s="11">
        <v>11</v>
      </c>
      <c r="M143" s="12">
        <v>276000</v>
      </c>
      <c r="N143" s="11">
        <f>Rådata[[#This Row],[B12]]/Rådata[[#This Row],[Totalareal]]</f>
        <v>2.229845626072041</v>
      </c>
      <c r="O143" s="11">
        <f>Rådata[[#This Row],[B12]]/Rådata[[#This Row],[B02]]-1</f>
        <v>-5.7167235494880564E-2</v>
      </c>
      <c r="P143" s="11">
        <f>Rådata[[#This Row],[Kvinner20-39]]/Rådata[[#This Row],[B12]]</f>
        <v>0.10226244343891402</v>
      </c>
      <c r="Q143" s="11">
        <f>Rådata[[#This Row],[Eldre67+]]/Rådata[[#This Row],[B12]]</f>
        <v>0.18914027149321266</v>
      </c>
      <c r="R143" s="11">
        <f>Rådata[[#This Row],[S11]]/Rådata[[#This Row],[S01]]-1</f>
        <v>-4.3478260869565188E-2</v>
      </c>
      <c r="S143" s="11">
        <f>Rådata[[#This Row],[Y11]]/Rådata[[#This Row],[Folk20-64]]</f>
        <v>0.8287781350482315</v>
      </c>
    </row>
    <row r="144" spans="1:19" s="10" customFormat="1" ht="12.75">
      <c r="A144" s="10" t="s">
        <v>197</v>
      </c>
      <c r="B144" s="10">
        <v>7753</v>
      </c>
      <c r="C144" s="10">
        <v>7687</v>
      </c>
      <c r="D144" s="10">
        <v>3909.64</v>
      </c>
      <c r="E144" s="10">
        <v>3754</v>
      </c>
      <c r="F144" s="10">
        <v>1213</v>
      </c>
      <c r="G144" s="10">
        <v>854</v>
      </c>
      <c r="H144" s="10">
        <v>4323</v>
      </c>
      <c r="I144" s="10">
        <v>3384</v>
      </c>
      <c r="J144" s="10">
        <v>3482</v>
      </c>
      <c r="K144" s="10">
        <v>275.35993341902235</v>
      </c>
      <c r="L144" s="11">
        <v>9</v>
      </c>
      <c r="M144" s="12">
        <v>306038.13503769255</v>
      </c>
      <c r="N144" s="11">
        <f>Rådata[[#This Row],[B12]]/Rådata[[#This Row],[Totalareal]]</f>
        <v>1.9661656827738616</v>
      </c>
      <c r="O144" s="11">
        <f>Rådata[[#This Row],[B12]]/Rådata[[#This Row],[B02]]-1</f>
        <v>-8.5128337417773592E-3</v>
      </c>
      <c r="P144" s="11">
        <f>Rådata[[#This Row],[Kvinner20-39]]/Rådata[[#This Row],[B12]]</f>
        <v>0.11109665669311825</v>
      </c>
      <c r="Q144" s="11">
        <f>Rådata[[#This Row],[Eldre67+]]/Rådata[[#This Row],[B12]]</f>
        <v>0.15779888122804736</v>
      </c>
      <c r="R144" s="11">
        <f>Rådata[[#This Row],[S11]]/Rådata[[#This Row],[S01]]-1</f>
        <v>2.895981087470445E-2</v>
      </c>
      <c r="S144" s="11">
        <f>Rådata[[#This Row],[Y11]]/Rådata[[#This Row],[Folk20-64]]</f>
        <v>0.86837844089752492</v>
      </c>
    </row>
    <row r="145" spans="1:19" s="10" customFormat="1" ht="12.75">
      <c r="A145" s="10" t="s">
        <v>198</v>
      </c>
      <c r="B145" s="10">
        <v>1442</v>
      </c>
      <c r="C145" s="10">
        <v>1284</v>
      </c>
      <c r="D145" s="10">
        <v>2108.2400000000002</v>
      </c>
      <c r="E145" s="10">
        <v>581</v>
      </c>
      <c r="F145" s="10">
        <v>273</v>
      </c>
      <c r="G145" s="10">
        <v>106</v>
      </c>
      <c r="H145" s="10">
        <v>687</v>
      </c>
      <c r="I145" s="10">
        <v>500</v>
      </c>
      <c r="J145" s="10">
        <v>497</v>
      </c>
      <c r="K145" s="10">
        <v>305.6538932638</v>
      </c>
      <c r="L145" s="11">
        <v>11</v>
      </c>
      <c r="M145" s="12">
        <v>301100</v>
      </c>
      <c r="N145" s="11">
        <f>Rådata[[#This Row],[B12]]/Rådata[[#This Row],[Totalareal]]</f>
        <v>0.60903881910977875</v>
      </c>
      <c r="O145" s="11">
        <f>Rådata[[#This Row],[B12]]/Rådata[[#This Row],[B02]]-1</f>
        <v>-0.10957004160887651</v>
      </c>
      <c r="P145" s="11">
        <f>Rådata[[#This Row],[Kvinner20-39]]/Rådata[[#This Row],[B12]]</f>
        <v>8.2554517133956382E-2</v>
      </c>
      <c r="Q145" s="11">
        <f>Rådata[[#This Row],[Eldre67+]]/Rådata[[#This Row],[B12]]</f>
        <v>0.21261682242990654</v>
      </c>
      <c r="R145" s="11">
        <f>Rådata[[#This Row],[S11]]/Rådata[[#This Row],[S01]]-1</f>
        <v>-6.0000000000000053E-3</v>
      </c>
      <c r="S145" s="11">
        <f>Rådata[[#This Row],[Y11]]/Rådata[[#This Row],[Folk20-64]]</f>
        <v>0.84570596797671038</v>
      </c>
    </row>
    <row r="146" spans="1:19" s="10" customFormat="1" ht="12.75">
      <c r="A146" s="10" t="s">
        <v>199</v>
      </c>
      <c r="B146" s="10">
        <v>2586</v>
      </c>
      <c r="C146" s="10">
        <v>2122</v>
      </c>
      <c r="D146" s="10">
        <v>600.48</v>
      </c>
      <c r="E146" s="10">
        <v>983</v>
      </c>
      <c r="F146" s="10">
        <v>367</v>
      </c>
      <c r="G146" s="10">
        <v>224</v>
      </c>
      <c r="H146" s="10">
        <v>1274</v>
      </c>
      <c r="I146" s="10">
        <v>1154</v>
      </c>
      <c r="J146" s="10">
        <v>896</v>
      </c>
      <c r="K146" s="10">
        <v>281.11028675544003</v>
      </c>
      <c r="L146" s="11">
        <v>11</v>
      </c>
      <c r="M146" s="12">
        <v>299000</v>
      </c>
      <c r="N146" s="11">
        <f>Rådata[[#This Row],[B12]]/Rådata[[#This Row],[Totalareal]]</f>
        <v>3.533839594990674</v>
      </c>
      <c r="O146" s="11">
        <f>Rådata[[#This Row],[B12]]/Rådata[[#This Row],[B02]]-1</f>
        <v>-0.17942768754833716</v>
      </c>
      <c r="P146" s="11">
        <f>Rådata[[#This Row],[Kvinner20-39]]/Rådata[[#This Row],[B12]]</f>
        <v>0.1055607917059378</v>
      </c>
      <c r="Q146" s="11">
        <f>Rådata[[#This Row],[Eldre67+]]/Rådata[[#This Row],[B12]]</f>
        <v>0.17295004712535345</v>
      </c>
      <c r="R146" s="11">
        <f>Rådata[[#This Row],[S11]]/Rådata[[#This Row],[S01]]-1</f>
        <v>-0.22357019064124783</v>
      </c>
      <c r="S146" s="11">
        <f>Rådata[[#This Row],[Y11]]/Rådata[[#This Row],[Folk20-64]]</f>
        <v>0.77158555729984302</v>
      </c>
    </row>
    <row r="147" spans="1:19" s="10" customFormat="1" ht="12.75">
      <c r="A147" s="10" t="s">
        <v>200</v>
      </c>
      <c r="B147" s="10">
        <v>7086</v>
      </c>
      <c r="C147" s="10">
        <v>7026</v>
      </c>
      <c r="D147" s="10">
        <v>2694.38</v>
      </c>
      <c r="E147" s="10">
        <v>3669</v>
      </c>
      <c r="F147" s="10">
        <v>946</v>
      </c>
      <c r="G147" s="10">
        <v>786</v>
      </c>
      <c r="H147" s="10">
        <v>4071</v>
      </c>
      <c r="I147" s="10">
        <v>3467</v>
      </c>
      <c r="J147" s="10">
        <v>3611</v>
      </c>
      <c r="K147" s="10">
        <v>279.01541226082253</v>
      </c>
      <c r="L147" s="11">
        <v>7</v>
      </c>
      <c r="M147" s="12">
        <v>330208.2340195016</v>
      </c>
      <c r="N147" s="11">
        <f>Rådata[[#This Row],[B12]]/Rådata[[#This Row],[Totalareal]]</f>
        <v>2.6076499974019995</v>
      </c>
      <c r="O147" s="11">
        <f>Rådata[[#This Row],[B12]]/Rådata[[#This Row],[B02]]-1</f>
        <v>-8.4674005080440651E-3</v>
      </c>
      <c r="P147" s="11">
        <f>Rådata[[#This Row],[Kvinner20-39]]/Rådata[[#This Row],[B12]]</f>
        <v>0.11187019641332195</v>
      </c>
      <c r="Q147" s="11">
        <f>Rådata[[#This Row],[Eldre67+]]/Rådata[[#This Row],[B12]]</f>
        <v>0.13464275547964702</v>
      </c>
      <c r="R147" s="11">
        <f>Rådata[[#This Row],[S11]]/Rådata[[#This Row],[S01]]-1</f>
        <v>4.1534467839630773E-2</v>
      </c>
      <c r="S147" s="11">
        <f>Rådata[[#This Row],[Y11]]/Rådata[[#This Row],[Folk20-64]]</f>
        <v>0.90125276344878413</v>
      </c>
    </row>
    <row r="148" spans="1:19" s="10" customFormat="1" ht="12.75">
      <c r="A148" s="10" t="s">
        <v>201</v>
      </c>
      <c r="B148" s="10">
        <v>10111</v>
      </c>
      <c r="C148" s="10">
        <v>10944</v>
      </c>
      <c r="D148" s="10">
        <v>2693.0699999999997</v>
      </c>
      <c r="E148" s="10">
        <v>5928</v>
      </c>
      <c r="F148" s="10">
        <v>1372</v>
      </c>
      <c r="G148" s="10">
        <v>1415</v>
      </c>
      <c r="H148" s="10">
        <v>6681</v>
      </c>
      <c r="I148" s="10">
        <v>5053</v>
      </c>
      <c r="J148" s="10">
        <v>6056</v>
      </c>
      <c r="K148" s="10">
        <v>274.64587613107972</v>
      </c>
      <c r="L148" s="11">
        <v>6</v>
      </c>
      <c r="M148" s="12">
        <v>351893.38007125619</v>
      </c>
      <c r="N148" s="11">
        <f>Rådata[[#This Row],[B12]]/Rådata[[#This Row],[Totalareal]]</f>
        <v>4.0637636600608236</v>
      </c>
      <c r="O148" s="11">
        <f>Rådata[[#This Row],[B12]]/Rådata[[#This Row],[B02]]-1</f>
        <v>8.2385520720007932E-2</v>
      </c>
      <c r="P148" s="11">
        <f>Rådata[[#This Row],[Kvinner20-39]]/Rådata[[#This Row],[B12]]</f>
        <v>0.12929459064327486</v>
      </c>
      <c r="Q148" s="11">
        <f>Rådata[[#This Row],[Eldre67+]]/Rådata[[#This Row],[B12]]</f>
        <v>0.1253654970760234</v>
      </c>
      <c r="R148" s="11">
        <f>Rådata[[#This Row],[S11]]/Rådata[[#This Row],[S01]]-1</f>
        <v>0.19849594300415596</v>
      </c>
      <c r="S148" s="11">
        <f>Rådata[[#This Row],[Y11]]/Rådata[[#This Row],[Folk20-64]]</f>
        <v>0.88729232150875614</v>
      </c>
    </row>
    <row r="149" spans="1:19" s="10" customFormat="1" ht="12.75">
      <c r="A149" s="10" t="s">
        <v>202</v>
      </c>
      <c r="B149" s="10">
        <v>3052</v>
      </c>
      <c r="C149" s="10">
        <v>2927</v>
      </c>
      <c r="D149" s="10">
        <v>9707.35</v>
      </c>
      <c r="E149" s="10">
        <v>1457</v>
      </c>
      <c r="F149" s="10">
        <v>320</v>
      </c>
      <c r="G149" s="10">
        <v>377</v>
      </c>
      <c r="H149" s="10">
        <v>1786</v>
      </c>
      <c r="I149" s="10">
        <v>1158</v>
      </c>
      <c r="J149" s="10">
        <v>1370</v>
      </c>
      <c r="K149" s="10">
        <v>321.33023933200002</v>
      </c>
      <c r="L149" s="11">
        <v>11</v>
      </c>
      <c r="M149" s="12">
        <v>263900</v>
      </c>
      <c r="N149" s="11">
        <f>Rådata[[#This Row],[B12]]/Rådata[[#This Row],[Totalareal]]</f>
        <v>0.30152410287050535</v>
      </c>
      <c r="O149" s="11">
        <f>Rådata[[#This Row],[B12]]/Rådata[[#This Row],[B02]]-1</f>
        <v>-4.0956749672345971E-2</v>
      </c>
      <c r="P149" s="11">
        <f>Rådata[[#This Row],[Kvinner20-39]]/Rådata[[#This Row],[B12]]</f>
        <v>0.12880081995216947</v>
      </c>
      <c r="Q149" s="11">
        <f>Rådata[[#This Row],[Eldre67+]]/Rådata[[#This Row],[B12]]</f>
        <v>0.1093269559275709</v>
      </c>
      <c r="R149" s="11">
        <f>Rådata[[#This Row],[S11]]/Rådata[[#This Row],[S01]]-1</f>
        <v>0.18307426597582044</v>
      </c>
      <c r="S149" s="11">
        <f>Rådata[[#This Row],[Y11]]/Rådata[[#This Row],[Folk20-64]]</f>
        <v>0.81578947368421051</v>
      </c>
    </row>
    <row r="150" spans="1:19" s="10" customFormat="1" ht="12.75">
      <c r="A150" s="10" t="s">
        <v>203</v>
      </c>
      <c r="B150" s="10">
        <v>17159</v>
      </c>
      <c r="C150" s="10">
        <v>19282</v>
      </c>
      <c r="D150" s="10">
        <v>3849.59</v>
      </c>
      <c r="E150" s="10">
        <v>9790</v>
      </c>
      <c r="F150" s="10">
        <v>1872</v>
      </c>
      <c r="G150" s="10">
        <v>2516</v>
      </c>
      <c r="H150" s="10">
        <v>11436</v>
      </c>
      <c r="I150" s="10">
        <v>7958</v>
      </c>
      <c r="J150" s="10">
        <v>9971</v>
      </c>
      <c r="K150" s="10">
        <v>224.65280796329998</v>
      </c>
      <c r="L150" s="11">
        <v>6</v>
      </c>
      <c r="M150" s="12">
        <v>334300</v>
      </c>
      <c r="N150" s="11">
        <f>Rådata[[#This Row],[B12]]/Rådata[[#This Row],[Totalareal]]</f>
        <v>5.0088450977896342</v>
      </c>
      <c r="O150" s="11">
        <f>Rådata[[#This Row],[B12]]/Rådata[[#This Row],[B02]]-1</f>
        <v>0.12372515880878843</v>
      </c>
      <c r="P150" s="11">
        <f>Rådata[[#This Row],[Kvinner20-39]]/Rådata[[#This Row],[B12]]</f>
        <v>0.13048438958614253</v>
      </c>
      <c r="Q150" s="11">
        <f>Rådata[[#This Row],[Eldre67+]]/Rådata[[#This Row],[B12]]</f>
        <v>9.7085364588735609E-2</v>
      </c>
      <c r="R150" s="11">
        <f>Rådata[[#This Row],[S11]]/Rådata[[#This Row],[S01]]-1</f>
        <v>0.25295300326715253</v>
      </c>
      <c r="S150" s="11">
        <f>Rådata[[#This Row],[Y11]]/Rådata[[#This Row],[Folk20-64]]</f>
        <v>0.85606855543896465</v>
      </c>
    </row>
    <row r="151" spans="1:19" s="10" customFormat="1" ht="12.75">
      <c r="A151" s="10" t="s">
        <v>204</v>
      </c>
      <c r="B151" s="10">
        <v>1398</v>
      </c>
      <c r="C151" s="10">
        <v>1087</v>
      </c>
      <c r="D151" s="10">
        <v>687.30000000000007</v>
      </c>
      <c r="E151" s="10">
        <v>509</v>
      </c>
      <c r="F151" s="10">
        <v>238</v>
      </c>
      <c r="G151" s="10">
        <v>102</v>
      </c>
      <c r="H151" s="10">
        <v>594</v>
      </c>
      <c r="I151" s="10">
        <v>571</v>
      </c>
      <c r="J151" s="10">
        <v>420</v>
      </c>
      <c r="K151" s="10">
        <v>325.56230259400002</v>
      </c>
      <c r="L151" s="11">
        <v>11</v>
      </c>
      <c r="M151" s="12">
        <v>298700</v>
      </c>
      <c r="N151" s="11">
        <f>Rådata[[#This Row],[B12]]/Rådata[[#This Row],[Totalareal]]</f>
        <v>1.5815509966535717</v>
      </c>
      <c r="O151" s="11">
        <f>Rådata[[#This Row],[B12]]/Rådata[[#This Row],[B02]]-1</f>
        <v>-0.22246065808297566</v>
      </c>
      <c r="P151" s="11">
        <f>Rådata[[#This Row],[Kvinner20-39]]/Rådata[[#This Row],[B12]]</f>
        <v>9.3836246550137989E-2</v>
      </c>
      <c r="Q151" s="11">
        <f>Rådata[[#This Row],[Eldre67+]]/Rådata[[#This Row],[B12]]</f>
        <v>0.21895124195032198</v>
      </c>
      <c r="R151" s="11">
        <f>Rådata[[#This Row],[S11]]/Rådata[[#This Row],[S01]]-1</f>
        <v>-0.26444833625218911</v>
      </c>
      <c r="S151" s="11">
        <f>Rådata[[#This Row],[Y11]]/Rådata[[#This Row],[Folk20-64]]</f>
        <v>0.85690235690235694</v>
      </c>
    </row>
    <row r="152" spans="1:19" s="10" customFormat="1" ht="12.75">
      <c r="A152" s="10" t="s">
        <v>205</v>
      </c>
      <c r="B152" s="10">
        <v>1184</v>
      </c>
      <c r="C152" s="10">
        <v>995</v>
      </c>
      <c r="D152" s="10">
        <v>555.96</v>
      </c>
      <c r="E152" s="10">
        <v>481</v>
      </c>
      <c r="F152" s="10">
        <v>162</v>
      </c>
      <c r="G152" s="10">
        <v>98</v>
      </c>
      <c r="H152" s="10">
        <v>593</v>
      </c>
      <c r="I152" s="10">
        <v>514</v>
      </c>
      <c r="J152" s="10">
        <v>434</v>
      </c>
      <c r="K152" s="10">
        <v>280.61164024070001</v>
      </c>
      <c r="L152" s="11">
        <v>11</v>
      </c>
      <c r="M152" s="12">
        <v>311300</v>
      </c>
      <c r="N152" s="11">
        <f>Rådata[[#This Row],[B12]]/Rådata[[#This Row],[Totalareal]]</f>
        <v>1.789697100510828</v>
      </c>
      <c r="O152" s="11">
        <f>Rådata[[#This Row],[B12]]/Rådata[[#This Row],[B02]]-1</f>
        <v>-0.1596283783783784</v>
      </c>
      <c r="P152" s="11">
        <f>Rådata[[#This Row],[Kvinner20-39]]/Rådata[[#This Row],[B12]]</f>
        <v>9.8492462311557782E-2</v>
      </c>
      <c r="Q152" s="11">
        <f>Rådata[[#This Row],[Eldre67+]]/Rådata[[#This Row],[B12]]</f>
        <v>0.16281407035175879</v>
      </c>
      <c r="R152" s="11">
        <f>Rådata[[#This Row],[S11]]/Rådata[[#This Row],[S01]]-1</f>
        <v>-0.1556420233463035</v>
      </c>
      <c r="S152" s="11">
        <f>Rådata[[#This Row],[Y11]]/Rådata[[#This Row],[Folk20-64]]</f>
        <v>0.81112984822934231</v>
      </c>
    </row>
    <row r="153" spans="1:19" s="10" customFormat="1" ht="12.75">
      <c r="A153" s="10" t="s">
        <v>206</v>
      </c>
      <c r="B153" s="10">
        <v>1433</v>
      </c>
      <c r="C153" s="10">
        <v>1243</v>
      </c>
      <c r="D153" s="10">
        <v>1134.4199999999998</v>
      </c>
      <c r="E153" s="10">
        <v>582</v>
      </c>
      <c r="F153" s="10">
        <v>251</v>
      </c>
      <c r="G153" s="10">
        <v>118</v>
      </c>
      <c r="H153" s="10">
        <v>697</v>
      </c>
      <c r="I153" s="10">
        <v>695</v>
      </c>
      <c r="J153" s="10">
        <v>534</v>
      </c>
      <c r="K153" s="10">
        <v>368.15059061099998</v>
      </c>
      <c r="L153" s="11">
        <v>11</v>
      </c>
      <c r="M153" s="12">
        <v>301200</v>
      </c>
      <c r="N153" s="11">
        <f>Rådata[[#This Row],[B12]]/Rådata[[#This Row],[Totalareal]]</f>
        <v>1.0957141094127396</v>
      </c>
      <c r="O153" s="11">
        <f>Rådata[[#This Row],[B12]]/Rådata[[#This Row],[B02]]-1</f>
        <v>-0.1325889741800419</v>
      </c>
      <c r="P153" s="11">
        <f>Rådata[[#This Row],[Kvinner20-39]]/Rådata[[#This Row],[B12]]</f>
        <v>9.4931617055510856E-2</v>
      </c>
      <c r="Q153" s="11">
        <f>Rådata[[#This Row],[Eldre67+]]/Rådata[[#This Row],[B12]]</f>
        <v>0.20193081255028159</v>
      </c>
      <c r="R153" s="11">
        <f>Rådata[[#This Row],[S11]]/Rådata[[#This Row],[S01]]-1</f>
        <v>-0.23165467625899283</v>
      </c>
      <c r="S153" s="11">
        <f>Rådata[[#This Row],[Y11]]/Rådata[[#This Row],[Folk20-64]]</f>
        <v>0.83500717360114773</v>
      </c>
    </row>
    <row r="154" spans="1:19" s="10" customFormat="1" ht="12.75">
      <c r="A154" s="10" t="s">
        <v>207</v>
      </c>
      <c r="B154" s="10">
        <v>3513</v>
      </c>
      <c r="C154" s="10">
        <v>3228</v>
      </c>
      <c r="D154" s="10">
        <v>924.84</v>
      </c>
      <c r="E154" s="10">
        <v>1650</v>
      </c>
      <c r="F154" s="10">
        <v>468</v>
      </c>
      <c r="G154" s="10">
        <v>314</v>
      </c>
      <c r="H154" s="10">
        <v>1932</v>
      </c>
      <c r="I154" s="10">
        <v>1726</v>
      </c>
      <c r="J154" s="10">
        <v>1551</v>
      </c>
      <c r="K154" s="10">
        <v>322.34145639234998</v>
      </c>
      <c r="L154" s="11">
        <v>9</v>
      </c>
      <c r="M154" s="12">
        <v>318700</v>
      </c>
      <c r="N154" s="11">
        <f>Rådata[[#This Row],[B12]]/Rådata[[#This Row],[Totalareal]]</f>
        <v>3.4903334630855065</v>
      </c>
      <c r="O154" s="11">
        <f>Rådata[[#This Row],[B12]]/Rådata[[#This Row],[B02]]-1</f>
        <v>-8.1127241673783046E-2</v>
      </c>
      <c r="P154" s="11">
        <f>Rådata[[#This Row],[Kvinner20-39]]/Rådata[[#This Row],[B12]]</f>
        <v>9.7273853779429986E-2</v>
      </c>
      <c r="Q154" s="11">
        <f>Rådata[[#This Row],[Eldre67+]]/Rådata[[#This Row],[B12]]</f>
        <v>0.1449814126394052</v>
      </c>
      <c r="R154" s="11">
        <f>Rådata[[#This Row],[S11]]/Rådata[[#This Row],[S01]]-1</f>
        <v>-0.10139049826187718</v>
      </c>
      <c r="S154" s="11">
        <f>Rådata[[#This Row],[Y11]]/Rådata[[#This Row],[Folk20-64]]</f>
        <v>0.85403726708074534</v>
      </c>
    </row>
    <row r="155" spans="1:19" s="10" customFormat="1" ht="12.75">
      <c r="A155" s="10" t="s">
        <v>208</v>
      </c>
      <c r="B155" s="10">
        <v>4349</v>
      </c>
      <c r="C155" s="10">
        <v>3946</v>
      </c>
      <c r="D155" s="10">
        <v>4872.67</v>
      </c>
      <c r="E155" s="10">
        <v>2056</v>
      </c>
      <c r="F155" s="10">
        <v>558</v>
      </c>
      <c r="G155" s="10">
        <v>407</v>
      </c>
      <c r="H155" s="10">
        <v>2383</v>
      </c>
      <c r="I155" s="10">
        <v>1919</v>
      </c>
      <c r="J155" s="10">
        <v>1956</v>
      </c>
      <c r="K155" s="10">
        <v>268.82159737985</v>
      </c>
      <c r="L155" s="11">
        <v>9</v>
      </c>
      <c r="M155" s="12">
        <v>320100</v>
      </c>
      <c r="N155" s="11">
        <f>Rådata[[#This Row],[B12]]/Rådata[[#This Row],[Totalareal]]</f>
        <v>0.80982295127722581</v>
      </c>
      <c r="O155" s="11">
        <f>Rådata[[#This Row],[B12]]/Rådata[[#This Row],[B02]]-1</f>
        <v>-9.2664980455277046E-2</v>
      </c>
      <c r="P155" s="11">
        <f>Rådata[[#This Row],[Kvinner20-39]]/Rådata[[#This Row],[B12]]</f>
        <v>0.10314242270653827</v>
      </c>
      <c r="Q155" s="11">
        <f>Rådata[[#This Row],[Eldre67+]]/Rådata[[#This Row],[B12]]</f>
        <v>0.14140902179422199</v>
      </c>
      <c r="R155" s="11">
        <f>Rådata[[#This Row],[S11]]/Rådata[[#This Row],[S01]]-1</f>
        <v>1.9280875455966573E-2</v>
      </c>
      <c r="S155" s="11">
        <f>Rådata[[#This Row],[Y11]]/Rådata[[#This Row],[Folk20-64]]</f>
        <v>0.8627780109106169</v>
      </c>
    </row>
    <row r="156" spans="1:19" s="10" customFormat="1" ht="12.75">
      <c r="A156" s="10" t="s">
        <v>209</v>
      </c>
      <c r="B156" s="10">
        <v>2852</v>
      </c>
      <c r="C156" s="10">
        <v>2763</v>
      </c>
      <c r="D156" s="10">
        <v>5452.94</v>
      </c>
      <c r="E156" s="10">
        <v>1424</v>
      </c>
      <c r="F156" s="10">
        <v>346</v>
      </c>
      <c r="G156" s="10">
        <v>303</v>
      </c>
      <c r="H156" s="10">
        <v>1634</v>
      </c>
      <c r="I156" s="10">
        <v>1208</v>
      </c>
      <c r="J156" s="10">
        <v>1402</v>
      </c>
      <c r="K156" s="10">
        <v>323.42360064299999</v>
      </c>
      <c r="L156" s="11">
        <v>11</v>
      </c>
      <c r="M156" s="12">
        <v>294400</v>
      </c>
      <c r="N156" s="11">
        <f>Rådata[[#This Row],[B12]]/Rådata[[#This Row],[Totalareal]]</f>
        <v>0.50669913844641612</v>
      </c>
      <c r="O156" s="11">
        <f>Rådata[[#This Row],[B12]]/Rådata[[#This Row],[B02]]-1</f>
        <v>-3.1206171107994396E-2</v>
      </c>
      <c r="P156" s="11">
        <f>Rådata[[#This Row],[Kvinner20-39]]/Rådata[[#This Row],[B12]]</f>
        <v>0.10966340933767643</v>
      </c>
      <c r="Q156" s="11">
        <f>Rådata[[#This Row],[Eldre67+]]/Rådata[[#This Row],[B12]]</f>
        <v>0.12522620340209917</v>
      </c>
      <c r="R156" s="11">
        <f>Rådata[[#This Row],[S11]]/Rådata[[#This Row],[S01]]-1</f>
        <v>0.16059602649006632</v>
      </c>
      <c r="S156" s="11">
        <f>Rådata[[#This Row],[Y11]]/Rådata[[#This Row],[Folk20-64]]</f>
        <v>0.87148102815177475</v>
      </c>
    </row>
    <row r="157" spans="1:19" s="10" customFormat="1" ht="12.75">
      <c r="A157" s="10" t="s">
        <v>210</v>
      </c>
      <c r="B157" s="10">
        <v>1511</v>
      </c>
      <c r="C157" s="10">
        <v>1356</v>
      </c>
      <c r="D157" s="10">
        <v>3457.76</v>
      </c>
      <c r="E157" s="10">
        <v>622</v>
      </c>
      <c r="F157" s="10">
        <v>220</v>
      </c>
      <c r="G157" s="10">
        <v>140</v>
      </c>
      <c r="H157" s="10">
        <v>781</v>
      </c>
      <c r="I157" s="10">
        <v>665</v>
      </c>
      <c r="J157" s="10">
        <v>581</v>
      </c>
      <c r="K157" s="10">
        <v>443.67728288999996</v>
      </c>
      <c r="L157" s="11">
        <v>11</v>
      </c>
      <c r="M157" s="12">
        <v>290600</v>
      </c>
      <c r="N157" s="11">
        <f>Rådata[[#This Row],[B12]]/Rådata[[#This Row],[Totalareal]]</f>
        <v>0.3921613992873999</v>
      </c>
      <c r="O157" s="11">
        <f>Rådata[[#This Row],[B12]]/Rådata[[#This Row],[B02]]-1</f>
        <v>-0.10258107213765721</v>
      </c>
      <c r="P157" s="11">
        <f>Rådata[[#This Row],[Kvinner20-39]]/Rådata[[#This Row],[B12]]</f>
        <v>0.10324483775811209</v>
      </c>
      <c r="Q157" s="11">
        <f>Rådata[[#This Row],[Eldre67+]]/Rådata[[#This Row],[B12]]</f>
        <v>0.16224188790560473</v>
      </c>
      <c r="R157" s="11">
        <f>Rådata[[#This Row],[S11]]/Rådata[[#This Row],[S01]]-1</f>
        <v>-0.12631578947368416</v>
      </c>
      <c r="S157" s="11">
        <f>Rådata[[#This Row],[Y11]]/Rådata[[#This Row],[Folk20-64]]</f>
        <v>0.79641485275288093</v>
      </c>
    </row>
    <row r="158" spans="1:19" s="10" customFormat="1" ht="12.75">
      <c r="A158" s="10" t="s">
        <v>211</v>
      </c>
      <c r="B158" s="10">
        <v>1234</v>
      </c>
      <c r="C158" s="10">
        <v>1008</v>
      </c>
      <c r="D158" s="10">
        <v>1415.43</v>
      </c>
      <c r="E158" s="10">
        <v>501</v>
      </c>
      <c r="F158" s="10">
        <v>168</v>
      </c>
      <c r="G158" s="10">
        <v>115</v>
      </c>
      <c r="H158" s="10">
        <v>615</v>
      </c>
      <c r="I158" s="10">
        <v>495</v>
      </c>
      <c r="J158" s="10">
        <v>408</v>
      </c>
      <c r="K158" s="10">
        <v>434.60745669599999</v>
      </c>
      <c r="L158" s="11">
        <v>11</v>
      </c>
      <c r="M158" s="12">
        <v>300400</v>
      </c>
      <c r="N158" s="11">
        <f>Rådata[[#This Row],[B12]]/Rådata[[#This Row],[Totalareal]]</f>
        <v>0.71215107776435427</v>
      </c>
      <c r="O158" s="11">
        <f>Rådata[[#This Row],[B12]]/Rådata[[#This Row],[B02]]-1</f>
        <v>-0.18314424635332249</v>
      </c>
      <c r="P158" s="11">
        <f>Rådata[[#This Row],[Kvinner20-39]]/Rådata[[#This Row],[B12]]</f>
        <v>0.11408730158730158</v>
      </c>
      <c r="Q158" s="11">
        <f>Rådata[[#This Row],[Eldre67+]]/Rådata[[#This Row],[B12]]</f>
        <v>0.16666666666666666</v>
      </c>
      <c r="R158" s="11">
        <f>Rådata[[#This Row],[S11]]/Rådata[[#This Row],[S01]]-1</f>
        <v>-0.17575757575757578</v>
      </c>
      <c r="S158" s="11">
        <f>Rådata[[#This Row],[Y11]]/Rådata[[#This Row],[Folk20-64]]</f>
        <v>0.81463414634146336</v>
      </c>
    </row>
    <row r="159" spans="1:19" s="10" customFormat="1" ht="12.75">
      <c r="A159" s="10" t="s">
        <v>212</v>
      </c>
      <c r="B159" s="10">
        <v>1210</v>
      </c>
      <c r="C159" s="10">
        <v>1015</v>
      </c>
      <c r="D159" s="10">
        <v>1120.48</v>
      </c>
      <c r="E159" s="10">
        <v>492</v>
      </c>
      <c r="F159" s="10">
        <v>191</v>
      </c>
      <c r="G159" s="10">
        <v>84</v>
      </c>
      <c r="H159" s="10">
        <v>573</v>
      </c>
      <c r="I159" s="10">
        <v>499</v>
      </c>
      <c r="J159" s="10">
        <v>433</v>
      </c>
      <c r="K159" s="10">
        <v>333.68457024922998</v>
      </c>
      <c r="L159" s="11">
        <v>11</v>
      </c>
      <c r="M159" s="12">
        <v>300700</v>
      </c>
      <c r="N159" s="11">
        <f>Rådata[[#This Row],[B12]]/Rådata[[#This Row],[Totalareal]]</f>
        <v>0.90586177352563191</v>
      </c>
      <c r="O159" s="11">
        <f>Rådata[[#This Row],[B12]]/Rådata[[#This Row],[B02]]-1</f>
        <v>-0.16115702479338845</v>
      </c>
      <c r="P159" s="11">
        <f>Rådata[[#This Row],[Kvinner20-39]]/Rådata[[#This Row],[B12]]</f>
        <v>8.2758620689655171E-2</v>
      </c>
      <c r="Q159" s="11">
        <f>Rådata[[#This Row],[Eldre67+]]/Rådata[[#This Row],[B12]]</f>
        <v>0.18817733990147784</v>
      </c>
      <c r="R159" s="11">
        <f>Rådata[[#This Row],[S11]]/Rådata[[#This Row],[S01]]-1</f>
        <v>-0.13226452905811625</v>
      </c>
      <c r="S159" s="11">
        <f>Rådata[[#This Row],[Y11]]/Rådata[[#This Row],[Folk20-64]]</f>
        <v>0.8586387434554974</v>
      </c>
    </row>
    <row r="160" spans="1:19" s="10" customFormat="1" ht="12.75">
      <c r="A160" s="10" t="s">
        <v>213</v>
      </c>
      <c r="B160" s="10">
        <v>3039</v>
      </c>
      <c r="C160" s="10">
        <v>2896</v>
      </c>
      <c r="D160" s="10">
        <v>4049.71</v>
      </c>
      <c r="E160" s="10">
        <v>1497</v>
      </c>
      <c r="F160" s="10">
        <v>468</v>
      </c>
      <c r="G160" s="10">
        <v>306</v>
      </c>
      <c r="H160" s="10">
        <v>1664</v>
      </c>
      <c r="I160" s="10">
        <v>1406</v>
      </c>
      <c r="J160" s="10">
        <v>1408</v>
      </c>
      <c r="K160" s="10">
        <v>328.30938772490003</v>
      </c>
      <c r="L160" s="11">
        <v>11</v>
      </c>
      <c r="M160" s="12">
        <v>309400</v>
      </c>
      <c r="N160" s="11">
        <f>Rådata[[#This Row],[B12]]/Rådata[[#This Row],[Totalareal]]</f>
        <v>0.71511293401255893</v>
      </c>
      <c r="O160" s="11">
        <f>Rådata[[#This Row],[B12]]/Rådata[[#This Row],[B02]]-1</f>
        <v>-4.7054952286936458E-2</v>
      </c>
      <c r="P160" s="11">
        <f>Rådata[[#This Row],[Kvinner20-39]]/Rådata[[#This Row],[B12]]</f>
        <v>0.10566298342541436</v>
      </c>
      <c r="Q160" s="11">
        <f>Rådata[[#This Row],[Eldre67+]]/Rådata[[#This Row],[B12]]</f>
        <v>0.16160220994475138</v>
      </c>
      <c r="R160" s="11">
        <f>Rådata[[#This Row],[S11]]/Rådata[[#This Row],[S01]]-1</f>
        <v>1.4224751066855834E-3</v>
      </c>
      <c r="S160" s="11">
        <f>Rådata[[#This Row],[Y11]]/Rådata[[#This Row],[Folk20-64]]</f>
        <v>0.89963942307692313</v>
      </c>
    </row>
    <row r="161" spans="1:19" s="10" customFormat="1" ht="12.75">
      <c r="A161" s="10" t="s">
        <v>214</v>
      </c>
      <c r="B161" s="10">
        <v>2407</v>
      </c>
      <c r="C161" s="10">
        <v>2089</v>
      </c>
      <c r="D161" s="10">
        <v>1433.26</v>
      </c>
      <c r="E161" s="10">
        <v>1096</v>
      </c>
      <c r="F161" s="10">
        <v>248</v>
      </c>
      <c r="G161" s="10">
        <v>242</v>
      </c>
      <c r="H161" s="10">
        <v>1292</v>
      </c>
      <c r="I161" s="10">
        <v>1283</v>
      </c>
      <c r="J161" s="10">
        <v>1048</v>
      </c>
      <c r="K161" s="10">
        <v>323.55824695064001</v>
      </c>
      <c r="L161" s="11">
        <v>9</v>
      </c>
      <c r="M161" s="12">
        <v>311900</v>
      </c>
      <c r="N161" s="11">
        <f>Rådata[[#This Row],[B12]]/Rådata[[#This Row],[Totalareal]]</f>
        <v>1.4575164310732176</v>
      </c>
      <c r="O161" s="11">
        <f>Rådata[[#This Row],[B12]]/Rådata[[#This Row],[B02]]-1</f>
        <v>-0.13211466555878693</v>
      </c>
      <c r="P161" s="11">
        <f>Rådata[[#This Row],[Kvinner20-39]]/Rådata[[#This Row],[B12]]</f>
        <v>0.11584490186692198</v>
      </c>
      <c r="Q161" s="11">
        <f>Rådata[[#This Row],[Eldre67+]]/Rådata[[#This Row],[B12]]</f>
        <v>0.11871708951651508</v>
      </c>
      <c r="R161" s="11">
        <f>Rådata[[#This Row],[S11]]/Rådata[[#This Row],[S01]]-1</f>
        <v>-0.18316445830085737</v>
      </c>
      <c r="S161" s="11">
        <f>Rådata[[#This Row],[Y11]]/Rådata[[#This Row],[Folk20-64]]</f>
        <v>0.84829721362229105</v>
      </c>
    </row>
    <row r="162" spans="1:19" s="10" customFormat="1" ht="12.75">
      <c r="A162" s="10" t="s">
        <v>215</v>
      </c>
      <c r="B162" s="10">
        <v>9608</v>
      </c>
      <c r="C162" s="10">
        <v>9860</v>
      </c>
      <c r="D162" s="10">
        <v>3967.3999999999996</v>
      </c>
      <c r="E162" s="10">
        <v>5304</v>
      </c>
      <c r="F162" s="10">
        <v>1272</v>
      </c>
      <c r="G162" s="10">
        <v>1268</v>
      </c>
      <c r="H162" s="10">
        <v>5933</v>
      </c>
      <c r="I162" s="10">
        <v>4311</v>
      </c>
      <c r="J162" s="10">
        <v>5386</v>
      </c>
      <c r="K162" s="10">
        <v>241.72333793760001</v>
      </c>
      <c r="L162" s="11">
        <v>9</v>
      </c>
      <c r="M162" s="12">
        <v>340200</v>
      </c>
      <c r="N162" s="11">
        <f>Rådata[[#This Row],[B12]]/Rådata[[#This Row],[Totalareal]]</f>
        <v>2.485254826838736</v>
      </c>
      <c r="O162" s="11">
        <f>Rådata[[#This Row],[B12]]/Rådata[[#This Row],[B02]]-1</f>
        <v>2.6228143213988364E-2</v>
      </c>
      <c r="P162" s="11">
        <f>Rådata[[#This Row],[Kvinner20-39]]/Rådata[[#This Row],[B12]]</f>
        <v>0.1286004056795132</v>
      </c>
      <c r="Q162" s="11">
        <f>Rådata[[#This Row],[Eldre67+]]/Rådata[[#This Row],[B12]]</f>
        <v>0.12900608519269777</v>
      </c>
      <c r="R162" s="11">
        <f>Rådata[[#This Row],[S11]]/Rådata[[#This Row],[S01]]-1</f>
        <v>0.24936209696126199</v>
      </c>
      <c r="S162" s="11">
        <f>Rådata[[#This Row],[Y11]]/Rådata[[#This Row],[Folk20-64]]</f>
        <v>0.89398280802292263</v>
      </c>
    </row>
    <row r="164" spans="1:19">
      <c r="A164" t="s">
        <v>0</v>
      </c>
      <c r="B164">
        <v>4273337</v>
      </c>
      <c r="C164">
        <v>4681134</v>
      </c>
      <c r="D164">
        <v>304248.43000000017</v>
      </c>
      <c r="E164">
        <v>2264963</v>
      </c>
      <c r="F164">
        <v>2561997</v>
      </c>
      <c r="G164">
        <v>654600</v>
      </c>
      <c r="H164">
        <v>2487001</v>
      </c>
      <c r="I164">
        <v>2969293</v>
      </c>
      <c r="J164">
        <v>2259985</v>
      </c>
      <c r="K164">
        <v>2543400</v>
      </c>
    </row>
  </sheetData>
  <mergeCells count="3">
    <mergeCell ref="B1:J1"/>
    <mergeCell ref="K1:M1"/>
    <mergeCell ref="N1:S1"/>
  </mergeCell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AM183"/>
  <sheetViews>
    <sheetView tabSelected="1" zoomScale="70" zoomScaleNormal="70" workbookViewId="0">
      <pane xSplit="3" ySplit="5" topLeftCell="D6" activePane="bottomRight" state="frozen"/>
      <selection pane="topRight" activeCell="B1" sqref="B1"/>
      <selection pane="bottomLeft" activeCell="A6" sqref="A6"/>
      <selection pane="bottomRight" sqref="A1:B4"/>
    </sheetView>
  </sheetViews>
  <sheetFormatPr baseColWidth="10" defaultRowHeight="15"/>
  <cols>
    <col min="1" max="1" width="15.140625" customWidth="1"/>
    <col min="5" max="5" width="14.7109375" customWidth="1"/>
    <col min="6" max="7" width="12.7109375" customWidth="1"/>
    <col min="8" max="8" width="14.140625" customWidth="1"/>
    <col min="9" max="9" width="12.5703125" customWidth="1"/>
    <col min="10" max="10" width="13.42578125" customWidth="1"/>
    <col min="11" max="11" width="18.140625" customWidth="1"/>
    <col min="12" max="12" width="18" customWidth="1"/>
    <col min="13" max="13" width="16.42578125" bestFit="1" customWidth="1"/>
    <col min="14" max="14" width="11.7109375" bestFit="1" customWidth="1"/>
    <col min="15" max="19" width="11.5703125" bestFit="1" customWidth="1"/>
    <col min="20" max="20" width="16.7109375" bestFit="1" customWidth="1"/>
    <col min="39" max="39" width="13.85546875" customWidth="1"/>
  </cols>
  <sheetData>
    <row r="1" spans="1:39">
      <c r="A1" s="31"/>
      <c r="B1" s="32"/>
      <c r="C1" s="37" t="s">
        <v>49</v>
      </c>
      <c r="D1" s="38"/>
      <c r="E1" s="38"/>
      <c r="F1" s="38"/>
      <c r="G1" s="38"/>
      <c r="H1" s="38"/>
      <c r="I1" s="38"/>
      <c r="J1" s="38"/>
      <c r="K1" s="39"/>
      <c r="L1" s="43" t="s">
        <v>50</v>
      </c>
      <c r="M1" s="38"/>
      <c r="N1" s="38"/>
      <c r="O1" s="38"/>
      <c r="P1" s="38"/>
      <c r="Q1" s="38"/>
      <c r="R1" s="38"/>
      <c r="S1" s="38"/>
      <c r="T1" s="39"/>
      <c r="U1" s="55" t="s">
        <v>51</v>
      </c>
      <c r="V1" s="38"/>
      <c r="W1" s="38"/>
      <c r="X1" s="38"/>
      <c r="Y1" s="38"/>
      <c r="Z1" s="38"/>
      <c r="AA1" s="38"/>
      <c r="AB1" s="38"/>
      <c r="AC1" s="38"/>
      <c r="AD1" s="52" t="s">
        <v>229</v>
      </c>
      <c r="AE1" s="53"/>
      <c r="AF1" s="53"/>
      <c r="AG1" s="53"/>
      <c r="AH1" s="53"/>
      <c r="AI1" s="53"/>
      <c r="AJ1" s="53"/>
      <c r="AK1" s="53"/>
      <c r="AL1" s="54"/>
      <c r="AM1" s="46" t="s">
        <v>230</v>
      </c>
    </row>
    <row r="2" spans="1:39" ht="15.75" thickBot="1">
      <c r="A2" s="33"/>
      <c r="B2" s="34"/>
      <c r="C2" s="40"/>
      <c r="D2" s="41"/>
      <c r="E2" s="41"/>
      <c r="F2" s="41"/>
      <c r="G2" s="41"/>
      <c r="H2" s="41"/>
      <c r="I2" s="41"/>
      <c r="J2" s="41"/>
      <c r="K2" s="42"/>
      <c r="L2" s="40"/>
      <c r="M2" s="41"/>
      <c r="N2" s="41"/>
      <c r="O2" s="41"/>
      <c r="P2" s="41"/>
      <c r="Q2" s="41"/>
      <c r="R2" s="41"/>
      <c r="S2" s="41"/>
      <c r="T2" s="42"/>
      <c r="U2" s="41"/>
      <c r="V2" s="41"/>
      <c r="W2" s="41"/>
      <c r="X2" s="41"/>
      <c r="Y2" s="41"/>
      <c r="Z2" s="41"/>
      <c r="AA2" s="41"/>
      <c r="AB2" s="41"/>
      <c r="AC2" s="41"/>
      <c r="AD2" s="4">
        <v>0.2</v>
      </c>
      <c r="AE2" s="5">
        <v>0.1</v>
      </c>
      <c r="AF2" s="5">
        <v>0.1</v>
      </c>
      <c r="AG2" s="5">
        <v>0.2</v>
      </c>
      <c r="AH2" s="5">
        <v>0.05</v>
      </c>
      <c r="AI2" s="5">
        <v>0.05</v>
      </c>
      <c r="AJ2" s="5">
        <v>0.1</v>
      </c>
      <c r="AK2" s="5">
        <v>0.1</v>
      </c>
      <c r="AL2" s="6">
        <v>0.1</v>
      </c>
      <c r="AM2" s="47"/>
    </row>
    <row r="3" spans="1:39">
      <c r="A3" s="33"/>
      <c r="B3" s="34"/>
      <c r="C3" s="40"/>
      <c r="D3" s="41"/>
      <c r="E3" s="41"/>
      <c r="F3" s="41"/>
      <c r="G3" s="41"/>
      <c r="H3" s="41"/>
      <c r="I3" s="41"/>
      <c r="J3" s="41"/>
      <c r="K3" s="42"/>
      <c r="L3" s="40"/>
      <c r="M3" s="41"/>
      <c r="N3" s="41"/>
      <c r="O3" s="41"/>
      <c r="P3" s="41"/>
      <c r="Q3" s="41"/>
      <c r="R3" s="41"/>
      <c r="S3" s="41"/>
      <c r="T3" s="42"/>
      <c r="U3" s="41"/>
      <c r="V3" s="41"/>
      <c r="W3" s="41"/>
      <c r="X3" s="41"/>
      <c r="Y3" s="41"/>
      <c r="Z3" s="41"/>
      <c r="AA3" s="41"/>
      <c r="AB3" s="41"/>
      <c r="AC3" s="41"/>
      <c r="AD3" s="49" t="s">
        <v>219</v>
      </c>
      <c r="AE3" s="50"/>
      <c r="AF3" s="50"/>
      <c r="AG3" s="50"/>
      <c r="AH3" s="50"/>
      <c r="AI3" s="50"/>
      <c r="AJ3" s="50"/>
      <c r="AK3" s="50"/>
      <c r="AL3" s="51"/>
      <c r="AM3" s="47"/>
    </row>
    <row r="4" spans="1:39" ht="15.75" thickBot="1">
      <c r="A4" s="35"/>
      <c r="B4" s="36"/>
      <c r="C4" s="28" t="s">
        <v>13</v>
      </c>
      <c r="D4" s="29"/>
      <c r="E4" s="29"/>
      <c r="F4" s="78" t="s">
        <v>16</v>
      </c>
      <c r="G4" s="29"/>
      <c r="H4" s="79"/>
      <c r="I4" s="78" t="s">
        <v>20</v>
      </c>
      <c r="J4" s="79"/>
      <c r="K4" s="19" t="s">
        <v>23</v>
      </c>
      <c r="L4" s="44" t="s">
        <v>13</v>
      </c>
      <c r="M4" s="30"/>
      <c r="N4" s="71"/>
      <c r="O4" s="72" t="s">
        <v>16</v>
      </c>
      <c r="P4" s="30"/>
      <c r="Q4" s="71"/>
      <c r="R4" s="72" t="s">
        <v>20</v>
      </c>
      <c r="S4" s="71"/>
      <c r="T4" s="18" t="s">
        <v>23</v>
      </c>
      <c r="U4" s="27" t="s">
        <v>13</v>
      </c>
      <c r="V4" s="26"/>
      <c r="W4" s="26"/>
      <c r="X4" s="74" t="s">
        <v>16</v>
      </c>
      <c r="Y4" s="27"/>
      <c r="Z4" s="73"/>
      <c r="AA4" s="74" t="s">
        <v>20</v>
      </c>
      <c r="AB4" s="73"/>
      <c r="AC4" s="17" t="s">
        <v>23</v>
      </c>
      <c r="AD4" s="23" t="s">
        <v>13</v>
      </c>
      <c r="AE4" s="24"/>
      <c r="AF4" s="24"/>
      <c r="AG4" s="76" t="s">
        <v>16</v>
      </c>
      <c r="AH4" s="25"/>
      <c r="AI4" s="75"/>
      <c r="AJ4" s="25" t="s">
        <v>20</v>
      </c>
      <c r="AK4" s="25"/>
      <c r="AL4" s="77" t="s">
        <v>23</v>
      </c>
      <c r="AM4" s="48"/>
    </row>
    <row r="5" spans="1:39">
      <c r="A5" s="56" t="s">
        <v>24</v>
      </c>
      <c r="B5" s="9" t="s">
        <v>1</v>
      </c>
      <c r="C5" s="45" t="s">
        <v>53</v>
      </c>
      <c r="D5" s="45" t="s">
        <v>14</v>
      </c>
      <c r="E5" s="45" t="s">
        <v>15</v>
      </c>
      <c r="F5" s="45" t="s">
        <v>17</v>
      </c>
      <c r="G5" s="45" t="s">
        <v>18</v>
      </c>
      <c r="H5" s="45" t="s">
        <v>19</v>
      </c>
      <c r="I5" s="45" t="s">
        <v>21</v>
      </c>
      <c r="J5" s="45" t="s">
        <v>22</v>
      </c>
      <c r="K5" s="45" t="s">
        <v>12</v>
      </c>
      <c r="L5" s="45" t="s">
        <v>55</v>
      </c>
      <c r="M5" s="45" t="s">
        <v>27</v>
      </c>
      <c r="N5" s="45" t="s">
        <v>28</v>
      </c>
      <c r="O5" s="45" t="s">
        <v>29</v>
      </c>
      <c r="P5" s="45" t="s">
        <v>30</v>
      </c>
      <c r="Q5" s="45" t="s">
        <v>31</v>
      </c>
      <c r="R5" s="45" t="s">
        <v>32</v>
      </c>
      <c r="S5" s="45" t="s">
        <v>33</v>
      </c>
      <c r="T5" s="45" t="s">
        <v>34</v>
      </c>
      <c r="U5" s="45" t="s">
        <v>54</v>
      </c>
      <c r="V5" s="45" t="s">
        <v>35</v>
      </c>
      <c r="W5" s="45" t="s">
        <v>36</v>
      </c>
      <c r="X5" s="45" t="s">
        <v>37</v>
      </c>
      <c r="Y5" s="45" t="s">
        <v>38</v>
      </c>
      <c r="Z5" s="45" t="s">
        <v>39</v>
      </c>
      <c r="AA5" s="45" t="s">
        <v>40</v>
      </c>
      <c r="AB5" s="45" t="s">
        <v>41</v>
      </c>
      <c r="AC5" s="45" t="s">
        <v>42</v>
      </c>
      <c r="AD5" s="13" t="s">
        <v>220</v>
      </c>
      <c r="AE5" s="14" t="s">
        <v>221</v>
      </c>
      <c r="AF5" s="14" t="s">
        <v>222</v>
      </c>
      <c r="AG5" s="15" t="s">
        <v>223</v>
      </c>
      <c r="AH5" s="15" t="s">
        <v>224</v>
      </c>
      <c r="AI5" s="15" t="s">
        <v>225</v>
      </c>
      <c r="AJ5" s="15" t="s">
        <v>226</v>
      </c>
      <c r="AK5" s="15" t="s">
        <v>227</v>
      </c>
      <c r="AL5" s="16" t="s">
        <v>228</v>
      </c>
      <c r="AM5" s="57" t="s">
        <v>52</v>
      </c>
    </row>
    <row r="6" spans="1:39">
      <c r="A6" s="58">
        <v>1</v>
      </c>
      <c r="B6" s="8" t="s">
        <v>56</v>
      </c>
      <c r="C6" s="45">
        <f>Råark!L3</f>
        <v>5</v>
      </c>
      <c r="D6" s="80">
        <f>Råark!K3</f>
        <v>79.515035661819212</v>
      </c>
      <c r="E6" s="80">
        <f>Råark!N3</f>
        <v>32.201909278093218</v>
      </c>
      <c r="F6" s="80">
        <f>Råark!O3</f>
        <v>8.1026357130389304E-2</v>
      </c>
      <c r="G6" s="80">
        <f>Råark!P3</f>
        <v>0.11848478976942453</v>
      </c>
      <c r="H6" s="80">
        <f>Råark!Q3</f>
        <v>0.15074597946134469</v>
      </c>
      <c r="I6" s="80">
        <f>Råark!R3</f>
        <v>5.4700716990252252E-2</v>
      </c>
      <c r="J6" s="80">
        <f>Råark!S3</f>
        <v>0.79909894877356913</v>
      </c>
      <c r="K6" s="80">
        <f>Råark!M3</f>
        <v>310522.66386316769</v>
      </c>
      <c r="L6" s="59">
        <f>Tabell2[[#This Row],[NIBR11BA]]</f>
        <v>5</v>
      </c>
      <c r="M6" s="80">
        <f>IF(Tabell2[[#This Row],[Reisetid Oslo]]&lt;D$167,D$167,IF(Tabell2[[#This Row],[Reisetid Oslo]]&gt;D$168,D$168,Tabell2[[#This Row],[Reisetid Oslo]]))</f>
        <v>131.90278976372289</v>
      </c>
      <c r="N6" s="80">
        <f>IF(Tabell2[[#This Row],[beftettotal]]&lt;E$167,E$167,IF(Tabell2[[#This Row],[beftettotal]]&gt;E$168,E$168,Tabell2[[#This Row],[beftettotal]]))</f>
        <v>32.201909278093218</v>
      </c>
      <c r="O6" s="80">
        <f>IF(Tabell2[[#This Row],[Befvekst10]]&lt;F$167,F$167,IF(Tabell2[[#This Row],[Befvekst10]]&gt;F$168,F$168,Tabell2[[#This Row],[Befvekst10]]))</f>
        <v>8.1026357130389304E-2</v>
      </c>
      <c r="P6" s="80">
        <f>IF(Tabell2[[#This Row],[Kvinneandel]]&lt;G$167,G$167,IF(Tabell2[[#This Row],[Kvinneandel]]&gt;G$168,G$168,Tabell2[[#This Row],[Kvinneandel]]))</f>
        <v>0.11848478976942453</v>
      </c>
      <c r="Q6" s="80">
        <f>IF(Tabell2[[#This Row],[Eldreandel]]&lt;H$167,H$167,IF(Tabell2[[#This Row],[Eldreandel]]&gt;H$168,H$168,Tabell2[[#This Row],[Eldreandel]]))</f>
        <v>0.15074597946134469</v>
      </c>
      <c r="R6" s="80">
        <f>IF(Tabell2[[#This Row],[Syssvekst10]]&lt;I$167,I$167,IF(Tabell2[[#This Row],[Syssvekst10]]&gt;I$168,I$168,Tabell2[[#This Row],[Syssvekst10]]))</f>
        <v>5.4700716990252252E-2</v>
      </c>
      <c r="S6" s="80">
        <f>IF(Tabell2[[#This Row],[Yrkesaktiveandel]]&lt;J$167,J$167,IF(Tabell2[[#This Row],[Yrkesaktiveandel]]&gt;J$168,J$168,Tabell2[[#This Row],[Yrkesaktiveandel]]))</f>
        <v>0.82653781377516045</v>
      </c>
      <c r="T6" s="80">
        <f>IF(Tabell2[[#This Row],[Bruttoinntekt17+]]&lt;K$167,K$167,IF(Tabell2[[#This Row],[Bruttoinntekt17+]]&gt;K$168,K$168,Tabell2[[#This Row],[Bruttoinntekt17+]]))</f>
        <v>310522.66386316769</v>
      </c>
      <c r="U6" s="60">
        <f>IF(Tabell2[[#This Row],[NIBR11-BA-Utrunk]]&lt;=L$170,100,IF(Tabell2[[#This Row],[NIBR11-BA-Utrunk]]&gt;=L$169,0,100-Tabell2[[#This Row],[NIBR11-BA-Utrunk]]*100/L$171))</f>
        <v>50</v>
      </c>
      <c r="V6" s="60">
        <f>(M$169-Tabell2[[#This Row],[Reisetid Oslo-T]])*100/M$171</f>
        <v>100</v>
      </c>
      <c r="W6" s="60">
        <f>100-(N$169-Tabell2[[#This Row],[beftettotal-T]])*100/N$171</f>
        <v>72.530966828177128</v>
      </c>
      <c r="X6" s="60">
        <f>100-(O$169-Tabell2[[#This Row],[Befvekst10-T]])*100/O$171</f>
        <v>92.59733568132944</v>
      </c>
      <c r="Y6" s="60">
        <f>100-(P$169-Tabell2[[#This Row],[Kvinneandel-T]])*100/P$171</f>
        <v>86.174778167111342</v>
      </c>
      <c r="Z6" s="60">
        <f>(Q$169-Tabell2[[#This Row],[Eldreandel-T]])*100/Q$171</f>
        <v>70.669383656746106</v>
      </c>
      <c r="AA6" s="60">
        <f>100-(R$169-Tabell2[[#This Row],[Syssvekst10-T]])*100/R$171</f>
        <v>58.914733736335428</v>
      </c>
      <c r="AB6" s="60">
        <f>100-(S$169-Tabell2[[#This Row],[Yrkesaktiveandel-T]])*100/S$171</f>
        <v>0</v>
      </c>
      <c r="AC6" s="60">
        <f>100-(T$169-Tabell2[[#This Row],[Bruttoinntekt17+-T]])*100/T$171</f>
        <v>27.222627138259327</v>
      </c>
      <c r="AD6" s="61">
        <f>Tabell2[[#This Row],[NIBR11-BA-I]]*$AD$2</f>
        <v>10</v>
      </c>
      <c r="AE6" s="61">
        <f>Tabell2[[#This Row],[Reisetid Oslo-I]]*$AE$2</f>
        <v>10</v>
      </c>
      <c r="AF6" s="61">
        <f>Tabell2[[#This Row],[beftettotal-I]]*$AF$2</f>
        <v>7.2530966828177128</v>
      </c>
      <c r="AG6" s="61">
        <f>Tabell2[[#This Row],[Befvekst10-I]]*$AG$2</f>
        <v>18.519467136265888</v>
      </c>
      <c r="AH6" s="61">
        <f>Tabell2[[#This Row],[Kvinneandel-I]]*$AH$2</f>
        <v>4.3087389083555676</v>
      </c>
      <c r="AI6" s="61">
        <f>Tabell2[[#This Row],[Eldreandel-I]]*$AI$2</f>
        <v>3.5334691828373055</v>
      </c>
      <c r="AJ6" s="61">
        <f>Tabell2[[#This Row],[Syssvekst10-I]]*$AJ$2</f>
        <v>5.8914733736335432</v>
      </c>
      <c r="AK6" s="61">
        <f>Tabell2[[#This Row],[Yrkesaktiveandel-I]]*$AK$2</f>
        <v>0</v>
      </c>
      <c r="AL6" s="61">
        <f>Tabell2[[#This Row],[Bruttoinntekt17+-I]]*$AL$2</f>
        <v>2.7222627138259328</v>
      </c>
      <c r="AM6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62.228507997735953</v>
      </c>
    </row>
    <row r="7" spans="1:39">
      <c r="A7" s="63">
        <v>2</v>
      </c>
      <c r="B7" s="8" t="s">
        <v>57</v>
      </c>
      <c r="C7" s="45">
        <f>Råark!L4</f>
        <v>4</v>
      </c>
      <c r="D7" s="80">
        <f>Råark!K4</f>
        <v>44.0414982495004</v>
      </c>
      <c r="E7" s="80">
        <f>Råark!N4</f>
        <v>127.00894554116722</v>
      </c>
      <c r="F7" s="80">
        <f>Råark!O4</f>
        <v>0.11368131013487992</v>
      </c>
      <c r="G7" s="80">
        <f>Råark!P4</f>
        <v>0.11642291346595103</v>
      </c>
      <c r="H7" s="80">
        <f>Råark!Q4</f>
        <v>0.14244099044274627</v>
      </c>
      <c r="I7" s="80">
        <f>Råark!R4</f>
        <v>6.9443080247519884E-2</v>
      </c>
      <c r="J7" s="80">
        <f>Råark!S4</f>
        <v>0.82674045227847237</v>
      </c>
      <c r="K7" s="80">
        <f>Råark!M4</f>
        <v>338345.65392556781</v>
      </c>
      <c r="L7" s="59">
        <f>Tabell2[[#This Row],[NIBR11BA]]</f>
        <v>4</v>
      </c>
      <c r="M7" s="80">
        <f>IF(Tabell2[[#This Row],[Reisetid Oslo]]&lt;D$167,D$167,IF(Tabell2[[#This Row],[Reisetid Oslo]]&gt;D$168,D$168,Tabell2[[#This Row],[Reisetid Oslo]]))</f>
        <v>131.90278976372289</v>
      </c>
      <c r="N7" s="80">
        <f>IF(Tabell2[[#This Row],[beftettotal]]&lt;E$167,E$167,IF(Tabell2[[#This Row],[beftettotal]]&gt;E$168,E$168,Tabell2[[#This Row],[beftettotal]]))</f>
        <v>44.017170258769376</v>
      </c>
      <c r="O7" s="80">
        <f>IF(Tabell2[[#This Row],[Befvekst10]]&lt;F$167,F$167,IF(Tabell2[[#This Row],[Befvekst10]]&gt;F$168,F$168,Tabell2[[#This Row],[Befvekst10]]))</f>
        <v>9.7533233360955388E-2</v>
      </c>
      <c r="P7" s="80">
        <f>IF(Tabell2[[#This Row],[Kvinneandel]]&lt;G$167,G$167,IF(Tabell2[[#This Row],[Kvinneandel]]&gt;G$168,G$168,Tabell2[[#This Row],[Kvinneandel]]))</f>
        <v>0.11642291346595103</v>
      </c>
      <c r="Q7" s="80">
        <f>IF(Tabell2[[#This Row],[Eldreandel]]&lt;H$167,H$167,IF(Tabell2[[#This Row],[Eldreandel]]&gt;H$168,H$168,Tabell2[[#This Row],[Eldreandel]]))</f>
        <v>0.14244099044274627</v>
      </c>
      <c r="R7" s="80">
        <f>IF(Tabell2[[#This Row],[Syssvekst10]]&lt;I$167,I$167,IF(Tabell2[[#This Row],[Syssvekst10]]&gt;I$168,I$168,Tabell2[[#This Row],[Syssvekst10]]))</f>
        <v>6.9443080247519884E-2</v>
      </c>
      <c r="S7" s="80">
        <f>IF(Tabell2[[#This Row],[Yrkesaktiveandel]]&lt;J$167,J$167,IF(Tabell2[[#This Row],[Yrkesaktiveandel]]&gt;J$168,J$168,Tabell2[[#This Row],[Yrkesaktiveandel]]))</f>
        <v>0.82674045227847237</v>
      </c>
      <c r="T7" s="80">
        <f>IF(Tabell2[[#This Row],[Bruttoinntekt17+]]&lt;K$167,K$167,IF(Tabell2[[#This Row],[Bruttoinntekt17+]]&gt;K$168,K$168,Tabell2[[#This Row],[Bruttoinntekt17+]]))</f>
        <v>338345.65392556781</v>
      </c>
      <c r="U7" s="60">
        <f>IF(Tabell2[[#This Row],[NIBR11-BA-Utrunk]]&lt;=L$170,100,IF(Tabell2[[#This Row],[NIBR11-BA-Utrunk]]&gt;=L$169,0,100-Tabell2[[#This Row],[NIBR11-BA-Utrunk]]*100/L$171))</f>
        <v>60</v>
      </c>
      <c r="V7" s="60">
        <f>(M$169-Tabell2[[#This Row],[Reisetid Oslo-T]])*100/M$171</f>
        <v>100</v>
      </c>
      <c r="W7" s="60">
        <f>100-(N$169-Tabell2[[#This Row],[beftettotal-T]])*100/N$171</f>
        <v>100</v>
      </c>
      <c r="X7" s="60">
        <f>100-(O$169-Tabell2[[#This Row],[Befvekst10-T]])*100/O$171</f>
        <v>100</v>
      </c>
      <c r="Y7" s="60">
        <f>100-(P$169-Tabell2[[#This Row],[Kvinneandel-T]])*100/P$171</f>
        <v>79.599318694516356</v>
      </c>
      <c r="Z7" s="60">
        <f>(Q$169-Tabell2[[#This Row],[Eldreandel-T]])*100/Q$171</f>
        <v>81.717037290411056</v>
      </c>
      <c r="AA7" s="60">
        <f>100-(R$169-Tabell2[[#This Row],[Syssvekst10-T]])*100/R$171</f>
        <v>64.478297750979422</v>
      </c>
      <c r="AB7" s="60">
        <f>100-(S$169-Tabell2[[#This Row],[Yrkesaktiveandel-T]])*100/S$171</f>
        <v>0.15317771740750175</v>
      </c>
      <c r="AC7" s="60">
        <f>100-(T$169-Tabell2[[#This Row],[Bruttoinntekt17+-T]])*100/T$171</f>
        <v>73.825134315971326</v>
      </c>
      <c r="AD7" s="60">
        <f>Tabell2[[#This Row],[NIBR11-BA-I]]*$AD$2</f>
        <v>12</v>
      </c>
      <c r="AE7" s="60">
        <f>Tabell2[[#This Row],[Reisetid Oslo-I]]*$AE$2</f>
        <v>10</v>
      </c>
      <c r="AF7" s="60">
        <f>Tabell2[[#This Row],[beftettotal-I]]*$AF$2</f>
        <v>10</v>
      </c>
      <c r="AG7" s="60">
        <f>Tabell2[[#This Row],[Befvekst10-I]]*$AG$2</f>
        <v>20</v>
      </c>
      <c r="AH7" s="60">
        <f>Tabell2[[#This Row],[Kvinneandel-I]]*$AH$2</f>
        <v>3.9799659347258181</v>
      </c>
      <c r="AI7" s="60">
        <f>Tabell2[[#This Row],[Eldreandel-I]]*$AI$2</f>
        <v>4.0858518645205528</v>
      </c>
      <c r="AJ7" s="60">
        <f>Tabell2[[#This Row],[Syssvekst10-I]]*$AJ$2</f>
        <v>6.4478297750979428</v>
      </c>
      <c r="AK7" s="60">
        <f>Tabell2[[#This Row],[Yrkesaktiveandel-I]]*$AK$2</f>
        <v>1.5317771740750176E-2</v>
      </c>
      <c r="AL7" s="60">
        <f>Tabell2[[#This Row],[Bruttoinntekt17+-I]]*$AL$2</f>
        <v>7.3825134315971326</v>
      </c>
      <c r="AM7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73.911478777682206</v>
      </c>
    </row>
    <row r="8" spans="1:39">
      <c r="A8" s="64">
        <v>3</v>
      </c>
      <c r="B8" s="8" t="s">
        <v>58</v>
      </c>
      <c r="C8" s="45">
        <f>Råark!L5</f>
        <v>2</v>
      </c>
      <c r="D8" s="80">
        <f>Råark!K5</f>
        <v>63.807917841928003</v>
      </c>
      <c r="E8" s="80">
        <f>Råark!N5</f>
        <v>110.56446545585112</v>
      </c>
      <c r="F8" s="80">
        <f>Råark!O5</f>
        <v>0.10143447967509966</v>
      </c>
      <c r="G8" s="80">
        <f>Råark!P5</f>
        <v>0.11847882711914862</v>
      </c>
      <c r="H8" s="80">
        <f>Råark!Q5</f>
        <v>0.14486458692754742</v>
      </c>
      <c r="I8" s="80">
        <f>Råark!R5</f>
        <v>8.185065149811499E-2</v>
      </c>
      <c r="J8" s="80">
        <f>Råark!S5</f>
        <v>0.81454031707062868</v>
      </c>
      <c r="K8" s="80">
        <f>Råark!M5</f>
        <v>320538.25965557457</v>
      </c>
      <c r="L8" s="59">
        <f>Tabell2[[#This Row],[NIBR11BA]]</f>
        <v>2</v>
      </c>
      <c r="M8" s="80">
        <f>IF(Tabell2[[#This Row],[Reisetid Oslo]]&lt;D$167,D$167,IF(Tabell2[[#This Row],[Reisetid Oslo]]&gt;D$168,D$168,Tabell2[[#This Row],[Reisetid Oslo]]))</f>
        <v>131.90278976372289</v>
      </c>
      <c r="N8" s="80">
        <f>IF(Tabell2[[#This Row],[beftettotal]]&lt;E$167,E$167,IF(Tabell2[[#This Row],[beftettotal]]&gt;E$168,E$168,Tabell2[[#This Row],[beftettotal]]))</f>
        <v>44.017170258769376</v>
      </c>
      <c r="O8" s="80">
        <f>IF(Tabell2[[#This Row],[Befvekst10]]&lt;F$167,F$167,IF(Tabell2[[#This Row],[Befvekst10]]&gt;F$168,F$168,Tabell2[[#This Row],[Befvekst10]]))</f>
        <v>9.7533233360955388E-2</v>
      </c>
      <c r="P8" s="80">
        <f>IF(Tabell2[[#This Row],[Kvinneandel]]&lt;G$167,G$167,IF(Tabell2[[#This Row],[Kvinneandel]]&gt;G$168,G$168,Tabell2[[#This Row],[Kvinneandel]]))</f>
        <v>0.11847882711914862</v>
      </c>
      <c r="Q8" s="80">
        <f>IF(Tabell2[[#This Row],[Eldreandel]]&lt;H$167,H$167,IF(Tabell2[[#This Row],[Eldreandel]]&gt;H$168,H$168,Tabell2[[#This Row],[Eldreandel]]))</f>
        <v>0.14486458692754742</v>
      </c>
      <c r="R8" s="80">
        <f>IF(Tabell2[[#This Row],[Syssvekst10]]&lt;I$167,I$167,IF(Tabell2[[#This Row],[Syssvekst10]]&gt;I$168,I$168,Tabell2[[#This Row],[Syssvekst10]]))</f>
        <v>8.185065149811499E-2</v>
      </c>
      <c r="S8" s="80">
        <f>IF(Tabell2[[#This Row],[Yrkesaktiveandel]]&lt;J$167,J$167,IF(Tabell2[[#This Row],[Yrkesaktiveandel]]&gt;J$168,J$168,Tabell2[[#This Row],[Yrkesaktiveandel]]))</f>
        <v>0.82653781377516045</v>
      </c>
      <c r="T8" s="80">
        <f>IF(Tabell2[[#This Row],[Bruttoinntekt17+]]&lt;K$167,K$167,IF(Tabell2[[#This Row],[Bruttoinntekt17+]]&gt;K$168,K$168,Tabell2[[#This Row],[Bruttoinntekt17+]]))</f>
        <v>320538.25965557457</v>
      </c>
      <c r="U8" s="60">
        <f>IF(Tabell2[[#This Row],[NIBR11-BA-Utrunk]]&lt;=L$170,100,IF(Tabell2[[#This Row],[NIBR11-BA-Utrunk]]&gt;=L$169,0,100-Tabell2[[#This Row],[NIBR11-BA-Utrunk]]*100/L$171))</f>
        <v>80</v>
      </c>
      <c r="V8" s="60">
        <f>(M$169-Tabell2[[#This Row],[Reisetid Oslo-T]])*100/M$171</f>
        <v>100</v>
      </c>
      <c r="W8" s="60">
        <f>100-(N$169-Tabell2[[#This Row],[beftettotal-T]])*100/N$171</f>
        <v>100</v>
      </c>
      <c r="X8" s="60">
        <f>100-(O$169-Tabell2[[#This Row],[Befvekst10-T]])*100/O$171</f>
        <v>100</v>
      </c>
      <c r="Y8" s="60">
        <f>100-(P$169-Tabell2[[#This Row],[Kvinneandel-T]])*100/P$171</f>
        <v>86.15576288226012</v>
      </c>
      <c r="Z8" s="60">
        <f>(Q$169-Tabell2[[#This Row],[Eldreandel-T]])*100/Q$171</f>
        <v>78.493064994735505</v>
      </c>
      <c r="AA8" s="60">
        <f>100-(R$169-Tabell2[[#This Row],[Syssvekst10-T]])*100/R$171</f>
        <v>69.160743551174448</v>
      </c>
      <c r="AB8" s="60">
        <f>100-(S$169-Tabell2[[#This Row],[Yrkesaktiveandel-T]])*100/S$171</f>
        <v>0</v>
      </c>
      <c r="AC8" s="60">
        <f>100-(T$169-Tabell2[[#This Row],[Bruttoinntekt17+-T]])*100/T$171</f>
        <v>43.998389691381547</v>
      </c>
      <c r="AD8" s="60">
        <f>Tabell2[[#This Row],[NIBR11-BA-I]]*$AD$2</f>
        <v>16</v>
      </c>
      <c r="AE8" s="60">
        <f>Tabell2[[#This Row],[Reisetid Oslo-I]]*$AE$2</f>
        <v>10</v>
      </c>
      <c r="AF8" s="60">
        <f>Tabell2[[#This Row],[beftettotal-I]]*$AF$2</f>
        <v>10</v>
      </c>
      <c r="AG8" s="60">
        <f>Tabell2[[#This Row],[Befvekst10-I]]*$AG$2</f>
        <v>20</v>
      </c>
      <c r="AH8" s="60">
        <f>Tabell2[[#This Row],[Kvinneandel-I]]*$AH$2</f>
        <v>4.3077881441130064</v>
      </c>
      <c r="AI8" s="60">
        <f>Tabell2[[#This Row],[Eldreandel-I]]*$AI$2</f>
        <v>3.9246532497367754</v>
      </c>
      <c r="AJ8" s="60">
        <f>Tabell2[[#This Row],[Syssvekst10-I]]*$AJ$2</f>
        <v>6.9160743551174448</v>
      </c>
      <c r="AK8" s="60">
        <f>Tabell2[[#This Row],[Yrkesaktiveandel-I]]*$AK$2</f>
        <v>0</v>
      </c>
      <c r="AL8" s="60">
        <f>Tabell2[[#This Row],[Bruttoinntekt17+-I]]*$AL$2</f>
        <v>4.3998389691381545</v>
      </c>
      <c r="AM8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75.548354718105386</v>
      </c>
    </row>
    <row r="9" spans="1:39">
      <c r="A9" s="63">
        <v>4</v>
      </c>
      <c r="B9" s="8" t="s">
        <v>59</v>
      </c>
      <c r="C9" s="45">
        <f>Råark!L6</f>
        <v>5</v>
      </c>
      <c r="D9" s="80">
        <f>Råark!K6</f>
        <v>51.366213804659623</v>
      </c>
      <c r="E9" s="80">
        <f>Råark!N6</f>
        <v>37.624313710165879</v>
      </c>
      <c r="F9" s="80">
        <f>Råark!O6</f>
        <v>9.6580393496768391E-2</v>
      </c>
      <c r="G9" s="80">
        <f>Råark!P6</f>
        <v>0.11448082465660946</v>
      </c>
      <c r="H9" s="80">
        <f>Råark!Q6</f>
        <v>0.14234154701010049</v>
      </c>
      <c r="I9" s="80">
        <f>Råark!R6</f>
        <v>6.0080793242746955E-2</v>
      </c>
      <c r="J9" s="80">
        <f>Råark!S6</f>
        <v>0.82856632903484895</v>
      </c>
      <c r="K9" s="80">
        <f>Råark!M6</f>
        <v>318250.75799927651</v>
      </c>
      <c r="L9" s="59">
        <f>Tabell2[[#This Row],[NIBR11BA]]</f>
        <v>5</v>
      </c>
      <c r="M9" s="80">
        <f>IF(Tabell2[[#This Row],[Reisetid Oslo]]&lt;D$167,D$167,IF(Tabell2[[#This Row],[Reisetid Oslo]]&gt;D$168,D$168,Tabell2[[#This Row],[Reisetid Oslo]]))</f>
        <v>131.90278976372289</v>
      </c>
      <c r="N9" s="80">
        <f>IF(Tabell2[[#This Row],[beftettotal]]&lt;E$167,E$167,IF(Tabell2[[#This Row],[beftettotal]]&gt;E$168,E$168,Tabell2[[#This Row],[beftettotal]]))</f>
        <v>37.624313710165879</v>
      </c>
      <c r="O9" s="80">
        <f>IF(Tabell2[[#This Row],[Befvekst10]]&lt;F$167,F$167,IF(Tabell2[[#This Row],[Befvekst10]]&gt;F$168,F$168,Tabell2[[#This Row],[Befvekst10]]))</f>
        <v>9.6580393496768391E-2</v>
      </c>
      <c r="P9" s="80">
        <f>IF(Tabell2[[#This Row],[Kvinneandel]]&lt;G$167,G$167,IF(Tabell2[[#This Row],[Kvinneandel]]&gt;G$168,G$168,Tabell2[[#This Row],[Kvinneandel]]))</f>
        <v>0.11448082465660946</v>
      </c>
      <c r="Q9" s="80">
        <f>IF(Tabell2[[#This Row],[Eldreandel]]&lt;H$167,H$167,IF(Tabell2[[#This Row],[Eldreandel]]&gt;H$168,H$168,Tabell2[[#This Row],[Eldreandel]]))</f>
        <v>0.14234154701010049</v>
      </c>
      <c r="R9" s="80">
        <f>IF(Tabell2[[#This Row],[Syssvekst10]]&lt;I$167,I$167,IF(Tabell2[[#This Row],[Syssvekst10]]&gt;I$168,I$168,Tabell2[[#This Row],[Syssvekst10]]))</f>
        <v>6.0080793242746955E-2</v>
      </c>
      <c r="S9" s="80">
        <f>IF(Tabell2[[#This Row],[Yrkesaktiveandel]]&lt;J$167,J$167,IF(Tabell2[[#This Row],[Yrkesaktiveandel]]&gt;J$168,J$168,Tabell2[[#This Row],[Yrkesaktiveandel]]))</f>
        <v>0.82856632903484895</v>
      </c>
      <c r="T9" s="80">
        <f>IF(Tabell2[[#This Row],[Bruttoinntekt17+]]&lt;K$167,K$167,IF(Tabell2[[#This Row],[Bruttoinntekt17+]]&gt;K$168,K$168,Tabell2[[#This Row],[Bruttoinntekt17+]]))</f>
        <v>318250.75799927651</v>
      </c>
      <c r="U9" s="60">
        <f>IF(Tabell2[[#This Row],[NIBR11-BA-Utrunk]]&lt;=L$170,100,IF(Tabell2[[#This Row],[NIBR11-BA-Utrunk]]&gt;=L$169,0,100-Tabell2[[#This Row],[NIBR11-BA-Utrunk]]*100/L$171))</f>
        <v>50</v>
      </c>
      <c r="V9" s="60">
        <f>(M$169-Tabell2[[#This Row],[Reisetid Oslo-T]])*100/M$171</f>
        <v>100</v>
      </c>
      <c r="W9" s="60">
        <f>100-(N$169-Tabell2[[#This Row],[beftettotal-T]])*100/N$171</f>
        <v>85.137392319687464</v>
      </c>
      <c r="X9" s="60">
        <f>100-(O$169-Tabell2[[#This Row],[Befvekst10-T]])*100/O$171</f>
        <v>99.57268997686171</v>
      </c>
      <c r="Y9" s="60">
        <f>100-(P$169-Tabell2[[#This Row],[Kvinneandel-T]])*100/P$171</f>
        <v>73.40586943837387</v>
      </c>
      <c r="Z9" s="60">
        <f>(Q$169-Tabell2[[#This Row],[Eldreandel-T]])*100/Q$171</f>
        <v>81.84932122209996</v>
      </c>
      <c r="AA9" s="60">
        <f>100-(R$169-Tabell2[[#This Row],[Syssvekst10-T]])*100/R$171</f>
        <v>60.945100110577648</v>
      </c>
      <c r="AB9" s="60">
        <f>100-(S$169-Tabell2[[#This Row],[Yrkesaktiveandel-T]])*100/S$171</f>
        <v>1.5333874467434185</v>
      </c>
      <c r="AC9" s="60">
        <f>100-(T$169-Tabell2[[#This Row],[Bruttoinntekt17+-T]])*100/T$171</f>
        <v>40.166906730076043</v>
      </c>
      <c r="AD9" s="60">
        <f>Tabell2[[#This Row],[NIBR11-BA-I]]*$AD$2</f>
        <v>10</v>
      </c>
      <c r="AE9" s="60">
        <f>Tabell2[[#This Row],[Reisetid Oslo-I]]*$AE$2</f>
        <v>10</v>
      </c>
      <c r="AF9" s="60">
        <f>Tabell2[[#This Row],[beftettotal-I]]*$AF$2</f>
        <v>8.5137392319687475</v>
      </c>
      <c r="AG9" s="60">
        <f>Tabell2[[#This Row],[Befvekst10-I]]*$AG$2</f>
        <v>19.914537995372342</v>
      </c>
      <c r="AH9" s="60">
        <f>Tabell2[[#This Row],[Kvinneandel-I]]*$AH$2</f>
        <v>3.6702934719186935</v>
      </c>
      <c r="AI9" s="60">
        <f>Tabell2[[#This Row],[Eldreandel-I]]*$AI$2</f>
        <v>4.0924660611049983</v>
      </c>
      <c r="AJ9" s="60">
        <f>Tabell2[[#This Row],[Syssvekst10-I]]*$AJ$2</f>
        <v>6.094510011057765</v>
      </c>
      <c r="AK9" s="60">
        <f>Tabell2[[#This Row],[Yrkesaktiveandel-I]]*$AK$2</f>
        <v>0.15333874467434186</v>
      </c>
      <c r="AL9" s="60">
        <f>Tabell2[[#This Row],[Bruttoinntekt17+-I]]*$AL$2</f>
        <v>4.0166906730076049</v>
      </c>
      <c r="AM9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66.455576189104491</v>
      </c>
    </row>
    <row r="10" spans="1:39">
      <c r="A10" s="64">
        <v>5</v>
      </c>
      <c r="B10" s="8" t="s">
        <v>60</v>
      </c>
      <c r="C10" s="45">
        <f>Råark!L7</f>
        <v>1</v>
      </c>
      <c r="D10" s="80">
        <f>Råark!K7</f>
        <v>13.334452708236922</v>
      </c>
      <c r="E10" s="80">
        <f>Råark!N7</f>
        <v>171.95488385860855</v>
      </c>
      <c r="F10" s="80">
        <f>Råark!O7</f>
        <v>0.17677062540550414</v>
      </c>
      <c r="G10" s="80">
        <f>Råark!P7</f>
        <v>0.15139573897269584</v>
      </c>
      <c r="H10" s="80">
        <f>Råark!Q7</f>
        <v>0.11144962299051427</v>
      </c>
      <c r="I10" s="80">
        <f>Råark!R7</f>
        <v>0.11830290214149319</v>
      </c>
      <c r="J10" s="80">
        <f>Råark!S7</f>
        <v>0.84652323116384209</v>
      </c>
      <c r="K10" s="80">
        <f>Råark!M7</f>
        <v>405267.99034017808</v>
      </c>
      <c r="L10" s="59">
        <f>Tabell2[[#This Row],[NIBR11BA]]</f>
        <v>1</v>
      </c>
      <c r="M10" s="80">
        <f>IF(Tabell2[[#This Row],[Reisetid Oslo]]&lt;D$167,D$167,IF(Tabell2[[#This Row],[Reisetid Oslo]]&gt;D$168,D$168,Tabell2[[#This Row],[Reisetid Oslo]]))</f>
        <v>131.90278976372289</v>
      </c>
      <c r="N10" s="80">
        <f>IF(Tabell2[[#This Row],[beftettotal]]&lt;E$167,E$167,IF(Tabell2[[#This Row],[beftettotal]]&gt;E$168,E$168,Tabell2[[#This Row],[beftettotal]]))</f>
        <v>44.017170258769376</v>
      </c>
      <c r="O10" s="80">
        <f>IF(Tabell2[[#This Row],[Befvekst10]]&lt;F$167,F$167,IF(Tabell2[[#This Row],[Befvekst10]]&gt;F$168,F$168,Tabell2[[#This Row],[Befvekst10]]))</f>
        <v>9.7533233360955388E-2</v>
      </c>
      <c r="P10" s="80">
        <f>IF(Tabell2[[#This Row],[Kvinneandel]]&lt;G$167,G$167,IF(Tabell2[[#This Row],[Kvinneandel]]&gt;G$168,G$168,Tabell2[[#This Row],[Kvinneandel]]))</f>
        <v>0.12281998450468276</v>
      </c>
      <c r="Q10" s="80">
        <f>IF(Tabell2[[#This Row],[Eldreandel]]&lt;H$167,H$167,IF(Tabell2[[#This Row],[Eldreandel]]&gt;H$168,H$168,Tabell2[[#This Row],[Eldreandel]]))</f>
        <v>0.1286969132327325</v>
      </c>
      <c r="R10" s="80">
        <f>IF(Tabell2[[#This Row],[Syssvekst10]]&lt;I$167,I$167,IF(Tabell2[[#This Row],[Syssvekst10]]&gt;I$168,I$168,Tabell2[[#This Row],[Syssvekst10]]))</f>
        <v>0.11830290214149319</v>
      </c>
      <c r="S10" s="80">
        <f>IF(Tabell2[[#This Row],[Yrkesaktiveandel]]&lt;J$167,J$167,IF(Tabell2[[#This Row],[Yrkesaktiveandel]]&gt;J$168,J$168,Tabell2[[#This Row],[Yrkesaktiveandel]]))</f>
        <v>0.84652323116384209</v>
      </c>
      <c r="T10" s="80">
        <f>IF(Tabell2[[#This Row],[Bruttoinntekt17+]]&lt;K$167,K$167,IF(Tabell2[[#This Row],[Bruttoinntekt17+]]&gt;K$168,K$168,Tabell2[[#This Row],[Bruttoinntekt17+]]))</f>
        <v>353972.77512388147</v>
      </c>
      <c r="U10" s="60">
        <f>IF(Tabell2[[#This Row],[NIBR11-BA-Utrunk]]&lt;=L$170,100,IF(Tabell2[[#This Row],[NIBR11-BA-Utrunk]]&gt;=L$169,0,100-Tabell2[[#This Row],[NIBR11-BA-Utrunk]]*100/L$171))</f>
        <v>100</v>
      </c>
      <c r="V10" s="60">
        <f>(M$169-Tabell2[[#This Row],[Reisetid Oslo-T]])*100/M$171</f>
        <v>100</v>
      </c>
      <c r="W10" s="60">
        <f>100-(N$169-Tabell2[[#This Row],[beftettotal-T]])*100/N$171</f>
        <v>100</v>
      </c>
      <c r="X10" s="60">
        <f>100-(O$169-Tabell2[[#This Row],[Befvekst10-T]])*100/O$171</f>
        <v>100</v>
      </c>
      <c r="Y10" s="60">
        <f>100-(P$169-Tabell2[[#This Row],[Kvinneandel-T]])*100/P$171</f>
        <v>100</v>
      </c>
      <c r="Z10" s="60">
        <f>(Q$169-Tabell2[[#This Row],[Eldreandel-T]])*100/Q$171</f>
        <v>100</v>
      </c>
      <c r="AA10" s="60">
        <f>100-(R$169-Tabell2[[#This Row],[Syssvekst10-T]])*100/R$171</f>
        <v>82.917318829721097</v>
      </c>
      <c r="AB10" s="60">
        <f>100-(S$169-Tabell2[[#This Row],[Yrkesaktiveandel-T]])*100/S$171</f>
        <v>15.107299782619293</v>
      </c>
      <c r="AC10" s="60">
        <f>100-(T$169-Tabell2[[#This Row],[Bruttoinntekt17+-T]])*100/T$171</f>
        <v>100</v>
      </c>
      <c r="AD10" s="60">
        <f>Tabell2[[#This Row],[NIBR11-BA-I]]*$AD$2</f>
        <v>20</v>
      </c>
      <c r="AE10" s="60">
        <f>Tabell2[[#This Row],[Reisetid Oslo-I]]*$AE$2</f>
        <v>10</v>
      </c>
      <c r="AF10" s="60">
        <f>Tabell2[[#This Row],[beftettotal-I]]*$AF$2</f>
        <v>10</v>
      </c>
      <c r="AG10" s="60">
        <f>Tabell2[[#This Row],[Befvekst10-I]]*$AG$2</f>
        <v>20</v>
      </c>
      <c r="AH10" s="60">
        <f>Tabell2[[#This Row],[Kvinneandel-I]]*$AH$2</f>
        <v>5</v>
      </c>
      <c r="AI10" s="60">
        <f>Tabell2[[#This Row],[Eldreandel-I]]*$AI$2</f>
        <v>5</v>
      </c>
      <c r="AJ10" s="60">
        <f>Tabell2[[#This Row],[Syssvekst10-I]]*$AJ$2</f>
        <v>8.2917318829721101</v>
      </c>
      <c r="AK10" s="60">
        <f>Tabell2[[#This Row],[Yrkesaktiveandel-I]]*$AK$2</f>
        <v>1.5107299782619295</v>
      </c>
      <c r="AL10" s="60">
        <f>Tabell2[[#This Row],[Bruttoinntekt17+-I]]*$AL$2</f>
        <v>10</v>
      </c>
      <c r="AM10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89.80246186123405</v>
      </c>
    </row>
    <row r="11" spans="1:39">
      <c r="A11" s="63">
        <v>6</v>
      </c>
      <c r="B11" s="8" t="s">
        <v>61</v>
      </c>
      <c r="C11" s="45">
        <f>Råark!L8</f>
        <v>5</v>
      </c>
      <c r="D11" s="80">
        <f>Råark!K8</f>
        <v>78.864359906882555</v>
      </c>
      <c r="E11" s="80">
        <f>Råark!N8</f>
        <v>10.790551634991616</v>
      </c>
      <c r="F11" s="80">
        <f>Råark!O8</f>
        <v>-7.5908187240195657E-3</v>
      </c>
      <c r="G11" s="80">
        <f>Råark!P8</f>
        <v>0.10024484510006273</v>
      </c>
      <c r="H11" s="80">
        <f>Råark!Q8</f>
        <v>0.1776442259050163</v>
      </c>
      <c r="I11" s="80">
        <f>Råark!R8</f>
        <v>-2.410376876723519E-2</v>
      </c>
      <c r="J11" s="80">
        <f>Råark!S8</f>
        <v>0.79797087104072395</v>
      </c>
      <c r="K11" s="80">
        <f>Råark!M8</f>
        <v>299339.03831891227</v>
      </c>
      <c r="L11" s="59">
        <f>Tabell2[[#This Row],[NIBR11BA]]</f>
        <v>5</v>
      </c>
      <c r="M11" s="80">
        <f>IF(Tabell2[[#This Row],[Reisetid Oslo]]&lt;D$167,D$167,IF(Tabell2[[#This Row],[Reisetid Oslo]]&gt;D$168,D$168,Tabell2[[#This Row],[Reisetid Oslo]]))</f>
        <v>131.90278976372289</v>
      </c>
      <c r="N11" s="80">
        <f>IF(Tabell2[[#This Row],[beftettotal]]&lt;E$167,E$167,IF(Tabell2[[#This Row],[beftettotal]]&gt;E$168,E$168,Tabell2[[#This Row],[beftettotal]]))</f>
        <v>10.790551634991616</v>
      </c>
      <c r="O11" s="80">
        <f>IF(Tabell2[[#This Row],[Befvekst10]]&lt;F$167,F$167,IF(Tabell2[[#This Row],[Befvekst10]]&gt;F$168,F$168,Tabell2[[#This Row],[Befvekst10]]))</f>
        <v>-7.5908187240195657E-3</v>
      </c>
      <c r="P11" s="80">
        <f>IF(Tabell2[[#This Row],[Kvinneandel]]&lt;G$167,G$167,IF(Tabell2[[#This Row],[Kvinneandel]]&gt;G$168,G$168,Tabell2[[#This Row],[Kvinneandel]]))</f>
        <v>0.10024484510006273</v>
      </c>
      <c r="Q11" s="80">
        <f>IF(Tabell2[[#This Row],[Eldreandel]]&lt;H$167,H$167,IF(Tabell2[[#This Row],[Eldreandel]]&gt;H$168,H$168,Tabell2[[#This Row],[Eldreandel]]))</f>
        <v>0.1776442259050163</v>
      </c>
      <c r="R11" s="80">
        <f>IF(Tabell2[[#This Row],[Syssvekst10]]&lt;I$167,I$167,IF(Tabell2[[#This Row],[Syssvekst10]]&gt;I$168,I$168,Tabell2[[#This Row],[Syssvekst10]]))</f>
        <v>-2.410376876723519E-2</v>
      </c>
      <c r="S11" s="80">
        <f>IF(Tabell2[[#This Row],[Yrkesaktiveandel]]&lt;J$167,J$167,IF(Tabell2[[#This Row],[Yrkesaktiveandel]]&gt;J$168,J$168,Tabell2[[#This Row],[Yrkesaktiveandel]]))</f>
        <v>0.82653781377516045</v>
      </c>
      <c r="T11" s="80">
        <f>IF(Tabell2[[#This Row],[Bruttoinntekt17+]]&lt;K$167,K$167,IF(Tabell2[[#This Row],[Bruttoinntekt17+]]&gt;K$168,K$168,Tabell2[[#This Row],[Bruttoinntekt17+]]))</f>
        <v>299339.03831891227</v>
      </c>
      <c r="U11" s="60">
        <f>IF(Tabell2[[#This Row],[NIBR11-BA-Utrunk]]&lt;=L$170,100,IF(Tabell2[[#This Row],[NIBR11-BA-Utrunk]]&gt;=L$169,0,100-Tabell2[[#This Row],[NIBR11-BA-Utrunk]]*100/L$171))</f>
        <v>50</v>
      </c>
      <c r="V11" s="60">
        <f>(M$169-Tabell2[[#This Row],[Reisetid Oslo-T]])*100/M$171</f>
        <v>100</v>
      </c>
      <c r="W11" s="60">
        <f>100-(N$169-Tabell2[[#This Row],[beftettotal-T]])*100/N$171</f>
        <v>22.752185444165519</v>
      </c>
      <c r="X11" s="60">
        <f>100-(O$169-Tabell2[[#This Row],[Befvekst10-T]])*100/O$171</f>
        <v>52.856127438424394</v>
      </c>
      <c r="Y11" s="60">
        <f>100-(P$169-Tabell2[[#This Row],[Kvinneandel-T]])*100/P$171</f>
        <v>28.006392045346701</v>
      </c>
      <c r="Z11" s="60">
        <f>(Q$169-Tabell2[[#This Row],[Eldreandel-T]])*100/Q$171</f>
        <v>34.888179202752184</v>
      </c>
      <c r="AA11" s="60">
        <f>100-(R$169-Tabell2[[#This Row],[Syssvekst10-T]])*100/R$171</f>
        <v>29.175010633477768</v>
      </c>
      <c r="AB11" s="60">
        <f>100-(S$169-Tabell2[[#This Row],[Yrkesaktiveandel-T]])*100/S$171</f>
        <v>0</v>
      </c>
      <c r="AC11" s="60">
        <f>100-(T$169-Tabell2[[#This Row],[Bruttoinntekt17+-T]])*100/T$171</f>
        <v>8.4904567809355029</v>
      </c>
      <c r="AD11" s="60">
        <f>Tabell2[[#This Row],[NIBR11-BA-I]]*$AD$2</f>
        <v>10</v>
      </c>
      <c r="AE11" s="60">
        <f>Tabell2[[#This Row],[Reisetid Oslo-I]]*$AE$2</f>
        <v>10</v>
      </c>
      <c r="AF11" s="60">
        <f>Tabell2[[#This Row],[beftettotal-I]]*$AF$2</f>
        <v>2.275218544416552</v>
      </c>
      <c r="AG11" s="60">
        <f>Tabell2[[#This Row],[Befvekst10-I]]*$AG$2</f>
        <v>10.571225487684879</v>
      </c>
      <c r="AH11" s="60">
        <f>Tabell2[[#This Row],[Kvinneandel-I]]*$AH$2</f>
        <v>1.4003196022673352</v>
      </c>
      <c r="AI11" s="60">
        <f>Tabell2[[#This Row],[Eldreandel-I]]*$AI$2</f>
        <v>1.7444089601376094</v>
      </c>
      <c r="AJ11" s="60">
        <f>Tabell2[[#This Row],[Syssvekst10-I]]*$AJ$2</f>
        <v>2.9175010633477769</v>
      </c>
      <c r="AK11" s="60">
        <f>Tabell2[[#This Row],[Yrkesaktiveandel-I]]*$AK$2</f>
        <v>0</v>
      </c>
      <c r="AL11" s="60">
        <f>Tabell2[[#This Row],[Bruttoinntekt17+-I]]*$AL$2</f>
        <v>0.84904567809355036</v>
      </c>
      <c r="AM11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39.757719335947712</v>
      </c>
    </row>
    <row r="12" spans="1:39">
      <c r="A12" s="64">
        <v>7</v>
      </c>
      <c r="B12" s="8" t="s">
        <v>62</v>
      </c>
      <c r="C12" s="45">
        <f>Råark!L9</f>
        <v>4</v>
      </c>
      <c r="D12" s="80">
        <f>Råark!K9</f>
        <v>86.545109067465404</v>
      </c>
      <c r="E12" s="80">
        <f>Råark!N9</f>
        <v>32.627827771987256</v>
      </c>
      <c r="F12" s="80">
        <f>Råark!O9</f>
        <v>5.8684132182197146E-2</v>
      </c>
      <c r="G12" s="80">
        <f>Råark!P9</f>
        <v>0.11357322025128511</v>
      </c>
      <c r="H12" s="80">
        <f>Råark!Q9</f>
        <v>0.1567663633398198</v>
      </c>
      <c r="I12" s="80">
        <f>Råark!R9</f>
        <v>9.4002383159009772E-2</v>
      </c>
      <c r="J12" s="80">
        <f>Råark!S9</f>
        <v>0.84624777114505001</v>
      </c>
      <c r="K12" s="80">
        <f>Råark!M9</f>
        <v>320395.80353888002</v>
      </c>
      <c r="L12" s="59">
        <f>Tabell2[[#This Row],[NIBR11BA]]</f>
        <v>4</v>
      </c>
      <c r="M12" s="80">
        <f>IF(Tabell2[[#This Row],[Reisetid Oslo]]&lt;D$167,D$167,IF(Tabell2[[#This Row],[Reisetid Oslo]]&gt;D$168,D$168,Tabell2[[#This Row],[Reisetid Oslo]]))</f>
        <v>131.90278976372289</v>
      </c>
      <c r="N12" s="80">
        <f>IF(Tabell2[[#This Row],[beftettotal]]&lt;E$167,E$167,IF(Tabell2[[#This Row],[beftettotal]]&gt;E$168,E$168,Tabell2[[#This Row],[beftettotal]]))</f>
        <v>32.627827771987256</v>
      </c>
      <c r="O12" s="80">
        <f>IF(Tabell2[[#This Row],[Befvekst10]]&lt;F$167,F$167,IF(Tabell2[[#This Row],[Befvekst10]]&gt;F$168,F$168,Tabell2[[#This Row],[Befvekst10]]))</f>
        <v>5.8684132182197146E-2</v>
      </c>
      <c r="P12" s="80">
        <f>IF(Tabell2[[#This Row],[Kvinneandel]]&lt;G$167,G$167,IF(Tabell2[[#This Row],[Kvinneandel]]&gt;G$168,G$168,Tabell2[[#This Row],[Kvinneandel]]))</f>
        <v>0.11357322025128511</v>
      </c>
      <c r="Q12" s="80">
        <f>IF(Tabell2[[#This Row],[Eldreandel]]&lt;H$167,H$167,IF(Tabell2[[#This Row],[Eldreandel]]&gt;H$168,H$168,Tabell2[[#This Row],[Eldreandel]]))</f>
        <v>0.1567663633398198</v>
      </c>
      <c r="R12" s="80">
        <f>IF(Tabell2[[#This Row],[Syssvekst10]]&lt;I$167,I$167,IF(Tabell2[[#This Row],[Syssvekst10]]&gt;I$168,I$168,Tabell2[[#This Row],[Syssvekst10]]))</f>
        <v>9.4002383159009772E-2</v>
      </c>
      <c r="S12" s="80">
        <f>IF(Tabell2[[#This Row],[Yrkesaktiveandel]]&lt;J$167,J$167,IF(Tabell2[[#This Row],[Yrkesaktiveandel]]&gt;J$168,J$168,Tabell2[[#This Row],[Yrkesaktiveandel]]))</f>
        <v>0.84624777114505001</v>
      </c>
      <c r="T12" s="80">
        <f>IF(Tabell2[[#This Row],[Bruttoinntekt17+]]&lt;K$167,K$167,IF(Tabell2[[#This Row],[Bruttoinntekt17+]]&gt;K$168,K$168,Tabell2[[#This Row],[Bruttoinntekt17+]]))</f>
        <v>320395.80353888002</v>
      </c>
      <c r="U12" s="60">
        <f>IF(Tabell2[[#This Row],[NIBR11-BA-Utrunk]]&lt;=L$170,100,IF(Tabell2[[#This Row],[NIBR11-BA-Utrunk]]&gt;=L$169,0,100-Tabell2[[#This Row],[NIBR11-BA-Utrunk]]*100/L$171))</f>
        <v>60</v>
      </c>
      <c r="V12" s="60">
        <f>(M$169-Tabell2[[#This Row],[Reisetid Oslo-T]])*100/M$171</f>
        <v>100</v>
      </c>
      <c r="W12" s="60">
        <f>100-(N$169-Tabell2[[#This Row],[beftettotal-T]])*100/N$171</f>
        <v>73.521175106809551</v>
      </c>
      <c r="X12" s="60">
        <f>100-(O$169-Tabell2[[#This Row],[Befvekst10-T]])*100/O$171</f>
        <v>82.577754198224014</v>
      </c>
      <c r="Y12" s="60">
        <f>100-(P$169-Tabell2[[#This Row],[Kvinneandel-T]])*100/P$171</f>
        <v>70.511459150857988</v>
      </c>
      <c r="Z12" s="60">
        <f>(Q$169-Tabell2[[#This Row],[Eldreandel-T]])*100/Q$171</f>
        <v>62.660810053319686</v>
      </c>
      <c r="AA12" s="60">
        <f>100-(R$169-Tabell2[[#This Row],[Syssvekst10-T]])*100/R$171</f>
        <v>73.746639028335181</v>
      </c>
      <c r="AB12" s="60">
        <f>100-(S$169-Tabell2[[#This Row],[Yrkesaktiveandel-T]])*100/S$171</f>
        <v>14.899075105541769</v>
      </c>
      <c r="AC12" s="60">
        <f>100-(T$169-Tabell2[[#This Row],[Bruttoinntekt17+-T]])*100/T$171</f>
        <v>43.759780822030066</v>
      </c>
      <c r="AD12" s="60">
        <f>Tabell2[[#This Row],[NIBR11-BA-I]]*$AD$2</f>
        <v>12</v>
      </c>
      <c r="AE12" s="60">
        <f>Tabell2[[#This Row],[Reisetid Oslo-I]]*$AE$2</f>
        <v>10</v>
      </c>
      <c r="AF12" s="60">
        <f>Tabell2[[#This Row],[beftettotal-I]]*$AF$2</f>
        <v>7.3521175106809551</v>
      </c>
      <c r="AG12" s="60">
        <f>Tabell2[[#This Row],[Befvekst10-I]]*$AG$2</f>
        <v>16.515550839644803</v>
      </c>
      <c r="AH12" s="60">
        <f>Tabell2[[#This Row],[Kvinneandel-I]]*$AH$2</f>
        <v>3.5255729575428996</v>
      </c>
      <c r="AI12" s="60">
        <f>Tabell2[[#This Row],[Eldreandel-I]]*$AI$2</f>
        <v>3.1330405026659847</v>
      </c>
      <c r="AJ12" s="60">
        <f>Tabell2[[#This Row],[Syssvekst10-I]]*$AJ$2</f>
        <v>7.3746639028335181</v>
      </c>
      <c r="AK12" s="60">
        <f>Tabell2[[#This Row],[Yrkesaktiveandel-I]]*$AK$2</f>
        <v>1.489907510554177</v>
      </c>
      <c r="AL12" s="60">
        <f>Tabell2[[#This Row],[Bruttoinntekt17+-I]]*$AL$2</f>
        <v>4.375978082203007</v>
      </c>
      <c r="AM12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65.76683130612534</v>
      </c>
    </row>
    <row r="13" spans="1:39">
      <c r="A13" s="63">
        <v>8</v>
      </c>
      <c r="B13" s="8" t="s">
        <v>63</v>
      </c>
      <c r="C13" s="45">
        <f>Råark!L10</f>
        <v>5</v>
      </c>
      <c r="D13" s="80">
        <f>Råark!K10</f>
        <v>104.29628687667217</v>
      </c>
      <c r="E13" s="80">
        <f>Råark!N10</f>
        <v>8.6526979938738169</v>
      </c>
      <c r="F13" s="80">
        <f>Råark!O10</f>
        <v>5.1512339951753638E-2</v>
      </c>
      <c r="G13" s="80">
        <f>Råark!P10</f>
        <v>0.11756608901281192</v>
      </c>
      <c r="H13" s="80">
        <f>Råark!Q10</f>
        <v>0.16193131683902162</v>
      </c>
      <c r="I13" s="80">
        <f>Råark!R10</f>
        <v>9.1215106732348117E-2</v>
      </c>
      <c r="J13" s="80">
        <f>Råark!S10</f>
        <v>0.84536585365853656</v>
      </c>
      <c r="K13" s="80">
        <f>Råark!M10</f>
        <v>315270.07711856981</v>
      </c>
      <c r="L13" s="59">
        <f>Tabell2[[#This Row],[NIBR11BA]]</f>
        <v>5</v>
      </c>
      <c r="M13" s="80">
        <f>IF(Tabell2[[#This Row],[Reisetid Oslo]]&lt;D$167,D$167,IF(Tabell2[[#This Row],[Reisetid Oslo]]&gt;D$168,D$168,Tabell2[[#This Row],[Reisetid Oslo]]))</f>
        <v>131.90278976372289</v>
      </c>
      <c r="N13" s="80">
        <f>IF(Tabell2[[#This Row],[beftettotal]]&lt;E$167,E$167,IF(Tabell2[[#This Row],[beftettotal]]&gt;E$168,E$168,Tabell2[[#This Row],[beftettotal]]))</f>
        <v>8.6526979938738169</v>
      </c>
      <c r="O13" s="80">
        <f>IF(Tabell2[[#This Row],[Befvekst10]]&lt;F$167,F$167,IF(Tabell2[[#This Row],[Befvekst10]]&gt;F$168,F$168,Tabell2[[#This Row],[Befvekst10]]))</f>
        <v>5.1512339951753638E-2</v>
      </c>
      <c r="P13" s="80">
        <f>IF(Tabell2[[#This Row],[Kvinneandel]]&lt;G$167,G$167,IF(Tabell2[[#This Row],[Kvinneandel]]&gt;G$168,G$168,Tabell2[[#This Row],[Kvinneandel]]))</f>
        <v>0.11756608901281192</v>
      </c>
      <c r="Q13" s="80">
        <f>IF(Tabell2[[#This Row],[Eldreandel]]&lt;H$167,H$167,IF(Tabell2[[#This Row],[Eldreandel]]&gt;H$168,H$168,Tabell2[[#This Row],[Eldreandel]]))</f>
        <v>0.16193131683902162</v>
      </c>
      <c r="R13" s="80">
        <f>IF(Tabell2[[#This Row],[Syssvekst10]]&lt;I$167,I$167,IF(Tabell2[[#This Row],[Syssvekst10]]&gt;I$168,I$168,Tabell2[[#This Row],[Syssvekst10]]))</f>
        <v>9.1215106732348117E-2</v>
      </c>
      <c r="S13" s="80">
        <f>IF(Tabell2[[#This Row],[Yrkesaktiveandel]]&lt;J$167,J$167,IF(Tabell2[[#This Row],[Yrkesaktiveandel]]&gt;J$168,J$168,Tabell2[[#This Row],[Yrkesaktiveandel]]))</f>
        <v>0.84536585365853656</v>
      </c>
      <c r="T13" s="80">
        <f>IF(Tabell2[[#This Row],[Bruttoinntekt17+]]&lt;K$167,K$167,IF(Tabell2[[#This Row],[Bruttoinntekt17+]]&gt;K$168,K$168,Tabell2[[#This Row],[Bruttoinntekt17+]]))</f>
        <v>315270.07711856981</v>
      </c>
      <c r="U13" s="60">
        <f>IF(Tabell2[[#This Row],[NIBR11-BA-Utrunk]]&lt;=L$170,100,IF(Tabell2[[#This Row],[NIBR11-BA-Utrunk]]&gt;=L$169,0,100-Tabell2[[#This Row],[NIBR11-BA-Utrunk]]*100/L$171))</f>
        <v>50</v>
      </c>
      <c r="V13" s="60">
        <f>(M$169-Tabell2[[#This Row],[Reisetid Oslo-T]])*100/M$171</f>
        <v>100</v>
      </c>
      <c r="W13" s="60">
        <f>100-(N$169-Tabell2[[#This Row],[beftettotal-T]])*100/N$171</f>
        <v>17.781937839782387</v>
      </c>
      <c r="X13" s="60">
        <f>100-(O$169-Tabell2[[#This Row],[Befvekst10-T]])*100/O$171</f>
        <v>79.361496336732671</v>
      </c>
      <c r="Y13" s="60">
        <f>100-(P$169-Tabell2[[#This Row],[Kvinneandel-T]])*100/P$171</f>
        <v>83.244980883747672</v>
      </c>
      <c r="Z13" s="60">
        <f>(Q$169-Tabell2[[#This Row],[Eldreandel-T]])*100/Q$171</f>
        <v>55.79016673694872</v>
      </c>
      <c r="AA13" s="60">
        <f>100-(R$169-Tabell2[[#This Row],[Syssvekst10-T]])*100/R$171</f>
        <v>72.694759451389089</v>
      </c>
      <c r="AB13" s="60">
        <f>100-(S$169-Tabell2[[#This Row],[Yrkesaktiveandel-T]])*100/S$171</f>
        <v>14.232419433899977</v>
      </c>
      <c r="AC13" s="60">
        <f>100-(T$169-Tabell2[[#This Row],[Bruttoinntekt17+-T]])*100/T$171</f>
        <v>35.174373511106111</v>
      </c>
      <c r="AD13" s="60">
        <f>Tabell2[[#This Row],[NIBR11-BA-I]]*$AD$2</f>
        <v>10</v>
      </c>
      <c r="AE13" s="60">
        <f>Tabell2[[#This Row],[Reisetid Oslo-I]]*$AE$2</f>
        <v>10</v>
      </c>
      <c r="AF13" s="60">
        <f>Tabell2[[#This Row],[beftettotal-I]]*$AF$2</f>
        <v>1.7781937839782387</v>
      </c>
      <c r="AG13" s="60">
        <f>Tabell2[[#This Row],[Befvekst10-I]]*$AG$2</f>
        <v>15.872299267346534</v>
      </c>
      <c r="AH13" s="60">
        <f>Tabell2[[#This Row],[Kvinneandel-I]]*$AH$2</f>
        <v>4.1622490441873836</v>
      </c>
      <c r="AI13" s="60">
        <f>Tabell2[[#This Row],[Eldreandel-I]]*$AI$2</f>
        <v>2.7895083368474363</v>
      </c>
      <c r="AJ13" s="60">
        <f>Tabell2[[#This Row],[Syssvekst10-I]]*$AJ$2</f>
        <v>7.2694759451389093</v>
      </c>
      <c r="AK13" s="60">
        <f>Tabell2[[#This Row],[Yrkesaktiveandel-I]]*$AK$2</f>
        <v>1.4232419433899979</v>
      </c>
      <c r="AL13" s="60">
        <f>Tabell2[[#This Row],[Bruttoinntekt17+-I]]*$AL$2</f>
        <v>3.5174373511106114</v>
      </c>
      <c r="AM13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56.812405671999102</v>
      </c>
    </row>
    <row r="14" spans="1:39">
      <c r="A14" s="64">
        <v>9</v>
      </c>
      <c r="B14" s="8" t="s">
        <v>64</v>
      </c>
      <c r="C14" s="45">
        <f>Råark!L11</f>
        <v>9</v>
      </c>
      <c r="D14" s="80">
        <f>Råark!K11</f>
        <v>157.46692513627119</v>
      </c>
      <c r="E14" s="80">
        <f>Råark!N11</f>
        <v>1.5624790105451023</v>
      </c>
      <c r="F14" s="80">
        <f>Råark!O11</f>
        <v>-4.9387040280210126E-2</v>
      </c>
      <c r="G14" s="80">
        <f>Råark!P11</f>
        <v>9.7641857037582908E-2</v>
      </c>
      <c r="H14" s="80">
        <f>Råark!Q11</f>
        <v>0.19958241218373865</v>
      </c>
      <c r="I14" s="80">
        <f>Råark!R11</f>
        <v>-2.0384391380314448E-2</v>
      </c>
      <c r="J14" s="80">
        <f>Råark!S11</f>
        <v>0.82776178879787465</v>
      </c>
      <c r="K14" s="80">
        <f>Råark!M11</f>
        <v>285645.81720750226</v>
      </c>
      <c r="L14" s="59">
        <f>Tabell2[[#This Row],[NIBR11BA]]</f>
        <v>9</v>
      </c>
      <c r="M14" s="80">
        <f>IF(Tabell2[[#This Row],[Reisetid Oslo]]&lt;D$167,D$167,IF(Tabell2[[#This Row],[Reisetid Oslo]]&gt;D$168,D$168,Tabell2[[#This Row],[Reisetid Oslo]]))</f>
        <v>157.46692513627119</v>
      </c>
      <c r="N14" s="80">
        <f>IF(Tabell2[[#This Row],[beftettotal]]&lt;E$167,E$167,IF(Tabell2[[#This Row],[beftettotal]]&gt;E$168,E$168,Tabell2[[#This Row],[beftettotal]]))</f>
        <v>1.5624790105451023</v>
      </c>
      <c r="O14" s="80">
        <f>IF(Tabell2[[#This Row],[Befvekst10]]&lt;F$167,F$167,IF(Tabell2[[#This Row],[Befvekst10]]&gt;F$168,F$168,Tabell2[[#This Row],[Befvekst10]]))</f>
        <v>-4.9387040280210126E-2</v>
      </c>
      <c r="P14" s="80">
        <f>IF(Tabell2[[#This Row],[Kvinneandel]]&lt;G$167,G$167,IF(Tabell2[[#This Row],[Kvinneandel]]&gt;G$168,G$168,Tabell2[[#This Row],[Kvinneandel]]))</f>
        <v>9.7641857037582908E-2</v>
      </c>
      <c r="Q14" s="80">
        <f>IF(Tabell2[[#This Row],[Eldreandel]]&lt;H$167,H$167,IF(Tabell2[[#This Row],[Eldreandel]]&gt;H$168,H$168,Tabell2[[#This Row],[Eldreandel]]))</f>
        <v>0.19958241218373865</v>
      </c>
      <c r="R14" s="80">
        <f>IF(Tabell2[[#This Row],[Syssvekst10]]&lt;I$167,I$167,IF(Tabell2[[#This Row],[Syssvekst10]]&gt;I$168,I$168,Tabell2[[#This Row],[Syssvekst10]]))</f>
        <v>-2.0384391380314448E-2</v>
      </c>
      <c r="S14" s="80">
        <f>IF(Tabell2[[#This Row],[Yrkesaktiveandel]]&lt;J$167,J$167,IF(Tabell2[[#This Row],[Yrkesaktiveandel]]&gt;J$168,J$168,Tabell2[[#This Row],[Yrkesaktiveandel]]))</f>
        <v>0.82776178879787465</v>
      </c>
      <c r="T14" s="80">
        <f>IF(Tabell2[[#This Row],[Bruttoinntekt17+]]&lt;K$167,K$167,IF(Tabell2[[#This Row],[Bruttoinntekt17+]]&gt;K$168,K$168,Tabell2[[#This Row],[Bruttoinntekt17+]]))</f>
        <v>294270</v>
      </c>
      <c r="U14" s="60">
        <f>IF(Tabell2[[#This Row],[NIBR11-BA-Utrunk]]&lt;=L$170,100,IF(Tabell2[[#This Row],[NIBR11-BA-Utrunk]]&gt;=L$169,0,100-Tabell2[[#This Row],[NIBR11-BA-Utrunk]]*100/L$171))</f>
        <v>10</v>
      </c>
      <c r="V14" s="60">
        <f>(M$169-Tabell2[[#This Row],[Reisetid Oslo-T]])*100/M$171</f>
        <v>86.273745355568622</v>
      </c>
      <c r="W14" s="60">
        <f>100-(N$169-Tabell2[[#This Row],[beftettotal-T]])*100/N$171</f>
        <v>1.2980479987474212</v>
      </c>
      <c r="X14" s="60">
        <f>100-(O$169-Tabell2[[#This Row],[Befvekst10-T]])*100/O$171</f>
        <v>34.112217709681602</v>
      </c>
      <c r="Y14" s="60">
        <f>100-(P$169-Tabell2[[#This Row],[Kvinneandel-T]])*100/P$171</f>
        <v>19.705291497437614</v>
      </c>
      <c r="Z14" s="60">
        <f>(Q$169-Tabell2[[#This Row],[Eldreandel-T]])*100/Q$171</f>
        <v>5.7050601383698112</v>
      </c>
      <c r="AA14" s="60">
        <f>100-(R$169-Tabell2[[#This Row],[Syssvekst10-T]])*100/R$171</f>
        <v>30.578652222390033</v>
      </c>
      <c r="AB14" s="60">
        <f>100-(S$169-Tabell2[[#This Row],[Yrkesaktiveandel-T]])*100/S$171</f>
        <v>0.9252224877251507</v>
      </c>
      <c r="AC14" s="60">
        <f>100-(T$169-Tabell2[[#This Row],[Bruttoinntekt17+-T]])*100/T$171</f>
        <v>0</v>
      </c>
      <c r="AD14" s="60">
        <f>Tabell2[[#This Row],[NIBR11-BA-I]]*$AD$2</f>
        <v>2</v>
      </c>
      <c r="AE14" s="60">
        <f>Tabell2[[#This Row],[Reisetid Oslo-I]]*$AE$2</f>
        <v>8.6273745355568625</v>
      </c>
      <c r="AF14" s="60">
        <f>Tabell2[[#This Row],[beftettotal-I]]*$AF$2</f>
        <v>0.12980479987474211</v>
      </c>
      <c r="AG14" s="60">
        <f>Tabell2[[#This Row],[Befvekst10-I]]*$AG$2</f>
        <v>6.8224435419363205</v>
      </c>
      <c r="AH14" s="60">
        <f>Tabell2[[#This Row],[Kvinneandel-I]]*$AH$2</f>
        <v>0.98526457487188068</v>
      </c>
      <c r="AI14" s="60">
        <f>Tabell2[[#This Row],[Eldreandel-I]]*$AI$2</f>
        <v>0.28525300691849059</v>
      </c>
      <c r="AJ14" s="60">
        <f>Tabell2[[#This Row],[Syssvekst10-I]]*$AJ$2</f>
        <v>3.0578652222390037</v>
      </c>
      <c r="AK14" s="60">
        <f>Tabell2[[#This Row],[Yrkesaktiveandel-I]]*$AK$2</f>
        <v>9.2522248772515081E-2</v>
      </c>
      <c r="AL14" s="60">
        <f>Tabell2[[#This Row],[Bruttoinntekt17+-I]]*$AL$2</f>
        <v>0</v>
      </c>
      <c r="AM14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22.000527930169813</v>
      </c>
    </row>
    <row r="15" spans="1:39">
      <c r="A15" s="63">
        <v>10</v>
      </c>
      <c r="B15" s="8" t="s">
        <v>65</v>
      </c>
      <c r="C15" s="45">
        <f>Råark!L12</f>
        <v>11</v>
      </c>
      <c r="D15" s="80">
        <f>Råark!K12</f>
        <v>165.90602107999999</v>
      </c>
      <c r="E15" s="80">
        <f>Råark!N12</f>
        <v>1.2365003070473131</v>
      </c>
      <c r="F15" s="80">
        <f>Råark!O12</f>
        <v>-8.3190688120506673E-2</v>
      </c>
      <c r="G15" s="80">
        <f>Råark!P12</f>
        <v>0.10343539955190441</v>
      </c>
      <c r="H15" s="80">
        <f>Råark!Q12</f>
        <v>0.19492158327109785</v>
      </c>
      <c r="I15" s="80">
        <f>Råark!R12</f>
        <v>-6.5454545454545432E-2</v>
      </c>
      <c r="J15" s="80">
        <f>Råark!S12</f>
        <v>0.77684346701164297</v>
      </c>
      <c r="K15" s="80">
        <f>Råark!M12</f>
        <v>290700</v>
      </c>
      <c r="L15" s="59">
        <f>Tabell2[[#This Row],[NIBR11BA]]</f>
        <v>11</v>
      </c>
      <c r="M15" s="80">
        <f>IF(Tabell2[[#This Row],[Reisetid Oslo]]&lt;D$167,D$167,IF(Tabell2[[#This Row],[Reisetid Oslo]]&gt;D$168,D$168,Tabell2[[#This Row],[Reisetid Oslo]]))</f>
        <v>165.90602107999999</v>
      </c>
      <c r="N15" s="80">
        <f>IF(Tabell2[[#This Row],[beftettotal]]&lt;E$167,E$167,IF(Tabell2[[#This Row],[beftettotal]]&gt;E$168,E$168,Tabell2[[#This Row],[beftettotal]]))</f>
        <v>1.2365003070473131</v>
      </c>
      <c r="O15" s="80">
        <f>IF(Tabell2[[#This Row],[Befvekst10]]&lt;F$167,F$167,IF(Tabell2[[#This Row],[Befvekst10]]&gt;F$168,F$168,Tabell2[[#This Row],[Befvekst10]]))</f>
        <v>-8.3190688120506673E-2</v>
      </c>
      <c r="P15" s="80">
        <f>IF(Tabell2[[#This Row],[Kvinneandel]]&lt;G$167,G$167,IF(Tabell2[[#This Row],[Kvinneandel]]&gt;G$168,G$168,Tabell2[[#This Row],[Kvinneandel]]))</f>
        <v>0.10343539955190441</v>
      </c>
      <c r="Q15" s="80">
        <f>IF(Tabell2[[#This Row],[Eldreandel]]&lt;H$167,H$167,IF(Tabell2[[#This Row],[Eldreandel]]&gt;H$168,H$168,Tabell2[[#This Row],[Eldreandel]]))</f>
        <v>0.19492158327109785</v>
      </c>
      <c r="R15" s="80">
        <f>IF(Tabell2[[#This Row],[Syssvekst10]]&lt;I$167,I$167,IF(Tabell2[[#This Row],[Syssvekst10]]&gt;I$168,I$168,Tabell2[[#This Row],[Syssvekst10]]))</f>
        <v>-6.5454545454545432E-2</v>
      </c>
      <c r="S15" s="80">
        <f>IF(Tabell2[[#This Row],[Yrkesaktiveandel]]&lt;J$167,J$167,IF(Tabell2[[#This Row],[Yrkesaktiveandel]]&gt;J$168,J$168,Tabell2[[#This Row],[Yrkesaktiveandel]]))</f>
        <v>0.82653781377516045</v>
      </c>
      <c r="T15" s="80">
        <f>IF(Tabell2[[#This Row],[Bruttoinntekt17+]]&lt;K$167,K$167,IF(Tabell2[[#This Row],[Bruttoinntekt17+]]&gt;K$168,K$168,Tabell2[[#This Row],[Bruttoinntekt17+]]))</f>
        <v>294270</v>
      </c>
      <c r="U15" s="60">
        <f>IF(Tabell2[[#This Row],[NIBR11-BA-Utrunk]]&lt;=L$170,100,IF(Tabell2[[#This Row],[NIBR11-BA-Utrunk]]&gt;=L$169,0,100-Tabell2[[#This Row],[NIBR11-BA-Utrunk]]*100/L$171))</f>
        <v>0</v>
      </c>
      <c r="V15" s="60">
        <f>(M$169-Tabell2[[#This Row],[Reisetid Oslo-T]])*100/M$171</f>
        <v>81.742507423821493</v>
      </c>
      <c r="W15" s="60">
        <f>100-(N$169-Tabell2[[#This Row],[beftettotal-T]])*100/N$171</f>
        <v>0.54018747968370917</v>
      </c>
      <c r="X15" s="60">
        <f>100-(O$169-Tabell2[[#This Row],[Befvekst10-T]])*100/O$171</f>
        <v>18.952653040207707</v>
      </c>
      <c r="Y15" s="60">
        <f>100-(P$169-Tabell2[[#This Row],[Kvinneandel-T]])*100/P$171</f>
        <v>38.181280547557023</v>
      </c>
      <c r="Z15" s="60">
        <f>(Q$169-Tabell2[[#This Row],[Eldreandel-T]])*100/Q$171</f>
        <v>11.905095244655445</v>
      </c>
      <c r="AA15" s="60">
        <f>100-(R$169-Tabell2[[#This Row],[Syssvekst10-T]])*100/R$171</f>
        <v>13.569799369830051</v>
      </c>
      <c r="AB15" s="60">
        <f>100-(S$169-Tabell2[[#This Row],[Yrkesaktiveandel-T]])*100/S$171</f>
        <v>0</v>
      </c>
      <c r="AC15" s="60">
        <f>100-(T$169-Tabell2[[#This Row],[Bruttoinntekt17+-T]])*100/T$171</f>
        <v>0</v>
      </c>
      <c r="AD15" s="60">
        <f>Tabell2[[#This Row],[NIBR11-BA-I]]*$AD$2</f>
        <v>0</v>
      </c>
      <c r="AE15" s="60">
        <f>Tabell2[[#This Row],[Reisetid Oslo-I]]*$AE$2</f>
        <v>8.1742507423821493</v>
      </c>
      <c r="AF15" s="60">
        <f>Tabell2[[#This Row],[beftettotal-I]]*$AF$2</f>
        <v>5.4018747968370917E-2</v>
      </c>
      <c r="AG15" s="60">
        <f>Tabell2[[#This Row],[Befvekst10-I]]*$AG$2</f>
        <v>3.7905306080415415</v>
      </c>
      <c r="AH15" s="60">
        <f>Tabell2[[#This Row],[Kvinneandel-I]]*$AH$2</f>
        <v>1.9090640273778512</v>
      </c>
      <c r="AI15" s="60">
        <f>Tabell2[[#This Row],[Eldreandel-I]]*$AI$2</f>
        <v>0.59525476223277229</v>
      </c>
      <c r="AJ15" s="60">
        <f>Tabell2[[#This Row],[Syssvekst10-I]]*$AJ$2</f>
        <v>1.3569799369830051</v>
      </c>
      <c r="AK15" s="60">
        <f>Tabell2[[#This Row],[Yrkesaktiveandel-I]]*$AK$2</f>
        <v>0</v>
      </c>
      <c r="AL15" s="60">
        <f>Tabell2[[#This Row],[Bruttoinntekt17+-I]]*$AL$2</f>
        <v>0</v>
      </c>
      <c r="AM15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15.880098824985691</v>
      </c>
    </row>
    <row r="16" spans="1:39">
      <c r="A16" s="64">
        <v>11</v>
      </c>
      <c r="B16" s="8" t="s">
        <v>66</v>
      </c>
      <c r="C16" s="45">
        <f>Råark!L13</f>
        <v>8</v>
      </c>
      <c r="D16" s="80">
        <f>Råark!K13</f>
        <v>203.35055749686757</v>
      </c>
      <c r="E16" s="80">
        <f>Råark!N13</f>
        <v>1.5801658007653259</v>
      </c>
      <c r="F16" s="80">
        <f>Råark!O13</f>
        <v>-2.489900844656634E-2</v>
      </c>
      <c r="G16" s="80">
        <f>Råark!P13</f>
        <v>0.10289243748116902</v>
      </c>
      <c r="H16" s="80">
        <f>Råark!Q13</f>
        <v>0.17580596565230491</v>
      </c>
      <c r="I16" s="80">
        <f>Råark!R13</f>
        <v>6.5321805955811829E-2</v>
      </c>
      <c r="J16" s="80">
        <f>Råark!S13</f>
        <v>0.95830494617795337</v>
      </c>
      <c r="K16" s="80">
        <f>Råark!M13</f>
        <v>300393.1628787879</v>
      </c>
      <c r="L16" s="59">
        <f>Tabell2[[#This Row],[NIBR11BA]]</f>
        <v>8</v>
      </c>
      <c r="M16" s="80">
        <f>IF(Tabell2[[#This Row],[Reisetid Oslo]]&lt;D$167,D$167,IF(Tabell2[[#This Row],[Reisetid Oslo]]&gt;D$168,D$168,Tabell2[[#This Row],[Reisetid Oslo]]))</f>
        <v>203.35055749686757</v>
      </c>
      <c r="N16" s="80">
        <f>IF(Tabell2[[#This Row],[beftettotal]]&lt;E$167,E$167,IF(Tabell2[[#This Row],[beftettotal]]&gt;E$168,E$168,Tabell2[[#This Row],[beftettotal]]))</f>
        <v>1.5801658007653259</v>
      </c>
      <c r="O16" s="80">
        <f>IF(Tabell2[[#This Row],[Befvekst10]]&lt;F$167,F$167,IF(Tabell2[[#This Row],[Befvekst10]]&gt;F$168,F$168,Tabell2[[#This Row],[Befvekst10]]))</f>
        <v>-2.489900844656634E-2</v>
      </c>
      <c r="P16" s="80">
        <f>IF(Tabell2[[#This Row],[Kvinneandel]]&lt;G$167,G$167,IF(Tabell2[[#This Row],[Kvinneandel]]&gt;G$168,G$168,Tabell2[[#This Row],[Kvinneandel]]))</f>
        <v>0.10289243748116902</v>
      </c>
      <c r="Q16" s="80">
        <f>IF(Tabell2[[#This Row],[Eldreandel]]&lt;H$167,H$167,IF(Tabell2[[#This Row],[Eldreandel]]&gt;H$168,H$168,Tabell2[[#This Row],[Eldreandel]]))</f>
        <v>0.17580596565230491</v>
      </c>
      <c r="R16" s="80">
        <f>IF(Tabell2[[#This Row],[Syssvekst10]]&lt;I$167,I$167,IF(Tabell2[[#This Row],[Syssvekst10]]&gt;I$168,I$168,Tabell2[[#This Row],[Syssvekst10]]))</f>
        <v>6.5321805955811829E-2</v>
      </c>
      <c r="S16" s="80">
        <f>IF(Tabell2[[#This Row],[Yrkesaktiveandel]]&lt;J$167,J$167,IF(Tabell2[[#This Row],[Yrkesaktiveandel]]&gt;J$168,J$168,Tabell2[[#This Row],[Yrkesaktiveandel]]))</f>
        <v>0.95830494617795337</v>
      </c>
      <c r="T16" s="80">
        <f>IF(Tabell2[[#This Row],[Bruttoinntekt17+]]&lt;K$167,K$167,IF(Tabell2[[#This Row],[Bruttoinntekt17+]]&gt;K$168,K$168,Tabell2[[#This Row],[Bruttoinntekt17+]]))</f>
        <v>300393.1628787879</v>
      </c>
      <c r="U16" s="60">
        <f>IF(Tabell2[[#This Row],[NIBR11-BA-Utrunk]]&lt;=L$170,100,IF(Tabell2[[#This Row],[NIBR11-BA-Utrunk]]&gt;=L$169,0,100-Tabell2[[#This Row],[NIBR11-BA-Utrunk]]*100/L$171))</f>
        <v>20</v>
      </c>
      <c r="V16" s="60">
        <f>(M$169-Tabell2[[#This Row],[Reisetid Oslo-T]])*100/M$171</f>
        <v>61.637260975606722</v>
      </c>
      <c r="W16" s="60">
        <f>100-(N$169-Tabell2[[#This Row],[beftettotal-T]])*100/N$171</f>
        <v>1.339167617523259</v>
      </c>
      <c r="X16" s="60">
        <f>100-(O$169-Tabell2[[#This Row],[Befvekst10-T]])*100/O$171</f>
        <v>45.094106527246623</v>
      </c>
      <c r="Y16" s="60">
        <f>100-(P$169-Tabell2[[#This Row],[Kvinneandel-T]])*100/P$171</f>
        <v>36.449738706146718</v>
      </c>
      <c r="Z16" s="60">
        <f>(Q$169-Tabell2[[#This Row],[Eldreandel-T]])*100/Q$171</f>
        <v>37.333512064121358</v>
      </c>
      <c r="AA16" s="60">
        <f>100-(R$169-Tabell2[[#This Row],[Syssvekst10-T]])*100/R$171</f>
        <v>62.922985828210123</v>
      </c>
      <c r="AB16" s="60">
        <f>100-(S$169-Tabell2[[#This Row],[Yrkesaktiveandel-T]])*100/S$171</f>
        <v>99.604903514922057</v>
      </c>
      <c r="AC16" s="60">
        <f>100-(T$169-Tabell2[[#This Row],[Bruttoinntekt17+-T]])*100/T$171</f>
        <v>10.256077487323694</v>
      </c>
      <c r="AD16" s="60">
        <f>Tabell2[[#This Row],[NIBR11-BA-I]]*$AD$2</f>
        <v>4</v>
      </c>
      <c r="AE16" s="60">
        <f>Tabell2[[#This Row],[Reisetid Oslo-I]]*$AE$2</f>
        <v>6.1637260975606729</v>
      </c>
      <c r="AF16" s="60">
        <f>Tabell2[[#This Row],[beftettotal-I]]*$AF$2</f>
        <v>0.13391676175232589</v>
      </c>
      <c r="AG16" s="60">
        <f>Tabell2[[#This Row],[Befvekst10-I]]*$AG$2</f>
        <v>9.0188213054493254</v>
      </c>
      <c r="AH16" s="60">
        <f>Tabell2[[#This Row],[Kvinneandel-I]]*$AH$2</f>
        <v>1.8224869353073361</v>
      </c>
      <c r="AI16" s="60">
        <f>Tabell2[[#This Row],[Eldreandel-I]]*$AI$2</f>
        <v>1.8666756032060681</v>
      </c>
      <c r="AJ16" s="60">
        <f>Tabell2[[#This Row],[Syssvekst10-I]]*$AJ$2</f>
        <v>6.2922985828210125</v>
      </c>
      <c r="AK16" s="60">
        <f>Tabell2[[#This Row],[Yrkesaktiveandel-I]]*$AK$2</f>
        <v>9.9604903514922061</v>
      </c>
      <c r="AL16" s="60">
        <f>Tabell2[[#This Row],[Bruttoinntekt17+-I]]*$AL$2</f>
        <v>1.0256077487323694</v>
      </c>
      <c r="AM16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40.284023386321316</v>
      </c>
    </row>
    <row r="17" spans="1:39">
      <c r="A17" s="63">
        <v>12</v>
      </c>
      <c r="B17" s="8" t="s">
        <v>67</v>
      </c>
      <c r="C17" s="45">
        <f>Råark!L14</f>
        <v>4</v>
      </c>
      <c r="D17" s="80">
        <f>Råark!K14</f>
        <v>134.09891347080421</v>
      </c>
      <c r="E17" s="80">
        <f>Råark!N14</f>
        <v>16.46436257973437</v>
      </c>
      <c r="F17" s="80">
        <f>Råark!O14</f>
        <v>5.869904210291832E-2</v>
      </c>
      <c r="G17" s="80">
        <f>Råark!P14</f>
        <v>0.11628090478695423</v>
      </c>
      <c r="H17" s="80">
        <f>Råark!Q14</f>
        <v>0.15936349289847448</v>
      </c>
      <c r="I17" s="80">
        <f>Råark!R14</f>
        <v>0.11273920174958985</v>
      </c>
      <c r="J17" s="80">
        <f>Råark!S14</f>
        <v>0.89338418925668617</v>
      </c>
      <c r="K17" s="80">
        <f>Råark!M14</f>
        <v>327965.13752487849</v>
      </c>
      <c r="L17" s="59">
        <f>Tabell2[[#This Row],[NIBR11BA]]</f>
        <v>4</v>
      </c>
      <c r="M17" s="80">
        <f>IF(Tabell2[[#This Row],[Reisetid Oslo]]&lt;D$167,D$167,IF(Tabell2[[#This Row],[Reisetid Oslo]]&gt;D$168,D$168,Tabell2[[#This Row],[Reisetid Oslo]]))</f>
        <v>134.09891347080421</v>
      </c>
      <c r="N17" s="80">
        <f>IF(Tabell2[[#This Row],[beftettotal]]&lt;E$167,E$167,IF(Tabell2[[#This Row],[beftettotal]]&gt;E$168,E$168,Tabell2[[#This Row],[beftettotal]]))</f>
        <v>16.46436257973437</v>
      </c>
      <c r="O17" s="80">
        <f>IF(Tabell2[[#This Row],[Befvekst10]]&lt;F$167,F$167,IF(Tabell2[[#This Row],[Befvekst10]]&gt;F$168,F$168,Tabell2[[#This Row],[Befvekst10]]))</f>
        <v>5.869904210291832E-2</v>
      </c>
      <c r="P17" s="80">
        <f>IF(Tabell2[[#This Row],[Kvinneandel]]&lt;G$167,G$167,IF(Tabell2[[#This Row],[Kvinneandel]]&gt;G$168,G$168,Tabell2[[#This Row],[Kvinneandel]]))</f>
        <v>0.11628090478695423</v>
      </c>
      <c r="Q17" s="80">
        <f>IF(Tabell2[[#This Row],[Eldreandel]]&lt;H$167,H$167,IF(Tabell2[[#This Row],[Eldreandel]]&gt;H$168,H$168,Tabell2[[#This Row],[Eldreandel]]))</f>
        <v>0.15936349289847448</v>
      </c>
      <c r="R17" s="80">
        <f>IF(Tabell2[[#This Row],[Syssvekst10]]&lt;I$167,I$167,IF(Tabell2[[#This Row],[Syssvekst10]]&gt;I$168,I$168,Tabell2[[#This Row],[Syssvekst10]]))</f>
        <v>0.11273920174958985</v>
      </c>
      <c r="S17" s="80">
        <f>IF(Tabell2[[#This Row],[Yrkesaktiveandel]]&lt;J$167,J$167,IF(Tabell2[[#This Row],[Yrkesaktiveandel]]&gt;J$168,J$168,Tabell2[[#This Row],[Yrkesaktiveandel]]))</f>
        <v>0.89338418925668617</v>
      </c>
      <c r="T17" s="80">
        <f>IF(Tabell2[[#This Row],[Bruttoinntekt17+]]&lt;K$167,K$167,IF(Tabell2[[#This Row],[Bruttoinntekt17+]]&gt;K$168,K$168,Tabell2[[#This Row],[Bruttoinntekt17+]]))</f>
        <v>327965.13752487849</v>
      </c>
      <c r="U17" s="60">
        <f>IF(Tabell2[[#This Row],[NIBR11-BA-Utrunk]]&lt;=L$170,100,IF(Tabell2[[#This Row],[NIBR11-BA-Utrunk]]&gt;=L$169,0,100-Tabell2[[#This Row],[NIBR11-BA-Utrunk]]*100/L$171))</f>
        <v>60</v>
      </c>
      <c r="V17" s="60">
        <f>(M$169-Tabell2[[#This Row],[Reisetid Oslo-T]])*100/M$171</f>
        <v>98.820826411894174</v>
      </c>
      <c r="W17" s="60">
        <f>100-(N$169-Tabell2[[#This Row],[beftettotal-T]])*100/N$171</f>
        <v>35.943100253977136</v>
      </c>
      <c r="X17" s="60">
        <f>100-(O$169-Tabell2[[#This Row],[Befvekst10-T]])*100/O$171</f>
        <v>82.584440692783929</v>
      </c>
      <c r="Y17" s="60">
        <f>100-(P$169-Tabell2[[#This Row],[Kvinneandel-T]])*100/P$171</f>
        <v>79.146443654472904</v>
      </c>
      <c r="Z17" s="60">
        <f>(Q$169-Tabell2[[#This Row],[Eldreandel-T]])*100/Q$171</f>
        <v>59.205996598236723</v>
      </c>
      <c r="AA17" s="60">
        <f>100-(R$169-Tabell2[[#This Row],[Syssvekst10-T]])*100/R$171</f>
        <v>80.817655244685326</v>
      </c>
      <c r="AB17" s="60">
        <f>100-(S$169-Tabell2[[#This Row],[Yrkesaktiveandel-T]])*100/S$171</f>
        <v>50.530254842356229</v>
      </c>
      <c r="AC17" s="60">
        <f>100-(T$169-Tabell2[[#This Row],[Bruttoinntekt17+-T]])*100/T$171</f>
        <v>56.438142875204861</v>
      </c>
      <c r="AD17" s="60">
        <f>Tabell2[[#This Row],[NIBR11-BA-I]]*$AD$2</f>
        <v>12</v>
      </c>
      <c r="AE17" s="60">
        <f>Tabell2[[#This Row],[Reisetid Oslo-I]]*$AE$2</f>
        <v>9.8820826411894185</v>
      </c>
      <c r="AF17" s="60">
        <f>Tabell2[[#This Row],[beftettotal-I]]*$AF$2</f>
        <v>3.5943100253977138</v>
      </c>
      <c r="AG17" s="60">
        <f>Tabell2[[#This Row],[Befvekst10-I]]*$AG$2</f>
        <v>16.516888138556787</v>
      </c>
      <c r="AH17" s="60">
        <f>Tabell2[[#This Row],[Kvinneandel-I]]*$AH$2</f>
        <v>3.9573221827236456</v>
      </c>
      <c r="AI17" s="60">
        <f>Tabell2[[#This Row],[Eldreandel-I]]*$AI$2</f>
        <v>2.9602998299118362</v>
      </c>
      <c r="AJ17" s="60">
        <f>Tabell2[[#This Row],[Syssvekst10-I]]*$AJ$2</f>
        <v>8.0817655244685334</v>
      </c>
      <c r="AK17" s="60">
        <f>Tabell2[[#This Row],[Yrkesaktiveandel-I]]*$AK$2</f>
        <v>5.053025484235623</v>
      </c>
      <c r="AL17" s="60">
        <f>Tabell2[[#This Row],[Bruttoinntekt17+-I]]*$AL$2</f>
        <v>5.6438142875204864</v>
      </c>
      <c r="AM17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67.689508114004056</v>
      </c>
    </row>
    <row r="18" spans="1:39">
      <c r="A18" s="64">
        <v>13</v>
      </c>
      <c r="B18" s="8" t="s">
        <v>68</v>
      </c>
      <c r="C18" s="45">
        <f>Råark!L15</f>
        <v>4</v>
      </c>
      <c r="D18" s="80">
        <f>Råark!K15</f>
        <v>101.99609964097823</v>
      </c>
      <c r="E18" s="80">
        <f>Råark!N15</f>
        <v>21.908390440686738</v>
      </c>
      <c r="F18" s="80">
        <f>Råark!O15</f>
        <v>2.9502944361214478E-2</v>
      </c>
      <c r="G18" s="80">
        <f>Råark!P15</f>
        <v>0.11228135896032043</v>
      </c>
      <c r="H18" s="80">
        <f>Råark!Q15</f>
        <v>0.1608794628706452</v>
      </c>
      <c r="I18" s="80">
        <f>Råark!R15</f>
        <v>5.8253059099192983E-2</v>
      </c>
      <c r="J18" s="80">
        <f>Råark!S15</f>
        <v>0.84685444844273483</v>
      </c>
      <c r="K18" s="80">
        <f>Råark!M15</f>
        <v>314374.67080612353</v>
      </c>
      <c r="L18" s="59">
        <f>Tabell2[[#This Row],[NIBR11BA]]</f>
        <v>4</v>
      </c>
      <c r="M18" s="80">
        <f>IF(Tabell2[[#This Row],[Reisetid Oslo]]&lt;D$167,D$167,IF(Tabell2[[#This Row],[Reisetid Oslo]]&gt;D$168,D$168,Tabell2[[#This Row],[Reisetid Oslo]]))</f>
        <v>131.90278976372289</v>
      </c>
      <c r="N18" s="80">
        <f>IF(Tabell2[[#This Row],[beftettotal]]&lt;E$167,E$167,IF(Tabell2[[#This Row],[beftettotal]]&gt;E$168,E$168,Tabell2[[#This Row],[beftettotal]]))</f>
        <v>21.908390440686738</v>
      </c>
      <c r="O18" s="80">
        <f>IF(Tabell2[[#This Row],[Befvekst10]]&lt;F$167,F$167,IF(Tabell2[[#This Row],[Befvekst10]]&gt;F$168,F$168,Tabell2[[#This Row],[Befvekst10]]))</f>
        <v>2.9502944361214478E-2</v>
      </c>
      <c r="P18" s="80">
        <f>IF(Tabell2[[#This Row],[Kvinneandel]]&lt;G$167,G$167,IF(Tabell2[[#This Row],[Kvinneandel]]&gt;G$168,G$168,Tabell2[[#This Row],[Kvinneandel]]))</f>
        <v>0.11228135896032043</v>
      </c>
      <c r="Q18" s="80">
        <f>IF(Tabell2[[#This Row],[Eldreandel]]&lt;H$167,H$167,IF(Tabell2[[#This Row],[Eldreandel]]&gt;H$168,H$168,Tabell2[[#This Row],[Eldreandel]]))</f>
        <v>0.1608794628706452</v>
      </c>
      <c r="R18" s="80">
        <f>IF(Tabell2[[#This Row],[Syssvekst10]]&lt;I$167,I$167,IF(Tabell2[[#This Row],[Syssvekst10]]&gt;I$168,I$168,Tabell2[[#This Row],[Syssvekst10]]))</f>
        <v>5.8253059099192983E-2</v>
      </c>
      <c r="S18" s="80">
        <f>IF(Tabell2[[#This Row],[Yrkesaktiveandel]]&lt;J$167,J$167,IF(Tabell2[[#This Row],[Yrkesaktiveandel]]&gt;J$168,J$168,Tabell2[[#This Row],[Yrkesaktiveandel]]))</f>
        <v>0.84685444844273483</v>
      </c>
      <c r="T18" s="80">
        <f>IF(Tabell2[[#This Row],[Bruttoinntekt17+]]&lt;K$167,K$167,IF(Tabell2[[#This Row],[Bruttoinntekt17+]]&gt;K$168,K$168,Tabell2[[#This Row],[Bruttoinntekt17+]]))</f>
        <v>314374.67080612353</v>
      </c>
      <c r="U18" s="60">
        <f>IF(Tabell2[[#This Row],[NIBR11-BA-Utrunk]]&lt;=L$170,100,IF(Tabell2[[#This Row],[NIBR11-BA-Utrunk]]&gt;=L$169,0,100-Tabell2[[#This Row],[NIBR11-BA-Utrunk]]*100/L$171))</f>
        <v>60</v>
      </c>
      <c r="V18" s="60">
        <f>(M$169-Tabell2[[#This Row],[Reisetid Oslo-T]])*100/M$171</f>
        <v>100</v>
      </c>
      <c r="W18" s="60">
        <f>100-(N$169-Tabell2[[#This Row],[beftettotal-T]])*100/N$171</f>
        <v>48.599797566495617</v>
      </c>
      <c r="X18" s="60">
        <f>100-(O$169-Tabell2[[#This Row],[Befvekst10-T]])*100/O$171</f>
        <v>69.491175317914326</v>
      </c>
      <c r="Y18" s="60">
        <f>100-(P$169-Tabell2[[#This Row],[Kvinneandel-T]])*100/P$171</f>
        <v>66.391628320733886</v>
      </c>
      <c r="Z18" s="60">
        <f>(Q$169-Tabell2[[#This Row],[Eldreandel-T]])*100/Q$171</f>
        <v>57.189388131437667</v>
      </c>
      <c r="AA18" s="60">
        <f>100-(R$169-Tabell2[[#This Row],[Syssvekst10-T]])*100/R$171</f>
        <v>60.255338521342622</v>
      </c>
      <c r="AB18" s="60">
        <f>100-(S$169-Tabell2[[#This Row],[Yrkesaktiveandel-T]])*100/S$171</f>
        <v>15.357672273125786</v>
      </c>
      <c r="AC18" s="60">
        <f>100-(T$169-Tabell2[[#This Row],[Bruttoinntekt17+-T]])*100/T$171</f>
        <v>33.674600157876981</v>
      </c>
      <c r="AD18" s="60">
        <f>Tabell2[[#This Row],[NIBR11-BA-I]]*$AD$2</f>
        <v>12</v>
      </c>
      <c r="AE18" s="60">
        <f>Tabell2[[#This Row],[Reisetid Oslo-I]]*$AE$2</f>
        <v>10</v>
      </c>
      <c r="AF18" s="60">
        <f>Tabell2[[#This Row],[beftettotal-I]]*$AF$2</f>
        <v>4.8599797566495617</v>
      </c>
      <c r="AG18" s="60">
        <f>Tabell2[[#This Row],[Befvekst10-I]]*$AG$2</f>
        <v>13.898235063582867</v>
      </c>
      <c r="AH18" s="60">
        <f>Tabell2[[#This Row],[Kvinneandel-I]]*$AH$2</f>
        <v>3.3195814160366943</v>
      </c>
      <c r="AI18" s="60">
        <f>Tabell2[[#This Row],[Eldreandel-I]]*$AI$2</f>
        <v>2.8594694065718835</v>
      </c>
      <c r="AJ18" s="60">
        <f>Tabell2[[#This Row],[Syssvekst10-I]]*$AJ$2</f>
        <v>6.025533852134263</v>
      </c>
      <c r="AK18" s="60">
        <f>Tabell2[[#This Row],[Yrkesaktiveandel-I]]*$AK$2</f>
        <v>1.5357672273125786</v>
      </c>
      <c r="AL18" s="60">
        <f>Tabell2[[#This Row],[Bruttoinntekt17+-I]]*$AL$2</f>
        <v>3.3674600157876982</v>
      </c>
      <c r="AM18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57.866026738075547</v>
      </c>
    </row>
    <row r="19" spans="1:39">
      <c r="A19" s="63">
        <v>14</v>
      </c>
      <c r="B19" s="8" t="s">
        <v>69</v>
      </c>
      <c r="C19" s="45">
        <f>Råark!L16</f>
        <v>10</v>
      </c>
      <c r="D19" s="80">
        <f>Råark!K16</f>
        <v>253.63053009494612</v>
      </c>
      <c r="E19" s="80">
        <f>Råark!N16</f>
        <v>1.362351954258971</v>
      </c>
      <c r="F19" s="80">
        <f>Råark!O16</f>
        <v>-3.3855185909980379E-2</v>
      </c>
      <c r="G19" s="80">
        <f>Råark!P16</f>
        <v>9.6617378975086085E-2</v>
      </c>
      <c r="H19" s="80">
        <f>Råark!Q16</f>
        <v>0.18837350617784079</v>
      </c>
      <c r="I19" s="80">
        <f>Råark!R16</f>
        <v>3.5257822829439789E-3</v>
      </c>
      <c r="J19" s="80">
        <f>Råark!S16</f>
        <v>0.92615496544197895</v>
      </c>
      <c r="K19" s="80">
        <f>Råark!M16</f>
        <v>295348.87218045112</v>
      </c>
      <c r="L19" s="59">
        <f>Tabell2[[#This Row],[NIBR11BA]]</f>
        <v>10</v>
      </c>
      <c r="M19" s="80">
        <f>IF(Tabell2[[#This Row],[Reisetid Oslo]]&lt;D$167,D$167,IF(Tabell2[[#This Row],[Reisetid Oslo]]&gt;D$168,D$168,Tabell2[[#This Row],[Reisetid Oslo]]))</f>
        <v>253.63053009494612</v>
      </c>
      <c r="N19" s="80">
        <f>IF(Tabell2[[#This Row],[beftettotal]]&lt;E$167,E$167,IF(Tabell2[[#This Row],[beftettotal]]&gt;E$168,E$168,Tabell2[[#This Row],[beftettotal]]))</f>
        <v>1.362351954258971</v>
      </c>
      <c r="O19" s="80">
        <f>IF(Tabell2[[#This Row],[Befvekst10]]&lt;F$167,F$167,IF(Tabell2[[#This Row],[Befvekst10]]&gt;F$168,F$168,Tabell2[[#This Row],[Befvekst10]]))</f>
        <v>-3.3855185909980379E-2</v>
      </c>
      <c r="P19" s="80">
        <f>IF(Tabell2[[#This Row],[Kvinneandel]]&lt;G$167,G$167,IF(Tabell2[[#This Row],[Kvinneandel]]&gt;G$168,G$168,Tabell2[[#This Row],[Kvinneandel]]))</f>
        <v>9.6617378975086085E-2</v>
      </c>
      <c r="Q19" s="80">
        <f>IF(Tabell2[[#This Row],[Eldreandel]]&lt;H$167,H$167,IF(Tabell2[[#This Row],[Eldreandel]]&gt;H$168,H$168,Tabell2[[#This Row],[Eldreandel]]))</f>
        <v>0.18837350617784079</v>
      </c>
      <c r="R19" s="80">
        <f>IF(Tabell2[[#This Row],[Syssvekst10]]&lt;I$167,I$167,IF(Tabell2[[#This Row],[Syssvekst10]]&gt;I$168,I$168,Tabell2[[#This Row],[Syssvekst10]]))</f>
        <v>3.5257822829439789E-3</v>
      </c>
      <c r="S19" s="80">
        <f>IF(Tabell2[[#This Row],[Yrkesaktiveandel]]&lt;J$167,J$167,IF(Tabell2[[#This Row],[Yrkesaktiveandel]]&gt;J$168,J$168,Tabell2[[#This Row],[Yrkesaktiveandel]]))</f>
        <v>0.92615496544197895</v>
      </c>
      <c r="T19" s="80">
        <f>IF(Tabell2[[#This Row],[Bruttoinntekt17+]]&lt;K$167,K$167,IF(Tabell2[[#This Row],[Bruttoinntekt17+]]&gt;K$168,K$168,Tabell2[[#This Row],[Bruttoinntekt17+]]))</f>
        <v>295348.87218045112</v>
      </c>
      <c r="U19" s="60">
        <f>IF(Tabell2[[#This Row],[NIBR11-BA-Utrunk]]&lt;=L$170,100,IF(Tabell2[[#This Row],[NIBR11-BA-Utrunk]]&gt;=L$169,0,100-Tabell2[[#This Row],[NIBR11-BA-Utrunk]]*100/L$171))</f>
        <v>0</v>
      </c>
      <c r="V19" s="60">
        <f>(M$169-Tabell2[[#This Row],[Reisetid Oslo-T]])*100/M$171</f>
        <v>34.640231843247633</v>
      </c>
      <c r="W19" s="60">
        <f>100-(N$169-Tabell2[[#This Row],[beftettotal-T]])*100/N$171</f>
        <v>0.8327771294290045</v>
      </c>
      <c r="X19" s="60">
        <f>100-(O$169-Tabell2[[#This Row],[Befvekst10-T]])*100/O$171</f>
        <v>41.077624279846702</v>
      </c>
      <c r="Y19" s="60">
        <f>100-(P$169-Tabell2[[#This Row],[Kvinneandel-T]])*100/P$171</f>
        <v>16.438163411644069</v>
      </c>
      <c r="Z19" s="60">
        <f>(Q$169-Tabell2[[#This Row],[Eldreandel-T]])*100/Q$171</f>
        <v>20.615629061236955</v>
      </c>
      <c r="AA19" s="60">
        <f>100-(R$169-Tabell2[[#This Row],[Syssvekst10-T]])*100/R$171</f>
        <v>39.602021098558133</v>
      </c>
      <c r="AB19" s="60">
        <f>100-(S$169-Tabell2[[#This Row],[Yrkesaktiveandel-T]])*100/S$171</f>
        <v>75.302213831850082</v>
      </c>
      <c r="AC19" s="60">
        <f>100-(T$169-Tabell2[[#This Row],[Bruttoinntekt17+-T]])*100/T$171</f>
        <v>1.8070720803387843</v>
      </c>
      <c r="AD19" s="60">
        <f>Tabell2[[#This Row],[NIBR11-BA-I]]*$AD$2</f>
        <v>0</v>
      </c>
      <c r="AE19" s="60">
        <f>Tabell2[[#This Row],[Reisetid Oslo-I]]*$AE$2</f>
        <v>3.4640231843247635</v>
      </c>
      <c r="AF19" s="60">
        <f>Tabell2[[#This Row],[beftettotal-I]]*$AF$2</f>
        <v>8.3277712942900456E-2</v>
      </c>
      <c r="AG19" s="60">
        <f>Tabell2[[#This Row],[Befvekst10-I]]*$AG$2</f>
        <v>8.2155248559693401</v>
      </c>
      <c r="AH19" s="60">
        <f>Tabell2[[#This Row],[Kvinneandel-I]]*$AH$2</f>
        <v>0.82190817058220356</v>
      </c>
      <c r="AI19" s="60">
        <f>Tabell2[[#This Row],[Eldreandel-I]]*$AI$2</f>
        <v>1.0307814530618478</v>
      </c>
      <c r="AJ19" s="60">
        <f>Tabell2[[#This Row],[Syssvekst10-I]]*$AJ$2</f>
        <v>3.9602021098558136</v>
      </c>
      <c r="AK19" s="60">
        <f>Tabell2[[#This Row],[Yrkesaktiveandel-I]]*$AK$2</f>
        <v>7.5302213831850082</v>
      </c>
      <c r="AL19" s="60">
        <f>Tabell2[[#This Row],[Bruttoinntekt17+-I]]*$AL$2</f>
        <v>0.18070720803387844</v>
      </c>
      <c r="AM19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25.286646077955758</v>
      </c>
    </row>
    <row r="20" spans="1:39">
      <c r="A20" s="64">
        <v>15</v>
      </c>
      <c r="B20" s="8" t="s">
        <v>70</v>
      </c>
      <c r="C20" s="45">
        <f>Råark!L17</f>
        <v>10</v>
      </c>
      <c r="D20" s="80">
        <f>Råark!K17</f>
        <v>259.99072621595644</v>
      </c>
      <c r="E20" s="80">
        <f>Råark!N17</f>
        <v>1.1594697447386186</v>
      </c>
      <c r="F20" s="80">
        <f>Råark!O17</f>
        <v>-4.4621026894865579E-2</v>
      </c>
      <c r="G20" s="80">
        <f>Råark!P17</f>
        <v>0.10215397739390061</v>
      </c>
      <c r="H20" s="80">
        <f>Råark!Q17</f>
        <v>0.18447430155683514</v>
      </c>
      <c r="I20" s="80">
        <f>Råark!R17</f>
        <v>-2.7230833682446609E-2</v>
      </c>
      <c r="J20" s="80">
        <f>Råark!S17</f>
        <v>0.94486404833836857</v>
      </c>
      <c r="K20" s="80">
        <f>Råark!M17</f>
        <v>293049.12188728701</v>
      </c>
      <c r="L20" s="59">
        <f>Tabell2[[#This Row],[NIBR11BA]]</f>
        <v>10</v>
      </c>
      <c r="M20" s="80">
        <f>IF(Tabell2[[#This Row],[Reisetid Oslo]]&lt;D$167,D$167,IF(Tabell2[[#This Row],[Reisetid Oslo]]&gt;D$168,D$168,Tabell2[[#This Row],[Reisetid Oslo]]))</f>
        <v>259.99072621595644</v>
      </c>
      <c r="N20" s="80">
        <f>IF(Tabell2[[#This Row],[beftettotal]]&lt;E$167,E$167,IF(Tabell2[[#This Row],[beftettotal]]&gt;E$168,E$168,Tabell2[[#This Row],[beftettotal]]))</f>
        <v>1.1594697447386186</v>
      </c>
      <c r="O20" s="80">
        <f>IF(Tabell2[[#This Row],[Befvekst10]]&lt;F$167,F$167,IF(Tabell2[[#This Row],[Befvekst10]]&gt;F$168,F$168,Tabell2[[#This Row],[Befvekst10]]))</f>
        <v>-4.4621026894865579E-2</v>
      </c>
      <c r="P20" s="80">
        <f>IF(Tabell2[[#This Row],[Kvinneandel]]&lt;G$167,G$167,IF(Tabell2[[#This Row],[Kvinneandel]]&gt;G$168,G$168,Tabell2[[#This Row],[Kvinneandel]]))</f>
        <v>0.10215397739390061</v>
      </c>
      <c r="Q20" s="80">
        <f>IF(Tabell2[[#This Row],[Eldreandel]]&lt;H$167,H$167,IF(Tabell2[[#This Row],[Eldreandel]]&gt;H$168,H$168,Tabell2[[#This Row],[Eldreandel]]))</f>
        <v>0.18447430155683514</v>
      </c>
      <c r="R20" s="80">
        <f>IF(Tabell2[[#This Row],[Syssvekst10]]&lt;I$167,I$167,IF(Tabell2[[#This Row],[Syssvekst10]]&gt;I$168,I$168,Tabell2[[#This Row],[Syssvekst10]]))</f>
        <v>-2.7230833682446609E-2</v>
      </c>
      <c r="S20" s="80">
        <f>IF(Tabell2[[#This Row],[Yrkesaktiveandel]]&lt;J$167,J$167,IF(Tabell2[[#This Row],[Yrkesaktiveandel]]&gt;J$168,J$168,Tabell2[[#This Row],[Yrkesaktiveandel]]))</f>
        <v>0.94486404833836857</v>
      </c>
      <c r="T20" s="80">
        <f>IF(Tabell2[[#This Row],[Bruttoinntekt17+]]&lt;K$167,K$167,IF(Tabell2[[#This Row],[Bruttoinntekt17+]]&gt;K$168,K$168,Tabell2[[#This Row],[Bruttoinntekt17+]]))</f>
        <v>294270</v>
      </c>
      <c r="U20" s="60">
        <f>IF(Tabell2[[#This Row],[NIBR11-BA-Utrunk]]&lt;=L$170,100,IF(Tabell2[[#This Row],[NIBR11-BA-Utrunk]]&gt;=L$169,0,100-Tabell2[[#This Row],[NIBR11-BA-Utrunk]]*100/L$171))</f>
        <v>0</v>
      </c>
      <c r="V20" s="60">
        <f>(M$169-Tabell2[[#This Row],[Reisetid Oslo-T]])*100/M$171</f>
        <v>31.225226005058403</v>
      </c>
      <c r="W20" s="60">
        <f>100-(N$169-Tabell2[[#This Row],[beftettotal-T]])*100/N$171</f>
        <v>0.36110086663617835</v>
      </c>
      <c r="X20" s="60">
        <f>100-(O$169-Tabell2[[#This Row],[Befvekst10-T]])*100/O$171</f>
        <v>36.249581359665569</v>
      </c>
      <c r="Y20" s="60">
        <f>100-(P$169-Tabell2[[#This Row],[Kvinneandel-T]])*100/P$171</f>
        <v>34.094740800703846</v>
      </c>
      <c r="Z20" s="60">
        <f>(Q$169-Tabell2[[#This Row],[Eldreandel-T]])*100/Q$171</f>
        <v>25.802518773335112</v>
      </c>
      <c r="AA20" s="60">
        <f>100-(R$169-Tabell2[[#This Row],[Syssvekst10-T]])*100/R$171</f>
        <v>27.994899580037995</v>
      </c>
      <c r="AB20" s="60">
        <f>100-(S$169-Tabell2[[#This Row],[Yrkesaktiveandel-T]])*100/S$171</f>
        <v>89.444711758048157</v>
      </c>
      <c r="AC20" s="60">
        <f>100-(T$169-Tabell2[[#This Row],[Bruttoinntekt17+-T]])*100/T$171</f>
        <v>0</v>
      </c>
      <c r="AD20" s="60">
        <f>Tabell2[[#This Row],[NIBR11-BA-I]]*$AD$2</f>
        <v>0</v>
      </c>
      <c r="AE20" s="60">
        <f>Tabell2[[#This Row],[Reisetid Oslo-I]]*$AE$2</f>
        <v>3.1225226005058406</v>
      </c>
      <c r="AF20" s="60">
        <f>Tabell2[[#This Row],[beftettotal-I]]*$AF$2</f>
        <v>3.6110086663617834E-2</v>
      </c>
      <c r="AG20" s="60">
        <f>Tabell2[[#This Row],[Befvekst10-I]]*$AG$2</f>
        <v>7.2499162719331141</v>
      </c>
      <c r="AH20" s="60">
        <f>Tabell2[[#This Row],[Kvinneandel-I]]*$AH$2</f>
        <v>1.7047370400351924</v>
      </c>
      <c r="AI20" s="60">
        <f>Tabell2[[#This Row],[Eldreandel-I]]*$AI$2</f>
        <v>1.2901259386667556</v>
      </c>
      <c r="AJ20" s="60">
        <f>Tabell2[[#This Row],[Syssvekst10-I]]*$AJ$2</f>
        <v>2.7994899580037997</v>
      </c>
      <c r="AK20" s="60">
        <f>Tabell2[[#This Row],[Yrkesaktiveandel-I]]*$AK$2</f>
        <v>8.9444711758048161</v>
      </c>
      <c r="AL20" s="60">
        <f>Tabell2[[#This Row],[Bruttoinntekt17+-I]]*$AL$2</f>
        <v>0</v>
      </c>
      <c r="AM20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25.147373071613139</v>
      </c>
    </row>
    <row r="21" spans="1:39">
      <c r="A21" s="63">
        <v>16</v>
      </c>
      <c r="B21" s="8" t="s">
        <v>71</v>
      </c>
      <c r="C21" s="45">
        <f>Råark!L18</f>
        <v>8</v>
      </c>
      <c r="D21" s="80">
        <f>Råark!K18</f>
        <v>183.71695845794153</v>
      </c>
      <c r="E21" s="80">
        <f>Råark!N18</f>
        <v>4.3430217518355416</v>
      </c>
      <c r="F21" s="80">
        <f>Råark!O18</f>
        <v>-2.1725055751384836E-2</v>
      </c>
      <c r="G21" s="80">
        <f>Råark!P18</f>
        <v>0.10221339804397382</v>
      </c>
      <c r="H21" s="80">
        <f>Råark!Q18</f>
        <v>0.17876314434884918</v>
      </c>
      <c r="I21" s="80">
        <f>Råark!R18</f>
        <v>1.083875270968826E-2</v>
      </c>
      <c r="J21" s="80">
        <f>Råark!S18</f>
        <v>0.90282131661442011</v>
      </c>
      <c r="K21" s="80">
        <f>Råark!M18</f>
        <v>303113.66482170403</v>
      </c>
      <c r="L21" s="59">
        <f>Tabell2[[#This Row],[NIBR11BA]]</f>
        <v>8</v>
      </c>
      <c r="M21" s="80">
        <f>IF(Tabell2[[#This Row],[Reisetid Oslo]]&lt;D$167,D$167,IF(Tabell2[[#This Row],[Reisetid Oslo]]&gt;D$168,D$168,Tabell2[[#This Row],[Reisetid Oslo]]))</f>
        <v>183.71695845794153</v>
      </c>
      <c r="N21" s="80">
        <f>IF(Tabell2[[#This Row],[beftettotal]]&lt;E$167,E$167,IF(Tabell2[[#This Row],[beftettotal]]&gt;E$168,E$168,Tabell2[[#This Row],[beftettotal]]))</f>
        <v>4.3430217518355416</v>
      </c>
      <c r="O21" s="80">
        <f>IF(Tabell2[[#This Row],[Befvekst10]]&lt;F$167,F$167,IF(Tabell2[[#This Row],[Befvekst10]]&gt;F$168,F$168,Tabell2[[#This Row],[Befvekst10]]))</f>
        <v>-2.1725055751384836E-2</v>
      </c>
      <c r="P21" s="80">
        <f>IF(Tabell2[[#This Row],[Kvinneandel]]&lt;G$167,G$167,IF(Tabell2[[#This Row],[Kvinneandel]]&gt;G$168,G$168,Tabell2[[#This Row],[Kvinneandel]]))</f>
        <v>0.10221339804397382</v>
      </c>
      <c r="Q21" s="80">
        <f>IF(Tabell2[[#This Row],[Eldreandel]]&lt;H$167,H$167,IF(Tabell2[[#This Row],[Eldreandel]]&gt;H$168,H$168,Tabell2[[#This Row],[Eldreandel]]))</f>
        <v>0.17876314434884918</v>
      </c>
      <c r="R21" s="80">
        <f>IF(Tabell2[[#This Row],[Syssvekst10]]&lt;I$167,I$167,IF(Tabell2[[#This Row],[Syssvekst10]]&gt;I$168,I$168,Tabell2[[#This Row],[Syssvekst10]]))</f>
        <v>1.083875270968826E-2</v>
      </c>
      <c r="S21" s="80">
        <f>IF(Tabell2[[#This Row],[Yrkesaktiveandel]]&lt;J$167,J$167,IF(Tabell2[[#This Row],[Yrkesaktiveandel]]&gt;J$168,J$168,Tabell2[[#This Row],[Yrkesaktiveandel]]))</f>
        <v>0.90282131661442011</v>
      </c>
      <c r="T21" s="80">
        <f>IF(Tabell2[[#This Row],[Bruttoinntekt17+]]&lt;K$167,K$167,IF(Tabell2[[#This Row],[Bruttoinntekt17+]]&gt;K$168,K$168,Tabell2[[#This Row],[Bruttoinntekt17+]]))</f>
        <v>303113.66482170403</v>
      </c>
      <c r="U21" s="60">
        <f>IF(Tabell2[[#This Row],[NIBR11-BA-Utrunk]]&lt;=L$170,100,IF(Tabell2[[#This Row],[NIBR11-BA-Utrunk]]&gt;=L$169,0,100-Tabell2[[#This Row],[NIBR11-BA-Utrunk]]*100/L$171))</f>
        <v>20</v>
      </c>
      <c r="V21" s="60">
        <f>(M$169-Tabell2[[#This Row],[Reisetid Oslo-T]])*100/M$171</f>
        <v>72.179208750001479</v>
      </c>
      <c r="W21" s="60">
        <f>100-(N$169-Tabell2[[#This Row],[beftettotal-T]])*100/N$171</f>
        <v>7.7624689642339888</v>
      </c>
      <c r="X21" s="60">
        <f>100-(O$169-Tabell2[[#This Row],[Befvekst10-T]])*100/O$171</f>
        <v>46.517495546318614</v>
      </c>
      <c r="Y21" s="60">
        <f>100-(P$169-Tabell2[[#This Row],[Kvinneandel-T]])*100/P$171</f>
        <v>34.284237171428614</v>
      </c>
      <c r="Z21" s="60">
        <f>(Q$169-Tabell2[[#This Row],[Eldreandel-T]])*100/Q$171</f>
        <v>33.399745758216305</v>
      </c>
      <c r="AA21" s="60">
        <f>100-(R$169-Tabell2[[#This Row],[Syssvekst10-T]])*100/R$171</f>
        <v>42.361835003315427</v>
      </c>
      <c r="AB21" s="60">
        <f>100-(S$169-Tabell2[[#This Row],[Yrkesaktiveandel-T]])*100/S$171</f>
        <v>57.663931828296285</v>
      </c>
      <c r="AC21" s="60">
        <f>100-(T$169-Tabell2[[#This Row],[Bruttoinntekt17+-T]])*100/T$171</f>
        <v>14.812820347720347</v>
      </c>
      <c r="AD21" s="60">
        <f>Tabell2[[#This Row],[NIBR11-BA-I]]*$AD$2</f>
        <v>4</v>
      </c>
      <c r="AE21" s="60">
        <f>Tabell2[[#This Row],[Reisetid Oslo-I]]*$AE$2</f>
        <v>7.2179208750001482</v>
      </c>
      <c r="AF21" s="60">
        <f>Tabell2[[#This Row],[beftettotal-I]]*$AF$2</f>
        <v>0.77624689642339895</v>
      </c>
      <c r="AG21" s="60">
        <f>Tabell2[[#This Row],[Befvekst10-I]]*$AG$2</f>
        <v>9.3034991092637238</v>
      </c>
      <c r="AH21" s="60">
        <f>Tabell2[[#This Row],[Kvinneandel-I]]*$AH$2</f>
        <v>1.7142118585714308</v>
      </c>
      <c r="AI21" s="60">
        <f>Tabell2[[#This Row],[Eldreandel-I]]*$AI$2</f>
        <v>1.6699872879108153</v>
      </c>
      <c r="AJ21" s="60">
        <f>Tabell2[[#This Row],[Syssvekst10-I]]*$AJ$2</f>
        <v>4.2361835003315429</v>
      </c>
      <c r="AK21" s="60">
        <f>Tabell2[[#This Row],[Yrkesaktiveandel-I]]*$AK$2</f>
        <v>5.7663931828296286</v>
      </c>
      <c r="AL21" s="60">
        <f>Tabell2[[#This Row],[Bruttoinntekt17+-I]]*$AL$2</f>
        <v>1.4812820347720348</v>
      </c>
      <c r="AM21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36.165724745102722</v>
      </c>
    </row>
    <row r="22" spans="1:39">
      <c r="A22" s="64">
        <v>17</v>
      </c>
      <c r="B22" s="8" t="s">
        <v>72</v>
      </c>
      <c r="C22" s="45">
        <f>Råark!L19</f>
        <v>10</v>
      </c>
      <c r="D22" s="80">
        <f>Råark!K19</f>
        <v>227.00874410288563</v>
      </c>
      <c r="E22" s="80">
        <f>Råark!N19</f>
        <v>4.3540708392246703</v>
      </c>
      <c r="F22" s="80">
        <f>Råark!O19</f>
        <v>-2.4461152882205517E-2</v>
      </c>
      <c r="G22" s="80">
        <f>Råark!P19</f>
        <v>0.10091460281574351</v>
      </c>
      <c r="H22" s="80">
        <f>Råark!Q19</f>
        <v>0.18456479292981195</v>
      </c>
      <c r="I22" s="80">
        <f>Råark!R19</f>
        <v>1.2405848471422232E-2</v>
      </c>
      <c r="J22" s="80">
        <f>Råark!S19</f>
        <v>0.87601476014760149</v>
      </c>
      <c r="K22" s="80">
        <f>Råark!M19</f>
        <v>285455.54565134342</v>
      </c>
      <c r="L22" s="59">
        <f>Tabell2[[#This Row],[NIBR11BA]]</f>
        <v>10</v>
      </c>
      <c r="M22" s="80">
        <f>IF(Tabell2[[#This Row],[Reisetid Oslo]]&lt;D$167,D$167,IF(Tabell2[[#This Row],[Reisetid Oslo]]&gt;D$168,D$168,Tabell2[[#This Row],[Reisetid Oslo]]))</f>
        <v>227.00874410288563</v>
      </c>
      <c r="N22" s="80">
        <f>IF(Tabell2[[#This Row],[beftettotal]]&lt;E$167,E$167,IF(Tabell2[[#This Row],[beftettotal]]&gt;E$168,E$168,Tabell2[[#This Row],[beftettotal]]))</f>
        <v>4.3540708392246703</v>
      </c>
      <c r="O22" s="80">
        <f>IF(Tabell2[[#This Row],[Befvekst10]]&lt;F$167,F$167,IF(Tabell2[[#This Row],[Befvekst10]]&gt;F$168,F$168,Tabell2[[#This Row],[Befvekst10]]))</f>
        <v>-2.4461152882205517E-2</v>
      </c>
      <c r="P22" s="80">
        <f>IF(Tabell2[[#This Row],[Kvinneandel]]&lt;G$167,G$167,IF(Tabell2[[#This Row],[Kvinneandel]]&gt;G$168,G$168,Tabell2[[#This Row],[Kvinneandel]]))</f>
        <v>0.10091460281574351</v>
      </c>
      <c r="Q22" s="80">
        <f>IF(Tabell2[[#This Row],[Eldreandel]]&lt;H$167,H$167,IF(Tabell2[[#This Row],[Eldreandel]]&gt;H$168,H$168,Tabell2[[#This Row],[Eldreandel]]))</f>
        <v>0.18456479292981195</v>
      </c>
      <c r="R22" s="80">
        <f>IF(Tabell2[[#This Row],[Syssvekst10]]&lt;I$167,I$167,IF(Tabell2[[#This Row],[Syssvekst10]]&gt;I$168,I$168,Tabell2[[#This Row],[Syssvekst10]]))</f>
        <v>1.2405848471422232E-2</v>
      </c>
      <c r="S22" s="80">
        <f>IF(Tabell2[[#This Row],[Yrkesaktiveandel]]&lt;J$167,J$167,IF(Tabell2[[#This Row],[Yrkesaktiveandel]]&gt;J$168,J$168,Tabell2[[#This Row],[Yrkesaktiveandel]]))</f>
        <v>0.87601476014760149</v>
      </c>
      <c r="T22" s="80">
        <f>IF(Tabell2[[#This Row],[Bruttoinntekt17+]]&lt;K$167,K$167,IF(Tabell2[[#This Row],[Bruttoinntekt17+]]&gt;K$168,K$168,Tabell2[[#This Row],[Bruttoinntekt17+]]))</f>
        <v>294270</v>
      </c>
      <c r="U22" s="60">
        <f>IF(Tabell2[[#This Row],[NIBR11-BA-Utrunk]]&lt;=L$170,100,IF(Tabell2[[#This Row],[NIBR11-BA-Utrunk]]&gt;=L$169,0,100-Tabell2[[#This Row],[NIBR11-BA-Utrunk]]*100/L$171))</f>
        <v>0</v>
      </c>
      <c r="V22" s="60">
        <f>(M$169-Tabell2[[#This Row],[Reisetid Oslo-T]])*100/M$171</f>
        <v>48.934375114331111</v>
      </c>
      <c r="W22" s="60">
        <f>100-(N$169-Tabell2[[#This Row],[beftettotal-T]])*100/N$171</f>
        <v>7.7881567377420566</v>
      </c>
      <c r="X22" s="60">
        <f>100-(O$169-Tabell2[[#This Row],[Befvekst10-T]])*100/O$171</f>
        <v>45.290466984413143</v>
      </c>
      <c r="Y22" s="60">
        <f>100-(P$169-Tabell2[[#This Row],[Kvinneandel-T]])*100/P$171</f>
        <v>30.142293558205481</v>
      </c>
      <c r="Z22" s="60">
        <f>(Q$169-Tabell2[[#This Row],[Eldreandel-T]])*100/Q$171</f>
        <v>25.682143256492903</v>
      </c>
      <c r="AA22" s="60">
        <f>100-(R$169-Tabell2[[#This Row],[Syssvekst10-T]])*100/R$171</f>
        <v>42.953235271734819</v>
      </c>
      <c r="AB22" s="60">
        <f>100-(S$169-Tabell2[[#This Row],[Yrkesaktiveandel-T]])*100/S$171</f>
        <v>37.400422850330671</v>
      </c>
      <c r="AC22" s="60">
        <f>100-(T$169-Tabell2[[#This Row],[Bruttoinntekt17+-T]])*100/T$171</f>
        <v>0</v>
      </c>
      <c r="AD22" s="60">
        <f>Tabell2[[#This Row],[NIBR11-BA-I]]*$AD$2</f>
        <v>0</v>
      </c>
      <c r="AE22" s="60">
        <f>Tabell2[[#This Row],[Reisetid Oslo-I]]*$AE$2</f>
        <v>4.8934375114331115</v>
      </c>
      <c r="AF22" s="60">
        <f>Tabell2[[#This Row],[beftettotal-I]]*$AF$2</f>
        <v>0.77881567377420569</v>
      </c>
      <c r="AG22" s="60">
        <f>Tabell2[[#This Row],[Befvekst10-I]]*$AG$2</f>
        <v>9.0580933968826294</v>
      </c>
      <c r="AH22" s="60">
        <f>Tabell2[[#This Row],[Kvinneandel-I]]*$AH$2</f>
        <v>1.5071146779102742</v>
      </c>
      <c r="AI22" s="60">
        <f>Tabell2[[#This Row],[Eldreandel-I]]*$AI$2</f>
        <v>1.2841071628246452</v>
      </c>
      <c r="AJ22" s="60">
        <f>Tabell2[[#This Row],[Syssvekst10-I]]*$AJ$2</f>
        <v>4.2953235271734824</v>
      </c>
      <c r="AK22" s="60">
        <f>Tabell2[[#This Row],[Yrkesaktiveandel-I]]*$AK$2</f>
        <v>3.7400422850330672</v>
      </c>
      <c r="AL22" s="60">
        <f>Tabell2[[#This Row],[Bruttoinntekt17+-I]]*$AL$2</f>
        <v>0</v>
      </c>
      <c r="AM22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25.556934235031417</v>
      </c>
    </row>
    <row r="23" spans="1:39">
      <c r="A23" s="63">
        <v>18</v>
      </c>
      <c r="B23" s="8" t="s">
        <v>73</v>
      </c>
      <c r="C23" s="45">
        <f>Råark!L20</f>
        <v>10</v>
      </c>
      <c r="D23" s="80">
        <f>Råark!K20</f>
        <v>145.06896361945124</v>
      </c>
      <c r="E23" s="80">
        <f>Råark!N20</f>
        <v>3.3317364870738686</v>
      </c>
      <c r="F23" s="80">
        <f>Råark!O20</f>
        <v>-1.5252569429258678E-2</v>
      </c>
      <c r="G23" s="80">
        <f>Råark!P20</f>
        <v>0.10409148947982012</v>
      </c>
      <c r="H23" s="80">
        <f>Råark!Q20</f>
        <v>0.17115416643535225</v>
      </c>
      <c r="I23" s="80">
        <f>Råark!R20</f>
        <v>1.2938372488934258E-2</v>
      </c>
      <c r="J23" s="80">
        <f>Råark!S20</f>
        <v>0.92645198949314134</v>
      </c>
      <c r="K23" s="80">
        <f>Råark!M20</f>
        <v>303887.77313514624</v>
      </c>
      <c r="L23" s="59">
        <f>Tabell2[[#This Row],[NIBR11BA]]</f>
        <v>10</v>
      </c>
      <c r="M23" s="80">
        <f>IF(Tabell2[[#This Row],[Reisetid Oslo]]&lt;D$167,D$167,IF(Tabell2[[#This Row],[Reisetid Oslo]]&gt;D$168,D$168,Tabell2[[#This Row],[Reisetid Oslo]]))</f>
        <v>145.06896361945124</v>
      </c>
      <c r="N23" s="80">
        <f>IF(Tabell2[[#This Row],[beftettotal]]&lt;E$167,E$167,IF(Tabell2[[#This Row],[beftettotal]]&gt;E$168,E$168,Tabell2[[#This Row],[beftettotal]]))</f>
        <v>3.3317364870738686</v>
      </c>
      <c r="O23" s="80">
        <f>IF(Tabell2[[#This Row],[Befvekst10]]&lt;F$167,F$167,IF(Tabell2[[#This Row],[Befvekst10]]&gt;F$168,F$168,Tabell2[[#This Row],[Befvekst10]]))</f>
        <v>-1.5252569429258678E-2</v>
      </c>
      <c r="P23" s="80">
        <f>IF(Tabell2[[#This Row],[Kvinneandel]]&lt;G$167,G$167,IF(Tabell2[[#This Row],[Kvinneandel]]&gt;G$168,G$168,Tabell2[[#This Row],[Kvinneandel]]))</f>
        <v>0.10409148947982012</v>
      </c>
      <c r="Q23" s="80">
        <f>IF(Tabell2[[#This Row],[Eldreandel]]&lt;H$167,H$167,IF(Tabell2[[#This Row],[Eldreandel]]&gt;H$168,H$168,Tabell2[[#This Row],[Eldreandel]]))</f>
        <v>0.17115416643535225</v>
      </c>
      <c r="R23" s="80">
        <f>IF(Tabell2[[#This Row],[Syssvekst10]]&lt;I$167,I$167,IF(Tabell2[[#This Row],[Syssvekst10]]&gt;I$168,I$168,Tabell2[[#This Row],[Syssvekst10]]))</f>
        <v>1.2938372488934258E-2</v>
      </c>
      <c r="S23" s="80">
        <f>IF(Tabell2[[#This Row],[Yrkesaktiveandel]]&lt;J$167,J$167,IF(Tabell2[[#This Row],[Yrkesaktiveandel]]&gt;J$168,J$168,Tabell2[[#This Row],[Yrkesaktiveandel]]))</f>
        <v>0.92645198949314134</v>
      </c>
      <c r="T23" s="80">
        <f>IF(Tabell2[[#This Row],[Bruttoinntekt17+]]&lt;K$167,K$167,IF(Tabell2[[#This Row],[Bruttoinntekt17+]]&gt;K$168,K$168,Tabell2[[#This Row],[Bruttoinntekt17+]]))</f>
        <v>303887.77313514624</v>
      </c>
      <c r="U23" s="60">
        <f>IF(Tabell2[[#This Row],[NIBR11-BA-Utrunk]]&lt;=L$170,100,IF(Tabell2[[#This Row],[NIBR11-BA-Utrunk]]&gt;=L$169,0,100-Tabell2[[#This Row],[NIBR11-BA-Utrunk]]*100/L$171))</f>
        <v>0</v>
      </c>
      <c r="V23" s="60">
        <f>(M$169-Tabell2[[#This Row],[Reisetid Oslo-T]])*100/M$171</f>
        <v>92.930632998030191</v>
      </c>
      <c r="W23" s="60">
        <f>100-(N$169-Tabell2[[#This Row],[beftettotal-T]])*100/N$171</f>
        <v>5.4113547121369265</v>
      </c>
      <c r="X23" s="60">
        <f>100-(O$169-Tabell2[[#This Row],[Befvekst10-T]])*100/O$171</f>
        <v>49.42014307820984</v>
      </c>
      <c r="Y23" s="60">
        <f>100-(P$169-Tabell2[[#This Row],[Kvinneandel-T]])*100/P$171</f>
        <v>40.273594584107073</v>
      </c>
      <c r="Z23" s="60">
        <f>(Q$169-Tabell2[[#This Row],[Eldreandel-T]])*100/Q$171</f>
        <v>43.521535480788067</v>
      </c>
      <c r="AA23" s="60">
        <f>100-(R$169-Tabell2[[#This Row],[Syssvekst10-T]])*100/R$171</f>
        <v>43.154202471434161</v>
      </c>
      <c r="AB23" s="60">
        <f>100-(S$169-Tabell2[[#This Row],[Yrkesaktiveandel-T]])*100/S$171</f>
        <v>75.526739109270579</v>
      </c>
      <c r="AC23" s="60">
        <f>100-(T$169-Tabell2[[#This Row],[Bruttoinntekt17+-T]])*100/T$171</f>
        <v>16.109423917380141</v>
      </c>
      <c r="AD23" s="60">
        <f>Tabell2[[#This Row],[NIBR11-BA-I]]*$AD$2</f>
        <v>0</v>
      </c>
      <c r="AE23" s="60">
        <f>Tabell2[[#This Row],[Reisetid Oslo-I]]*$AE$2</f>
        <v>9.2930632998030198</v>
      </c>
      <c r="AF23" s="60">
        <f>Tabell2[[#This Row],[beftettotal-I]]*$AF$2</f>
        <v>0.54113547121369265</v>
      </c>
      <c r="AG23" s="60">
        <f>Tabell2[[#This Row],[Befvekst10-I]]*$AG$2</f>
        <v>9.8840286156419683</v>
      </c>
      <c r="AH23" s="60">
        <f>Tabell2[[#This Row],[Kvinneandel-I]]*$AH$2</f>
        <v>2.0136797292053537</v>
      </c>
      <c r="AI23" s="60">
        <f>Tabell2[[#This Row],[Eldreandel-I]]*$AI$2</f>
        <v>2.1760767740394034</v>
      </c>
      <c r="AJ23" s="60">
        <f>Tabell2[[#This Row],[Syssvekst10-I]]*$AJ$2</f>
        <v>4.3154202471434164</v>
      </c>
      <c r="AK23" s="60">
        <f>Tabell2[[#This Row],[Yrkesaktiveandel-I]]*$AK$2</f>
        <v>7.5526739109270586</v>
      </c>
      <c r="AL23" s="60">
        <f>Tabell2[[#This Row],[Bruttoinntekt17+-I]]*$AL$2</f>
        <v>1.6109423917380141</v>
      </c>
      <c r="AM23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37.387020439711925</v>
      </c>
    </row>
    <row r="24" spans="1:39">
      <c r="A24" s="64">
        <v>19</v>
      </c>
      <c r="B24" s="8" t="s">
        <v>74</v>
      </c>
      <c r="C24" s="45">
        <f>Råark!L21</f>
        <v>2</v>
      </c>
      <c r="D24" s="80">
        <f>Råark!K21</f>
        <v>39.475924326190572</v>
      </c>
      <c r="E24" s="80">
        <f>Råark!N21</f>
        <v>61.755037217045214</v>
      </c>
      <c r="F24" s="80">
        <f>Råark!O21</f>
        <v>0.12417795240483764</v>
      </c>
      <c r="G24" s="80">
        <f>Råark!P21</f>
        <v>0.12757097088040453</v>
      </c>
      <c r="H24" s="80">
        <f>Råark!Q21</f>
        <v>0.1328074165422107</v>
      </c>
      <c r="I24" s="80">
        <f>Råark!R21</f>
        <v>0.13693724958197939</v>
      </c>
      <c r="J24" s="80">
        <f>Råark!S21</f>
        <v>0.84979350909394291</v>
      </c>
      <c r="K24" s="80">
        <f>Råark!M21</f>
        <v>351759.36340022128</v>
      </c>
      <c r="L24" s="59">
        <f>Tabell2[[#This Row],[NIBR11BA]]</f>
        <v>2</v>
      </c>
      <c r="M24" s="80">
        <f>IF(Tabell2[[#This Row],[Reisetid Oslo]]&lt;D$167,D$167,IF(Tabell2[[#This Row],[Reisetid Oslo]]&gt;D$168,D$168,Tabell2[[#This Row],[Reisetid Oslo]]))</f>
        <v>131.90278976372289</v>
      </c>
      <c r="N24" s="80">
        <f>IF(Tabell2[[#This Row],[beftettotal]]&lt;E$167,E$167,IF(Tabell2[[#This Row],[beftettotal]]&gt;E$168,E$168,Tabell2[[#This Row],[beftettotal]]))</f>
        <v>44.017170258769376</v>
      </c>
      <c r="O24" s="80">
        <f>IF(Tabell2[[#This Row],[Befvekst10]]&lt;F$167,F$167,IF(Tabell2[[#This Row],[Befvekst10]]&gt;F$168,F$168,Tabell2[[#This Row],[Befvekst10]]))</f>
        <v>9.7533233360955388E-2</v>
      </c>
      <c r="P24" s="80">
        <f>IF(Tabell2[[#This Row],[Kvinneandel]]&lt;G$167,G$167,IF(Tabell2[[#This Row],[Kvinneandel]]&gt;G$168,G$168,Tabell2[[#This Row],[Kvinneandel]]))</f>
        <v>0.12281998450468276</v>
      </c>
      <c r="Q24" s="80">
        <f>IF(Tabell2[[#This Row],[Eldreandel]]&lt;H$167,H$167,IF(Tabell2[[#This Row],[Eldreandel]]&gt;H$168,H$168,Tabell2[[#This Row],[Eldreandel]]))</f>
        <v>0.1328074165422107</v>
      </c>
      <c r="R24" s="80">
        <f>IF(Tabell2[[#This Row],[Syssvekst10]]&lt;I$167,I$167,IF(Tabell2[[#This Row],[Syssvekst10]]&gt;I$168,I$168,Tabell2[[#This Row],[Syssvekst10]]))</f>
        <v>0.13693724958197939</v>
      </c>
      <c r="S24" s="80">
        <f>IF(Tabell2[[#This Row],[Yrkesaktiveandel]]&lt;J$167,J$167,IF(Tabell2[[#This Row],[Yrkesaktiveandel]]&gt;J$168,J$168,Tabell2[[#This Row],[Yrkesaktiveandel]]))</f>
        <v>0.84979350909394291</v>
      </c>
      <c r="T24" s="80">
        <f>IF(Tabell2[[#This Row],[Bruttoinntekt17+]]&lt;K$167,K$167,IF(Tabell2[[#This Row],[Bruttoinntekt17+]]&gt;K$168,K$168,Tabell2[[#This Row],[Bruttoinntekt17+]]))</f>
        <v>351759.36340022128</v>
      </c>
      <c r="U24" s="60">
        <f>IF(Tabell2[[#This Row],[NIBR11-BA-Utrunk]]&lt;=L$170,100,IF(Tabell2[[#This Row],[NIBR11-BA-Utrunk]]&gt;=L$169,0,100-Tabell2[[#This Row],[NIBR11-BA-Utrunk]]*100/L$171))</f>
        <v>80</v>
      </c>
      <c r="V24" s="60">
        <f>(M$169-Tabell2[[#This Row],[Reisetid Oslo-T]])*100/M$171</f>
        <v>100</v>
      </c>
      <c r="W24" s="60">
        <f>100-(N$169-Tabell2[[#This Row],[beftettotal-T]])*100/N$171</f>
        <v>100</v>
      </c>
      <c r="X24" s="60">
        <f>100-(O$169-Tabell2[[#This Row],[Befvekst10-T]])*100/O$171</f>
        <v>100</v>
      </c>
      <c r="Y24" s="60">
        <f>100-(P$169-Tabell2[[#This Row],[Kvinneandel-T]])*100/P$171</f>
        <v>100</v>
      </c>
      <c r="Z24" s="60">
        <f>(Q$169-Tabell2[[#This Row],[Eldreandel-T]])*100/Q$171</f>
        <v>94.5320316834311</v>
      </c>
      <c r="AA24" s="60">
        <f>100-(R$169-Tabell2[[#This Row],[Syssvekst10-T]])*100/R$171</f>
        <v>89.949663851144564</v>
      </c>
      <c r="AB24" s="60">
        <f>100-(S$169-Tabell2[[#This Row],[Yrkesaktiveandel-T]])*100/S$171</f>
        <v>17.57935568726586</v>
      </c>
      <c r="AC24" s="60">
        <f>100-(T$169-Tabell2[[#This Row],[Bruttoinntekt17+-T]])*100/T$171</f>
        <v>96.29261500982588</v>
      </c>
      <c r="AD24" s="60">
        <f>Tabell2[[#This Row],[NIBR11-BA-I]]*$AD$2</f>
        <v>16</v>
      </c>
      <c r="AE24" s="60">
        <f>Tabell2[[#This Row],[Reisetid Oslo-I]]*$AE$2</f>
        <v>10</v>
      </c>
      <c r="AF24" s="60">
        <f>Tabell2[[#This Row],[beftettotal-I]]*$AF$2</f>
        <v>10</v>
      </c>
      <c r="AG24" s="60">
        <f>Tabell2[[#This Row],[Befvekst10-I]]*$AG$2</f>
        <v>20</v>
      </c>
      <c r="AH24" s="60">
        <f>Tabell2[[#This Row],[Kvinneandel-I]]*$AH$2</f>
        <v>5</v>
      </c>
      <c r="AI24" s="60">
        <f>Tabell2[[#This Row],[Eldreandel-I]]*$AI$2</f>
        <v>4.7266015841715552</v>
      </c>
      <c r="AJ24" s="60">
        <f>Tabell2[[#This Row],[Syssvekst10-I]]*$AJ$2</f>
        <v>8.9949663851144575</v>
      </c>
      <c r="AK24" s="60">
        <f>Tabell2[[#This Row],[Yrkesaktiveandel-I]]*$AK$2</f>
        <v>1.7579355687265861</v>
      </c>
      <c r="AL24" s="60">
        <f>Tabell2[[#This Row],[Bruttoinntekt17+-I]]*$AL$2</f>
        <v>9.6292615009825884</v>
      </c>
      <c r="AM24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86.108765038995188</v>
      </c>
    </row>
    <row r="25" spans="1:39">
      <c r="A25" s="63">
        <v>20</v>
      </c>
      <c r="B25" s="8" t="s">
        <v>75</v>
      </c>
      <c r="C25" s="45">
        <f>Råark!L22</f>
        <v>5</v>
      </c>
      <c r="D25" s="80">
        <f>Råark!K22</f>
        <v>65.198975459445947</v>
      </c>
      <c r="E25" s="80">
        <f>Råark!N22</f>
        <v>16.3499215757999</v>
      </c>
      <c r="F25" s="80">
        <f>Råark!O22</f>
        <v>0.10627765694142344</v>
      </c>
      <c r="G25" s="80">
        <f>Råark!P22</f>
        <v>0.12057627118644068</v>
      </c>
      <c r="H25" s="80">
        <f>Råark!Q22</f>
        <v>0.14088135593220338</v>
      </c>
      <c r="I25" s="80">
        <f>Råark!R22</f>
        <v>0.22613410198339157</v>
      </c>
      <c r="J25" s="80">
        <f>Råark!S22</f>
        <v>0.90180406485498976</v>
      </c>
      <c r="K25" s="80">
        <f>Råark!M22</f>
        <v>382477.62592072209</v>
      </c>
      <c r="L25" s="59">
        <f>Tabell2[[#This Row],[NIBR11BA]]</f>
        <v>5</v>
      </c>
      <c r="M25" s="80">
        <f>IF(Tabell2[[#This Row],[Reisetid Oslo]]&lt;D$167,D$167,IF(Tabell2[[#This Row],[Reisetid Oslo]]&gt;D$168,D$168,Tabell2[[#This Row],[Reisetid Oslo]]))</f>
        <v>131.90278976372289</v>
      </c>
      <c r="N25" s="80">
        <f>IF(Tabell2[[#This Row],[beftettotal]]&lt;E$167,E$167,IF(Tabell2[[#This Row],[beftettotal]]&gt;E$168,E$168,Tabell2[[#This Row],[beftettotal]]))</f>
        <v>16.3499215757999</v>
      </c>
      <c r="O25" s="80">
        <f>IF(Tabell2[[#This Row],[Befvekst10]]&lt;F$167,F$167,IF(Tabell2[[#This Row],[Befvekst10]]&gt;F$168,F$168,Tabell2[[#This Row],[Befvekst10]]))</f>
        <v>9.7533233360955388E-2</v>
      </c>
      <c r="P25" s="80">
        <f>IF(Tabell2[[#This Row],[Kvinneandel]]&lt;G$167,G$167,IF(Tabell2[[#This Row],[Kvinneandel]]&gt;G$168,G$168,Tabell2[[#This Row],[Kvinneandel]]))</f>
        <v>0.12057627118644068</v>
      </c>
      <c r="Q25" s="80">
        <f>IF(Tabell2[[#This Row],[Eldreandel]]&lt;H$167,H$167,IF(Tabell2[[#This Row],[Eldreandel]]&gt;H$168,H$168,Tabell2[[#This Row],[Eldreandel]]))</f>
        <v>0.14088135593220338</v>
      </c>
      <c r="R25" s="80">
        <f>IF(Tabell2[[#This Row],[Syssvekst10]]&lt;I$167,I$167,IF(Tabell2[[#This Row],[Syssvekst10]]&gt;I$168,I$168,Tabell2[[#This Row],[Syssvekst10]]))</f>
        <v>0.1635686869077807</v>
      </c>
      <c r="S25" s="80">
        <f>IF(Tabell2[[#This Row],[Yrkesaktiveandel]]&lt;J$167,J$167,IF(Tabell2[[#This Row],[Yrkesaktiveandel]]&gt;J$168,J$168,Tabell2[[#This Row],[Yrkesaktiveandel]]))</f>
        <v>0.90180406485498976</v>
      </c>
      <c r="T25" s="80">
        <f>IF(Tabell2[[#This Row],[Bruttoinntekt17+]]&lt;K$167,K$167,IF(Tabell2[[#This Row],[Bruttoinntekt17+]]&gt;K$168,K$168,Tabell2[[#This Row],[Bruttoinntekt17+]]))</f>
        <v>353972.77512388147</v>
      </c>
      <c r="U25" s="60">
        <f>IF(Tabell2[[#This Row],[NIBR11-BA-Utrunk]]&lt;=L$170,100,IF(Tabell2[[#This Row],[NIBR11-BA-Utrunk]]&gt;=L$169,0,100-Tabell2[[#This Row],[NIBR11-BA-Utrunk]]*100/L$171))</f>
        <v>50</v>
      </c>
      <c r="V25" s="60">
        <f>(M$169-Tabell2[[#This Row],[Reisetid Oslo-T]])*100/M$171</f>
        <v>100</v>
      </c>
      <c r="W25" s="60">
        <f>100-(N$169-Tabell2[[#This Row],[beftettotal-T]])*100/N$171</f>
        <v>35.677038950851113</v>
      </c>
      <c r="X25" s="60">
        <f>100-(O$169-Tabell2[[#This Row],[Befvekst10-T]])*100/O$171</f>
        <v>100</v>
      </c>
      <c r="Y25" s="60">
        <f>100-(P$169-Tabell2[[#This Row],[Kvinneandel-T]])*100/P$171</f>
        <v>92.84465029867782</v>
      </c>
      <c r="Z25" s="60">
        <f>(Q$169-Tabell2[[#This Row],[Eldreandel-T]])*100/Q$171</f>
        <v>83.791730204393545</v>
      </c>
      <c r="AA25" s="60">
        <f>100-(R$169-Tabell2[[#This Row],[Syssvekst10-T]])*100/R$171</f>
        <v>100</v>
      </c>
      <c r="AB25" s="60">
        <f>100-(S$169-Tabell2[[#This Row],[Yrkesaktiveandel-T]])*100/S$171</f>
        <v>56.894974794013159</v>
      </c>
      <c r="AC25" s="60">
        <f>100-(T$169-Tabell2[[#This Row],[Bruttoinntekt17+-T]])*100/T$171</f>
        <v>100</v>
      </c>
      <c r="AD25" s="60">
        <f>Tabell2[[#This Row],[NIBR11-BA-I]]*$AD$2</f>
        <v>10</v>
      </c>
      <c r="AE25" s="60">
        <f>Tabell2[[#This Row],[Reisetid Oslo-I]]*$AE$2</f>
        <v>10</v>
      </c>
      <c r="AF25" s="60">
        <f>Tabell2[[#This Row],[beftettotal-I]]*$AF$2</f>
        <v>3.5677038950851117</v>
      </c>
      <c r="AG25" s="60">
        <f>Tabell2[[#This Row],[Befvekst10-I]]*$AG$2</f>
        <v>20</v>
      </c>
      <c r="AH25" s="60">
        <f>Tabell2[[#This Row],[Kvinneandel-I]]*$AH$2</f>
        <v>4.642232514933891</v>
      </c>
      <c r="AI25" s="60">
        <f>Tabell2[[#This Row],[Eldreandel-I]]*$AI$2</f>
        <v>4.1895865102196774</v>
      </c>
      <c r="AJ25" s="60">
        <f>Tabell2[[#This Row],[Syssvekst10-I]]*$AJ$2</f>
        <v>10</v>
      </c>
      <c r="AK25" s="60">
        <f>Tabell2[[#This Row],[Yrkesaktiveandel-I]]*$AK$2</f>
        <v>5.6894974794013162</v>
      </c>
      <c r="AL25" s="60">
        <f>Tabell2[[#This Row],[Bruttoinntekt17+-I]]*$AL$2</f>
        <v>10</v>
      </c>
      <c r="AM25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78.089020399639992</v>
      </c>
    </row>
    <row r="26" spans="1:39">
      <c r="A26" s="64">
        <v>21</v>
      </c>
      <c r="B26" s="8" t="s">
        <v>76</v>
      </c>
      <c r="C26" s="45">
        <f>Råark!L23</f>
        <v>5</v>
      </c>
      <c r="D26" s="80">
        <f>Råark!K23</f>
        <v>51.194358219376497</v>
      </c>
      <c r="E26" s="80">
        <f>Råark!N23</f>
        <v>18.835870222570502</v>
      </c>
      <c r="F26" s="80">
        <f>Råark!O23</f>
        <v>6.599339583986108E-2</v>
      </c>
      <c r="G26" s="80">
        <f>Råark!P23</f>
        <v>0.11743957311144776</v>
      </c>
      <c r="H26" s="80">
        <f>Råark!Q23</f>
        <v>0.14789608157912587</v>
      </c>
      <c r="I26" s="80">
        <f>Råark!R23</f>
        <v>6.9695462333499103E-2</v>
      </c>
      <c r="J26" s="80">
        <f>Råark!S23</f>
        <v>0.85573595954218795</v>
      </c>
      <c r="K26" s="80">
        <f>Råark!M23</f>
        <v>336620.68124474346</v>
      </c>
      <c r="L26" s="59">
        <f>Tabell2[[#This Row],[NIBR11BA]]</f>
        <v>5</v>
      </c>
      <c r="M26" s="80">
        <f>IF(Tabell2[[#This Row],[Reisetid Oslo]]&lt;D$167,D$167,IF(Tabell2[[#This Row],[Reisetid Oslo]]&gt;D$168,D$168,Tabell2[[#This Row],[Reisetid Oslo]]))</f>
        <v>131.90278976372289</v>
      </c>
      <c r="N26" s="80">
        <f>IF(Tabell2[[#This Row],[beftettotal]]&lt;E$167,E$167,IF(Tabell2[[#This Row],[beftettotal]]&gt;E$168,E$168,Tabell2[[#This Row],[beftettotal]]))</f>
        <v>18.835870222570502</v>
      </c>
      <c r="O26" s="80">
        <f>IF(Tabell2[[#This Row],[Befvekst10]]&lt;F$167,F$167,IF(Tabell2[[#This Row],[Befvekst10]]&gt;F$168,F$168,Tabell2[[#This Row],[Befvekst10]]))</f>
        <v>6.599339583986108E-2</v>
      </c>
      <c r="P26" s="80">
        <f>IF(Tabell2[[#This Row],[Kvinneandel]]&lt;G$167,G$167,IF(Tabell2[[#This Row],[Kvinneandel]]&gt;G$168,G$168,Tabell2[[#This Row],[Kvinneandel]]))</f>
        <v>0.11743957311144776</v>
      </c>
      <c r="Q26" s="80">
        <f>IF(Tabell2[[#This Row],[Eldreandel]]&lt;H$167,H$167,IF(Tabell2[[#This Row],[Eldreandel]]&gt;H$168,H$168,Tabell2[[#This Row],[Eldreandel]]))</f>
        <v>0.14789608157912587</v>
      </c>
      <c r="R26" s="80">
        <f>IF(Tabell2[[#This Row],[Syssvekst10]]&lt;I$167,I$167,IF(Tabell2[[#This Row],[Syssvekst10]]&gt;I$168,I$168,Tabell2[[#This Row],[Syssvekst10]]))</f>
        <v>6.9695462333499103E-2</v>
      </c>
      <c r="S26" s="80">
        <f>IF(Tabell2[[#This Row],[Yrkesaktiveandel]]&lt;J$167,J$167,IF(Tabell2[[#This Row],[Yrkesaktiveandel]]&gt;J$168,J$168,Tabell2[[#This Row],[Yrkesaktiveandel]]))</f>
        <v>0.85573595954218795</v>
      </c>
      <c r="T26" s="80">
        <f>IF(Tabell2[[#This Row],[Bruttoinntekt17+]]&lt;K$167,K$167,IF(Tabell2[[#This Row],[Bruttoinntekt17+]]&gt;K$168,K$168,Tabell2[[#This Row],[Bruttoinntekt17+]]))</f>
        <v>336620.68124474346</v>
      </c>
      <c r="U26" s="60">
        <f>IF(Tabell2[[#This Row],[NIBR11-BA-Utrunk]]&lt;=L$170,100,IF(Tabell2[[#This Row],[NIBR11-BA-Utrunk]]&gt;=L$169,0,100-Tabell2[[#This Row],[NIBR11-BA-Utrunk]]*100/L$171))</f>
        <v>50</v>
      </c>
      <c r="V26" s="60">
        <f>(M$169-Tabell2[[#This Row],[Reisetid Oslo-T]])*100/M$171</f>
        <v>100</v>
      </c>
      <c r="W26" s="60">
        <f>100-(N$169-Tabell2[[#This Row],[beftettotal-T]])*100/N$171</f>
        <v>41.456564765242561</v>
      </c>
      <c r="X26" s="60">
        <f>100-(O$169-Tabell2[[#This Row],[Befvekst10-T]])*100/O$171</f>
        <v>85.855662417718108</v>
      </c>
      <c r="Y26" s="60">
        <f>100-(P$169-Tabell2[[#This Row],[Kvinneandel-T]])*100/P$171</f>
        <v>82.841513333023414</v>
      </c>
      <c r="Z26" s="60">
        <f>(Q$169-Tabell2[[#This Row],[Eldreandel-T]])*100/Q$171</f>
        <v>74.460440408725091</v>
      </c>
      <c r="AA26" s="60">
        <f>100-(R$169-Tabell2[[#This Row],[Syssvekst10-T]])*100/R$171</f>
        <v>64.573543259924705</v>
      </c>
      <c r="AB26" s="60">
        <f>100-(S$169-Tabell2[[#This Row],[Yrkesaktiveandel-T]])*100/S$171</f>
        <v>22.071349955838912</v>
      </c>
      <c r="AC26" s="60">
        <f>100-(T$169-Tabell2[[#This Row],[Bruttoinntekt17+-T]])*100/T$171</f>
        <v>70.935867146656193</v>
      </c>
      <c r="AD26" s="60">
        <f>Tabell2[[#This Row],[NIBR11-BA-I]]*$AD$2</f>
        <v>10</v>
      </c>
      <c r="AE26" s="60">
        <f>Tabell2[[#This Row],[Reisetid Oslo-I]]*$AE$2</f>
        <v>10</v>
      </c>
      <c r="AF26" s="60">
        <f>Tabell2[[#This Row],[beftettotal-I]]*$AF$2</f>
        <v>4.1456564765242563</v>
      </c>
      <c r="AG26" s="60">
        <f>Tabell2[[#This Row],[Befvekst10-I]]*$AG$2</f>
        <v>17.171132483543623</v>
      </c>
      <c r="AH26" s="60">
        <f>Tabell2[[#This Row],[Kvinneandel-I]]*$AH$2</f>
        <v>4.1420756666511709</v>
      </c>
      <c r="AI26" s="60">
        <f>Tabell2[[#This Row],[Eldreandel-I]]*$AI$2</f>
        <v>3.7230220204362547</v>
      </c>
      <c r="AJ26" s="60">
        <f>Tabell2[[#This Row],[Syssvekst10-I]]*$AJ$2</f>
        <v>6.4573543259924708</v>
      </c>
      <c r="AK26" s="60">
        <f>Tabell2[[#This Row],[Yrkesaktiveandel-I]]*$AK$2</f>
        <v>2.2071349955838913</v>
      </c>
      <c r="AL26" s="60">
        <f>Tabell2[[#This Row],[Bruttoinntekt17+-I]]*$AL$2</f>
        <v>7.0935867146656193</v>
      </c>
      <c r="AM26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64.939962683397283</v>
      </c>
    </row>
    <row r="27" spans="1:39">
      <c r="A27" s="63">
        <v>22</v>
      </c>
      <c r="B27" s="8" t="s">
        <v>77</v>
      </c>
      <c r="C27" s="45">
        <f>Råark!L24</f>
        <v>8</v>
      </c>
      <c r="D27" s="80">
        <f>Råark!K24</f>
        <v>166.38360950759329</v>
      </c>
      <c r="E27" s="80">
        <f>Råark!N24</f>
        <v>3.5152933184897259</v>
      </c>
      <c r="F27" s="80">
        <f>Råark!O24</f>
        <v>1.5107984941549413E-2</v>
      </c>
      <c r="G27" s="80">
        <f>Råark!P24</f>
        <v>0.11208705411603963</v>
      </c>
      <c r="H27" s="80">
        <f>Råark!Q24</f>
        <v>0.16322646757429365</v>
      </c>
      <c r="I27" s="80">
        <f>Råark!R24</f>
        <v>3.7225207620908751E-2</v>
      </c>
      <c r="J27" s="80">
        <f>Råark!S24</f>
        <v>0.94054374523587703</v>
      </c>
      <c r="K27" s="80">
        <f>Råark!M24</f>
        <v>328404.28197798185</v>
      </c>
      <c r="L27" s="59">
        <f>Tabell2[[#This Row],[NIBR11BA]]</f>
        <v>8</v>
      </c>
      <c r="M27" s="80">
        <f>IF(Tabell2[[#This Row],[Reisetid Oslo]]&lt;D$167,D$167,IF(Tabell2[[#This Row],[Reisetid Oslo]]&gt;D$168,D$168,Tabell2[[#This Row],[Reisetid Oslo]]))</f>
        <v>166.38360950759329</v>
      </c>
      <c r="N27" s="80">
        <f>IF(Tabell2[[#This Row],[beftettotal]]&lt;E$167,E$167,IF(Tabell2[[#This Row],[beftettotal]]&gt;E$168,E$168,Tabell2[[#This Row],[beftettotal]]))</f>
        <v>3.5152933184897259</v>
      </c>
      <c r="O27" s="80">
        <f>IF(Tabell2[[#This Row],[Befvekst10]]&lt;F$167,F$167,IF(Tabell2[[#This Row],[Befvekst10]]&gt;F$168,F$168,Tabell2[[#This Row],[Befvekst10]]))</f>
        <v>1.5107984941549413E-2</v>
      </c>
      <c r="P27" s="80">
        <f>IF(Tabell2[[#This Row],[Kvinneandel]]&lt;G$167,G$167,IF(Tabell2[[#This Row],[Kvinneandel]]&gt;G$168,G$168,Tabell2[[#This Row],[Kvinneandel]]))</f>
        <v>0.11208705411603963</v>
      </c>
      <c r="Q27" s="80">
        <f>IF(Tabell2[[#This Row],[Eldreandel]]&lt;H$167,H$167,IF(Tabell2[[#This Row],[Eldreandel]]&gt;H$168,H$168,Tabell2[[#This Row],[Eldreandel]]))</f>
        <v>0.16322646757429365</v>
      </c>
      <c r="R27" s="80">
        <f>IF(Tabell2[[#This Row],[Syssvekst10]]&lt;I$167,I$167,IF(Tabell2[[#This Row],[Syssvekst10]]&gt;I$168,I$168,Tabell2[[#This Row],[Syssvekst10]]))</f>
        <v>3.7225207620908751E-2</v>
      </c>
      <c r="S27" s="80">
        <f>IF(Tabell2[[#This Row],[Yrkesaktiveandel]]&lt;J$167,J$167,IF(Tabell2[[#This Row],[Yrkesaktiveandel]]&gt;J$168,J$168,Tabell2[[#This Row],[Yrkesaktiveandel]]))</f>
        <v>0.94054374523587703</v>
      </c>
      <c r="T27" s="80">
        <f>IF(Tabell2[[#This Row],[Bruttoinntekt17+]]&lt;K$167,K$167,IF(Tabell2[[#This Row],[Bruttoinntekt17+]]&gt;K$168,K$168,Tabell2[[#This Row],[Bruttoinntekt17+]]))</f>
        <v>328404.28197798185</v>
      </c>
      <c r="U27" s="60">
        <f>IF(Tabell2[[#This Row],[NIBR11-BA-Utrunk]]&lt;=L$170,100,IF(Tabell2[[#This Row],[NIBR11-BA-Utrunk]]&gt;=L$169,0,100-Tabell2[[#This Row],[NIBR11-BA-Utrunk]]*100/L$171))</f>
        <v>20</v>
      </c>
      <c r="V27" s="60">
        <f>(M$169-Tabell2[[#This Row],[Reisetid Oslo-T]])*100/M$171</f>
        <v>81.48607393695228</v>
      </c>
      <c r="W27" s="60">
        <f>100-(N$169-Tabell2[[#This Row],[beftettotal-T]])*100/N$171</f>
        <v>5.8381018402217961</v>
      </c>
      <c r="X27" s="60">
        <f>100-(O$169-Tabell2[[#This Row],[Befvekst10-T]])*100/O$171</f>
        <v>63.035620010160578</v>
      </c>
      <c r="Y27" s="60">
        <f>100-(P$169-Tabell2[[#This Row],[Kvinneandel-T]])*100/P$171</f>
        <v>65.771977361680257</v>
      </c>
      <c r="Z27" s="60">
        <f>(Q$169-Tabell2[[#This Row],[Eldreandel-T]])*100/Q$171</f>
        <v>54.067301517665541</v>
      </c>
      <c r="AA27" s="60">
        <f>100-(R$169-Tabell2[[#This Row],[Syssvekst10-T]])*100/R$171</f>
        <v>52.319718176878006</v>
      </c>
      <c r="AB27" s="60">
        <f>100-(S$169-Tabell2[[#This Row],[Yrkesaktiveandel-T]])*100/S$171</f>
        <v>86.178924866948094</v>
      </c>
      <c r="AC27" s="60">
        <f>100-(T$169-Tabell2[[#This Row],[Bruttoinntekt17+-T]])*100/T$171</f>
        <v>57.173694032068425</v>
      </c>
      <c r="AD27" s="60">
        <f>Tabell2[[#This Row],[NIBR11-BA-I]]*$AD$2</f>
        <v>4</v>
      </c>
      <c r="AE27" s="60">
        <f>Tabell2[[#This Row],[Reisetid Oslo-I]]*$AE$2</f>
        <v>8.1486073936952277</v>
      </c>
      <c r="AF27" s="60">
        <f>Tabell2[[#This Row],[beftettotal-I]]*$AF$2</f>
        <v>0.58381018402217966</v>
      </c>
      <c r="AG27" s="60">
        <f>Tabell2[[#This Row],[Befvekst10-I]]*$AG$2</f>
        <v>12.607124002032116</v>
      </c>
      <c r="AH27" s="60">
        <f>Tabell2[[#This Row],[Kvinneandel-I]]*$AH$2</f>
        <v>3.288598868084013</v>
      </c>
      <c r="AI27" s="60">
        <f>Tabell2[[#This Row],[Eldreandel-I]]*$AI$2</f>
        <v>2.7033650758832772</v>
      </c>
      <c r="AJ27" s="60">
        <f>Tabell2[[#This Row],[Syssvekst10-I]]*$AJ$2</f>
        <v>5.2319718176878007</v>
      </c>
      <c r="AK27" s="60">
        <f>Tabell2[[#This Row],[Yrkesaktiveandel-I]]*$AK$2</f>
        <v>8.6178924866948101</v>
      </c>
      <c r="AL27" s="60">
        <f>Tabell2[[#This Row],[Bruttoinntekt17+-I]]*$AL$2</f>
        <v>5.7173694032068427</v>
      </c>
      <c r="AM27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50.898739231306266</v>
      </c>
    </row>
    <row r="28" spans="1:39">
      <c r="A28" s="64">
        <v>23</v>
      </c>
      <c r="B28" s="8" t="s">
        <v>78</v>
      </c>
      <c r="C28" s="45">
        <f>Råark!L25</f>
        <v>11</v>
      </c>
      <c r="D28" s="80">
        <f>Råark!K25</f>
        <v>134.60092777</v>
      </c>
      <c r="E28" s="80">
        <f>Råark!N25</f>
        <v>1.0150701957007382</v>
      </c>
      <c r="F28" s="80">
        <f>Råark!O25</f>
        <v>-7.770515613652873E-2</v>
      </c>
      <c r="G28" s="80">
        <f>Råark!P25</f>
        <v>9.212598425196851E-2</v>
      </c>
      <c r="H28" s="80">
        <f>Råark!Q25</f>
        <v>0.1858267716535433</v>
      </c>
      <c r="I28" s="80">
        <f>Råark!R25</f>
        <v>0.12423979148566455</v>
      </c>
      <c r="J28" s="80">
        <f>Råark!S25</f>
        <v>0.98213009292351683</v>
      </c>
      <c r="K28" s="80">
        <f>Råark!M25</f>
        <v>305000</v>
      </c>
      <c r="L28" s="59">
        <f>Tabell2[[#This Row],[NIBR11BA]]</f>
        <v>11</v>
      </c>
      <c r="M28" s="80">
        <f>IF(Tabell2[[#This Row],[Reisetid Oslo]]&lt;D$167,D$167,IF(Tabell2[[#This Row],[Reisetid Oslo]]&gt;D$168,D$168,Tabell2[[#This Row],[Reisetid Oslo]]))</f>
        <v>134.60092777</v>
      </c>
      <c r="N28" s="80">
        <f>IF(Tabell2[[#This Row],[beftettotal]]&lt;E$167,E$167,IF(Tabell2[[#This Row],[beftettotal]]&gt;E$168,E$168,Tabell2[[#This Row],[beftettotal]]))</f>
        <v>1.0150701957007382</v>
      </c>
      <c r="O28" s="80">
        <f>IF(Tabell2[[#This Row],[Befvekst10]]&lt;F$167,F$167,IF(Tabell2[[#This Row],[Befvekst10]]&gt;F$168,F$168,Tabell2[[#This Row],[Befvekst10]]))</f>
        <v>-7.770515613652873E-2</v>
      </c>
      <c r="P28" s="80">
        <f>IF(Tabell2[[#This Row],[Kvinneandel]]&lt;G$167,G$167,IF(Tabell2[[#This Row],[Kvinneandel]]&gt;G$168,G$168,Tabell2[[#This Row],[Kvinneandel]]))</f>
        <v>9.212598425196851E-2</v>
      </c>
      <c r="Q28" s="80">
        <f>IF(Tabell2[[#This Row],[Eldreandel]]&lt;H$167,H$167,IF(Tabell2[[#This Row],[Eldreandel]]&gt;H$168,H$168,Tabell2[[#This Row],[Eldreandel]]))</f>
        <v>0.1858267716535433</v>
      </c>
      <c r="R28" s="80">
        <f>IF(Tabell2[[#This Row],[Syssvekst10]]&lt;I$167,I$167,IF(Tabell2[[#This Row],[Syssvekst10]]&gt;I$168,I$168,Tabell2[[#This Row],[Syssvekst10]]))</f>
        <v>0.12423979148566455</v>
      </c>
      <c r="S28" s="80">
        <f>IF(Tabell2[[#This Row],[Yrkesaktiveandel]]&lt;J$167,J$167,IF(Tabell2[[#This Row],[Yrkesaktiveandel]]&gt;J$168,J$168,Tabell2[[#This Row],[Yrkesaktiveandel]]))</f>
        <v>0.95882761854672227</v>
      </c>
      <c r="T28" s="80">
        <f>IF(Tabell2[[#This Row],[Bruttoinntekt17+]]&lt;K$167,K$167,IF(Tabell2[[#This Row],[Bruttoinntekt17+]]&gt;K$168,K$168,Tabell2[[#This Row],[Bruttoinntekt17+]]))</f>
        <v>305000</v>
      </c>
      <c r="U28" s="60">
        <f>IF(Tabell2[[#This Row],[NIBR11-BA-Utrunk]]&lt;=L$170,100,IF(Tabell2[[#This Row],[NIBR11-BA-Utrunk]]&gt;=L$169,0,100-Tabell2[[#This Row],[NIBR11-BA-Utrunk]]*100/L$171))</f>
        <v>0</v>
      </c>
      <c r="V28" s="60">
        <f>(M$169-Tabell2[[#This Row],[Reisetid Oslo-T]])*100/M$171</f>
        <v>98.551277842952288</v>
      </c>
      <c r="W28" s="60">
        <f>100-(N$169-Tabell2[[#This Row],[beftettotal-T]])*100/N$171</f>
        <v>2.5389619207530245E-2</v>
      </c>
      <c r="X28" s="60">
        <f>100-(O$169-Tabell2[[#This Row],[Befvekst10-T]])*100/O$171</f>
        <v>21.412691591385908</v>
      </c>
      <c r="Y28" s="60">
        <f>100-(P$169-Tabell2[[#This Row],[Kvinneandel-T]])*100/P$171</f>
        <v>2.1148095191072542</v>
      </c>
      <c r="Z28" s="60">
        <f>(Q$169-Tabell2[[#This Row],[Eldreandel-T]])*100/Q$171</f>
        <v>24.003404873863303</v>
      </c>
      <c r="AA28" s="60">
        <f>100-(R$169-Tabell2[[#This Row],[Syssvekst10-T]])*100/R$171</f>
        <v>85.157818764348065</v>
      </c>
      <c r="AB28" s="60">
        <f>100-(S$169-Tabell2[[#This Row],[Yrkesaktiveandel-T]])*100/S$171</f>
        <v>100</v>
      </c>
      <c r="AC28" s="60">
        <f>100-(T$169-Tabell2[[#This Row],[Bruttoinntekt17+-T]])*100/T$171</f>
        <v>17.972363893865193</v>
      </c>
      <c r="AD28" s="60">
        <f>Tabell2[[#This Row],[NIBR11-BA-I]]*$AD$2</f>
        <v>0</v>
      </c>
      <c r="AE28" s="60">
        <f>Tabell2[[#This Row],[Reisetid Oslo-I]]*$AE$2</f>
        <v>9.8551277842952292</v>
      </c>
      <c r="AF28" s="60">
        <f>Tabell2[[#This Row],[beftettotal-I]]*$AF$2</f>
        <v>2.5389619207530248E-3</v>
      </c>
      <c r="AG28" s="60">
        <f>Tabell2[[#This Row],[Befvekst10-I]]*$AG$2</f>
        <v>4.2825383182771821</v>
      </c>
      <c r="AH28" s="60">
        <f>Tabell2[[#This Row],[Kvinneandel-I]]*$AH$2</f>
        <v>0.10574047595536272</v>
      </c>
      <c r="AI28" s="60">
        <f>Tabell2[[#This Row],[Eldreandel-I]]*$AI$2</f>
        <v>1.2001702436931652</v>
      </c>
      <c r="AJ28" s="60">
        <f>Tabell2[[#This Row],[Syssvekst10-I]]*$AJ$2</f>
        <v>8.5157818764348061</v>
      </c>
      <c r="AK28" s="60">
        <f>Tabell2[[#This Row],[Yrkesaktiveandel-I]]*$AK$2</f>
        <v>10</v>
      </c>
      <c r="AL28" s="60">
        <f>Tabell2[[#This Row],[Bruttoinntekt17+-I]]*$AL$2</f>
        <v>1.7972363893865193</v>
      </c>
      <c r="AM28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35.759134049963016</v>
      </c>
    </row>
    <row r="29" spans="1:39">
      <c r="A29" s="63">
        <v>24</v>
      </c>
      <c r="B29" s="8" t="s">
        <v>79</v>
      </c>
      <c r="C29" s="45">
        <f>Råark!L26</f>
        <v>2</v>
      </c>
      <c r="D29" s="80">
        <f>Råark!K26</f>
        <v>68.37862671283969</v>
      </c>
      <c r="E29" s="80">
        <f>Råark!N26</f>
        <v>124.76710355481002</v>
      </c>
      <c r="F29" s="80">
        <f>Råark!O26</f>
        <v>0.10422135925587317</v>
      </c>
      <c r="G29" s="80">
        <f>Råark!P26</f>
        <v>0.12046060477163452</v>
      </c>
      <c r="H29" s="80">
        <f>Råark!Q26</f>
        <v>0.13995123544469174</v>
      </c>
      <c r="I29" s="80">
        <f>Råark!R26</f>
        <v>9.8271883120423009E-2</v>
      </c>
      <c r="J29" s="80">
        <f>Råark!S26</f>
        <v>0.84195220307875251</v>
      </c>
      <c r="K29" s="80">
        <f>Råark!M26</f>
        <v>344833.724171624</v>
      </c>
      <c r="L29" s="59">
        <f>Tabell2[[#This Row],[NIBR11BA]]</f>
        <v>2</v>
      </c>
      <c r="M29" s="80">
        <f>IF(Tabell2[[#This Row],[Reisetid Oslo]]&lt;D$167,D$167,IF(Tabell2[[#This Row],[Reisetid Oslo]]&gt;D$168,D$168,Tabell2[[#This Row],[Reisetid Oslo]]))</f>
        <v>131.90278976372289</v>
      </c>
      <c r="N29" s="80">
        <f>IF(Tabell2[[#This Row],[beftettotal]]&lt;E$167,E$167,IF(Tabell2[[#This Row],[beftettotal]]&gt;E$168,E$168,Tabell2[[#This Row],[beftettotal]]))</f>
        <v>44.017170258769376</v>
      </c>
      <c r="O29" s="80">
        <f>IF(Tabell2[[#This Row],[Befvekst10]]&lt;F$167,F$167,IF(Tabell2[[#This Row],[Befvekst10]]&gt;F$168,F$168,Tabell2[[#This Row],[Befvekst10]]))</f>
        <v>9.7533233360955388E-2</v>
      </c>
      <c r="P29" s="80">
        <f>IF(Tabell2[[#This Row],[Kvinneandel]]&lt;G$167,G$167,IF(Tabell2[[#This Row],[Kvinneandel]]&gt;G$168,G$168,Tabell2[[#This Row],[Kvinneandel]]))</f>
        <v>0.12046060477163452</v>
      </c>
      <c r="Q29" s="80">
        <f>IF(Tabell2[[#This Row],[Eldreandel]]&lt;H$167,H$167,IF(Tabell2[[#This Row],[Eldreandel]]&gt;H$168,H$168,Tabell2[[#This Row],[Eldreandel]]))</f>
        <v>0.13995123544469174</v>
      </c>
      <c r="R29" s="80">
        <f>IF(Tabell2[[#This Row],[Syssvekst10]]&lt;I$167,I$167,IF(Tabell2[[#This Row],[Syssvekst10]]&gt;I$168,I$168,Tabell2[[#This Row],[Syssvekst10]]))</f>
        <v>9.8271883120423009E-2</v>
      </c>
      <c r="S29" s="80">
        <f>IF(Tabell2[[#This Row],[Yrkesaktiveandel]]&lt;J$167,J$167,IF(Tabell2[[#This Row],[Yrkesaktiveandel]]&gt;J$168,J$168,Tabell2[[#This Row],[Yrkesaktiveandel]]))</f>
        <v>0.84195220307875251</v>
      </c>
      <c r="T29" s="80">
        <f>IF(Tabell2[[#This Row],[Bruttoinntekt17+]]&lt;K$167,K$167,IF(Tabell2[[#This Row],[Bruttoinntekt17+]]&gt;K$168,K$168,Tabell2[[#This Row],[Bruttoinntekt17+]]))</f>
        <v>344833.724171624</v>
      </c>
      <c r="U29" s="60">
        <f>IF(Tabell2[[#This Row],[NIBR11-BA-Utrunk]]&lt;=L$170,100,IF(Tabell2[[#This Row],[NIBR11-BA-Utrunk]]&gt;=L$169,0,100-Tabell2[[#This Row],[NIBR11-BA-Utrunk]]*100/L$171))</f>
        <v>80</v>
      </c>
      <c r="V29" s="60">
        <f>(M$169-Tabell2[[#This Row],[Reisetid Oslo-T]])*100/M$171</f>
        <v>100</v>
      </c>
      <c r="W29" s="60">
        <f>100-(N$169-Tabell2[[#This Row],[beftettotal-T]])*100/N$171</f>
        <v>100</v>
      </c>
      <c r="X29" s="60">
        <f>100-(O$169-Tabell2[[#This Row],[Befvekst10-T]])*100/O$171</f>
        <v>100</v>
      </c>
      <c r="Y29" s="60">
        <f>100-(P$169-Tabell2[[#This Row],[Kvinneandel-T]])*100/P$171</f>
        <v>92.475782475900559</v>
      </c>
      <c r="Z29" s="60">
        <f>(Q$169-Tabell2[[#This Row],[Eldreandel-T]])*100/Q$171</f>
        <v>85.029016486240835</v>
      </c>
      <c r="AA29" s="60">
        <f>100-(R$169-Tabell2[[#This Row],[Syssvekst10-T]])*100/R$171</f>
        <v>75.357889268972997</v>
      </c>
      <c r="AB29" s="60">
        <f>100-(S$169-Tabell2[[#This Row],[Yrkesaktiveandel-T]])*100/S$171</f>
        <v>11.651985827788963</v>
      </c>
      <c r="AC29" s="60">
        <f>100-(T$169-Tabell2[[#This Row],[Bruttoinntekt17+-T]])*100/T$171</f>
        <v>84.692418512717012</v>
      </c>
      <c r="AD29" s="60">
        <f>Tabell2[[#This Row],[NIBR11-BA-I]]*$AD$2</f>
        <v>16</v>
      </c>
      <c r="AE29" s="60">
        <f>Tabell2[[#This Row],[Reisetid Oslo-I]]*$AE$2</f>
        <v>10</v>
      </c>
      <c r="AF29" s="60">
        <f>Tabell2[[#This Row],[beftettotal-I]]*$AF$2</f>
        <v>10</v>
      </c>
      <c r="AG29" s="60">
        <f>Tabell2[[#This Row],[Befvekst10-I]]*$AG$2</f>
        <v>20</v>
      </c>
      <c r="AH29" s="60">
        <f>Tabell2[[#This Row],[Kvinneandel-I]]*$AH$2</f>
        <v>4.6237891237950279</v>
      </c>
      <c r="AI29" s="60">
        <f>Tabell2[[#This Row],[Eldreandel-I]]*$AI$2</f>
        <v>4.2514508243120419</v>
      </c>
      <c r="AJ29" s="60">
        <f>Tabell2[[#This Row],[Syssvekst10-I]]*$AJ$2</f>
        <v>7.5357889268973004</v>
      </c>
      <c r="AK29" s="60">
        <f>Tabell2[[#This Row],[Yrkesaktiveandel-I]]*$AK$2</f>
        <v>1.1651985827788962</v>
      </c>
      <c r="AL29" s="60">
        <f>Tabell2[[#This Row],[Bruttoinntekt17+-I]]*$AL$2</f>
        <v>8.4692418512717023</v>
      </c>
      <c r="AM29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82.045469309054965</v>
      </c>
    </row>
    <row r="30" spans="1:39">
      <c r="A30" s="64">
        <v>25</v>
      </c>
      <c r="B30" s="8" t="s">
        <v>80</v>
      </c>
      <c r="C30" s="45">
        <f>Råark!L27</f>
        <v>4</v>
      </c>
      <c r="D30" s="80">
        <f>Råark!K27</f>
        <v>84.908135464726158</v>
      </c>
      <c r="E30" s="80">
        <f>Råark!N27</f>
        <v>95.913162744845906</v>
      </c>
      <c r="F30" s="80">
        <f>Råark!O27</f>
        <v>7.5066058131155522E-2</v>
      </c>
      <c r="G30" s="80">
        <f>Råark!P27</f>
        <v>0.11694782705842922</v>
      </c>
      <c r="H30" s="80">
        <f>Råark!Q27</f>
        <v>0.14942464529102895</v>
      </c>
      <c r="I30" s="80">
        <f>Råark!R27</f>
        <v>0.10487798091103873</v>
      </c>
      <c r="J30" s="80">
        <f>Råark!S27</f>
        <v>0.8279619486883828</v>
      </c>
      <c r="K30" s="80">
        <f>Råark!M27</f>
        <v>333812.68468063592</v>
      </c>
      <c r="L30" s="59">
        <f>Tabell2[[#This Row],[NIBR11BA]]</f>
        <v>4</v>
      </c>
      <c r="M30" s="80">
        <f>IF(Tabell2[[#This Row],[Reisetid Oslo]]&lt;D$167,D$167,IF(Tabell2[[#This Row],[Reisetid Oslo]]&gt;D$168,D$168,Tabell2[[#This Row],[Reisetid Oslo]]))</f>
        <v>131.90278976372289</v>
      </c>
      <c r="N30" s="80">
        <f>IF(Tabell2[[#This Row],[beftettotal]]&lt;E$167,E$167,IF(Tabell2[[#This Row],[beftettotal]]&gt;E$168,E$168,Tabell2[[#This Row],[beftettotal]]))</f>
        <v>44.017170258769376</v>
      </c>
      <c r="O30" s="80">
        <f>IF(Tabell2[[#This Row],[Befvekst10]]&lt;F$167,F$167,IF(Tabell2[[#This Row],[Befvekst10]]&gt;F$168,F$168,Tabell2[[#This Row],[Befvekst10]]))</f>
        <v>7.5066058131155522E-2</v>
      </c>
      <c r="P30" s="80">
        <f>IF(Tabell2[[#This Row],[Kvinneandel]]&lt;G$167,G$167,IF(Tabell2[[#This Row],[Kvinneandel]]&gt;G$168,G$168,Tabell2[[#This Row],[Kvinneandel]]))</f>
        <v>0.11694782705842922</v>
      </c>
      <c r="Q30" s="80">
        <f>IF(Tabell2[[#This Row],[Eldreandel]]&lt;H$167,H$167,IF(Tabell2[[#This Row],[Eldreandel]]&gt;H$168,H$168,Tabell2[[#This Row],[Eldreandel]]))</f>
        <v>0.14942464529102895</v>
      </c>
      <c r="R30" s="80">
        <f>IF(Tabell2[[#This Row],[Syssvekst10]]&lt;I$167,I$167,IF(Tabell2[[#This Row],[Syssvekst10]]&gt;I$168,I$168,Tabell2[[#This Row],[Syssvekst10]]))</f>
        <v>0.10487798091103873</v>
      </c>
      <c r="S30" s="80">
        <f>IF(Tabell2[[#This Row],[Yrkesaktiveandel]]&lt;J$167,J$167,IF(Tabell2[[#This Row],[Yrkesaktiveandel]]&gt;J$168,J$168,Tabell2[[#This Row],[Yrkesaktiveandel]]))</f>
        <v>0.8279619486883828</v>
      </c>
      <c r="T30" s="80">
        <f>IF(Tabell2[[#This Row],[Bruttoinntekt17+]]&lt;K$167,K$167,IF(Tabell2[[#This Row],[Bruttoinntekt17+]]&gt;K$168,K$168,Tabell2[[#This Row],[Bruttoinntekt17+]]))</f>
        <v>333812.68468063592</v>
      </c>
      <c r="U30" s="60">
        <f>IF(Tabell2[[#This Row],[NIBR11-BA-Utrunk]]&lt;=L$170,100,IF(Tabell2[[#This Row],[NIBR11-BA-Utrunk]]&gt;=L$169,0,100-Tabell2[[#This Row],[NIBR11-BA-Utrunk]]*100/L$171))</f>
        <v>60</v>
      </c>
      <c r="V30" s="60">
        <f>(M$169-Tabell2[[#This Row],[Reisetid Oslo-T]])*100/M$171</f>
        <v>100</v>
      </c>
      <c r="W30" s="60">
        <f>100-(N$169-Tabell2[[#This Row],[beftettotal-T]])*100/N$171</f>
        <v>100</v>
      </c>
      <c r="X30" s="60">
        <f>100-(O$169-Tabell2[[#This Row],[Befvekst10-T]])*100/O$171</f>
        <v>89.924383384726283</v>
      </c>
      <c r="Y30" s="60">
        <f>100-(P$169-Tabell2[[#This Row],[Kvinneandel-T]])*100/P$171</f>
        <v>81.273302748816803</v>
      </c>
      <c r="Z30" s="60">
        <f>(Q$169-Tabell2[[#This Row],[Eldreandel-T]])*100/Q$171</f>
        <v>72.427079207611257</v>
      </c>
      <c r="AA30" s="60">
        <f>100-(R$169-Tabell2[[#This Row],[Syssvekst10-T]])*100/R$171</f>
        <v>77.850939216509076</v>
      </c>
      <c r="AB30" s="60">
        <f>100-(S$169-Tabell2[[#This Row],[Yrkesaktiveandel-T]])*100/S$171</f>
        <v>1.0765265816829555</v>
      </c>
      <c r="AC30" s="60">
        <f>100-(T$169-Tabell2[[#This Row],[Bruttoinntekt17+-T]])*100/T$171</f>
        <v>66.232573944152577</v>
      </c>
      <c r="AD30" s="60">
        <f>Tabell2[[#This Row],[NIBR11-BA-I]]*$AD$2</f>
        <v>12</v>
      </c>
      <c r="AE30" s="60">
        <f>Tabell2[[#This Row],[Reisetid Oslo-I]]*$AE$2</f>
        <v>10</v>
      </c>
      <c r="AF30" s="60">
        <f>Tabell2[[#This Row],[beftettotal-I]]*$AF$2</f>
        <v>10</v>
      </c>
      <c r="AG30" s="60">
        <f>Tabell2[[#This Row],[Befvekst10-I]]*$AG$2</f>
        <v>17.984876676945259</v>
      </c>
      <c r="AH30" s="60">
        <f>Tabell2[[#This Row],[Kvinneandel-I]]*$AH$2</f>
        <v>4.0636651374408403</v>
      </c>
      <c r="AI30" s="60">
        <f>Tabell2[[#This Row],[Eldreandel-I]]*$AI$2</f>
        <v>3.6213539603805631</v>
      </c>
      <c r="AJ30" s="60">
        <f>Tabell2[[#This Row],[Syssvekst10-I]]*$AJ$2</f>
        <v>7.7850939216509083</v>
      </c>
      <c r="AK30" s="60">
        <f>Tabell2[[#This Row],[Yrkesaktiveandel-I]]*$AK$2</f>
        <v>0.10765265816829556</v>
      </c>
      <c r="AL30" s="60">
        <f>Tabell2[[#This Row],[Bruttoinntekt17+-I]]*$AL$2</f>
        <v>6.6232573944152584</v>
      </c>
      <c r="AM30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72.185899749001123</v>
      </c>
    </row>
    <row r="31" spans="1:39">
      <c r="A31" s="63">
        <v>26</v>
      </c>
      <c r="B31" s="8" t="s">
        <v>81</v>
      </c>
      <c r="C31" s="45">
        <f>Råark!L28</f>
        <v>4</v>
      </c>
      <c r="D31" s="80">
        <f>Råark!K28</f>
        <v>112.13767639999142</v>
      </c>
      <c r="E31" s="80">
        <f>Råark!N28</f>
        <v>38.557539798194242</v>
      </c>
      <c r="F31" s="80">
        <f>Råark!O28</f>
        <v>3.8711703595956992E-2</v>
      </c>
      <c r="G31" s="80">
        <f>Råark!P28</f>
        <v>0.11729696612853176</v>
      </c>
      <c r="H31" s="80">
        <f>Råark!Q28</f>
        <v>0.14687184220367439</v>
      </c>
      <c r="I31" s="80">
        <f>Råark!R28</f>
        <v>4.9074893115140794E-2</v>
      </c>
      <c r="J31" s="80">
        <f>Råark!S28</f>
        <v>0.82282807731434382</v>
      </c>
      <c r="K31" s="80">
        <f>Råark!M28</f>
        <v>331870.14388489211</v>
      </c>
      <c r="L31" s="59">
        <f>Tabell2[[#This Row],[NIBR11BA]]</f>
        <v>4</v>
      </c>
      <c r="M31" s="80">
        <f>IF(Tabell2[[#This Row],[Reisetid Oslo]]&lt;D$167,D$167,IF(Tabell2[[#This Row],[Reisetid Oslo]]&gt;D$168,D$168,Tabell2[[#This Row],[Reisetid Oslo]]))</f>
        <v>131.90278976372289</v>
      </c>
      <c r="N31" s="80">
        <f>IF(Tabell2[[#This Row],[beftettotal]]&lt;E$167,E$167,IF(Tabell2[[#This Row],[beftettotal]]&gt;E$168,E$168,Tabell2[[#This Row],[beftettotal]]))</f>
        <v>38.557539798194242</v>
      </c>
      <c r="O31" s="80">
        <f>IF(Tabell2[[#This Row],[Befvekst10]]&lt;F$167,F$167,IF(Tabell2[[#This Row],[Befvekst10]]&gt;F$168,F$168,Tabell2[[#This Row],[Befvekst10]]))</f>
        <v>3.8711703595956992E-2</v>
      </c>
      <c r="P31" s="80">
        <f>IF(Tabell2[[#This Row],[Kvinneandel]]&lt;G$167,G$167,IF(Tabell2[[#This Row],[Kvinneandel]]&gt;G$168,G$168,Tabell2[[#This Row],[Kvinneandel]]))</f>
        <v>0.11729696612853176</v>
      </c>
      <c r="Q31" s="80">
        <f>IF(Tabell2[[#This Row],[Eldreandel]]&lt;H$167,H$167,IF(Tabell2[[#This Row],[Eldreandel]]&gt;H$168,H$168,Tabell2[[#This Row],[Eldreandel]]))</f>
        <v>0.14687184220367439</v>
      </c>
      <c r="R31" s="80">
        <f>IF(Tabell2[[#This Row],[Syssvekst10]]&lt;I$167,I$167,IF(Tabell2[[#This Row],[Syssvekst10]]&gt;I$168,I$168,Tabell2[[#This Row],[Syssvekst10]]))</f>
        <v>4.9074893115140794E-2</v>
      </c>
      <c r="S31" s="80">
        <f>IF(Tabell2[[#This Row],[Yrkesaktiveandel]]&lt;J$167,J$167,IF(Tabell2[[#This Row],[Yrkesaktiveandel]]&gt;J$168,J$168,Tabell2[[#This Row],[Yrkesaktiveandel]]))</f>
        <v>0.82653781377516045</v>
      </c>
      <c r="T31" s="80">
        <f>IF(Tabell2[[#This Row],[Bruttoinntekt17+]]&lt;K$167,K$167,IF(Tabell2[[#This Row],[Bruttoinntekt17+]]&gt;K$168,K$168,Tabell2[[#This Row],[Bruttoinntekt17+]]))</f>
        <v>331870.14388489211</v>
      </c>
      <c r="U31" s="60">
        <f>IF(Tabell2[[#This Row],[NIBR11-BA-Utrunk]]&lt;=L$170,100,IF(Tabell2[[#This Row],[NIBR11-BA-Utrunk]]&gt;=L$169,0,100-Tabell2[[#This Row],[NIBR11-BA-Utrunk]]*100/L$171))</f>
        <v>60</v>
      </c>
      <c r="V31" s="60">
        <f>(M$169-Tabell2[[#This Row],[Reisetid Oslo-T]])*100/M$171</f>
        <v>100</v>
      </c>
      <c r="W31" s="60">
        <f>100-(N$169-Tabell2[[#This Row],[beftettotal-T]])*100/N$171</f>
        <v>87.3070285563129</v>
      </c>
      <c r="X31" s="60">
        <f>100-(O$169-Tabell2[[#This Row],[Befvekst10-T]])*100/O$171</f>
        <v>73.620930242715048</v>
      </c>
      <c r="Y31" s="60">
        <f>100-(P$169-Tabell2[[#This Row],[Kvinneandel-T]])*100/P$171</f>
        <v>82.386730262335064</v>
      </c>
      <c r="Z31" s="60">
        <f>(Q$169-Tabell2[[#This Row],[Eldreandel-T]])*100/Q$171</f>
        <v>75.822927683856847</v>
      </c>
      <c r="AA31" s="60">
        <f>100-(R$169-Tabell2[[#This Row],[Syssvekst10-T]])*100/R$171</f>
        <v>56.791625607869989</v>
      </c>
      <c r="AB31" s="60">
        <f>100-(S$169-Tabell2[[#This Row],[Yrkesaktiveandel-T]])*100/S$171</f>
        <v>0</v>
      </c>
      <c r="AC31" s="60">
        <f>100-(T$169-Tabell2[[#This Row],[Bruttoinntekt17+-T]])*100/T$171</f>
        <v>62.978888011274087</v>
      </c>
      <c r="AD31" s="60">
        <f>Tabell2[[#This Row],[NIBR11-BA-I]]*$AD$2</f>
        <v>12</v>
      </c>
      <c r="AE31" s="60">
        <f>Tabell2[[#This Row],[Reisetid Oslo-I]]*$AE$2</f>
        <v>10</v>
      </c>
      <c r="AF31" s="60">
        <f>Tabell2[[#This Row],[beftettotal-I]]*$AF$2</f>
        <v>8.7307028556312911</v>
      </c>
      <c r="AG31" s="60">
        <f>Tabell2[[#This Row],[Befvekst10-I]]*$AG$2</f>
        <v>14.724186048543011</v>
      </c>
      <c r="AH31" s="60">
        <f>Tabell2[[#This Row],[Kvinneandel-I]]*$AH$2</f>
        <v>4.1193365131167532</v>
      </c>
      <c r="AI31" s="60">
        <f>Tabell2[[#This Row],[Eldreandel-I]]*$AI$2</f>
        <v>3.7911463841928423</v>
      </c>
      <c r="AJ31" s="60">
        <f>Tabell2[[#This Row],[Syssvekst10-I]]*$AJ$2</f>
        <v>5.6791625607869989</v>
      </c>
      <c r="AK31" s="60">
        <f>Tabell2[[#This Row],[Yrkesaktiveandel-I]]*$AK$2</f>
        <v>0</v>
      </c>
      <c r="AL31" s="60">
        <f>Tabell2[[#This Row],[Bruttoinntekt17+-I]]*$AL$2</f>
        <v>6.2978888011274092</v>
      </c>
      <c r="AM31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65.342423163398308</v>
      </c>
    </row>
    <row r="32" spans="1:39">
      <c r="A32" s="64">
        <v>27</v>
      </c>
      <c r="B32" s="8" t="s">
        <v>82</v>
      </c>
      <c r="C32" s="45">
        <f>Råark!L29</f>
        <v>5</v>
      </c>
      <c r="D32" s="80">
        <f>Råark!K29</f>
        <v>103.58960133060239</v>
      </c>
      <c r="E32" s="80">
        <f>Råark!N29</f>
        <v>10.527118740110803</v>
      </c>
      <c r="F32" s="80">
        <f>Råark!O29</f>
        <v>2.7920834220046764E-2</v>
      </c>
      <c r="G32" s="80">
        <f>Råark!P29</f>
        <v>0.11842159744938098</v>
      </c>
      <c r="H32" s="80">
        <f>Råark!Q29</f>
        <v>0.16645273487640264</v>
      </c>
      <c r="I32" s="80">
        <f>Råark!R29</f>
        <v>2.4027916251246229E-2</v>
      </c>
      <c r="J32" s="80">
        <f>Råark!S29</f>
        <v>0.8342696629213483</v>
      </c>
      <c r="K32" s="80">
        <f>Råark!M29</f>
        <v>318481.70788134285</v>
      </c>
      <c r="L32" s="59">
        <f>Tabell2[[#This Row],[NIBR11BA]]</f>
        <v>5</v>
      </c>
      <c r="M32" s="80">
        <f>IF(Tabell2[[#This Row],[Reisetid Oslo]]&lt;D$167,D$167,IF(Tabell2[[#This Row],[Reisetid Oslo]]&gt;D$168,D$168,Tabell2[[#This Row],[Reisetid Oslo]]))</f>
        <v>131.90278976372289</v>
      </c>
      <c r="N32" s="80">
        <f>IF(Tabell2[[#This Row],[beftettotal]]&lt;E$167,E$167,IF(Tabell2[[#This Row],[beftettotal]]&gt;E$168,E$168,Tabell2[[#This Row],[beftettotal]]))</f>
        <v>10.527118740110803</v>
      </c>
      <c r="O32" s="80">
        <f>IF(Tabell2[[#This Row],[Befvekst10]]&lt;F$167,F$167,IF(Tabell2[[#This Row],[Befvekst10]]&gt;F$168,F$168,Tabell2[[#This Row],[Befvekst10]]))</f>
        <v>2.7920834220046764E-2</v>
      </c>
      <c r="P32" s="80">
        <f>IF(Tabell2[[#This Row],[Kvinneandel]]&lt;G$167,G$167,IF(Tabell2[[#This Row],[Kvinneandel]]&gt;G$168,G$168,Tabell2[[#This Row],[Kvinneandel]]))</f>
        <v>0.11842159744938098</v>
      </c>
      <c r="Q32" s="80">
        <f>IF(Tabell2[[#This Row],[Eldreandel]]&lt;H$167,H$167,IF(Tabell2[[#This Row],[Eldreandel]]&gt;H$168,H$168,Tabell2[[#This Row],[Eldreandel]]))</f>
        <v>0.16645273487640264</v>
      </c>
      <c r="R32" s="80">
        <f>IF(Tabell2[[#This Row],[Syssvekst10]]&lt;I$167,I$167,IF(Tabell2[[#This Row],[Syssvekst10]]&gt;I$168,I$168,Tabell2[[#This Row],[Syssvekst10]]))</f>
        <v>2.4027916251246229E-2</v>
      </c>
      <c r="S32" s="80">
        <f>IF(Tabell2[[#This Row],[Yrkesaktiveandel]]&lt;J$167,J$167,IF(Tabell2[[#This Row],[Yrkesaktiveandel]]&gt;J$168,J$168,Tabell2[[#This Row],[Yrkesaktiveandel]]))</f>
        <v>0.8342696629213483</v>
      </c>
      <c r="T32" s="80">
        <f>IF(Tabell2[[#This Row],[Bruttoinntekt17+]]&lt;K$167,K$167,IF(Tabell2[[#This Row],[Bruttoinntekt17+]]&gt;K$168,K$168,Tabell2[[#This Row],[Bruttoinntekt17+]]))</f>
        <v>318481.70788134285</v>
      </c>
      <c r="U32" s="60">
        <f>IF(Tabell2[[#This Row],[NIBR11-BA-Utrunk]]&lt;=L$170,100,IF(Tabell2[[#This Row],[NIBR11-BA-Utrunk]]&gt;=L$169,0,100-Tabell2[[#This Row],[NIBR11-BA-Utrunk]]*100/L$171))</f>
        <v>50</v>
      </c>
      <c r="V32" s="60">
        <f>(M$169-Tabell2[[#This Row],[Reisetid Oslo-T]])*100/M$171</f>
        <v>100</v>
      </c>
      <c r="W32" s="60">
        <f>100-(N$169-Tabell2[[#This Row],[beftettotal-T]])*100/N$171</f>
        <v>22.139736261717047</v>
      </c>
      <c r="X32" s="60">
        <f>100-(O$169-Tabell2[[#This Row],[Befvekst10-T]])*100/O$171</f>
        <v>68.781663104540968</v>
      </c>
      <c r="Y32" s="60">
        <f>100-(P$169-Tabell2[[#This Row],[Kvinneandel-T]])*100/P$171</f>
        <v>85.973253692182539</v>
      </c>
      <c r="Z32" s="60">
        <f>(Q$169-Tabell2[[#This Row],[Eldreandel-T]])*100/Q$171</f>
        <v>49.775581973726403</v>
      </c>
      <c r="AA32" s="60">
        <f>100-(R$169-Tabell2[[#This Row],[Syssvekst10-T]])*100/R$171</f>
        <v>47.339242925135053</v>
      </c>
      <c r="AB32" s="60">
        <f>100-(S$169-Tabell2[[#This Row],[Yrkesaktiveandel-T]])*100/S$171</f>
        <v>5.8446296443926542</v>
      </c>
      <c r="AC32" s="60">
        <f>100-(T$169-Tabell2[[#This Row],[Bruttoinntekt17+-T]])*100/T$171</f>
        <v>40.553739472083649</v>
      </c>
      <c r="AD32" s="60">
        <f>Tabell2[[#This Row],[NIBR11-BA-I]]*$AD$2</f>
        <v>10</v>
      </c>
      <c r="AE32" s="60">
        <f>Tabell2[[#This Row],[Reisetid Oslo-I]]*$AE$2</f>
        <v>10</v>
      </c>
      <c r="AF32" s="60">
        <f>Tabell2[[#This Row],[beftettotal-I]]*$AF$2</f>
        <v>2.2139736261717049</v>
      </c>
      <c r="AG32" s="60">
        <f>Tabell2[[#This Row],[Befvekst10-I]]*$AG$2</f>
        <v>13.756332620908195</v>
      </c>
      <c r="AH32" s="60">
        <f>Tabell2[[#This Row],[Kvinneandel-I]]*$AH$2</f>
        <v>4.2986626846091269</v>
      </c>
      <c r="AI32" s="60">
        <f>Tabell2[[#This Row],[Eldreandel-I]]*$AI$2</f>
        <v>2.4887790986863205</v>
      </c>
      <c r="AJ32" s="60">
        <f>Tabell2[[#This Row],[Syssvekst10-I]]*$AJ$2</f>
        <v>4.7339242925135059</v>
      </c>
      <c r="AK32" s="60">
        <f>Tabell2[[#This Row],[Yrkesaktiveandel-I]]*$AK$2</f>
        <v>0.58446296443926549</v>
      </c>
      <c r="AL32" s="60">
        <f>Tabell2[[#This Row],[Bruttoinntekt17+-I]]*$AL$2</f>
        <v>4.0553739472083654</v>
      </c>
      <c r="AM32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52.131509234536487</v>
      </c>
    </row>
    <row r="33" spans="1:39">
      <c r="A33" s="63">
        <v>28</v>
      </c>
      <c r="B33" s="8" t="s">
        <v>83</v>
      </c>
      <c r="C33" s="45">
        <f>Råark!L30</f>
        <v>9</v>
      </c>
      <c r="D33" s="80">
        <f>Råark!K30</f>
        <v>140.31703096999999</v>
      </c>
      <c r="E33" s="80">
        <f>Råark!N30</f>
        <v>2.9252692010523536</v>
      </c>
      <c r="F33" s="80">
        <f>Råark!O30</f>
        <v>-7.8274268104776556E-2</v>
      </c>
      <c r="G33" s="80">
        <f>Råark!P30</f>
        <v>0.10498161150117018</v>
      </c>
      <c r="H33" s="80">
        <f>Råark!Q30</f>
        <v>0.17903711133400202</v>
      </c>
      <c r="I33" s="80">
        <f>Råark!R30</f>
        <v>-6.1655126937026017E-2</v>
      </c>
      <c r="J33" s="80">
        <f>Råark!S30</f>
        <v>0.86223000583771159</v>
      </c>
      <c r="K33" s="80">
        <f>Råark!M30</f>
        <v>322700</v>
      </c>
      <c r="L33" s="59">
        <f>Tabell2[[#This Row],[NIBR11BA]]</f>
        <v>9</v>
      </c>
      <c r="M33" s="80">
        <f>IF(Tabell2[[#This Row],[Reisetid Oslo]]&lt;D$167,D$167,IF(Tabell2[[#This Row],[Reisetid Oslo]]&gt;D$168,D$168,Tabell2[[#This Row],[Reisetid Oslo]]))</f>
        <v>140.31703096999999</v>
      </c>
      <c r="N33" s="80">
        <f>IF(Tabell2[[#This Row],[beftettotal]]&lt;E$167,E$167,IF(Tabell2[[#This Row],[beftettotal]]&gt;E$168,E$168,Tabell2[[#This Row],[beftettotal]]))</f>
        <v>2.9252692010523536</v>
      </c>
      <c r="O33" s="80">
        <f>IF(Tabell2[[#This Row],[Befvekst10]]&lt;F$167,F$167,IF(Tabell2[[#This Row],[Befvekst10]]&gt;F$168,F$168,Tabell2[[#This Row],[Befvekst10]]))</f>
        <v>-7.8274268104776556E-2</v>
      </c>
      <c r="P33" s="80">
        <f>IF(Tabell2[[#This Row],[Kvinneandel]]&lt;G$167,G$167,IF(Tabell2[[#This Row],[Kvinneandel]]&gt;G$168,G$168,Tabell2[[#This Row],[Kvinneandel]]))</f>
        <v>0.10498161150117018</v>
      </c>
      <c r="Q33" s="80">
        <f>IF(Tabell2[[#This Row],[Eldreandel]]&lt;H$167,H$167,IF(Tabell2[[#This Row],[Eldreandel]]&gt;H$168,H$168,Tabell2[[#This Row],[Eldreandel]]))</f>
        <v>0.17903711133400202</v>
      </c>
      <c r="R33" s="80">
        <f>IF(Tabell2[[#This Row],[Syssvekst10]]&lt;I$167,I$167,IF(Tabell2[[#This Row],[Syssvekst10]]&gt;I$168,I$168,Tabell2[[#This Row],[Syssvekst10]]))</f>
        <v>-6.1655126937026017E-2</v>
      </c>
      <c r="S33" s="80">
        <f>IF(Tabell2[[#This Row],[Yrkesaktiveandel]]&lt;J$167,J$167,IF(Tabell2[[#This Row],[Yrkesaktiveandel]]&gt;J$168,J$168,Tabell2[[#This Row],[Yrkesaktiveandel]]))</f>
        <v>0.86223000583771159</v>
      </c>
      <c r="T33" s="80">
        <f>IF(Tabell2[[#This Row],[Bruttoinntekt17+]]&lt;K$167,K$167,IF(Tabell2[[#This Row],[Bruttoinntekt17+]]&gt;K$168,K$168,Tabell2[[#This Row],[Bruttoinntekt17+]]))</f>
        <v>322700</v>
      </c>
      <c r="U33" s="60">
        <f>IF(Tabell2[[#This Row],[NIBR11-BA-Utrunk]]&lt;=L$170,100,IF(Tabell2[[#This Row],[NIBR11-BA-Utrunk]]&gt;=L$169,0,100-Tabell2[[#This Row],[NIBR11-BA-Utrunk]]*100/L$171))</f>
        <v>10</v>
      </c>
      <c r="V33" s="60">
        <f>(M$169-Tabell2[[#This Row],[Reisetid Oslo-T]])*100/M$171</f>
        <v>95.482107423001253</v>
      </c>
      <c r="W33" s="60">
        <f>100-(N$169-Tabell2[[#This Row],[beftettotal-T]])*100/N$171</f>
        <v>4.4663681069957732</v>
      </c>
      <c r="X33" s="60">
        <f>100-(O$169-Tabell2[[#This Row],[Befvekst10-T]])*100/O$171</f>
        <v>21.157467962043143</v>
      </c>
      <c r="Y33" s="60">
        <f>100-(P$169-Tabell2[[#This Row],[Kvinneandel-T]])*100/P$171</f>
        <v>43.112252396504218</v>
      </c>
      <c r="Z33" s="60">
        <f>(Q$169-Tabell2[[#This Row],[Eldreandel-T]])*100/Q$171</f>
        <v>33.03530308980941</v>
      </c>
      <c r="AA33" s="60">
        <f>100-(R$169-Tabell2[[#This Row],[Syssvekst10-T]])*100/R$171</f>
        <v>15.00364737450613</v>
      </c>
      <c r="AB33" s="60">
        <f>100-(S$169-Tabell2[[#This Row],[Yrkesaktiveandel-T]])*100/S$171</f>
        <v>26.980304434029861</v>
      </c>
      <c r="AC33" s="60">
        <f>100-(T$169-Tabell2[[#This Row],[Bruttoinntekt17+-T]])*100/T$171</f>
        <v>47.619226980669836</v>
      </c>
      <c r="AD33" s="60">
        <f>Tabell2[[#This Row],[NIBR11-BA-I]]*$AD$2</f>
        <v>2</v>
      </c>
      <c r="AE33" s="60">
        <f>Tabell2[[#This Row],[Reisetid Oslo-I]]*$AE$2</f>
        <v>9.5482107423001263</v>
      </c>
      <c r="AF33" s="60">
        <f>Tabell2[[#This Row],[beftettotal-I]]*$AF$2</f>
        <v>0.44663681069957734</v>
      </c>
      <c r="AG33" s="60">
        <f>Tabell2[[#This Row],[Befvekst10-I]]*$AG$2</f>
        <v>4.2314935924086283</v>
      </c>
      <c r="AH33" s="60">
        <f>Tabell2[[#This Row],[Kvinneandel-I]]*$AH$2</f>
        <v>2.1556126198252108</v>
      </c>
      <c r="AI33" s="60">
        <f>Tabell2[[#This Row],[Eldreandel-I]]*$AI$2</f>
        <v>1.6517651544904706</v>
      </c>
      <c r="AJ33" s="60">
        <f>Tabell2[[#This Row],[Syssvekst10-I]]*$AJ$2</f>
        <v>1.5003647374506131</v>
      </c>
      <c r="AK33" s="60">
        <f>Tabell2[[#This Row],[Yrkesaktiveandel-I]]*$AK$2</f>
        <v>2.6980304434029865</v>
      </c>
      <c r="AL33" s="60">
        <f>Tabell2[[#This Row],[Bruttoinntekt17+-I]]*$AL$2</f>
        <v>4.761922698066984</v>
      </c>
      <c r="AM33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28.994036798644593</v>
      </c>
    </row>
    <row r="34" spans="1:39">
      <c r="A34" s="64">
        <v>29</v>
      </c>
      <c r="B34" s="8" t="s">
        <v>84</v>
      </c>
      <c r="C34" s="45">
        <f>Råark!L31</f>
        <v>10</v>
      </c>
      <c r="D34" s="80">
        <f>Råark!K31</f>
        <v>144.68913294214093</v>
      </c>
      <c r="E34" s="80">
        <f>Råark!N31</f>
        <v>3.8332935275853837</v>
      </c>
      <c r="F34" s="80">
        <f>Råark!O31</f>
        <v>-2.6752273943285165E-2</v>
      </c>
      <c r="G34" s="80">
        <f>Råark!P31</f>
        <v>0.10042147700201576</v>
      </c>
      <c r="H34" s="80">
        <f>Råark!Q31</f>
        <v>0.1784863478101521</v>
      </c>
      <c r="I34" s="80">
        <f>Råark!R31</f>
        <v>9.0727418065547516E-2</v>
      </c>
      <c r="J34" s="80">
        <f>Råark!S31</f>
        <v>0.90865384615384615</v>
      </c>
      <c r="K34" s="80">
        <f>Råark!M31</f>
        <v>312269.42876495823</v>
      </c>
      <c r="L34" s="59">
        <f>Tabell2[[#This Row],[NIBR11BA]]</f>
        <v>10</v>
      </c>
      <c r="M34" s="80">
        <f>IF(Tabell2[[#This Row],[Reisetid Oslo]]&lt;D$167,D$167,IF(Tabell2[[#This Row],[Reisetid Oslo]]&gt;D$168,D$168,Tabell2[[#This Row],[Reisetid Oslo]]))</f>
        <v>144.68913294214093</v>
      </c>
      <c r="N34" s="80">
        <f>IF(Tabell2[[#This Row],[beftettotal]]&lt;E$167,E$167,IF(Tabell2[[#This Row],[beftettotal]]&gt;E$168,E$168,Tabell2[[#This Row],[beftettotal]]))</f>
        <v>3.8332935275853837</v>
      </c>
      <c r="O34" s="80">
        <f>IF(Tabell2[[#This Row],[Befvekst10]]&lt;F$167,F$167,IF(Tabell2[[#This Row],[Befvekst10]]&gt;F$168,F$168,Tabell2[[#This Row],[Befvekst10]]))</f>
        <v>-2.6752273943285165E-2</v>
      </c>
      <c r="P34" s="80">
        <f>IF(Tabell2[[#This Row],[Kvinneandel]]&lt;G$167,G$167,IF(Tabell2[[#This Row],[Kvinneandel]]&gt;G$168,G$168,Tabell2[[#This Row],[Kvinneandel]]))</f>
        <v>0.10042147700201576</v>
      </c>
      <c r="Q34" s="80">
        <f>IF(Tabell2[[#This Row],[Eldreandel]]&lt;H$167,H$167,IF(Tabell2[[#This Row],[Eldreandel]]&gt;H$168,H$168,Tabell2[[#This Row],[Eldreandel]]))</f>
        <v>0.1784863478101521</v>
      </c>
      <c r="R34" s="80">
        <f>IF(Tabell2[[#This Row],[Syssvekst10]]&lt;I$167,I$167,IF(Tabell2[[#This Row],[Syssvekst10]]&gt;I$168,I$168,Tabell2[[#This Row],[Syssvekst10]]))</f>
        <v>9.0727418065547516E-2</v>
      </c>
      <c r="S34" s="80">
        <f>IF(Tabell2[[#This Row],[Yrkesaktiveandel]]&lt;J$167,J$167,IF(Tabell2[[#This Row],[Yrkesaktiveandel]]&gt;J$168,J$168,Tabell2[[#This Row],[Yrkesaktiveandel]]))</f>
        <v>0.90865384615384615</v>
      </c>
      <c r="T34" s="80">
        <f>IF(Tabell2[[#This Row],[Bruttoinntekt17+]]&lt;K$167,K$167,IF(Tabell2[[#This Row],[Bruttoinntekt17+]]&gt;K$168,K$168,Tabell2[[#This Row],[Bruttoinntekt17+]]))</f>
        <v>312269.42876495823</v>
      </c>
      <c r="U34" s="60">
        <f>IF(Tabell2[[#This Row],[NIBR11-BA-Utrunk]]&lt;=L$170,100,IF(Tabell2[[#This Row],[NIBR11-BA-Utrunk]]&gt;=L$169,0,100-Tabell2[[#This Row],[NIBR11-BA-Utrunk]]*100/L$171))</f>
        <v>0</v>
      </c>
      <c r="V34" s="60">
        <f>(M$169-Tabell2[[#This Row],[Reisetid Oslo-T]])*100/M$171</f>
        <v>93.134577020487797</v>
      </c>
      <c r="W34" s="60">
        <f>100-(N$169-Tabell2[[#This Row],[beftettotal-T]])*100/N$171</f>
        <v>6.5774133380026427</v>
      </c>
      <c r="X34" s="60">
        <f>100-(O$169-Tabell2[[#This Row],[Befvekst10-T]])*100/O$171</f>
        <v>44.262992137464025</v>
      </c>
      <c r="Y34" s="60">
        <f>100-(P$169-Tabell2[[#This Row],[Kvinneandel-T]])*100/P$171</f>
        <v>28.569682826128698</v>
      </c>
      <c r="Z34" s="60">
        <f>(Q$169-Tabell2[[#This Row],[Eldreandel-T]])*100/Q$171</f>
        <v>33.767952420461697</v>
      </c>
      <c r="AA34" s="60">
        <f>100-(R$169-Tabell2[[#This Row],[Syssvekst10-T]])*100/R$171</f>
        <v>72.510712493000383</v>
      </c>
      <c r="AB34" s="60">
        <f>100-(S$169-Tabell2[[#This Row],[Yrkesaktiveandel-T]])*100/S$171</f>
        <v>62.072835106593246</v>
      </c>
      <c r="AC34" s="60">
        <f>100-(T$169-Tabell2[[#This Row],[Bruttoinntekt17+-T]])*100/T$171</f>
        <v>30.148395493525967</v>
      </c>
      <c r="AD34" s="60">
        <f>Tabell2[[#This Row],[NIBR11-BA-I]]*$AD$2</f>
        <v>0</v>
      </c>
      <c r="AE34" s="60">
        <f>Tabell2[[#This Row],[Reisetid Oslo-I]]*$AE$2</f>
        <v>9.3134577020487797</v>
      </c>
      <c r="AF34" s="60">
        <f>Tabell2[[#This Row],[beftettotal-I]]*$AF$2</f>
        <v>0.65774133380026434</v>
      </c>
      <c r="AG34" s="60">
        <f>Tabell2[[#This Row],[Befvekst10-I]]*$AG$2</f>
        <v>8.852598427492806</v>
      </c>
      <c r="AH34" s="60">
        <f>Tabell2[[#This Row],[Kvinneandel-I]]*$AH$2</f>
        <v>1.4284841413064351</v>
      </c>
      <c r="AI34" s="60">
        <f>Tabell2[[#This Row],[Eldreandel-I]]*$AI$2</f>
        <v>1.6883976210230849</v>
      </c>
      <c r="AJ34" s="60">
        <f>Tabell2[[#This Row],[Syssvekst10-I]]*$AJ$2</f>
        <v>7.2510712493000389</v>
      </c>
      <c r="AK34" s="60">
        <f>Tabell2[[#This Row],[Yrkesaktiveandel-I]]*$AK$2</f>
        <v>6.2072835106593249</v>
      </c>
      <c r="AL34" s="60">
        <f>Tabell2[[#This Row],[Bruttoinntekt17+-I]]*$AL$2</f>
        <v>3.014839549352597</v>
      </c>
      <c r="AM34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38.413873534983324</v>
      </c>
    </row>
    <row r="35" spans="1:39">
      <c r="A35" s="63">
        <v>30</v>
      </c>
      <c r="B35" s="8" t="s">
        <v>85</v>
      </c>
      <c r="C35" s="45">
        <f>Råark!L32</f>
        <v>11</v>
      </c>
      <c r="D35" s="80">
        <f>Råark!K32</f>
        <v>178.67316270800001</v>
      </c>
      <c r="E35" s="80">
        <f>Råark!N32</f>
        <v>1.5797962836120993</v>
      </c>
      <c r="F35" s="80">
        <f>Råark!O32</f>
        <v>-7.6335877862595547E-3</v>
      </c>
      <c r="G35" s="80">
        <f>Råark!P32</f>
        <v>9.9300699300699305E-2</v>
      </c>
      <c r="H35" s="80">
        <f>Råark!Q32</f>
        <v>0.15244755244755245</v>
      </c>
      <c r="I35" s="80">
        <f>Råark!R32</f>
        <v>0.23809523809523814</v>
      </c>
      <c r="J35" s="80">
        <f>Råark!S32</f>
        <v>0.92418772563176899</v>
      </c>
      <c r="K35" s="80">
        <f>Råark!M32</f>
        <v>313400</v>
      </c>
      <c r="L35" s="59">
        <f>Tabell2[[#This Row],[NIBR11BA]]</f>
        <v>11</v>
      </c>
      <c r="M35" s="80">
        <f>IF(Tabell2[[#This Row],[Reisetid Oslo]]&lt;D$167,D$167,IF(Tabell2[[#This Row],[Reisetid Oslo]]&gt;D$168,D$168,Tabell2[[#This Row],[Reisetid Oslo]]))</f>
        <v>178.67316270800001</v>
      </c>
      <c r="N35" s="80">
        <f>IF(Tabell2[[#This Row],[beftettotal]]&lt;E$167,E$167,IF(Tabell2[[#This Row],[beftettotal]]&gt;E$168,E$168,Tabell2[[#This Row],[beftettotal]]))</f>
        <v>1.5797962836120993</v>
      </c>
      <c r="O35" s="80">
        <f>IF(Tabell2[[#This Row],[Befvekst10]]&lt;F$167,F$167,IF(Tabell2[[#This Row],[Befvekst10]]&gt;F$168,F$168,Tabell2[[#This Row],[Befvekst10]]))</f>
        <v>-7.6335877862595547E-3</v>
      </c>
      <c r="P35" s="80">
        <f>IF(Tabell2[[#This Row],[Kvinneandel]]&lt;G$167,G$167,IF(Tabell2[[#This Row],[Kvinneandel]]&gt;G$168,G$168,Tabell2[[#This Row],[Kvinneandel]]))</f>
        <v>9.9300699300699305E-2</v>
      </c>
      <c r="Q35" s="80">
        <f>IF(Tabell2[[#This Row],[Eldreandel]]&lt;H$167,H$167,IF(Tabell2[[#This Row],[Eldreandel]]&gt;H$168,H$168,Tabell2[[#This Row],[Eldreandel]]))</f>
        <v>0.15244755244755245</v>
      </c>
      <c r="R35" s="80">
        <f>IF(Tabell2[[#This Row],[Syssvekst10]]&lt;I$167,I$167,IF(Tabell2[[#This Row],[Syssvekst10]]&gt;I$168,I$168,Tabell2[[#This Row],[Syssvekst10]]))</f>
        <v>0.1635686869077807</v>
      </c>
      <c r="S35" s="80">
        <f>IF(Tabell2[[#This Row],[Yrkesaktiveandel]]&lt;J$167,J$167,IF(Tabell2[[#This Row],[Yrkesaktiveandel]]&gt;J$168,J$168,Tabell2[[#This Row],[Yrkesaktiveandel]]))</f>
        <v>0.92418772563176899</v>
      </c>
      <c r="T35" s="80">
        <f>IF(Tabell2[[#This Row],[Bruttoinntekt17+]]&lt;K$167,K$167,IF(Tabell2[[#This Row],[Bruttoinntekt17+]]&gt;K$168,K$168,Tabell2[[#This Row],[Bruttoinntekt17+]]))</f>
        <v>313400</v>
      </c>
      <c r="U35" s="60">
        <f>IF(Tabell2[[#This Row],[NIBR11-BA-Utrunk]]&lt;=L$170,100,IF(Tabell2[[#This Row],[NIBR11-BA-Utrunk]]&gt;=L$169,0,100-Tabell2[[#This Row],[NIBR11-BA-Utrunk]]*100/L$171))</f>
        <v>0</v>
      </c>
      <c r="V35" s="60">
        <f>(M$169-Tabell2[[#This Row],[Reisetid Oslo-T]])*100/M$171</f>
        <v>74.887394410469483</v>
      </c>
      <c r="W35" s="60">
        <f>100-(N$169-Tabell2[[#This Row],[beftettotal-T]])*100/N$171</f>
        <v>1.3383085354465862</v>
      </c>
      <c r="X35" s="60">
        <f>100-(O$169-Tabell2[[#This Row],[Befvekst10-T]])*100/O$171</f>
        <v>52.836947249116342</v>
      </c>
      <c r="Y35" s="60">
        <f>100-(P$169-Tabell2[[#This Row],[Kvinneandel-T]])*100/P$171</f>
        <v>24.995448843042809</v>
      </c>
      <c r="Z35" s="60">
        <f>(Q$169-Tabell2[[#This Row],[Eldreandel-T]])*100/Q$171</f>
        <v>68.40587807691611</v>
      </c>
      <c r="AA35" s="60">
        <f>100-(R$169-Tabell2[[#This Row],[Syssvekst10-T]])*100/R$171</f>
        <v>100</v>
      </c>
      <c r="AB35" s="60">
        <f>100-(S$169-Tabell2[[#This Row],[Yrkesaktiveandel-T]])*100/S$171</f>
        <v>73.815145487009005</v>
      </c>
      <c r="AC35" s="60">
        <f>100-(T$169-Tabell2[[#This Row],[Bruttoinntekt17+-T]])*100/T$171</f>
        <v>32.042061629975876</v>
      </c>
      <c r="AD35" s="60">
        <f>Tabell2[[#This Row],[NIBR11-BA-I]]*$AD$2</f>
        <v>0</v>
      </c>
      <c r="AE35" s="60">
        <f>Tabell2[[#This Row],[Reisetid Oslo-I]]*$AE$2</f>
        <v>7.488739441046949</v>
      </c>
      <c r="AF35" s="60">
        <f>Tabell2[[#This Row],[beftettotal-I]]*$AF$2</f>
        <v>0.13383085354465862</v>
      </c>
      <c r="AG35" s="60">
        <f>Tabell2[[#This Row],[Befvekst10-I]]*$AG$2</f>
        <v>10.567389449823269</v>
      </c>
      <c r="AH35" s="60">
        <f>Tabell2[[#This Row],[Kvinneandel-I]]*$AH$2</f>
        <v>1.2497724421521406</v>
      </c>
      <c r="AI35" s="60">
        <f>Tabell2[[#This Row],[Eldreandel-I]]*$AI$2</f>
        <v>3.4202939038458058</v>
      </c>
      <c r="AJ35" s="60">
        <f>Tabell2[[#This Row],[Syssvekst10-I]]*$AJ$2</f>
        <v>10</v>
      </c>
      <c r="AK35" s="60">
        <f>Tabell2[[#This Row],[Yrkesaktiveandel-I]]*$AK$2</f>
        <v>7.3815145487009008</v>
      </c>
      <c r="AL35" s="60">
        <f>Tabell2[[#This Row],[Bruttoinntekt17+-I]]*$AL$2</f>
        <v>3.204206162997588</v>
      </c>
      <c r="AM35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43.445746802111309</v>
      </c>
    </row>
    <row r="36" spans="1:39">
      <c r="A36" s="64">
        <v>31</v>
      </c>
      <c r="B36" s="8" t="s">
        <v>86</v>
      </c>
      <c r="C36" s="45">
        <f>Råark!L33</f>
        <v>11</v>
      </c>
      <c r="D36" s="80">
        <f>Råark!K33</f>
        <v>198.182136974</v>
      </c>
      <c r="E36" s="80">
        <f>Råark!N33</f>
        <v>1.0424882280823684</v>
      </c>
      <c r="F36" s="80">
        <f>Råark!O33</f>
        <v>1.5003750937734317E-3</v>
      </c>
      <c r="G36" s="80">
        <f>Råark!P33</f>
        <v>9.8876404494382023E-2</v>
      </c>
      <c r="H36" s="80">
        <f>Råark!Q33</f>
        <v>0.15880149812734082</v>
      </c>
      <c r="I36" s="80">
        <f>Råark!R33</f>
        <v>-1.8726591760299671E-3</v>
      </c>
      <c r="J36" s="80">
        <f>Råark!S33</f>
        <v>0.95399188092016241</v>
      </c>
      <c r="K36" s="80">
        <f>Råark!M33</f>
        <v>302900</v>
      </c>
      <c r="L36" s="59">
        <f>Tabell2[[#This Row],[NIBR11BA]]</f>
        <v>11</v>
      </c>
      <c r="M36" s="80">
        <f>IF(Tabell2[[#This Row],[Reisetid Oslo]]&lt;D$167,D$167,IF(Tabell2[[#This Row],[Reisetid Oslo]]&gt;D$168,D$168,Tabell2[[#This Row],[Reisetid Oslo]]))</f>
        <v>198.182136974</v>
      </c>
      <c r="N36" s="80">
        <f>IF(Tabell2[[#This Row],[beftettotal]]&lt;E$167,E$167,IF(Tabell2[[#This Row],[beftettotal]]&gt;E$168,E$168,Tabell2[[#This Row],[beftettotal]]))</f>
        <v>1.0424882280823684</v>
      </c>
      <c r="O36" s="80">
        <f>IF(Tabell2[[#This Row],[Befvekst10]]&lt;F$167,F$167,IF(Tabell2[[#This Row],[Befvekst10]]&gt;F$168,F$168,Tabell2[[#This Row],[Befvekst10]]))</f>
        <v>1.5003750937734317E-3</v>
      </c>
      <c r="P36" s="80">
        <f>IF(Tabell2[[#This Row],[Kvinneandel]]&lt;G$167,G$167,IF(Tabell2[[#This Row],[Kvinneandel]]&gt;G$168,G$168,Tabell2[[#This Row],[Kvinneandel]]))</f>
        <v>9.8876404494382023E-2</v>
      </c>
      <c r="Q36" s="80">
        <f>IF(Tabell2[[#This Row],[Eldreandel]]&lt;H$167,H$167,IF(Tabell2[[#This Row],[Eldreandel]]&gt;H$168,H$168,Tabell2[[#This Row],[Eldreandel]]))</f>
        <v>0.15880149812734082</v>
      </c>
      <c r="R36" s="80">
        <f>IF(Tabell2[[#This Row],[Syssvekst10]]&lt;I$167,I$167,IF(Tabell2[[#This Row],[Syssvekst10]]&gt;I$168,I$168,Tabell2[[#This Row],[Syssvekst10]]))</f>
        <v>-1.8726591760299671E-3</v>
      </c>
      <c r="S36" s="80">
        <f>IF(Tabell2[[#This Row],[Yrkesaktiveandel]]&lt;J$167,J$167,IF(Tabell2[[#This Row],[Yrkesaktiveandel]]&gt;J$168,J$168,Tabell2[[#This Row],[Yrkesaktiveandel]]))</f>
        <v>0.95399188092016241</v>
      </c>
      <c r="T36" s="80">
        <f>IF(Tabell2[[#This Row],[Bruttoinntekt17+]]&lt;K$167,K$167,IF(Tabell2[[#This Row],[Bruttoinntekt17+]]&gt;K$168,K$168,Tabell2[[#This Row],[Bruttoinntekt17+]]))</f>
        <v>302900</v>
      </c>
      <c r="U36" s="60">
        <f>IF(Tabell2[[#This Row],[NIBR11-BA-Utrunk]]&lt;=L$170,100,IF(Tabell2[[#This Row],[NIBR11-BA-Utrunk]]&gt;=L$169,0,100-Tabell2[[#This Row],[NIBR11-BA-Utrunk]]*100/L$171))</f>
        <v>0</v>
      </c>
      <c r="V36" s="60">
        <f>(M$169-Tabell2[[#This Row],[Reisetid Oslo-T]])*100/M$171</f>
        <v>64.412361919664718</v>
      </c>
      <c r="W36" s="60">
        <f>100-(N$169-Tabell2[[#This Row],[beftettotal-T]])*100/N$171</f>
        <v>8.913318291119765E-2</v>
      </c>
      <c r="X36" s="60">
        <f>100-(O$169-Tabell2[[#This Row],[Befvekst10-T]])*100/O$171</f>
        <v>56.933159043258001</v>
      </c>
      <c r="Y36" s="60">
        <f>100-(P$169-Tabell2[[#This Row],[Kvinneandel-T]])*100/P$171</f>
        <v>23.642344731670164</v>
      </c>
      <c r="Z36" s="60">
        <f>(Q$169-Tabell2[[#This Row],[Eldreandel-T]])*100/Q$171</f>
        <v>59.953586217140689</v>
      </c>
      <c r="AA36" s="60">
        <f>100-(R$169-Tabell2[[#This Row],[Syssvekst10-T]])*100/R$171</f>
        <v>37.564723949371192</v>
      </c>
      <c r="AB36" s="60">
        <f>100-(S$169-Tabell2[[#This Row],[Yrkesaktiveandel-T]])*100/S$171</f>
        <v>96.344587827527434</v>
      </c>
      <c r="AC36" s="60">
        <f>100-(T$169-Tabell2[[#This Row],[Bruttoinntekt17+-T]])*100/T$171</f>
        <v>14.454939459837519</v>
      </c>
      <c r="AD36" s="60">
        <f>Tabell2[[#This Row],[NIBR11-BA-I]]*$AD$2</f>
        <v>0</v>
      </c>
      <c r="AE36" s="60">
        <f>Tabell2[[#This Row],[Reisetid Oslo-I]]*$AE$2</f>
        <v>6.441236191966472</v>
      </c>
      <c r="AF36" s="60">
        <f>Tabell2[[#This Row],[beftettotal-I]]*$AF$2</f>
        <v>8.9133182911197654E-3</v>
      </c>
      <c r="AG36" s="60">
        <f>Tabell2[[#This Row],[Befvekst10-I]]*$AG$2</f>
        <v>11.3866318086516</v>
      </c>
      <c r="AH36" s="60">
        <f>Tabell2[[#This Row],[Kvinneandel-I]]*$AH$2</f>
        <v>1.1821172365835082</v>
      </c>
      <c r="AI36" s="60">
        <f>Tabell2[[#This Row],[Eldreandel-I]]*$AI$2</f>
        <v>2.9976793108570345</v>
      </c>
      <c r="AJ36" s="60">
        <f>Tabell2[[#This Row],[Syssvekst10-I]]*$AJ$2</f>
        <v>3.7564723949371195</v>
      </c>
      <c r="AK36" s="60">
        <f>Tabell2[[#This Row],[Yrkesaktiveandel-I]]*$AK$2</f>
        <v>9.6344587827527448</v>
      </c>
      <c r="AL36" s="60">
        <f>Tabell2[[#This Row],[Bruttoinntekt17+-I]]*$AL$2</f>
        <v>1.4454939459837519</v>
      </c>
      <c r="AM36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36.853002990023349</v>
      </c>
    </row>
    <row r="37" spans="1:39">
      <c r="A37" s="63">
        <v>32</v>
      </c>
      <c r="B37" s="8" t="s">
        <v>87</v>
      </c>
      <c r="C37" s="45">
        <f>Råark!L34</f>
        <v>10</v>
      </c>
      <c r="D37" s="80">
        <f>Råark!K34</f>
        <v>174.99956912182981</v>
      </c>
      <c r="E37" s="80">
        <f>Råark!N34</f>
        <v>1.4637032400967165</v>
      </c>
      <c r="F37" s="80">
        <f>Råark!O34</f>
        <v>-5.6719710099259468E-2</v>
      </c>
      <c r="G37" s="80">
        <f>Råark!P34</f>
        <v>0.10372473693001504</v>
      </c>
      <c r="H37" s="80">
        <f>Råark!Q34</f>
        <v>0.16869884750292299</v>
      </c>
      <c r="I37" s="80">
        <f>Råark!R34</f>
        <v>1.3573000733675622E-2</v>
      </c>
      <c r="J37" s="80">
        <f>Råark!S34</f>
        <v>0.95101799940985543</v>
      </c>
      <c r="K37" s="80">
        <f>Råark!M34</f>
        <v>328098.38241393614</v>
      </c>
      <c r="L37" s="59">
        <f>Tabell2[[#This Row],[NIBR11BA]]</f>
        <v>10</v>
      </c>
      <c r="M37" s="80">
        <f>IF(Tabell2[[#This Row],[Reisetid Oslo]]&lt;D$167,D$167,IF(Tabell2[[#This Row],[Reisetid Oslo]]&gt;D$168,D$168,Tabell2[[#This Row],[Reisetid Oslo]]))</f>
        <v>174.99956912182981</v>
      </c>
      <c r="N37" s="80">
        <f>IF(Tabell2[[#This Row],[beftettotal]]&lt;E$167,E$167,IF(Tabell2[[#This Row],[beftettotal]]&gt;E$168,E$168,Tabell2[[#This Row],[beftettotal]]))</f>
        <v>1.4637032400967165</v>
      </c>
      <c r="O37" s="80">
        <f>IF(Tabell2[[#This Row],[Befvekst10]]&lt;F$167,F$167,IF(Tabell2[[#This Row],[Befvekst10]]&gt;F$168,F$168,Tabell2[[#This Row],[Befvekst10]]))</f>
        <v>-5.6719710099259468E-2</v>
      </c>
      <c r="P37" s="80">
        <f>IF(Tabell2[[#This Row],[Kvinneandel]]&lt;G$167,G$167,IF(Tabell2[[#This Row],[Kvinneandel]]&gt;G$168,G$168,Tabell2[[#This Row],[Kvinneandel]]))</f>
        <v>0.10372473693001504</v>
      </c>
      <c r="Q37" s="80">
        <f>IF(Tabell2[[#This Row],[Eldreandel]]&lt;H$167,H$167,IF(Tabell2[[#This Row],[Eldreandel]]&gt;H$168,H$168,Tabell2[[#This Row],[Eldreandel]]))</f>
        <v>0.16869884750292299</v>
      </c>
      <c r="R37" s="80">
        <f>IF(Tabell2[[#This Row],[Syssvekst10]]&lt;I$167,I$167,IF(Tabell2[[#This Row],[Syssvekst10]]&gt;I$168,I$168,Tabell2[[#This Row],[Syssvekst10]]))</f>
        <v>1.3573000733675622E-2</v>
      </c>
      <c r="S37" s="80">
        <f>IF(Tabell2[[#This Row],[Yrkesaktiveandel]]&lt;J$167,J$167,IF(Tabell2[[#This Row],[Yrkesaktiveandel]]&gt;J$168,J$168,Tabell2[[#This Row],[Yrkesaktiveandel]]))</f>
        <v>0.95101799940985543</v>
      </c>
      <c r="T37" s="80">
        <f>IF(Tabell2[[#This Row],[Bruttoinntekt17+]]&lt;K$167,K$167,IF(Tabell2[[#This Row],[Bruttoinntekt17+]]&gt;K$168,K$168,Tabell2[[#This Row],[Bruttoinntekt17+]]))</f>
        <v>328098.38241393614</v>
      </c>
      <c r="U37" s="60">
        <f>IF(Tabell2[[#This Row],[NIBR11-BA-Utrunk]]&lt;=L$170,100,IF(Tabell2[[#This Row],[NIBR11-BA-Utrunk]]&gt;=L$169,0,100-Tabell2[[#This Row],[NIBR11-BA-Utrunk]]*100/L$171))</f>
        <v>0</v>
      </c>
      <c r="V37" s="60">
        <f>(M$169-Tabell2[[#This Row],[Reisetid Oslo-T]])*100/M$171</f>
        <v>76.859871878965052</v>
      </c>
      <c r="W37" s="60">
        <f>100-(N$169-Tabell2[[#This Row],[beftettotal-T]])*100/N$171</f>
        <v>1.0684064428429991</v>
      </c>
      <c r="X37" s="60">
        <f>100-(O$169-Tabell2[[#This Row],[Befvekst10-T]])*100/O$171</f>
        <v>30.823812776375362</v>
      </c>
      <c r="Y37" s="60">
        <f>100-(P$169-Tabell2[[#This Row],[Kvinneandel-T]])*100/P$171</f>
        <v>39.103996522549437</v>
      </c>
      <c r="Z37" s="60">
        <f>(Q$169-Tabell2[[#This Row],[Eldreandel-T]])*100/Q$171</f>
        <v>46.78770634084735</v>
      </c>
      <c r="AA37" s="60">
        <f>100-(R$169-Tabell2[[#This Row],[Syssvekst10-T]])*100/R$171</f>
        <v>43.393702394445427</v>
      </c>
      <c r="AB37" s="60">
        <f>100-(S$169-Tabell2[[#This Row],[Yrkesaktiveandel-T]])*100/S$171</f>
        <v>94.096582763613185</v>
      </c>
      <c r="AC37" s="60">
        <f>100-(T$169-Tabell2[[#This Row],[Bruttoinntekt17+-T]])*100/T$171</f>
        <v>56.661323269719475</v>
      </c>
      <c r="AD37" s="60">
        <f>Tabell2[[#This Row],[NIBR11-BA-I]]*$AD$2</f>
        <v>0</v>
      </c>
      <c r="AE37" s="60">
        <f>Tabell2[[#This Row],[Reisetid Oslo-I]]*$AE$2</f>
        <v>7.6859871878965054</v>
      </c>
      <c r="AF37" s="60">
        <f>Tabell2[[#This Row],[beftettotal-I]]*$AF$2</f>
        <v>0.10684064428429992</v>
      </c>
      <c r="AG37" s="60">
        <f>Tabell2[[#This Row],[Befvekst10-I]]*$AG$2</f>
        <v>6.1647625552750727</v>
      </c>
      <c r="AH37" s="60">
        <f>Tabell2[[#This Row],[Kvinneandel-I]]*$AH$2</f>
        <v>1.9551998261274719</v>
      </c>
      <c r="AI37" s="60">
        <f>Tabell2[[#This Row],[Eldreandel-I]]*$AI$2</f>
        <v>2.3393853170423675</v>
      </c>
      <c r="AJ37" s="60">
        <f>Tabell2[[#This Row],[Syssvekst10-I]]*$AJ$2</f>
        <v>4.339370239444543</v>
      </c>
      <c r="AK37" s="60">
        <f>Tabell2[[#This Row],[Yrkesaktiveandel-I]]*$AK$2</f>
        <v>9.4096582763613181</v>
      </c>
      <c r="AL37" s="60">
        <f>Tabell2[[#This Row],[Bruttoinntekt17+-I]]*$AL$2</f>
        <v>5.6661323269719475</v>
      </c>
      <c r="AM37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37.667336373403529</v>
      </c>
    </row>
    <row r="38" spans="1:39">
      <c r="A38" s="64">
        <v>33</v>
      </c>
      <c r="B38" s="8" t="s">
        <v>88</v>
      </c>
      <c r="C38" s="45">
        <f>Råark!L35</f>
        <v>5</v>
      </c>
      <c r="D38" s="80">
        <f>Råark!K35</f>
        <v>167.26580622659816</v>
      </c>
      <c r="E38" s="80">
        <f>Råark!N35</f>
        <v>18.202465301368534</v>
      </c>
      <c r="F38" s="80">
        <f>Råark!O35</f>
        <v>-1.4296226216755969E-2</v>
      </c>
      <c r="G38" s="80">
        <f>Råark!P35</f>
        <v>0.10909672603177989</v>
      </c>
      <c r="H38" s="80">
        <f>Råark!Q35</f>
        <v>0.15943265436706835</v>
      </c>
      <c r="I38" s="80">
        <f>Råark!R35</f>
        <v>5.6931397665813677E-3</v>
      </c>
      <c r="J38" s="80">
        <f>Råark!S35</f>
        <v>0.81225913011561757</v>
      </c>
      <c r="K38" s="80">
        <f>Råark!M35</f>
        <v>302920.45574986754</v>
      </c>
      <c r="L38" s="59">
        <f>Tabell2[[#This Row],[NIBR11BA]]</f>
        <v>5</v>
      </c>
      <c r="M38" s="80">
        <f>IF(Tabell2[[#This Row],[Reisetid Oslo]]&lt;D$167,D$167,IF(Tabell2[[#This Row],[Reisetid Oslo]]&gt;D$168,D$168,Tabell2[[#This Row],[Reisetid Oslo]]))</f>
        <v>167.26580622659816</v>
      </c>
      <c r="N38" s="80">
        <f>IF(Tabell2[[#This Row],[beftettotal]]&lt;E$167,E$167,IF(Tabell2[[#This Row],[beftettotal]]&gt;E$168,E$168,Tabell2[[#This Row],[beftettotal]]))</f>
        <v>18.202465301368534</v>
      </c>
      <c r="O38" s="80">
        <f>IF(Tabell2[[#This Row],[Befvekst10]]&lt;F$167,F$167,IF(Tabell2[[#This Row],[Befvekst10]]&gt;F$168,F$168,Tabell2[[#This Row],[Befvekst10]]))</f>
        <v>-1.4296226216755969E-2</v>
      </c>
      <c r="P38" s="80">
        <f>IF(Tabell2[[#This Row],[Kvinneandel]]&lt;G$167,G$167,IF(Tabell2[[#This Row],[Kvinneandel]]&gt;G$168,G$168,Tabell2[[#This Row],[Kvinneandel]]))</f>
        <v>0.10909672603177989</v>
      </c>
      <c r="Q38" s="80">
        <f>IF(Tabell2[[#This Row],[Eldreandel]]&lt;H$167,H$167,IF(Tabell2[[#This Row],[Eldreandel]]&gt;H$168,H$168,Tabell2[[#This Row],[Eldreandel]]))</f>
        <v>0.15943265436706835</v>
      </c>
      <c r="R38" s="80">
        <f>IF(Tabell2[[#This Row],[Syssvekst10]]&lt;I$167,I$167,IF(Tabell2[[#This Row],[Syssvekst10]]&gt;I$168,I$168,Tabell2[[#This Row],[Syssvekst10]]))</f>
        <v>5.6931397665813677E-3</v>
      </c>
      <c r="S38" s="80">
        <f>IF(Tabell2[[#This Row],[Yrkesaktiveandel]]&lt;J$167,J$167,IF(Tabell2[[#This Row],[Yrkesaktiveandel]]&gt;J$168,J$168,Tabell2[[#This Row],[Yrkesaktiveandel]]))</f>
        <v>0.82653781377516045</v>
      </c>
      <c r="T38" s="80">
        <f>IF(Tabell2[[#This Row],[Bruttoinntekt17+]]&lt;K$167,K$167,IF(Tabell2[[#This Row],[Bruttoinntekt17+]]&gt;K$168,K$168,Tabell2[[#This Row],[Bruttoinntekt17+]]))</f>
        <v>302920.45574986754</v>
      </c>
      <c r="U38" s="60">
        <f>IF(Tabell2[[#This Row],[NIBR11-BA-Utrunk]]&lt;=L$170,100,IF(Tabell2[[#This Row],[NIBR11-BA-Utrunk]]&gt;=L$169,0,100-Tabell2[[#This Row],[NIBR11-BA-Utrunk]]*100/L$171))</f>
        <v>50</v>
      </c>
      <c r="V38" s="60">
        <f>(M$169-Tabell2[[#This Row],[Reisetid Oslo-T]])*100/M$171</f>
        <v>81.012392483029686</v>
      </c>
      <c r="W38" s="60">
        <f>100-(N$169-Tabell2[[#This Row],[beftettotal-T]])*100/N$171</f>
        <v>39.983975981960604</v>
      </c>
      <c r="X38" s="60">
        <f>100-(O$169-Tabell2[[#This Row],[Befvekst10-T]])*100/O$171</f>
        <v>49.849024210939689</v>
      </c>
      <c r="Y38" s="60">
        <f>100-(P$169-Tabell2[[#This Row],[Kvinneandel-T]])*100/P$171</f>
        <v>56.235623946740681</v>
      </c>
      <c r="Z38" s="60">
        <f>(Q$169-Tabell2[[#This Row],[Eldreandel-T]])*100/Q$171</f>
        <v>59.113995037715739</v>
      </c>
      <c r="AA38" s="60">
        <f>100-(R$169-Tabell2[[#This Row],[Syssvekst10-T]])*100/R$171</f>
        <v>40.419951839539571</v>
      </c>
      <c r="AB38" s="60">
        <f>100-(S$169-Tabell2[[#This Row],[Yrkesaktiveandel-T]])*100/S$171</f>
        <v>0</v>
      </c>
      <c r="AC38" s="60">
        <f>100-(T$169-Tabell2[[#This Row],[Bruttoinntekt17+-T]])*100/T$171</f>
        <v>14.48920210479011</v>
      </c>
      <c r="AD38" s="60">
        <f>Tabell2[[#This Row],[NIBR11-BA-I]]*$AD$2</f>
        <v>10</v>
      </c>
      <c r="AE38" s="60">
        <f>Tabell2[[#This Row],[Reisetid Oslo-I]]*$AE$2</f>
        <v>8.1012392483029689</v>
      </c>
      <c r="AF38" s="60">
        <f>Tabell2[[#This Row],[beftettotal-I]]*$AF$2</f>
        <v>3.9983975981960604</v>
      </c>
      <c r="AG38" s="60">
        <f>Tabell2[[#This Row],[Befvekst10-I]]*$AG$2</f>
        <v>9.9698048421879388</v>
      </c>
      <c r="AH38" s="60">
        <f>Tabell2[[#This Row],[Kvinneandel-I]]*$AH$2</f>
        <v>2.8117811973370341</v>
      </c>
      <c r="AI38" s="60">
        <f>Tabell2[[#This Row],[Eldreandel-I]]*$AI$2</f>
        <v>2.955699751885787</v>
      </c>
      <c r="AJ38" s="60">
        <f>Tabell2[[#This Row],[Syssvekst10-I]]*$AJ$2</f>
        <v>4.041995183953957</v>
      </c>
      <c r="AK38" s="60">
        <f>Tabell2[[#This Row],[Yrkesaktiveandel-I]]*$AK$2</f>
        <v>0</v>
      </c>
      <c r="AL38" s="60">
        <f>Tabell2[[#This Row],[Bruttoinntekt17+-I]]*$AL$2</f>
        <v>1.4489202104790111</v>
      </c>
      <c r="AM38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43.327838032342754</v>
      </c>
    </row>
    <row r="39" spans="1:39">
      <c r="A39" s="63">
        <v>34</v>
      </c>
      <c r="B39" s="8" t="s">
        <v>89</v>
      </c>
      <c r="C39" s="45">
        <f>Råark!L36</f>
        <v>4</v>
      </c>
      <c r="D39" s="80">
        <f>Råark!K36</f>
        <v>184.6883108031237</v>
      </c>
      <c r="E39" s="80">
        <f>Råark!N36</f>
        <v>27.080225029771277</v>
      </c>
      <c r="F39" s="80">
        <f>Råark!O36</f>
        <v>9.7099761548272712E-2</v>
      </c>
      <c r="G39" s="80">
        <f>Råark!P36</f>
        <v>0.12357207844723009</v>
      </c>
      <c r="H39" s="80">
        <f>Råark!Q36</f>
        <v>0.13069904973716134</v>
      </c>
      <c r="I39" s="80">
        <f>Råark!R36</f>
        <v>8.3981289303305395E-2</v>
      </c>
      <c r="J39" s="80">
        <f>Råark!S36</f>
        <v>0.8247140672453529</v>
      </c>
      <c r="K39" s="80">
        <f>Råark!M36</f>
        <v>333520.03550677857</v>
      </c>
      <c r="L39" s="59">
        <f>Tabell2[[#This Row],[NIBR11BA]]</f>
        <v>4</v>
      </c>
      <c r="M39" s="80">
        <f>IF(Tabell2[[#This Row],[Reisetid Oslo]]&lt;D$167,D$167,IF(Tabell2[[#This Row],[Reisetid Oslo]]&gt;D$168,D$168,Tabell2[[#This Row],[Reisetid Oslo]]))</f>
        <v>184.6883108031237</v>
      </c>
      <c r="N39" s="80">
        <f>IF(Tabell2[[#This Row],[beftettotal]]&lt;E$167,E$167,IF(Tabell2[[#This Row],[beftettotal]]&gt;E$168,E$168,Tabell2[[#This Row],[beftettotal]]))</f>
        <v>27.080225029771277</v>
      </c>
      <c r="O39" s="80">
        <f>IF(Tabell2[[#This Row],[Befvekst10]]&lt;F$167,F$167,IF(Tabell2[[#This Row],[Befvekst10]]&gt;F$168,F$168,Tabell2[[#This Row],[Befvekst10]]))</f>
        <v>9.7099761548272712E-2</v>
      </c>
      <c r="P39" s="80">
        <f>IF(Tabell2[[#This Row],[Kvinneandel]]&lt;G$167,G$167,IF(Tabell2[[#This Row],[Kvinneandel]]&gt;G$168,G$168,Tabell2[[#This Row],[Kvinneandel]]))</f>
        <v>0.12281998450468276</v>
      </c>
      <c r="Q39" s="80">
        <f>IF(Tabell2[[#This Row],[Eldreandel]]&lt;H$167,H$167,IF(Tabell2[[#This Row],[Eldreandel]]&gt;H$168,H$168,Tabell2[[#This Row],[Eldreandel]]))</f>
        <v>0.13069904973716134</v>
      </c>
      <c r="R39" s="80">
        <f>IF(Tabell2[[#This Row],[Syssvekst10]]&lt;I$167,I$167,IF(Tabell2[[#This Row],[Syssvekst10]]&gt;I$168,I$168,Tabell2[[#This Row],[Syssvekst10]]))</f>
        <v>8.3981289303305395E-2</v>
      </c>
      <c r="S39" s="80">
        <f>IF(Tabell2[[#This Row],[Yrkesaktiveandel]]&lt;J$167,J$167,IF(Tabell2[[#This Row],[Yrkesaktiveandel]]&gt;J$168,J$168,Tabell2[[#This Row],[Yrkesaktiveandel]]))</f>
        <v>0.82653781377516045</v>
      </c>
      <c r="T39" s="80">
        <f>IF(Tabell2[[#This Row],[Bruttoinntekt17+]]&lt;K$167,K$167,IF(Tabell2[[#This Row],[Bruttoinntekt17+]]&gt;K$168,K$168,Tabell2[[#This Row],[Bruttoinntekt17+]]))</f>
        <v>333520.03550677857</v>
      </c>
      <c r="U39" s="60">
        <f>IF(Tabell2[[#This Row],[NIBR11-BA-Utrunk]]&lt;=L$170,100,IF(Tabell2[[#This Row],[NIBR11-BA-Utrunk]]&gt;=L$169,0,100-Tabell2[[#This Row],[NIBR11-BA-Utrunk]]*100/L$171))</f>
        <v>60</v>
      </c>
      <c r="V39" s="60">
        <f>(M$169-Tabell2[[#This Row],[Reisetid Oslo-T]])*100/M$171</f>
        <v>71.657656604969674</v>
      </c>
      <c r="W39" s="60">
        <f>100-(N$169-Tabell2[[#This Row],[beftettotal-T]])*100/N$171</f>
        <v>60.623678894135502</v>
      </c>
      <c r="X39" s="60">
        <f>100-(O$169-Tabell2[[#This Row],[Befvekst10-T]])*100/O$171</f>
        <v>99.805605477615828</v>
      </c>
      <c r="Y39" s="60">
        <f>100-(P$169-Tabell2[[#This Row],[Kvinneandel-T]])*100/P$171</f>
        <v>100</v>
      </c>
      <c r="Z39" s="60">
        <f>(Q$169-Tabell2[[#This Row],[Eldreandel-T]])*100/Q$171</f>
        <v>97.336671899419386</v>
      </c>
      <c r="AA39" s="60">
        <f>100-(R$169-Tabell2[[#This Row],[Syssvekst10-T]])*100/R$171</f>
        <v>69.964816793322626</v>
      </c>
      <c r="AB39" s="60">
        <f>100-(S$169-Tabell2[[#This Row],[Yrkesaktiveandel-T]])*100/S$171</f>
        <v>0</v>
      </c>
      <c r="AC39" s="60">
        <f>100-(T$169-Tabell2[[#This Row],[Bruttoinntekt17+-T]])*100/T$171</f>
        <v>65.742397108569776</v>
      </c>
      <c r="AD39" s="60">
        <f>Tabell2[[#This Row],[NIBR11-BA-I]]*$AD$2</f>
        <v>12</v>
      </c>
      <c r="AE39" s="60">
        <f>Tabell2[[#This Row],[Reisetid Oslo-I]]*$AE$2</f>
        <v>7.1657656604969677</v>
      </c>
      <c r="AF39" s="60">
        <f>Tabell2[[#This Row],[beftettotal-I]]*$AF$2</f>
        <v>6.0623678894135509</v>
      </c>
      <c r="AG39" s="60">
        <f>Tabell2[[#This Row],[Befvekst10-I]]*$AG$2</f>
        <v>19.961121095523168</v>
      </c>
      <c r="AH39" s="60">
        <f>Tabell2[[#This Row],[Kvinneandel-I]]*$AH$2</f>
        <v>5</v>
      </c>
      <c r="AI39" s="60">
        <f>Tabell2[[#This Row],[Eldreandel-I]]*$AI$2</f>
        <v>4.86683359497097</v>
      </c>
      <c r="AJ39" s="60">
        <f>Tabell2[[#This Row],[Syssvekst10-I]]*$AJ$2</f>
        <v>6.9964816793322626</v>
      </c>
      <c r="AK39" s="60">
        <f>Tabell2[[#This Row],[Yrkesaktiveandel-I]]*$AK$2</f>
        <v>0</v>
      </c>
      <c r="AL39" s="60">
        <f>Tabell2[[#This Row],[Bruttoinntekt17+-I]]*$AL$2</f>
        <v>6.5742397108569781</v>
      </c>
      <c r="AM39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68.626809630593897</v>
      </c>
    </row>
    <row r="40" spans="1:39">
      <c r="A40" s="64">
        <v>35</v>
      </c>
      <c r="B40" s="8" t="s">
        <v>90</v>
      </c>
      <c r="C40" s="45">
        <f>Råark!L37</f>
        <v>5</v>
      </c>
      <c r="D40" s="80">
        <f>Råark!K37</f>
        <v>207.66227046235707</v>
      </c>
      <c r="E40" s="80">
        <f>Råark!N37</f>
        <v>2.5324002212829035</v>
      </c>
      <c r="F40" s="80">
        <f>Råark!O37</f>
        <v>1.3760481616856612E-2</v>
      </c>
      <c r="G40" s="80">
        <f>Råark!P37</f>
        <v>0.11240721102863202</v>
      </c>
      <c r="H40" s="80">
        <f>Råark!Q37</f>
        <v>0.15588547189819724</v>
      </c>
      <c r="I40" s="80">
        <f>Råark!R37</f>
        <v>4.9756097560975654E-2</v>
      </c>
      <c r="J40" s="80">
        <f>Råark!S37</f>
        <v>0.87574850299401197</v>
      </c>
      <c r="K40" s="80">
        <f>Råark!M37</f>
        <v>318161.60064672597</v>
      </c>
      <c r="L40" s="59">
        <f>Tabell2[[#This Row],[NIBR11BA]]</f>
        <v>5</v>
      </c>
      <c r="M40" s="80">
        <f>IF(Tabell2[[#This Row],[Reisetid Oslo]]&lt;D$167,D$167,IF(Tabell2[[#This Row],[Reisetid Oslo]]&gt;D$168,D$168,Tabell2[[#This Row],[Reisetid Oslo]]))</f>
        <v>207.66227046235707</v>
      </c>
      <c r="N40" s="80">
        <f>IF(Tabell2[[#This Row],[beftettotal]]&lt;E$167,E$167,IF(Tabell2[[#This Row],[beftettotal]]&gt;E$168,E$168,Tabell2[[#This Row],[beftettotal]]))</f>
        <v>2.5324002212829035</v>
      </c>
      <c r="O40" s="80">
        <f>IF(Tabell2[[#This Row],[Befvekst10]]&lt;F$167,F$167,IF(Tabell2[[#This Row],[Befvekst10]]&gt;F$168,F$168,Tabell2[[#This Row],[Befvekst10]]))</f>
        <v>1.3760481616856612E-2</v>
      </c>
      <c r="P40" s="80">
        <f>IF(Tabell2[[#This Row],[Kvinneandel]]&lt;G$167,G$167,IF(Tabell2[[#This Row],[Kvinneandel]]&gt;G$168,G$168,Tabell2[[#This Row],[Kvinneandel]]))</f>
        <v>0.11240721102863202</v>
      </c>
      <c r="Q40" s="80">
        <f>IF(Tabell2[[#This Row],[Eldreandel]]&lt;H$167,H$167,IF(Tabell2[[#This Row],[Eldreandel]]&gt;H$168,H$168,Tabell2[[#This Row],[Eldreandel]]))</f>
        <v>0.15588547189819724</v>
      </c>
      <c r="R40" s="80">
        <f>IF(Tabell2[[#This Row],[Syssvekst10]]&lt;I$167,I$167,IF(Tabell2[[#This Row],[Syssvekst10]]&gt;I$168,I$168,Tabell2[[#This Row],[Syssvekst10]]))</f>
        <v>4.9756097560975654E-2</v>
      </c>
      <c r="S40" s="80">
        <f>IF(Tabell2[[#This Row],[Yrkesaktiveandel]]&lt;J$167,J$167,IF(Tabell2[[#This Row],[Yrkesaktiveandel]]&gt;J$168,J$168,Tabell2[[#This Row],[Yrkesaktiveandel]]))</f>
        <v>0.87574850299401197</v>
      </c>
      <c r="T40" s="80">
        <f>IF(Tabell2[[#This Row],[Bruttoinntekt17+]]&lt;K$167,K$167,IF(Tabell2[[#This Row],[Bruttoinntekt17+]]&gt;K$168,K$168,Tabell2[[#This Row],[Bruttoinntekt17+]]))</f>
        <v>318161.60064672597</v>
      </c>
      <c r="U40" s="60">
        <f>IF(Tabell2[[#This Row],[NIBR11-BA-Utrunk]]&lt;=L$170,100,IF(Tabell2[[#This Row],[NIBR11-BA-Utrunk]]&gt;=L$169,0,100-Tabell2[[#This Row],[NIBR11-BA-Utrunk]]*100/L$171))</f>
        <v>50</v>
      </c>
      <c r="V40" s="60">
        <f>(M$169-Tabell2[[#This Row],[Reisetid Oslo-T]])*100/M$171</f>
        <v>59.322155486783551</v>
      </c>
      <c r="W40" s="60">
        <f>100-(N$169-Tabell2[[#This Row],[beftettotal-T]])*100/N$171</f>
        <v>3.5529958966724422</v>
      </c>
      <c r="X40" s="60">
        <f>100-(O$169-Tabell2[[#This Row],[Befvekst10-T]])*100/O$171</f>
        <v>62.431319436165701</v>
      </c>
      <c r="Y40" s="60">
        <f>100-(P$169-Tabell2[[#This Row],[Kvinneandel-T]])*100/P$171</f>
        <v>66.792978864086564</v>
      </c>
      <c r="Z40" s="60">
        <f>(Q$169-Tabell2[[#This Row],[Eldreandel-T]])*100/Q$171</f>
        <v>63.832609740725928</v>
      </c>
      <c r="AA40" s="60">
        <f>100-(R$169-Tabell2[[#This Row],[Syssvekst10-T]])*100/R$171</f>
        <v>57.048702745051102</v>
      </c>
      <c r="AB40" s="60">
        <f>100-(S$169-Tabell2[[#This Row],[Yrkesaktiveandel-T]])*100/S$171</f>
        <v>37.199154767692491</v>
      </c>
      <c r="AC40" s="60">
        <f>100-(T$169-Tabell2[[#This Row],[Bruttoinntekt17+-T]])*100/T$171</f>
        <v>40.017571372773901</v>
      </c>
      <c r="AD40" s="60">
        <f>Tabell2[[#This Row],[NIBR11-BA-I]]*$AD$2</f>
        <v>10</v>
      </c>
      <c r="AE40" s="60">
        <f>Tabell2[[#This Row],[Reisetid Oslo-I]]*$AE$2</f>
        <v>5.9322155486783554</v>
      </c>
      <c r="AF40" s="60">
        <f>Tabell2[[#This Row],[beftettotal-I]]*$AF$2</f>
        <v>0.35529958966724423</v>
      </c>
      <c r="AG40" s="60">
        <f>Tabell2[[#This Row],[Befvekst10-I]]*$AG$2</f>
        <v>12.486263887233141</v>
      </c>
      <c r="AH40" s="60">
        <f>Tabell2[[#This Row],[Kvinneandel-I]]*$AH$2</f>
        <v>3.3396489432043284</v>
      </c>
      <c r="AI40" s="60">
        <f>Tabell2[[#This Row],[Eldreandel-I]]*$AI$2</f>
        <v>3.1916304870362966</v>
      </c>
      <c r="AJ40" s="60">
        <f>Tabell2[[#This Row],[Syssvekst10-I]]*$AJ$2</f>
        <v>5.7048702745051107</v>
      </c>
      <c r="AK40" s="60">
        <f>Tabell2[[#This Row],[Yrkesaktiveandel-I]]*$AK$2</f>
        <v>3.7199154767692493</v>
      </c>
      <c r="AL40" s="60">
        <f>Tabell2[[#This Row],[Bruttoinntekt17+-I]]*$AL$2</f>
        <v>4.0017571372773899</v>
      </c>
      <c r="AM40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48.731601344371121</v>
      </c>
    </row>
    <row r="41" spans="1:39">
      <c r="A41" s="63">
        <v>36</v>
      </c>
      <c r="B41" s="8" t="s">
        <v>91</v>
      </c>
      <c r="C41" s="45">
        <f>Råark!L38</f>
        <v>11</v>
      </c>
      <c r="D41" s="80">
        <f>Råark!K38</f>
        <v>224.70491453895272</v>
      </c>
      <c r="E41" s="80">
        <f>Råark!N38</f>
        <v>0.82833089311859442</v>
      </c>
      <c r="F41" s="80">
        <f>Råark!O38</f>
        <v>-1.2221737232649521E-2</v>
      </c>
      <c r="G41" s="80">
        <f>Råark!P38</f>
        <v>0.11224038886433937</v>
      </c>
      <c r="H41" s="80">
        <f>Råark!Q38</f>
        <v>0.13300927971718957</v>
      </c>
      <c r="I41" s="80">
        <f>Råark!R38</f>
        <v>0.18260869565217397</v>
      </c>
      <c r="J41" s="80">
        <f>Råark!S38</f>
        <v>0.94678492239467849</v>
      </c>
      <c r="K41" s="80">
        <f>Råark!M38</f>
        <v>343944.5863409217</v>
      </c>
      <c r="L41" s="59">
        <f>Tabell2[[#This Row],[NIBR11BA]]</f>
        <v>11</v>
      </c>
      <c r="M41" s="80">
        <f>IF(Tabell2[[#This Row],[Reisetid Oslo]]&lt;D$167,D$167,IF(Tabell2[[#This Row],[Reisetid Oslo]]&gt;D$168,D$168,Tabell2[[#This Row],[Reisetid Oslo]]))</f>
        <v>224.70491453895272</v>
      </c>
      <c r="N41" s="80">
        <f>IF(Tabell2[[#This Row],[beftettotal]]&lt;E$167,E$167,IF(Tabell2[[#This Row],[beftettotal]]&gt;E$168,E$168,Tabell2[[#This Row],[beftettotal]]))</f>
        <v>1.0041493534832273</v>
      </c>
      <c r="O41" s="80">
        <f>IF(Tabell2[[#This Row],[Befvekst10]]&lt;F$167,F$167,IF(Tabell2[[#This Row],[Befvekst10]]&gt;F$168,F$168,Tabell2[[#This Row],[Befvekst10]]))</f>
        <v>-1.2221737232649521E-2</v>
      </c>
      <c r="P41" s="80">
        <f>IF(Tabell2[[#This Row],[Kvinneandel]]&lt;G$167,G$167,IF(Tabell2[[#This Row],[Kvinneandel]]&gt;G$168,G$168,Tabell2[[#This Row],[Kvinneandel]]))</f>
        <v>0.11224038886433937</v>
      </c>
      <c r="Q41" s="80">
        <f>IF(Tabell2[[#This Row],[Eldreandel]]&lt;H$167,H$167,IF(Tabell2[[#This Row],[Eldreandel]]&gt;H$168,H$168,Tabell2[[#This Row],[Eldreandel]]))</f>
        <v>0.13300927971718957</v>
      </c>
      <c r="R41" s="80">
        <f>IF(Tabell2[[#This Row],[Syssvekst10]]&lt;I$167,I$167,IF(Tabell2[[#This Row],[Syssvekst10]]&gt;I$168,I$168,Tabell2[[#This Row],[Syssvekst10]]))</f>
        <v>0.1635686869077807</v>
      </c>
      <c r="S41" s="80">
        <f>IF(Tabell2[[#This Row],[Yrkesaktiveandel]]&lt;J$167,J$167,IF(Tabell2[[#This Row],[Yrkesaktiveandel]]&gt;J$168,J$168,Tabell2[[#This Row],[Yrkesaktiveandel]]))</f>
        <v>0.94678492239467849</v>
      </c>
      <c r="T41" s="80">
        <f>IF(Tabell2[[#This Row],[Bruttoinntekt17+]]&lt;K$167,K$167,IF(Tabell2[[#This Row],[Bruttoinntekt17+]]&gt;K$168,K$168,Tabell2[[#This Row],[Bruttoinntekt17+]]))</f>
        <v>343944.5863409217</v>
      </c>
      <c r="U41" s="60">
        <f>IF(Tabell2[[#This Row],[NIBR11-BA-Utrunk]]&lt;=L$170,100,IF(Tabell2[[#This Row],[NIBR11-BA-Utrunk]]&gt;=L$169,0,100-Tabell2[[#This Row],[NIBR11-BA-Utrunk]]*100/L$171))</f>
        <v>0</v>
      </c>
      <c r="V41" s="60">
        <f>(M$169-Tabell2[[#This Row],[Reisetid Oslo-T]])*100/M$171</f>
        <v>50.171379643960947</v>
      </c>
      <c r="W41" s="60">
        <f>100-(N$169-Tabell2[[#This Row],[beftettotal-T]])*100/N$171</f>
        <v>0</v>
      </c>
      <c r="X41" s="60">
        <f>100-(O$169-Tabell2[[#This Row],[Befvekst10-T]])*100/O$171</f>
        <v>50.77934835995606</v>
      </c>
      <c r="Y41" s="60">
        <f>100-(P$169-Tabell2[[#This Row],[Kvinneandel-T]])*100/P$171</f>
        <v>66.260971983465765</v>
      </c>
      <c r="Z41" s="60">
        <f>(Q$169-Tabell2[[#This Row],[Eldreandel-T]])*100/Q$171</f>
        <v>94.26350460488058</v>
      </c>
      <c r="AA41" s="60">
        <f>100-(R$169-Tabell2[[#This Row],[Syssvekst10-T]])*100/R$171</f>
        <v>100</v>
      </c>
      <c r="AB41" s="60">
        <f>100-(S$169-Tabell2[[#This Row],[Yrkesaktiveandel-T]])*100/S$171</f>
        <v>90.896731480676749</v>
      </c>
      <c r="AC41" s="60">
        <f>100-(T$169-Tabell2[[#This Row],[Bruttoinntekt17+-T]])*100/T$171</f>
        <v>83.203144640845295</v>
      </c>
      <c r="AD41" s="60">
        <f>Tabell2[[#This Row],[NIBR11-BA-I]]*$AD$2</f>
        <v>0</v>
      </c>
      <c r="AE41" s="60">
        <f>Tabell2[[#This Row],[Reisetid Oslo-I]]*$AE$2</f>
        <v>5.0171379643960954</v>
      </c>
      <c r="AF41" s="60">
        <f>Tabell2[[#This Row],[beftettotal-I]]*$AF$2</f>
        <v>0</v>
      </c>
      <c r="AG41" s="60">
        <f>Tabell2[[#This Row],[Befvekst10-I]]*$AG$2</f>
        <v>10.155869671991212</v>
      </c>
      <c r="AH41" s="60">
        <f>Tabell2[[#This Row],[Kvinneandel-I]]*$AH$2</f>
        <v>3.3130485991732885</v>
      </c>
      <c r="AI41" s="60">
        <f>Tabell2[[#This Row],[Eldreandel-I]]*$AI$2</f>
        <v>4.7131752302440288</v>
      </c>
      <c r="AJ41" s="60">
        <f>Tabell2[[#This Row],[Syssvekst10-I]]*$AJ$2</f>
        <v>10</v>
      </c>
      <c r="AK41" s="60">
        <f>Tabell2[[#This Row],[Yrkesaktiveandel-I]]*$AK$2</f>
        <v>9.0896731480676749</v>
      </c>
      <c r="AL41" s="60">
        <f>Tabell2[[#This Row],[Bruttoinntekt17+-I]]*$AL$2</f>
        <v>8.3203144640845306</v>
      </c>
      <c r="AM41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50.609219077956837</v>
      </c>
    </row>
    <row r="42" spans="1:39">
      <c r="A42" s="64">
        <v>37</v>
      </c>
      <c r="B42" s="8" t="s">
        <v>92</v>
      </c>
      <c r="C42" s="45">
        <f>Råark!L39</f>
        <v>2</v>
      </c>
      <c r="D42" s="80">
        <f>Råark!K39</f>
        <v>162.5423324248957</v>
      </c>
      <c r="E42" s="80">
        <f>Råark!N39</f>
        <v>60.276198212835091</v>
      </c>
      <c r="F42" s="80">
        <f>Råark!O39</f>
        <v>0.12598746108687919</v>
      </c>
      <c r="G42" s="80">
        <f>Råark!P39</f>
        <v>0.13445514054678476</v>
      </c>
      <c r="H42" s="80">
        <f>Råark!Q39</f>
        <v>0.12149403157489411</v>
      </c>
      <c r="I42" s="80">
        <f>Råark!R39</f>
        <v>0.25847031197584713</v>
      </c>
      <c r="J42" s="80">
        <f>Råark!S39</f>
        <v>0.85164060664595786</v>
      </c>
      <c r="K42" s="80">
        <f>Råark!M39</f>
        <v>347518.25727378455</v>
      </c>
      <c r="L42" s="59">
        <f>Tabell2[[#This Row],[NIBR11BA]]</f>
        <v>2</v>
      </c>
      <c r="M42" s="80">
        <f>IF(Tabell2[[#This Row],[Reisetid Oslo]]&lt;D$167,D$167,IF(Tabell2[[#This Row],[Reisetid Oslo]]&gt;D$168,D$168,Tabell2[[#This Row],[Reisetid Oslo]]))</f>
        <v>162.5423324248957</v>
      </c>
      <c r="N42" s="80">
        <f>IF(Tabell2[[#This Row],[beftettotal]]&lt;E$167,E$167,IF(Tabell2[[#This Row],[beftettotal]]&gt;E$168,E$168,Tabell2[[#This Row],[beftettotal]]))</f>
        <v>44.017170258769376</v>
      </c>
      <c r="O42" s="80">
        <f>IF(Tabell2[[#This Row],[Befvekst10]]&lt;F$167,F$167,IF(Tabell2[[#This Row],[Befvekst10]]&gt;F$168,F$168,Tabell2[[#This Row],[Befvekst10]]))</f>
        <v>9.7533233360955388E-2</v>
      </c>
      <c r="P42" s="80">
        <f>IF(Tabell2[[#This Row],[Kvinneandel]]&lt;G$167,G$167,IF(Tabell2[[#This Row],[Kvinneandel]]&gt;G$168,G$168,Tabell2[[#This Row],[Kvinneandel]]))</f>
        <v>0.12281998450468276</v>
      </c>
      <c r="Q42" s="80">
        <f>IF(Tabell2[[#This Row],[Eldreandel]]&lt;H$167,H$167,IF(Tabell2[[#This Row],[Eldreandel]]&gt;H$168,H$168,Tabell2[[#This Row],[Eldreandel]]))</f>
        <v>0.1286969132327325</v>
      </c>
      <c r="R42" s="80">
        <f>IF(Tabell2[[#This Row],[Syssvekst10]]&lt;I$167,I$167,IF(Tabell2[[#This Row],[Syssvekst10]]&gt;I$168,I$168,Tabell2[[#This Row],[Syssvekst10]]))</f>
        <v>0.1635686869077807</v>
      </c>
      <c r="S42" s="80">
        <f>IF(Tabell2[[#This Row],[Yrkesaktiveandel]]&lt;J$167,J$167,IF(Tabell2[[#This Row],[Yrkesaktiveandel]]&gt;J$168,J$168,Tabell2[[#This Row],[Yrkesaktiveandel]]))</f>
        <v>0.85164060664595786</v>
      </c>
      <c r="T42" s="80">
        <f>IF(Tabell2[[#This Row],[Bruttoinntekt17+]]&lt;K$167,K$167,IF(Tabell2[[#This Row],[Bruttoinntekt17+]]&gt;K$168,K$168,Tabell2[[#This Row],[Bruttoinntekt17+]]))</f>
        <v>347518.25727378455</v>
      </c>
      <c r="U42" s="60">
        <f>IF(Tabell2[[#This Row],[NIBR11-BA-Utrunk]]&lt;=L$170,100,IF(Tabell2[[#This Row],[NIBR11-BA-Utrunk]]&gt;=L$169,0,100-Tabell2[[#This Row],[NIBR11-BA-Utrunk]]*100/L$171))</f>
        <v>80</v>
      </c>
      <c r="V42" s="60">
        <f>(M$169-Tabell2[[#This Row],[Reisetid Oslo-T]])*100/M$171</f>
        <v>83.548586383727425</v>
      </c>
      <c r="W42" s="60">
        <f>100-(N$169-Tabell2[[#This Row],[beftettotal-T]])*100/N$171</f>
        <v>100</v>
      </c>
      <c r="X42" s="60">
        <f>100-(O$169-Tabell2[[#This Row],[Befvekst10-T]])*100/O$171</f>
        <v>100</v>
      </c>
      <c r="Y42" s="60">
        <f>100-(P$169-Tabell2[[#This Row],[Kvinneandel-T]])*100/P$171</f>
        <v>100</v>
      </c>
      <c r="Z42" s="60">
        <f>(Q$169-Tabell2[[#This Row],[Eldreandel-T]])*100/Q$171</f>
        <v>100</v>
      </c>
      <c r="AA42" s="60">
        <f>100-(R$169-Tabell2[[#This Row],[Syssvekst10-T]])*100/R$171</f>
        <v>100</v>
      </c>
      <c r="AB42" s="60">
        <f>100-(S$169-Tabell2[[#This Row],[Yrkesaktiveandel-T]])*100/S$171</f>
        <v>18.975606558755558</v>
      </c>
      <c r="AC42" s="60">
        <f>100-(T$169-Tabell2[[#This Row],[Bruttoinntekt17+-T]])*100/T$171</f>
        <v>89.188914859143495</v>
      </c>
      <c r="AD42" s="60">
        <f>Tabell2[[#This Row],[NIBR11-BA-I]]*$AD$2</f>
        <v>16</v>
      </c>
      <c r="AE42" s="60">
        <f>Tabell2[[#This Row],[Reisetid Oslo-I]]*$AE$2</f>
        <v>8.3548586383727432</v>
      </c>
      <c r="AF42" s="60">
        <f>Tabell2[[#This Row],[beftettotal-I]]*$AF$2</f>
        <v>10</v>
      </c>
      <c r="AG42" s="60">
        <f>Tabell2[[#This Row],[Befvekst10-I]]*$AG$2</f>
        <v>20</v>
      </c>
      <c r="AH42" s="60">
        <f>Tabell2[[#This Row],[Kvinneandel-I]]*$AH$2</f>
        <v>5</v>
      </c>
      <c r="AI42" s="60">
        <f>Tabell2[[#This Row],[Eldreandel-I]]*$AI$2</f>
        <v>5</v>
      </c>
      <c r="AJ42" s="60">
        <f>Tabell2[[#This Row],[Syssvekst10-I]]*$AJ$2</f>
        <v>10</v>
      </c>
      <c r="AK42" s="60">
        <f>Tabell2[[#This Row],[Yrkesaktiveandel-I]]*$AK$2</f>
        <v>1.897560655875556</v>
      </c>
      <c r="AL42" s="60">
        <f>Tabell2[[#This Row],[Bruttoinntekt17+-I]]*$AL$2</f>
        <v>8.9188914859143491</v>
      </c>
      <c r="AM42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85.171310780162642</v>
      </c>
    </row>
    <row r="43" spans="1:39">
      <c r="A43" s="63">
        <v>38</v>
      </c>
      <c r="B43" s="8" t="s">
        <v>93</v>
      </c>
      <c r="C43" s="45">
        <f>Råark!L40</f>
        <v>5</v>
      </c>
      <c r="D43" s="80">
        <f>Råark!K40</f>
        <v>197.69744391274179</v>
      </c>
      <c r="E43" s="80">
        <f>Råark!N40</f>
        <v>20.14392737826072</v>
      </c>
      <c r="F43" s="80">
        <f>Råark!O40</f>
        <v>0.10705675074183985</v>
      </c>
      <c r="G43" s="80">
        <f>Råark!P40</f>
        <v>0.12082757465343218</v>
      </c>
      <c r="H43" s="80">
        <f>Råark!Q40</f>
        <v>0.13410394940737949</v>
      </c>
      <c r="I43" s="80">
        <f>Råark!R40</f>
        <v>0.16263790752448237</v>
      </c>
      <c r="J43" s="80">
        <f>Råark!S40</f>
        <v>0.84383240550835037</v>
      </c>
      <c r="K43" s="80">
        <f>Råark!M40</f>
        <v>324672.21043468796</v>
      </c>
      <c r="L43" s="59">
        <f>Tabell2[[#This Row],[NIBR11BA]]</f>
        <v>5</v>
      </c>
      <c r="M43" s="80">
        <f>IF(Tabell2[[#This Row],[Reisetid Oslo]]&lt;D$167,D$167,IF(Tabell2[[#This Row],[Reisetid Oslo]]&gt;D$168,D$168,Tabell2[[#This Row],[Reisetid Oslo]]))</f>
        <v>197.69744391274179</v>
      </c>
      <c r="N43" s="80">
        <f>IF(Tabell2[[#This Row],[beftettotal]]&lt;E$167,E$167,IF(Tabell2[[#This Row],[beftettotal]]&gt;E$168,E$168,Tabell2[[#This Row],[beftettotal]]))</f>
        <v>20.14392737826072</v>
      </c>
      <c r="O43" s="80">
        <f>IF(Tabell2[[#This Row],[Befvekst10]]&lt;F$167,F$167,IF(Tabell2[[#This Row],[Befvekst10]]&gt;F$168,F$168,Tabell2[[#This Row],[Befvekst10]]))</f>
        <v>9.7533233360955388E-2</v>
      </c>
      <c r="P43" s="80">
        <f>IF(Tabell2[[#This Row],[Kvinneandel]]&lt;G$167,G$167,IF(Tabell2[[#This Row],[Kvinneandel]]&gt;G$168,G$168,Tabell2[[#This Row],[Kvinneandel]]))</f>
        <v>0.12082757465343218</v>
      </c>
      <c r="Q43" s="80">
        <f>IF(Tabell2[[#This Row],[Eldreandel]]&lt;H$167,H$167,IF(Tabell2[[#This Row],[Eldreandel]]&gt;H$168,H$168,Tabell2[[#This Row],[Eldreandel]]))</f>
        <v>0.13410394940737949</v>
      </c>
      <c r="R43" s="80">
        <f>IF(Tabell2[[#This Row],[Syssvekst10]]&lt;I$167,I$167,IF(Tabell2[[#This Row],[Syssvekst10]]&gt;I$168,I$168,Tabell2[[#This Row],[Syssvekst10]]))</f>
        <v>0.16263790752448237</v>
      </c>
      <c r="S43" s="80">
        <f>IF(Tabell2[[#This Row],[Yrkesaktiveandel]]&lt;J$167,J$167,IF(Tabell2[[#This Row],[Yrkesaktiveandel]]&gt;J$168,J$168,Tabell2[[#This Row],[Yrkesaktiveandel]]))</f>
        <v>0.84383240550835037</v>
      </c>
      <c r="T43" s="80">
        <f>IF(Tabell2[[#This Row],[Bruttoinntekt17+]]&lt;K$167,K$167,IF(Tabell2[[#This Row],[Bruttoinntekt17+]]&gt;K$168,K$168,Tabell2[[#This Row],[Bruttoinntekt17+]]))</f>
        <v>324672.21043468796</v>
      </c>
      <c r="U43" s="60">
        <f>IF(Tabell2[[#This Row],[NIBR11-BA-Utrunk]]&lt;=L$170,100,IF(Tabell2[[#This Row],[NIBR11-BA-Utrunk]]&gt;=L$169,0,100-Tabell2[[#This Row],[NIBR11-BA-Utrunk]]*100/L$171))</f>
        <v>50</v>
      </c>
      <c r="V43" s="60">
        <f>(M$169-Tabell2[[#This Row],[Reisetid Oslo-T]])*100/M$171</f>
        <v>64.672610126234758</v>
      </c>
      <c r="W43" s="60">
        <f>100-(N$169-Tabell2[[#This Row],[beftettotal-T]])*100/N$171</f>
        <v>44.497637278076603</v>
      </c>
      <c r="X43" s="60">
        <f>100-(O$169-Tabell2[[#This Row],[Befvekst10-T]])*100/O$171</f>
        <v>100</v>
      </c>
      <c r="Y43" s="60">
        <f>100-(P$169-Tabell2[[#This Row],[Kvinneandel-T]])*100/P$171</f>
        <v>93.646073623511342</v>
      </c>
      <c r="Z43" s="60">
        <f>(Q$169-Tabell2[[#This Row],[Eldreandel-T]])*100/Q$171</f>
        <v>92.807327895506603</v>
      </c>
      <c r="AA43" s="60">
        <f>100-(R$169-Tabell2[[#This Row],[Syssvekst10-T]])*100/R$171</f>
        <v>99.648736732902151</v>
      </c>
      <c r="AB43" s="60">
        <f>100-(S$169-Tabell2[[#This Row],[Yrkesaktiveandel-T]])*100/S$171</f>
        <v>13.073261210910587</v>
      </c>
      <c r="AC43" s="60">
        <f>100-(T$169-Tabell2[[#This Row],[Bruttoinntekt17+-T]])*100/T$171</f>
        <v>50.922608491153532</v>
      </c>
      <c r="AD43" s="60">
        <f>Tabell2[[#This Row],[NIBR11-BA-I]]*$AD$2</f>
        <v>10</v>
      </c>
      <c r="AE43" s="60">
        <f>Tabell2[[#This Row],[Reisetid Oslo-I]]*$AE$2</f>
        <v>6.4672610126234762</v>
      </c>
      <c r="AF43" s="60">
        <f>Tabell2[[#This Row],[beftettotal-I]]*$AF$2</f>
        <v>4.4497637278076603</v>
      </c>
      <c r="AG43" s="60">
        <f>Tabell2[[#This Row],[Befvekst10-I]]*$AG$2</f>
        <v>20</v>
      </c>
      <c r="AH43" s="60">
        <f>Tabell2[[#This Row],[Kvinneandel-I]]*$AH$2</f>
        <v>4.6823036811755676</v>
      </c>
      <c r="AI43" s="60">
        <f>Tabell2[[#This Row],[Eldreandel-I]]*$AI$2</f>
        <v>4.64036639477533</v>
      </c>
      <c r="AJ43" s="60">
        <f>Tabell2[[#This Row],[Syssvekst10-I]]*$AJ$2</f>
        <v>9.9648736732902155</v>
      </c>
      <c r="AK43" s="60">
        <f>Tabell2[[#This Row],[Yrkesaktiveandel-I]]*$AK$2</f>
        <v>1.3073261210910587</v>
      </c>
      <c r="AL43" s="60">
        <f>Tabell2[[#This Row],[Bruttoinntekt17+-I]]*$AL$2</f>
        <v>5.0922608491153536</v>
      </c>
      <c r="AM43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66.604155459878655</v>
      </c>
    </row>
    <row r="44" spans="1:39">
      <c r="A44" s="64">
        <v>39</v>
      </c>
      <c r="B44" s="8" t="s">
        <v>94</v>
      </c>
      <c r="C44" s="45">
        <f>Råark!L41</f>
        <v>5</v>
      </c>
      <c r="D44" s="80">
        <f>Råark!K41</f>
        <v>227.14659701281133</v>
      </c>
      <c r="E44" s="80">
        <f>Råark!N41</f>
        <v>17.036983880661278</v>
      </c>
      <c r="F44" s="80">
        <f>Råark!O41</f>
        <v>3.8379530916844429E-2</v>
      </c>
      <c r="G44" s="80">
        <f>Råark!P41</f>
        <v>0.11772758384668036</v>
      </c>
      <c r="H44" s="80">
        <f>Råark!Q41</f>
        <v>0.14084136260727637</v>
      </c>
      <c r="I44" s="80">
        <f>Råark!R41</f>
        <v>8.7991441561914963E-2</v>
      </c>
      <c r="J44" s="80">
        <f>Råark!S41</f>
        <v>0.87723129510064568</v>
      </c>
      <c r="K44" s="80">
        <f>Råark!M41</f>
        <v>331292.42340601713</v>
      </c>
      <c r="L44" s="59">
        <f>Tabell2[[#This Row],[NIBR11BA]]</f>
        <v>5</v>
      </c>
      <c r="M44" s="80">
        <f>IF(Tabell2[[#This Row],[Reisetid Oslo]]&lt;D$167,D$167,IF(Tabell2[[#This Row],[Reisetid Oslo]]&gt;D$168,D$168,Tabell2[[#This Row],[Reisetid Oslo]]))</f>
        <v>227.14659701281133</v>
      </c>
      <c r="N44" s="80">
        <f>IF(Tabell2[[#This Row],[beftettotal]]&lt;E$167,E$167,IF(Tabell2[[#This Row],[beftettotal]]&gt;E$168,E$168,Tabell2[[#This Row],[beftettotal]]))</f>
        <v>17.036983880661278</v>
      </c>
      <c r="O44" s="80">
        <f>IF(Tabell2[[#This Row],[Befvekst10]]&lt;F$167,F$167,IF(Tabell2[[#This Row],[Befvekst10]]&gt;F$168,F$168,Tabell2[[#This Row],[Befvekst10]]))</f>
        <v>3.8379530916844429E-2</v>
      </c>
      <c r="P44" s="80">
        <f>IF(Tabell2[[#This Row],[Kvinneandel]]&lt;G$167,G$167,IF(Tabell2[[#This Row],[Kvinneandel]]&gt;G$168,G$168,Tabell2[[#This Row],[Kvinneandel]]))</f>
        <v>0.11772758384668036</v>
      </c>
      <c r="Q44" s="80">
        <f>IF(Tabell2[[#This Row],[Eldreandel]]&lt;H$167,H$167,IF(Tabell2[[#This Row],[Eldreandel]]&gt;H$168,H$168,Tabell2[[#This Row],[Eldreandel]]))</f>
        <v>0.14084136260727637</v>
      </c>
      <c r="R44" s="80">
        <f>IF(Tabell2[[#This Row],[Syssvekst10]]&lt;I$167,I$167,IF(Tabell2[[#This Row],[Syssvekst10]]&gt;I$168,I$168,Tabell2[[#This Row],[Syssvekst10]]))</f>
        <v>8.7991441561914963E-2</v>
      </c>
      <c r="S44" s="80">
        <f>IF(Tabell2[[#This Row],[Yrkesaktiveandel]]&lt;J$167,J$167,IF(Tabell2[[#This Row],[Yrkesaktiveandel]]&gt;J$168,J$168,Tabell2[[#This Row],[Yrkesaktiveandel]]))</f>
        <v>0.87723129510064568</v>
      </c>
      <c r="T44" s="80">
        <f>IF(Tabell2[[#This Row],[Bruttoinntekt17+]]&lt;K$167,K$167,IF(Tabell2[[#This Row],[Bruttoinntekt17+]]&gt;K$168,K$168,Tabell2[[#This Row],[Bruttoinntekt17+]]))</f>
        <v>331292.42340601713</v>
      </c>
      <c r="U44" s="60">
        <f>IF(Tabell2[[#This Row],[NIBR11-BA-Utrunk]]&lt;=L$170,100,IF(Tabell2[[#This Row],[NIBR11-BA-Utrunk]]&gt;=L$169,0,100-Tabell2[[#This Row],[NIBR11-BA-Utrunk]]*100/L$171))</f>
        <v>50</v>
      </c>
      <c r="V44" s="60">
        <f>(M$169-Tabell2[[#This Row],[Reisetid Oslo-T]])*100/M$171</f>
        <v>48.860357193617553</v>
      </c>
      <c r="W44" s="60">
        <f>100-(N$169-Tabell2[[#This Row],[beftettotal-T]])*100/N$171</f>
        <v>37.274374572485961</v>
      </c>
      <c r="X44" s="60">
        <f>100-(O$169-Tabell2[[#This Row],[Befvekst10-T]])*100/O$171</f>
        <v>73.471964272112416</v>
      </c>
      <c r="Y44" s="60">
        <f>100-(P$169-Tabell2[[#This Row],[Kvinneandel-T]])*100/P$171</f>
        <v>83.759998556411404</v>
      </c>
      <c r="Z44" s="60">
        <f>(Q$169-Tabell2[[#This Row],[Eldreandel-T]])*100/Q$171</f>
        <v>83.844931045534082</v>
      </c>
      <c r="AA44" s="60">
        <f>100-(R$169-Tabell2[[#This Row],[Syssvekst10-T]])*100/R$171</f>
        <v>71.478192797556204</v>
      </c>
      <c r="AB44" s="60">
        <f>100-(S$169-Tabell2[[#This Row],[Yrkesaktiveandel-T]])*100/S$171</f>
        <v>38.320021269229933</v>
      </c>
      <c r="AC44" s="60">
        <f>100-(T$169-Tabell2[[#This Row],[Bruttoinntekt17+-T]])*100/T$171</f>
        <v>62.011226997734546</v>
      </c>
      <c r="AD44" s="60">
        <f>Tabell2[[#This Row],[NIBR11-BA-I]]*$AD$2</f>
        <v>10</v>
      </c>
      <c r="AE44" s="60">
        <f>Tabell2[[#This Row],[Reisetid Oslo-I]]*$AE$2</f>
        <v>4.8860357193617556</v>
      </c>
      <c r="AF44" s="60">
        <f>Tabell2[[#This Row],[beftettotal-I]]*$AF$2</f>
        <v>3.7274374572485964</v>
      </c>
      <c r="AG44" s="60">
        <f>Tabell2[[#This Row],[Befvekst10-I]]*$AG$2</f>
        <v>14.694392854422484</v>
      </c>
      <c r="AH44" s="60">
        <f>Tabell2[[#This Row],[Kvinneandel-I]]*$AH$2</f>
        <v>4.1879999278205702</v>
      </c>
      <c r="AI44" s="60">
        <f>Tabell2[[#This Row],[Eldreandel-I]]*$AI$2</f>
        <v>4.1922465522767043</v>
      </c>
      <c r="AJ44" s="60">
        <f>Tabell2[[#This Row],[Syssvekst10-I]]*$AJ$2</f>
        <v>7.1478192797556206</v>
      </c>
      <c r="AK44" s="60">
        <f>Tabell2[[#This Row],[Yrkesaktiveandel-I]]*$AK$2</f>
        <v>3.8320021269229936</v>
      </c>
      <c r="AL44" s="60">
        <f>Tabell2[[#This Row],[Bruttoinntekt17+-I]]*$AL$2</f>
        <v>6.201122699773455</v>
      </c>
      <c r="AM44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58.869056617582189</v>
      </c>
    </row>
    <row r="45" spans="1:39">
      <c r="A45" s="63">
        <v>40</v>
      </c>
      <c r="B45" s="8" t="s">
        <v>95</v>
      </c>
      <c r="C45" s="45">
        <f>Råark!L42</f>
        <v>6</v>
      </c>
      <c r="D45" s="80">
        <f>Råark!K42</f>
        <v>239.8717532102481</v>
      </c>
      <c r="E45" s="80">
        <f>Råark!N42</f>
        <v>9.43326265654213</v>
      </c>
      <c r="F45" s="80">
        <f>Råark!O42</f>
        <v>3.2230413166466576E-2</v>
      </c>
      <c r="G45" s="80">
        <f>Råark!P42</f>
        <v>0.10911808669656203</v>
      </c>
      <c r="H45" s="80">
        <f>Råark!Q42</f>
        <v>0.15318607097381387</v>
      </c>
      <c r="I45" s="80">
        <f>Råark!R42</f>
        <v>7.645422021995496E-2</v>
      </c>
      <c r="J45" s="80">
        <f>Råark!S42</f>
        <v>0.89295193158360364</v>
      </c>
      <c r="K45" s="80">
        <f>Råark!M42</f>
        <v>329154.03818953322</v>
      </c>
      <c r="L45" s="59">
        <f>Tabell2[[#This Row],[NIBR11BA]]</f>
        <v>6</v>
      </c>
      <c r="M45" s="80">
        <f>IF(Tabell2[[#This Row],[Reisetid Oslo]]&lt;D$167,D$167,IF(Tabell2[[#This Row],[Reisetid Oslo]]&gt;D$168,D$168,Tabell2[[#This Row],[Reisetid Oslo]]))</f>
        <v>239.8717532102481</v>
      </c>
      <c r="N45" s="80">
        <f>IF(Tabell2[[#This Row],[beftettotal]]&lt;E$167,E$167,IF(Tabell2[[#This Row],[beftettotal]]&gt;E$168,E$168,Tabell2[[#This Row],[beftettotal]]))</f>
        <v>9.43326265654213</v>
      </c>
      <c r="O45" s="80">
        <f>IF(Tabell2[[#This Row],[Befvekst10]]&lt;F$167,F$167,IF(Tabell2[[#This Row],[Befvekst10]]&gt;F$168,F$168,Tabell2[[#This Row],[Befvekst10]]))</f>
        <v>3.2230413166466576E-2</v>
      </c>
      <c r="P45" s="80">
        <f>IF(Tabell2[[#This Row],[Kvinneandel]]&lt;G$167,G$167,IF(Tabell2[[#This Row],[Kvinneandel]]&gt;G$168,G$168,Tabell2[[#This Row],[Kvinneandel]]))</f>
        <v>0.10911808669656203</v>
      </c>
      <c r="Q45" s="80">
        <f>IF(Tabell2[[#This Row],[Eldreandel]]&lt;H$167,H$167,IF(Tabell2[[#This Row],[Eldreandel]]&gt;H$168,H$168,Tabell2[[#This Row],[Eldreandel]]))</f>
        <v>0.15318607097381387</v>
      </c>
      <c r="R45" s="80">
        <f>IF(Tabell2[[#This Row],[Syssvekst10]]&lt;I$167,I$167,IF(Tabell2[[#This Row],[Syssvekst10]]&gt;I$168,I$168,Tabell2[[#This Row],[Syssvekst10]]))</f>
        <v>7.645422021995496E-2</v>
      </c>
      <c r="S45" s="80">
        <f>IF(Tabell2[[#This Row],[Yrkesaktiveandel]]&lt;J$167,J$167,IF(Tabell2[[#This Row],[Yrkesaktiveandel]]&gt;J$168,J$168,Tabell2[[#This Row],[Yrkesaktiveandel]]))</f>
        <v>0.89295193158360364</v>
      </c>
      <c r="T45" s="80">
        <f>IF(Tabell2[[#This Row],[Bruttoinntekt17+]]&lt;K$167,K$167,IF(Tabell2[[#This Row],[Bruttoinntekt17+]]&gt;K$168,K$168,Tabell2[[#This Row],[Bruttoinntekt17+]]))</f>
        <v>329154.03818953322</v>
      </c>
      <c r="U45" s="60">
        <f>IF(Tabell2[[#This Row],[NIBR11-BA-Utrunk]]&lt;=L$170,100,IF(Tabell2[[#This Row],[NIBR11-BA-Utrunk]]&gt;=L$169,0,100-Tabell2[[#This Row],[NIBR11-BA-Utrunk]]*100/L$171))</f>
        <v>40</v>
      </c>
      <c r="V45" s="60">
        <f>(M$169-Tabell2[[#This Row],[Reisetid Oslo-T]])*100/M$171</f>
        <v>42.027787587381354</v>
      </c>
      <c r="W45" s="60">
        <f>100-(N$169-Tabell2[[#This Row],[beftettotal-T]])*100/N$171</f>
        <v>19.596654979476227</v>
      </c>
      <c r="X45" s="60">
        <f>100-(O$169-Tabell2[[#This Row],[Befvekst10-T]])*100/O$171</f>
        <v>70.714334425846545</v>
      </c>
      <c r="Y45" s="60">
        <f>100-(P$169-Tabell2[[#This Row],[Kvinneandel-T]])*100/P$171</f>
        <v>56.303744515053182</v>
      </c>
      <c r="Z45" s="60">
        <f>(Q$169-Tabell2[[#This Row],[Eldreandel-T]])*100/Q$171</f>
        <v>67.423468965728901</v>
      </c>
      <c r="AA45" s="60">
        <f>100-(R$169-Tabell2[[#This Row],[Syssvekst10-T]])*100/R$171</f>
        <v>67.124205016426998</v>
      </c>
      <c r="AB45" s="60">
        <f>100-(S$169-Tabell2[[#This Row],[Yrkesaktiveandel-T]])*100/S$171</f>
        <v>50.20350428600841</v>
      </c>
      <c r="AC45" s="60">
        <f>100-(T$169-Tabell2[[#This Row],[Bruttoinntekt17+-T]])*100/T$171</f>
        <v>58.429508707342151</v>
      </c>
      <c r="AD45" s="60">
        <f>Tabell2[[#This Row],[NIBR11-BA-I]]*$AD$2</f>
        <v>8</v>
      </c>
      <c r="AE45" s="60">
        <f>Tabell2[[#This Row],[Reisetid Oslo-I]]*$AE$2</f>
        <v>4.2027787587381358</v>
      </c>
      <c r="AF45" s="60">
        <f>Tabell2[[#This Row],[beftettotal-I]]*$AF$2</f>
        <v>1.9596654979476229</v>
      </c>
      <c r="AG45" s="60">
        <f>Tabell2[[#This Row],[Befvekst10-I]]*$AG$2</f>
        <v>14.14286688516931</v>
      </c>
      <c r="AH45" s="60">
        <f>Tabell2[[#This Row],[Kvinneandel-I]]*$AH$2</f>
        <v>2.8151872257526591</v>
      </c>
      <c r="AI45" s="60">
        <f>Tabell2[[#This Row],[Eldreandel-I]]*$AI$2</f>
        <v>3.3711734482864451</v>
      </c>
      <c r="AJ45" s="60">
        <f>Tabell2[[#This Row],[Syssvekst10-I]]*$AJ$2</f>
        <v>6.7124205016427005</v>
      </c>
      <c r="AK45" s="60">
        <f>Tabell2[[#This Row],[Yrkesaktiveandel-I]]*$AK$2</f>
        <v>5.0203504286008416</v>
      </c>
      <c r="AL45" s="60">
        <f>Tabell2[[#This Row],[Bruttoinntekt17+-I]]*$AL$2</f>
        <v>5.8429508707342155</v>
      </c>
      <c r="AM45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52.067393616871932</v>
      </c>
    </row>
    <row r="46" spans="1:39">
      <c r="A46" s="64">
        <v>41</v>
      </c>
      <c r="B46" s="8" t="s">
        <v>96</v>
      </c>
      <c r="C46" s="45">
        <f>Råark!L43</f>
        <v>5</v>
      </c>
      <c r="D46" s="80">
        <f>Råark!K43</f>
        <v>220.3435747648</v>
      </c>
      <c r="E46" s="80">
        <f>Råark!N43</f>
        <v>1.0275824770146025</v>
      </c>
      <c r="F46" s="80">
        <f>Råark!O43</f>
        <v>1.1086474501108556E-2</v>
      </c>
      <c r="G46" s="80">
        <f>Råark!P43</f>
        <v>9.1008771929824567E-2</v>
      </c>
      <c r="H46" s="80">
        <f>Råark!Q43</f>
        <v>0.14144736842105263</v>
      </c>
      <c r="I46" s="80">
        <f>Råark!R43</f>
        <v>0.34560327198364016</v>
      </c>
      <c r="J46" s="80">
        <f>Råark!S43</f>
        <v>0.9651639344262295</v>
      </c>
      <c r="K46" s="80">
        <f>Råark!M43</f>
        <v>336000</v>
      </c>
      <c r="L46" s="59">
        <f>Tabell2[[#This Row],[NIBR11BA]]</f>
        <v>5</v>
      </c>
      <c r="M46" s="80">
        <f>IF(Tabell2[[#This Row],[Reisetid Oslo]]&lt;D$167,D$167,IF(Tabell2[[#This Row],[Reisetid Oslo]]&gt;D$168,D$168,Tabell2[[#This Row],[Reisetid Oslo]]))</f>
        <v>220.3435747648</v>
      </c>
      <c r="N46" s="80">
        <f>IF(Tabell2[[#This Row],[beftettotal]]&lt;E$167,E$167,IF(Tabell2[[#This Row],[beftettotal]]&gt;E$168,E$168,Tabell2[[#This Row],[beftettotal]]))</f>
        <v>1.0275824770146025</v>
      </c>
      <c r="O46" s="80">
        <f>IF(Tabell2[[#This Row],[Befvekst10]]&lt;F$167,F$167,IF(Tabell2[[#This Row],[Befvekst10]]&gt;F$168,F$168,Tabell2[[#This Row],[Befvekst10]]))</f>
        <v>1.1086474501108556E-2</v>
      </c>
      <c r="P46" s="80">
        <f>IF(Tabell2[[#This Row],[Kvinneandel]]&lt;G$167,G$167,IF(Tabell2[[#This Row],[Kvinneandel]]&gt;G$168,G$168,Tabell2[[#This Row],[Kvinneandel]]))</f>
        <v>9.1462840383166502E-2</v>
      </c>
      <c r="Q46" s="80">
        <f>IF(Tabell2[[#This Row],[Eldreandel]]&lt;H$167,H$167,IF(Tabell2[[#This Row],[Eldreandel]]&gt;H$168,H$168,Tabell2[[#This Row],[Eldreandel]]))</f>
        <v>0.14144736842105263</v>
      </c>
      <c r="R46" s="80">
        <f>IF(Tabell2[[#This Row],[Syssvekst10]]&lt;I$167,I$167,IF(Tabell2[[#This Row],[Syssvekst10]]&gt;I$168,I$168,Tabell2[[#This Row],[Syssvekst10]]))</f>
        <v>0.1635686869077807</v>
      </c>
      <c r="S46" s="80">
        <f>IF(Tabell2[[#This Row],[Yrkesaktiveandel]]&lt;J$167,J$167,IF(Tabell2[[#This Row],[Yrkesaktiveandel]]&gt;J$168,J$168,Tabell2[[#This Row],[Yrkesaktiveandel]]))</f>
        <v>0.95882761854672227</v>
      </c>
      <c r="T46" s="80">
        <f>IF(Tabell2[[#This Row],[Bruttoinntekt17+]]&lt;K$167,K$167,IF(Tabell2[[#This Row],[Bruttoinntekt17+]]&gt;K$168,K$168,Tabell2[[#This Row],[Bruttoinntekt17+]]))</f>
        <v>336000</v>
      </c>
      <c r="U46" s="60">
        <f>IF(Tabell2[[#This Row],[NIBR11-BA-Utrunk]]&lt;=L$170,100,IF(Tabell2[[#This Row],[NIBR11-BA-Utrunk]]&gt;=L$169,0,100-Tabell2[[#This Row],[NIBR11-BA-Utrunk]]*100/L$171))</f>
        <v>50</v>
      </c>
      <c r="V46" s="60">
        <f>(M$169-Tabell2[[#This Row],[Reisetid Oslo-T]])*100/M$171</f>
        <v>52.513131455962068</v>
      </c>
      <c r="W46" s="60">
        <f>100-(N$169-Tabell2[[#This Row],[beftettotal-T]])*100/N$171</f>
        <v>5.4479139195947823E-2</v>
      </c>
      <c r="X46" s="60">
        <f>100-(O$169-Tabell2[[#This Row],[Befvekst10-T]])*100/O$171</f>
        <v>61.232135727078159</v>
      </c>
      <c r="Y46" s="60">
        <f>100-(P$169-Tabell2[[#This Row],[Kvinneandel-T]])*100/P$171</f>
        <v>0</v>
      </c>
      <c r="Z46" s="60">
        <f>(Q$169-Tabell2[[#This Row],[Eldreandel-T]])*100/Q$171</f>
        <v>83.038796044561224</v>
      </c>
      <c r="AA46" s="60">
        <f>100-(R$169-Tabell2[[#This Row],[Syssvekst10-T]])*100/R$171</f>
        <v>100</v>
      </c>
      <c r="AB46" s="60">
        <f>100-(S$169-Tabell2[[#This Row],[Yrkesaktiveandel-T]])*100/S$171</f>
        <v>100</v>
      </c>
      <c r="AC46" s="60">
        <f>100-(T$169-Tabell2[[#This Row],[Bruttoinntekt17+-T]])*100/T$171</f>
        <v>69.896248396178407</v>
      </c>
      <c r="AD46" s="60">
        <f>Tabell2[[#This Row],[NIBR11-BA-I]]*$AD$2</f>
        <v>10</v>
      </c>
      <c r="AE46" s="60">
        <f>Tabell2[[#This Row],[Reisetid Oslo-I]]*$AE$2</f>
        <v>5.2513131455962068</v>
      </c>
      <c r="AF46" s="60">
        <f>Tabell2[[#This Row],[beftettotal-I]]*$AF$2</f>
        <v>5.4479139195947827E-3</v>
      </c>
      <c r="AG46" s="60">
        <f>Tabell2[[#This Row],[Befvekst10-I]]*$AG$2</f>
        <v>12.246427145415632</v>
      </c>
      <c r="AH46" s="60">
        <f>Tabell2[[#This Row],[Kvinneandel-I]]*$AH$2</f>
        <v>0</v>
      </c>
      <c r="AI46" s="60">
        <f>Tabell2[[#This Row],[Eldreandel-I]]*$AI$2</f>
        <v>4.1519398022280614</v>
      </c>
      <c r="AJ46" s="60">
        <f>Tabell2[[#This Row],[Syssvekst10-I]]*$AJ$2</f>
        <v>10</v>
      </c>
      <c r="AK46" s="60">
        <f>Tabell2[[#This Row],[Yrkesaktiveandel-I]]*$AK$2</f>
        <v>10</v>
      </c>
      <c r="AL46" s="60">
        <f>Tabell2[[#This Row],[Bruttoinntekt17+-I]]*$AL$2</f>
        <v>6.9896248396178411</v>
      </c>
      <c r="AM46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58.64475284677733</v>
      </c>
    </row>
    <row r="47" spans="1:39">
      <c r="A47" s="63">
        <v>42</v>
      </c>
      <c r="B47" s="8" t="s">
        <v>97</v>
      </c>
      <c r="C47" s="45">
        <f>Råark!L44</f>
        <v>7</v>
      </c>
      <c r="D47" s="80">
        <f>Råark!K44</f>
        <v>237.8116612961</v>
      </c>
      <c r="E47" s="80">
        <f>Råark!N44</f>
        <v>1.1679733475685443</v>
      </c>
      <c r="F47" s="80">
        <f>Råark!O44</f>
        <v>3.2992036405005587E-2</v>
      </c>
      <c r="G47" s="80">
        <f>Råark!P44</f>
        <v>0.12004405286343613</v>
      </c>
      <c r="H47" s="80">
        <f>Råark!Q44</f>
        <v>0.14977973568281938</v>
      </c>
      <c r="I47" s="80">
        <f>Råark!R44</f>
        <v>0.15342163355408389</v>
      </c>
      <c r="J47" s="80">
        <f>Råark!S44</f>
        <v>0.98247322297955209</v>
      </c>
      <c r="K47" s="80">
        <f>Råark!M44</f>
        <v>367200</v>
      </c>
      <c r="L47" s="59">
        <f>Tabell2[[#This Row],[NIBR11BA]]</f>
        <v>7</v>
      </c>
      <c r="M47" s="80">
        <f>IF(Tabell2[[#This Row],[Reisetid Oslo]]&lt;D$167,D$167,IF(Tabell2[[#This Row],[Reisetid Oslo]]&gt;D$168,D$168,Tabell2[[#This Row],[Reisetid Oslo]]))</f>
        <v>237.8116612961</v>
      </c>
      <c r="N47" s="80">
        <f>IF(Tabell2[[#This Row],[beftettotal]]&lt;E$167,E$167,IF(Tabell2[[#This Row],[beftettotal]]&gt;E$168,E$168,Tabell2[[#This Row],[beftettotal]]))</f>
        <v>1.1679733475685443</v>
      </c>
      <c r="O47" s="80">
        <f>IF(Tabell2[[#This Row],[Befvekst10]]&lt;F$167,F$167,IF(Tabell2[[#This Row],[Befvekst10]]&gt;F$168,F$168,Tabell2[[#This Row],[Befvekst10]]))</f>
        <v>3.2992036405005587E-2</v>
      </c>
      <c r="P47" s="80">
        <f>IF(Tabell2[[#This Row],[Kvinneandel]]&lt;G$167,G$167,IF(Tabell2[[#This Row],[Kvinneandel]]&gt;G$168,G$168,Tabell2[[#This Row],[Kvinneandel]]))</f>
        <v>0.12004405286343613</v>
      </c>
      <c r="Q47" s="80">
        <f>IF(Tabell2[[#This Row],[Eldreandel]]&lt;H$167,H$167,IF(Tabell2[[#This Row],[Eldreandel]]&gt;H$168,H$168,Tabell2[[#This Row],[Eldreandel]]))</f>
        <v>0.14977973568281938</v>
      </c>
      <c r="R47" s="80">
        <f>IF(Tabell2[[#This Row],[Syssvekst10]]&lt;I$167,I$167,IF(Tabell2[[#This Row],[Syssvekst10]]&gt;I$168,I$168,Tabell2[[#This Row],[Syssvekst10]]))</f>
        <v>0.15342163355408389</v>
      </c>
      <c r="S47" s="80">
        <f>IF(Tabell2[[#This Row],[Yrkesaktiveandel]]&lt;J$167,J$167,IF(Tabell2[[#This Row],[Yrkesaktiveandel]]&gt;J$168,J$168,Tabell2[[#This Row],[Yrkesaktiveandel]]))</f>
        <v>0.95882761854672227</v>
      </c>
      <c r="T47" s="80">
        <f>IF(Tabell2[[#This Row],[Bruttoinntekt17+]]&lt;K$167,K$167,IF(Tabell2[[#This Row],[Bruttoinntekt17+]]&gt;K$168,K$168,Tabell2[[#This Row],[Bruttoinntekt17+]]))</f>
        <v>353972.77512388147</v>
      </c>
      <c r="U47" s="60">
        <f>IF(Tabell2[[#This Row],[NIBR11-BA-Utrunk]]&lt;=L$170,100,IF(Tabell2[[#This Row],[NIBR11-BA-Utrunk]]&gt;=L$169,0,100-Tabell2[[#This Row],[NIBR11-BA-Utrunk]]*100/L$171))</f>
        <v>30</v>
      </c>
      <c r="V47" s="60">
        <f>(M$169-Tabell2[[#This Row],[Reisetid Oslo-T]])*100/M$171</f>
        <v>43.133921074489088</v>
      </c>
      <c r="W47" s="60">
        <f>100-(N$169-Tabell2[[#This Row],[beftettotal-T]])*100/N$171</f>
        <v>0.38087070063284045</v>
      </c>
      <c r="X47" s="60">
        <f>100-(O$169-Tabell2[[#This Row],[Befvekst10-T]])*100/O$171</f>
        <v>71.055891549886951</v>
      </c>
      <c r="Y47" s="60">
        <f>100-(P$169-Tabell2[[#This Row],[Kvinneandel-T]])*100/P$171</f>
        <v>91.147370977123259</v>
      </c>
      <c r="Z47" s="60">
        <f>(Q$169-Tabell2[[#This Row],[Eldreandel-T]])*100/Q$171</f>
        <v>71.95472269415194</v>
      </c>
      <c r="AA47" s="60">
        <f>100-(R$169-Tabell2[[#This Row],[Syssvekst10-T]])*100/R$171</f>
        <v>96.170642392394598</v>
      </c>
      <c r="AB47" s="60">
        <f>100-(S$169-Tabell2[[#This Row],[Yrkesaktiveandel-T]])*100/S$171</f>
        <v>100</v>
      </c>
      <c r="AC47" s="60">
        <f>100-(T$169-Tabell2[[#This Row],[Bruttoinntekt17+-T]])*100/T$171</f>
        <v>100</v>
      </c>
      <c r="AD47" s="60">
        <f>Tabell2[[#This Row],[NIBR11-BA-I]]*$AD$2</f>
        <v>6</v>
      </c>
      <c r="AE47" s="60">
        <f>Tabell2[[#This Row],[Reisetid Oslo-I]]*$AE$2</f>
        <v>4.3133921074489088</v>
      </c>
      <c r="AF47" s="60">
        <f>Tabell2[[#This Row],[beftettotal-I]]*$AF$2</f>
        <v>3.8087070063284045E-2</v>
      </c>
      <c r="AG47" s="60">
        <f>Tabell2[[#This Row],[Befvekst10-I]]*$AG$2</f>
        <v>14.211178309977392</v>
      </c>
      <c r="AH47" s="60">
        <f>Tabell2[[#This Row],[Kvinneandel-I]]*$AH$2</f>
        <v>4.5573685488561635</v>
      </c>
      <c r="AI47" s="60">
        <f>Tabell2[[#This Row],[Eldreandel-I]]*$AI$2</f>
        <v>3.5977361347075973</v>
      </c>
      <c r="AJ47" s="60">
        <f>Tabell2[[#This Row],[Syssvekst10-I]]*$AJ$2</f>
        <v>9.6170642392394612</v>
      </c>
      <c r="AK47" s="60">
        <f>Tabell2[[#This Row],[Yrkesaktiveandel-I]]*$AK$2</f>
        <v>10</v>
      </c>
      <c r="AL47" s="60">
        <f>Tabell2[[#This Row],[Bruttoinntekt17+-I]]*$AL$2</f>
        <v>10</v>
      </c>
      <c r="AM47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62.334826410292806</v>
      </c>
    </row>
    <row r="48" spans="1:39">
      <c r="A48" s="64">
        <v>43</v>
      </c>
      <c r="B48" s="8" t="s">
        <v>98</v>
      </c>
      <c r="C48" s="45">
        <f>Råark!L45</f>
        <v>5</v>
      </c>
      <c r="D48" s="80">
        <f>Råark!K45</f>
        <v>214.06868639783585</v>
      </c>
      <c r="E48" s="80">
        <f>Råark!N45</f>
        <v>24.407768861236907</v>
      </c>
      <c r="F48" s="80">
        <f>Råark!O45</f>
        <v>6.6073468406180558E-2</v>
      </c>
      <c r="G48" s="80">
        <f>Råark!P45</f>
        <v>0.1152718249492443</v>
      </c>
      <c r="H48" s="80">
        <f>Råark!Q45</f>
        <v>0.13495375592149786</v>
      </c>
      <c r="I48" s="80">
        <f>Råark!R45</f>
        <v>8.2963374028856895E-2</v>
      </c>
      <c r="J48" s="80">
        <f>Råark!S45</f>
        <v>0.90967360220885518</v>
      </c>
      <c r="K48" s="80">
        <f>Råark!M45</f>
        <v>354755.08239754994</v>
      </c>
      <c r="L48" s="59">
        <f>Tabell2[[#This Row],[NIBR11BA]]</f>
        <v>5</v>
      </c>
      <c r="M48" s="80">
        <f>IF(Tabell2[[#This Row],[Reisetid Oslo]]&lt;D$167,D$167,IF(Tabell2[[#This Row],[Reisetid Oslo]]&gt;D$168,D$168,Tabell2[[#This Row],[Reisetid Oslo]]))</f>
        <v>214.06868639783585</v>
      </c>
      <c r="N48" s="80">
        <f>IF(Tabell2[[#This Row],[beftettotal]]&lt;E$167,E$167,IF(Tabell2[[#This Row],[beftettotal]]&gt;E$168,E$168,Tabell2[[#This Row],[beftettotal]]))</f>
        <v>24.407768861236907</v>
      </c>
      <c r="O48" s="80">
        <f>IF(Tabell2[[#This Row],[Befvekst10]]&lt;F$167,F$167,IF(Tabell2[[#This Row],[Befvekst10]]&gt;F$168,F$168,Tabell2[[#This Row],[Befvekst10]]))</f>
        <v>6.6073468406180558E-2</v>
      </c>
      <c r="P48" s="80">
        <f>IF(Tabell2[[#This Row],[Kvinneandel]]&lt;G$167,G$167,IF(Tabell2[[#This Row],[Kvinneandel]]&gt;G$168,G$168,Tabell2[[#This Row],[Kvinneandel]]))</f>
        <v>0.1152718249492443</v>
      </c>
      <c r="Q48" s="80">
        <f>IF(Tabell2[[#This Row],[Eldreandel]]&lt;H$167,H$167,IF(Tabell2[[#This Row],[Eldreandel]]&gt;H$168,H$168,Tabell2[[#This Row],[Eldreandel]]))</f>
        <v>0.13495375592149786</v>
      </c>
      <c r="R48" s="80">
        <f>IF(Tabell2[[#This Row],[Syssvekst10]]&lt;I$167,I$167,IF(Tabell2[[#This Row],[Syssvekst10]]&gt;I$168,I$168,Tabell2[[#This Row],[Syssvekst10]]))</f>
        <v>8.2963374028856895E-2</v>
      </c>
      <c r="S48" s="80">
        <f>IF(Tabell2[[#This Row],[Yrkesaktiveandel]]&lt;J$167,J$167,IF(Tabell2[[#This Row],[Yrkesaktiveandel]]&gt;J$168,J$168,Tabell2[[#This Row],[Yrkesaktiveandel]]))</f>
        <v>0.90967360220885518</v>
      </c>
      <c r="T48" s="80">
        <f>IF(Tabell2[[#This Row],[Bruttoinntekt17+]]&lt;K$167,K$167,IF(Tabell2[[#This Row],[Bruttoinntekt17+]]&gt;K$168,K$168,Tabell2[[#This Row],[Bruttoinntekt17+]]))</f>
        <v>353972.77512388147</v>
      </c>
      <c r="U48" s="60">
        <f>IF(Tabell2[[#This Row],[NIBR11-BA-Utrunk]]&lt;=L$170,100,IF(Tabell2[[#This Row],[NIBR11-BA-Utrunk]]&gt;=L$169,0,100-Tabell2[[#This Row],[NIBR11-BA-Utrunk]]*100/L$171))</f>
        <v>50</v>
      </c>
      <c r="V48" s="60">
        <f>(M$169-Tabell2[[#This Row],[Reisetid Oslo-T]])*100/M$171</f>
        <v>55.882332656594905</v>
      </c>
      <c r="W48" s="60">
        <f>100-(N$169-Tabell2[[#This Row],[beftettotal-T]])*100/N$171</f>
        <v>54.410545958369212</v>
      </c>
      <c r="X48" s="60">
        <f>100-(O$169-Tabell2[[#This Row],[Befvekst10-T]])*100/O$171</f>
        <v>85.891571715232558</v>
      </c>
      <c r="Y48" s="60">
        <f>100-(P$169-Tabell2[[#This Row],[Kvinneandel-T]])*100/P$171</f>
        <v>75.928421522739512</v>
      </c>
      <c r="Z48" s="60">
        <f>(Q$169-Tabell2[[#This Row],[Eldreandel-T]])*100/Q$171</f>
        <v>91.676878715792185</v>
      </c>
      <c r="AA48" s="60">
        <f>100-(R$169-Tabell2[[#This Row],[Syssvekst10-T]])*100/R$171</f>
        <v>69.580669645945406</v>
      </c>
      <c r="AB48" s="60">
        <f>100-(S$169-Tabell2[[#This Row],[Yrkesaktiveandel-T]])*100/S$171</f>
        <v>62.843685178350441</v>
      </c>
      <c r="AC48" s="60">
        <f>100-(T$169-Tabell2[[#This Row],[Bruttoinntekt17+-T]])*100/T$171</f>
        <v>100</v>
      </c>
      <c r="AD48" s="60">
        <f>Tabell2[[#This Row],[NIBR11-BA-I]]*$AD$2</f>
        <v>10</v>
      </c>
      <c r="AE48" s="60">
        <f>Tabell2[[#This Row],[Reisetid Oslo-I]]*$AE$2</f>
        <v>5.5882332656594906</v>
      </c>
      <c r="AF48" s="60">
        <f>Tabell2[[#This Row],[beftettotal-I]]*$AF$2</f>
        <v>5.4410545958369214</v>
      </c>
      <c r="AG48" s="60">
        <f>Tabell2[[#This Row],[Befvekst10-I]]*$AG$2</f>
        <v>17.178314343046512</v>
      </c>
      <c r="AH48" s="60">
        <f>Tabell2[[#This Row],[Kvinneandel-I]]*$AH$2</f>
        <v>3.7964210761369759</v>
      </c>
      <c r="AI48" s="60">
        <f>Tabell2[[#This Row],[Eldreandel-I]]*$AI$2</f>
        <v>4.5838439357896092</v>
      </c>
      <c r="AJ48" s="60">
        <f>Tabell2[[#This Row],[Syssvekst10-I]]*$AJ$2</f>
        <v>6.9580669645945408</v>
      </c>
      <c r="AK48" s="60">
        <f>Tabell2[[#This Row],[Yrkesaktiveandel-I]]*$AK$2</f>
        <v>6.2843685178350448</v>
      </c>
      <c r="AL48" s="60">
        <f>Tabell2[[#This Row],[Bruttoinntekt17+-I]]*$AL$2</f>
        <v>10</v>
      </c>
      <c r="AM48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69.830302698899089</v>
      </c>
    </row>
    <row r="49" spans="1:39">
      <c r="A49" s="63">
        <v>44</v>
      </c>
      <c r="B49" s="8" t="s">
        <v>99</v>
      </c>
      <c r="C49" s="45">
        <f>Råark!L46</f>
        <v>2</v>
      </c>
      <c r="D49" s="80">
        <f>Råark!K46</f>
        <v>167.67578435493775</v>
      </c>
      <c r="E49" s="80">
        <f>Råark!N46</f>
        <v>90.944041624125376</v>
      </c>
      <c r="F49" s="80">
        <f>Råark!O46</f>
        <v>0.19458630095469021</v>
      </c>
      <c r="G49" s="80">
        <f>Råark!P46</f>
        <v>0.14160083469965717</v>
      </c>
      <c r="H49" s="80">
        <f>Råark!Q46</f>
        <v>0.10063014749954809</v>
      </c>
      <c r="I49" s="80">
        <f>Råark!R46</f>
        <v>0.29317374913070537</v>
      </c>
      <c r="J49" s="80">
        <f>Råark!S46</f>
        <v>0.90745830946386996</v>
      </c>
      <c r="K49" s="80">
        <f>Råark!M46</f>
        <v>417893.75943194242</v>
      </c>
      <c r="L49" s="59">
        <f>Tabell2[[#This Row],[NIBR11BA]]</f>
        <v>2</v>
      </c>
      <c r="M49" s="80">
        <f>IF(Tabell2[[#This Row],[Reisetid Oslo]]&lt;D$167,D$167,IF(Tabell2[[#This Row],[Reisetid Oslo]]&gt;D$168,D$168,Tabell2[[#This Row],[Reisetid Oslo]]))</f>
        <v>167.67578435493775</v>
      </c>
      <c r="N49" s="80">
        <f>IF(Tabell2[[#This Row],[beftettotal]]&lt;E$167,E$167,IF(Tabell2[[#This Row],[beftettotal]]&gt;E$168,E$168,Tabell2[[#This Row],[beftettotal]]))</f>
        <v>44.017170258769376</v>
      </c>
      <c r="O49" s="80">
        <f>IF(Tabell2[[#This Row],[Befvekst10]]&lt;F$167,F$167,IF(Tabell2[[#This Row],[Befvekst10]]&gt;F$168,F$168,Tabell2[[#This Row],[Befvekst10]]))</f>
        <v>9.7533233360955388E-2</v>
      </c>
      <c r="P49" s="80">
        <f>IF(Tabell2[[#This Row],[Kvinneandel]]&lt;G$167,G$167,IF(Tabell2[[#This Row],[Kvinneandel]]&gt;G$168,G$168,Tabell2[[#This Row],[Kvinneandel]]))</f>
        <v>0.12281998450468276</v>
      </c>
      <c r="Q49" s="80">
        <f>IF(Tabell2[[#This Row],[Eldreandel]]&lt;H$167,H$167,IF(Tabell2[[#This Row],[Eldreandel]]&gt;H$168,H$168,Tabell2[[#This Row],[Eldreandel]]))</f>
        <v>0.1286969132327325</v>
      </c>
      <c r="R49" s="80">
        <f>IF(Tabell2[[#This Row],[Syssvekst10]]&lt;I$167,I$167,IF(Tabell2[[#This Row],[Syssvekst10]]&gt;I$168,I$168,Tabell2[[#This Row],[Syssvekst10]]))</f>
        <v>0.1635686869077807</v>
      </c>
      <c r="S49" s="80">
        <f>IF(Tabell2[[#This Row],[Yrkesaktiveandel]]&lt;J$167,J$167,IF(Tabell2[[#This Row],[Yrkesaktiveandel]]&gt;J$168,J$168,Tabell2[[#This Row],[Yrkesaktiveandel]]))</f>
        <v>0.90745830946386996</v>
      </c>
      <c r="T49" s="80">
        <f>IF(Tabell2[[#This Row],[Bruttoinntekt17+]]&lt;K$167,K$167,IF(Tabell2[[#This Row],[Bruttoinntekt17+]]&gt;K$168,K$168,Tabell2[[#This Row],[Bruttoinntekt17+]]))</f>
        <v>353972.77512388147</v>
      </c>
      <c r="U49" s="60">
        <f>IF(Tabell2[[#This Row],[NIBR11-BA-Utrunk]]&lt;=L$170,100,IF(Tabell2[[#This Row],[NIBR11-BA-Utrunk]]&gt;=L$169,0,100-Tabell2[[#This Row],[NIBR11-BA-Utrunk]]*100/L$171))</f>
        <v>80</v>
      </c>
      <c r="V49" s="60">
        <f>(M$169-Tabell2[[#This Row],[Reisetid Oslo-T]])*100/M$171</f>
        <v>80.792261267706849</v>
      </c>
      <c r="W49" s="60">
        <f>100-(N$169-Tabell2[[#This Row],[beftettotal-T]])*100/N$171</f>
        <v>100</v>
      </c>
      <c r="X49" s="60">
        <f>100-(O$169-Tabell2[[#This Row],[Befvekst10-T]])*100/O$171</f>
        <v>100</v>
      </c>
      <c r="Y49" s="60">
        <f>100-(P$169-Tabell2[[#This Row],[Kvinneandel-T]])*100/P$171</f>
        <v>100</v>
      </c>
      <c r="Z49" s="60">
        <f>(Q$169-Tabell2[[#This Row],[Eldreandel-T]])*100/Q$171</f>
        <v>100</v>
      </c>
      <c r="AA49" s="60">
        <f>100-(R$169-Tabell2[[#This Row],[Syssvekst10-T]])*100/R$171</f>
        <v>100</v>
      </c>
      <c r="AB49" s="60">
        <f>100-(S$169-Tabell2[[#This Row],[Yrkesaktiveandel-T]])*100/S$171</f>
        <v>61.169109613883784</v>
      </c>
      <c r="AC49" s="60">
        <f>100-(T$169-Tabell2[[#This Row],[Bruttoinntekt17+-T]])*100/T$171</f>
        <v>100</v>
      </c>
      <c r="AD49" s="60">
        <f>Tabell2[[#This Row],[NIBR11-BA-I]]*$AD$2</f>
        <v>16</v>
      </c>
      <c r="AE49" s="60">
        <f>Tabell2[[#This Row],[Reisetid Oslo-I]]*$AE$2</f>
        <v>8.0792261267706849</v>
      </c>
      <c r="AF49" s="60">
        <f>Tabell2[[#This Row],[beftettotal-I]]*$AF$2</f>
        <v>10</v>
      </c>
      <c r="AG49" s="60">
        <f>Tabell2[[#This Row],[Befvekst10-I]]*$AG$2</f>
        <v>20</v>
      </c>
      <c r="AH49" s="60">
        <f>Tabell2[[#This Row],[Kvinneandel-I]]*$AH$2</f>
        <v>5</v>
      </c>
      <c r="AI49" s="60">
        <f>Tabell2[[#This Row],[Eldreandel-I]]*$AI$2</f>
        <v>5</v>
      </c>
      <c r="AJ49" s="60">
        <f>Tabell2[[#This Row],[Syssvekst10-I]]*$AJ$2</f>
        <v>10</v>
      </c>
      <c r="AK49" s="60">
        <f>Tabell2[[#This Row],[Yrkesaktiveandel-I]]*$AK$2</f>
        <v>6.1169109613883785</v>
      </c>
      <c r="AL49" s="60">
        <f>Tabell2[[#This Row],[Bruttoinntekt17+-I]]*$AL$2</f>
        <v>10</v>
      </c>
      <c r="AM49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90.196137088159077</v>
      </c>
    </row>
    <row r="50" spans="1:39">
      <c r="A50" s="64">
        <v>45</v>
      </c>
      <c r="B50" s="8" t="s">
        <v>100</v>
      </c>
      <c r="C50" s="45">
        <f>Råark!L47</f>
        <v>4</v>
      </c>
      <c r="D50" s="80">
        <f>Råark!K47</f>
        <v>169.00792713503543</v>
      </c>
      <c r="E50" s="80">
        <f>Råark!N47</f>
        <v>43.945520413014847</v>
      </c>
      <c r="F50" s="80">
        <f>Råark!O47</f>
        <v>0.10581259925886721</v>
      </c>
      <c r="G50" s="80">
        <f>Råark!P47</f>
        <v>0.12643138906974072</v>
      </c>
      <c r="H50" s="80">
        <f>Råark!Q47</f>
        <v>0.12591436559304509</v>
      </c>
      <c r="I50" s="80">
        <f>Råark!R47</f>
        <v>0.1916327322086484</v>
      </c>
      <c r="J50" s="80">
        <f>Råark!S47</f>
        <v>0.87688562075375476</v>
      </c>
      <c r="K50" s="80">
        <f>Råark!M47</f>
        <v>359541.9311906065</v>
      </c>
      <c r="L50" s="59">
        <f>Tabell2[[#This Row],[NIBR11BA]]</f>
        <v>4</v>
      </c>
      <c r="M50" s="80">
        <f>IF(Tabell2[[#This Row],[Reisetid Oslo]]&lt;D$167,D$167,IF(Tabell2[[#This Row],[Reisetid Oslo]]&gt;D$168,D$168,Tabell2[[#This Row],[Reisetid Oslo]]))</f>
        <v>169.00792713503543</v>
      </c>
      <c r="N50" s="80">
        <f>IF(Tabell2[[#This Row],[beftettotal]]&lt;E$167,E$167,IF(Tabell2[[#This Row],[beftettotal]]&gt;E$168,E$168,Tabell2[[#This Row],[beftettotal]]))</f>
        <v>43.945520413014847</v>
      </c>
      <c r="O50" s="80">
        <f>IF(Tabell2[[#This Row],[Befvekst10]]&lt;F$167,F$167,IF(Tabell2[[#This Row],[Befvekst10]]&gt;F$168,F$168,Tabell2[[#This Row],[Befvekst10]]))</f>
        <v>9.7533233360955388E-2</v>
      </c>
      <c r="P50" s="80">
        <f>IF(Tabell2[[#This Row],[Kvinneandel]]&lt;G$167,G$167,IF(Tabell2[[#This Row],[Kvinneandel]]&gt;G$168,G$168,Tabell2[[#This Row],[Kvinneandel]]))</f>
        <v>0.12281998450468276</v>
      </c>
      <c r="Q50" s="80">
        <f>IF(Tabell2[[#This Row],[Eldreandel]]&lt;H$167,H$167,IF(Tabell2[[#This Row],[Eldreandel]]&gt;H$168,H$168,Tabell2[[#This Row],[Eldreandel]]))</f>
        <v>0.1286969132327325</v>
      </c>
      <c r="R50" s="80">
        <f>IF(Tabell2[[#This Row],[Syssvekst10]]&lt;I$167,I$167,IF(Tabell2[[#This Row],[Syssvekst10]]&gt;I$168,I$168,Tabell2[[#This Row],[Syssvekst10]]))</f>
        <v>0.1635686869077807</v>
      </c>
      <c r="S50" s="80">
        <f>IF(Tabell2[[#This Row],[Yrkesaktiveandel]]&lt;J$167,J$167,IF(Tabell2[[#This Row],[Yrkesaktiveandel]]&gt;J$168,J$168,Tabell2[[#This Row],[Yrkesaktiveandel]]))</f>
        <v>0.87688562075375476</v>
      </c>
      <c r="T50" s="80">
        <f>IF(Tabell2[[#This Row],[Bruttoinntekt17+]]&lt;K$167,K$167,IF(Tabell2[[#This Row],[Bruttoinntekt17+]]&gt;K$168,K$168,Tabell2[[#This Row],[Bruttoinntekt17+]]))</f>
        <v>353972.77512388147</v>
      </c>
      <c r="U50" s="60">
        <f>IF(Tabell2[[#This Row],[NIBR11-BA-Utrunk]]&lt;=L$170,100,IF(Tabell2[[#This Row],[NIBR11-BA-Utrunk]]&gt;=L$169,0,100-Tabell2[[#This Row],[NIBR11-BA-Utrunk]]*100/L$171))</f>
        <v>60</v>
      </c>
      <c r="V50" s="60">
        <f>(M$169-Tabell2[[#This Row],[Reisetid Oslo-T]])*100/M$171</f>
        <v>80.076988454608042</v>
      </c>
      <c r="W50" s="60">
        <f>100-(N$169-Tabell2[[#This Row],[beftettotal-T]])*100/N$171</f>
        <v>99.833422893239003</v>
      </c>
      <c r="X50" s="60">
        <f>100-(O$169-Tabell2[[#This Row],[Befvekst10-T]])*100/O$171</f>
        <v>100</v>
      </c>
      <c r="Y50" s="60">
        <f>100-(P$169-Tabell2[[#This Row],[Kvinneandel-T]])*100/P$171</f>
        <v>100</v>
      </c>
      <c r="Z50" s="60">
        <f>(Q$169-Tabell2[[#This Row],[Eldreandel-T]])*100/Q$171</f>
        <v>100</v>
      </c>
      <c r="AA50" s="60">
        <f>100-(R$169-Tabell2[[#This Row],[Syssvekst10-T]])*100/R$171</f>
        <v>100</v>
      </c>
      <c r="AB50" s="60">
        <f>100-(S$169-Tabell2[[#This Row],[Yrkesaktiveandel-T]])*100/S$171</f>
        <v>38.058720447531812</v>
      </c>
      <c r="AC50" s="60">
        <f>100-(T$169-Tabell2[[#This Row],[Bruttoinntekt17+-T]])*100/T$171</f>
        <v>100</v>
      </c>
      <c r="AD50" s="60">
        <f>Tabell2[[#This Row],[NIBR11-BA-I]]*$AD$2</f>
        <v>12</v>
      </c>
      <c r="AE50" s="60">
        <f>Tabell2[[#This Row],[Reisetid Oslo-I]]*$AE$2</f>
        <v>8.0076988454608049</v>
      </c>
      <c r="AF50" s="60">
        <f>Tabell2[[#This Row],[beftettotal-I]]*$AF$2</f>
        <v>9.9833422893239003</v>
      </c>
      <c r="AG50" s="60">
        <f>Tabell2[[#This Row],[Befvekst10-I]]*$AG$2</f>
        <v>20</v>
      </c>
      <c r="AH50" s="60">
        <f>Tabell2[[#This Row],[Kvinneandel-I]]*$AH$2</f>
        <v>5</v>
      </c>
      <c r="AI50" s="60">
        <f>Tabell2[[#This Row],[Eldreandel-I]]*$AI$2</f>
        <v>5</v>
      </c>
      <c r="AJ50" s="60">
        <f>Tabell2[[#This Row],[Syssvekst10-I]]*$AJ$2</f>
        <v>10</v>
      </c>
      <c r="AK50" s="60">
        <f>Tabell2[[#This Row],[Yrkesaktiveandel-I]]*$AK$2</f>
        <v>3.8058720447531815</v>
      </c>
      <c r="AL50" s="60">
        <f>Tabell2[[#This Row],[Bruttoinntekt17+-I]]*$AL$2</f>
        <v>10</v>
      </c>
      <c r="AM50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83.796913179537896</v>
      </c>
    </row>
    <row r="51" spans="1:39">
      <c r="A51" s="63">
        <v>46</v>
      </c>
      <c r="B51" s="8" t="s">
        <v>101</v>
      </c>
      <c r="C51" s="45">
        <f>Råark!L48</f>
        <v>11</v>
      </c>
      <c r="D51" s="80">
        <f>Råark!K48</f>
        <v>252.69941515799999</v>
      </c>
      <c r="E51" s="80">
        <f>Råark!N48</f>
        <v>2.5776888039964736</v>
      </c>
      <c r="F51" s="80">
        <f>Råark!O48</f>
        <v>3.6558345642540679E-2</v>
      </c>
      <c r="G51" s="80">
        <f>Råark!P48</f>
        <v>0.11435696473102958</v>
      </c>
      <c r="H51" s="80">
        <f>Råark!Q48</f>
        <v>0.14641966512290702</v>
      </c>
      <c r="I51" s="80">
        <f>Råark!R48</f>
        <v>8.8278931750741751E-2</v>
      </c>
      <c r="J51" s="80">
        <f>Råark!S48</f>
        <v>0.96353166986564298</v>
      </c>
      <c r="K51" s="80">
        <f>Råark!M48</f>
        <v>350700</v>
      </c>
      <c r="L51" s="59">
        <f>Tabell2[[#This Row],[NIBR11BA]]</f>
        <v>11</v>
      </c>
      <c r="M51" s="80">
        <f>IF(Tabell2[[#This Row],[Reisetid Oslo]]&lt;D$167,D$167,IF(Tabell2[[#This Row],[Reisetid Oslo]]&gt;D$168,D$168,Tabell2[[#This Row],[Reisetid Oslo]]))</f>
        <v>252.69941515799999</v>
      </c>
      <c r="N51" s="80">
        <f>IF(Tabell2[[#This Row],[beftettotal]]&lt;E$167,E$167,IF(Tabell2[[#This Row],[beftettotal]]&gt;E$168,E$168,Tabell2[[#This Row],[beftettotal]]))</f>
        <v>2.5776888039964736</v>
      </c>
      <c r="O51" s="80">
        <f>IF(Tabell2[[#This Row],[Befvekst10]]&lt;F$167,F$167,IF(Tabell2[[#This Row],[Befvekst10]]&gt;F$168,F$168,Tabell2[[#This Row],[Befvekst10]]))</f>
        <v>3.6558345642540679E-2</v>
      </c>
      <c r="P51" s="80">
        <f>IF(Tabell2[[#This Row],[Kvinneandel]]&lt;G$167,G$167,IF(Tabell2[[#This Row],[Kvinneandel]]&gt;G$168,G$168,Tabell2[[#This Row],[Kvinneandel]]))</f>
        <v>0.11435696473102958</v>
      </c>
      <c r="Q51" s="80">
        <f>IF(Tabell2[[#This Row],[Eldreandel]]&lt;H$167,H$167,IF(Tabell2[[#This Row],[Eldreandel]]&gt;H$168,H$168,Tabell2[[#This Row],[Eldreandel]]))</f>
        <v>0.14641966512290702</v>
      </c>
      <c r="R51" s="80">
        <f>IF(Tabell2[[#This Row],[Syssvekst10]]&lt;I$167,I$167,IF(Tabell2[[#This Row],[Syssvekst10]]&gt;I$168,I$168,Tabell2[[#This Row],[Syssvekst10]]))</f>
        <v>8.8278931750741751E-2</v>
      </c>
      <c r="S51" s="80">
        <f>IF(Tabell2[[#This Row],[Yrkesaktiveandel]]&lt;J$167,J$167,IF(Tabell2[[#This Row],[Yrkesaktiveandel]]&gt;J$168,J$168,Tabell2[[#This Row],[Yrkesaktiveandel]]))</f>
        <v>0.95882761854672227</v>
      </c>
      <c r="T51" s="80">
        <f>IF(Tabell2[[#This Row],[Bruttoinntekt17+]]&lt;K$167,K$167,IF(Tabell2[[#This Row],[Bruttoinntekt17+]]&gt;K$168,K$168,Tabell2[[#This Row],[Bruttoinntekt17+]]))</f>
        <v>350700</v>
      </c>
      <c r="U51" s="60">
        <f>IF(Tabell2[[#This Row],[NIBR11-BA-Utrunk]]&lt;=L$170,100,IF(Tabell2[[#This Row],[NIBR11-BA-Utrunk]]&gt;=L$169,0,100-Tabell2[[#This Row],[NIBR11-BA-Utrunk]]*100/L$171))</f>
        <v>0</v>
      </c>
      <c r="V51" s="60">
        <f>(M$169-Tabell2[[#This Row],[Reisetid Oslo-T]])*100/M$171</f>
        <v>35.1401791538647</v>
      </c>
      <c r="W51" s="60">
        <f>100-(N$169-Tabell2[[#This Row],[beftettotal-T]])*100/N$171</f>
        <v>3.6582862988817908</v>
      </c>
      <c r="X51" s="60">
        <f>100-(O$169-Tabell2[[#This Row],[Befvekst10-T]])*100/O$171</f>
        <v>72.655236560614071</v>
      </c>
      <c r="Y51" s="60">
        <f>100-(P$169-Tabell2[[#This Row],[Kvinneandel-T]])*100/P$171</f>
        <v>73.010871969535856</v>
      </c>
      <c r="Z51" s="60">
        <f>(Q$169-Tabell2[[#This Row],[Eldreandel-T]])*100/Q$171</f>
        <v>76.424433087200853</v>
      </c>
      <c r="AA51" s="60">
        <f>100-(R$169-Tabell2[[#This Row],[Syssvekst10-T]])*100/R$171</f>
        <v>71.586687618990709</v>
      </c>
      <c r="AB51" s="60">
        <f>100-(S$169-Tabell2[[#This Row],[Yrkesaktiveandel-T]])*100/S$171</f>
        <v>100</v>
      </c>
      <c r="AC51" s="60">
        <f>100-(T$169-Tabell2[[#This Row],[Bruttoinntekt17+-T]])*100/T$171</f>
        <v>94.518219434372099</v>
      </c>
      <c r="AD51" s="60">
        <f>Tabell2[[#This Row],[NIBR11-BA-I]]*$AD$2</f>
        <v>0</v>
      </c>
      <c r="AE51" s="60">
        <f>Tabell2[[#This Row],[Reisetid Oslo-I]]*$AE$2</f>
        <v>3.5140179153864701</v>
      </c>
      <c r="AF51" s="60">
        <f>Tabell2[[#This Row],[beftettotal-I]]*$AF$2</f>
        <v>0.3658286298881791</v>
      </c>
      <c r="AG51" s="60">
        <f>Tabell2[[#This Row],[Befvekst10-I]]*$AG$2</f>
        <v>14.531047312122816</v>
      </c>
      <c r="AH51" s="60">
        <f>Tabell2[[#This Row],[Kvinneandel-I]]*$AH$2</f>
        <v>3.6505435984767929</v>
      </c>
      <c r="AI51" s="60">
        <f>Tabell2[[#This Row],[Eldreandel-I]]*$AI$2</f>
        <v>3.821221654360043</v>
      </c>
      <c r="AJ51" s="60">
        <f>Tabell2[[#This Row],[Syssvekst10-I]]*$AJ$2</f>
        <v>7.1586687618990714</v>
      </c>
      <c r="AK51" s="60">
        <f>Tabell2[[#This Row],[Yrkesaktiveandel-I]]*$AK$2</f>
        <v>10</v>
      </c>
      <c r="AL51" s="60">
        <f>Tabell2[[#This Row],[Bruttoinntekt17+-I]]*$AL$2</f>
        <v>9.4518219434372099</v>
      </c>
      <c r="AM51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52.493149815570582</v>
      </c>
    </row>
    <row r="52" spans="1:39">
      <c r="A52" s="64">
        <v>47</v>
      </c>
      <c r="B52" s="8" t="s">
        <v>102</v>
      </c>
      <c r="C52" s="45">
        <f>Råark!L49</f>
        <v>10</v>
      </c>
      <c r="D52" s="80">
        <f>Råark!K49</f>
        <v>239.61046894770001</v>
      </c>
      <c r="E52" s="80">
        <f>Råark!N49</f>
        <v>2.2133827626701055</v>
      </c>
      <c r="F52" s="80">
        <f>Råark!O49</f>
        <v>-3.4889558232931717E-2</v>
      </c>
      <c r="G52" s="80">
        <f>Råark!P49</f>
        <v>0.10559167750325098</v>
      </c>
      <c r="H52" s="80">
        <f>Råark!Q49</f>
        <v>0.1625487646293888</v>
      </c>
      <c r="I52" s="80">
        <f>Råark!R49</f>
        <v>0.10025706940874035</v>
      </c>
      <c r="J52" s="80">
        <f>Råark!S49</f>
        <v>0.96550094517958407</v>
      </c>
      <c r="K52" s="80">
        <f>Råark!M49</f>
        <v>335000</v>
      </c>
      <c r="L52" s="59">
        <f>Tabell2[[#This Row],[NIBR11BA]]</f>
        <v>10</v>
      </c>
      <c r="M52" s="80">
        <f>IF(Tabell2[[#This Row],[Reisetid Oslo]]&lt;D$167,D$167,IF(Tabell2[[#This Row],[Reisetid Oslo]]&gt;D$168,D$168,Tabell2[[#This Row],[Reisetid Oslo]]))</f>
        <v>239.61046894770001</v>
      </c>
      <c r="N52" s="80">
        <f>IF(Tabell2[[#This Row],[beftettotal]]&lt;E$167,E$167,IF(Tabell2[[#This Row],[beftettotal]]&gt;E$168,E$168,Tabell2[[#This Row],[beftettotal]]))</f>
        <v>2.2133827626701055</v>
      </c>
      <c r="O52" s="80">
        <f>IF(Tabell2[[#This Row],[Befvekst10]]&lt;F$167,F$167,IF(Tabell2[[#This Row],[Befvekst10]]&gt;F$168,F$168,Tabell2[[#This Row],[Befvekst10]]))</f>
        <v>-3.4889558232931717E-2</v>
      </c>
      <c r="P52" s="80">
        <f>IF(Tabell2[[#This Row],[Kvinneandel]]&lt;G$167,G$167,IF(Tabell2[[#This Row],[Kvinneandel]]&gt;G$168,G$168,Tabell2[[#This Row],[Kvinneandel]]))</f>
        <v>0.10559167750325098</v>
      </c>
      <c r="Q52" s="80">
        <f>IF(Tabell2[[#This Row],[Eldreandel]]&lt;H$167,H$167,IF(Tabell2[[#This Row],[Eldreandel]]&gt;H$168,H$168,Tabell2[[#This Row],[Eldreandel]]))</f>
        <v>0.1625487646293888</v>
      </c>
      <c r="R52" s="80">
        <f>IF(Tabell2[[#This Row],[Syssvekst10]]&lt;I$167,I$167,IF(Tabell2[[#This Row],[Syssvekst10]]&gt;I$168,I$168,Tabell2[[#This Row],[Syssvekst10]]))</f>
        <v>0.10025706940874035</v>
      </c>
      <c r="S52" s="80">
        <f>IF(Tabell2[[#This Row],[Yrkesaktiveandel]]&lt;J$167,J$167,IF(Tabell2[[#This Row],[Yrkesaktiveandel]]&gt;J$168,J$168,Tabell2[[#This Row],[Yrkesaktiveandel]]))</f>
        <v>0.95882761854672227</v>
      </c>
      <c r="T52" s="80">
        <f>IF(Tabell2[[#This Row],[Bruttoinntekt17+]]&lt;K$167,K$167,IF(Tabell2[[#This Row],[Bruttoinntekt17+]]&gt;K$168,K$168,Tabell2[[#This Row],[Bruttoinntekt17+]]))</f>
        <v>335000</v>
      </c>
      <c r="U52" s="60">
        <f>IF(Tabell2[[#This Row],[NIBR11-BA-Utrunk]]&lt;=L$170,100,IF(Tabell2[[#This Row],[NIBR11-BA-Utrunk]]&gt;=L$169,0,100-Tabell2[[#This Row],[NIBR11-BA-Utrunk]]*100/L$171))</f>
        <v>0</v>
      </c>
      <c r="V52" s="60">
        <f>(M$169-Tabell2[[#This Row],[Reisetid Oslo-T]])*100/M$171</f>
        <v>42.168080003692403</v>
      </c>
      <c r="W52" s="60">
        <f>100-(N$169-Tabell2[[#This Row],[beftettotal-T]])*100/N$171</f>
        <v>2.8113194184839756</v>
      </c>
      <c r="X52" s="60">
        <f>100-(O$169-Tabell2[[#This Row],[Befvekst10-T]])*100/O$171</f>
        <v>40.613750256659117</v>
      </c>
      <c r="Y52" s="60">
        <f>100-(P$169-Tabell2[[#This Row],[Kvinneandel-T]])*100/P$171</f>
        <v>45.057793099179982</v>
      </c>
      <c r="Z52" s="60">
        <f>(Q$169-Tabell2[[#This Row],[Eldreandel-T]])*100/Q$171</f>
        <v>54.968811126535215</v>
      </c>
      <c r="AA52" s="60">
        <f>100-(R$169-Tabell2[[#This Row],[Syssvekst10-T]])*100/R$171</f>
        <v>76.107071120166523</v>
      </c>
      <c r="AB52" s="60">
        <f>100-(S$169-Tabell2[[#This Row],[Yrkesaktiveandel-T]])*100/S$171</f>
        <v>100</v>
      </c>
      <c r="AC52" s="60">
        <f>100-(T$169-Tabell2[[#This Row],[Bruttoinntekt17+-T]])*100/T$171</f>
        <v>68.221284379974747</v>
      </c>
      <c r="AD52" s="60">
        <f>Tabell2[[#This Row],[NIBR11-BA-I]]*$AD$2</f>
        <v>0</v>
      </c>
      <c r="AE52" s="60">
        <f>Tabell2[[#This Row],[Reisetid Oslo-I]]*$AE$2</f>
        <v>4.2168080003692401</v>
      </c>
      <c r="AF52" s="60">
        <f>Tabell2[[#This Row],[beftettotal-I]]*$AF$2</f>
        <v>0.28113194184839757</v>
      </c>
      <c r="AG52" s="60">
        <f>Tabell2[[#This Row],[Befvekst10-I]]*$AG$2</f>
        <v>8.122750051331824</v>
      </c>
      <c r="AH52" s="60">
        <f>Tabell2[[#This Row],[Kvinneandel-I]]*$AH$2</f>
        <v>2.2528896549589992</v>
      </c>
      <c r="AI52" s="60">
        <f>Tabell2[[#This Row],[Eldreandel-I]]*$AI$2</f>
        <v>2.7484405563267611</v>
      </c>
      <c r="AJ52" s="60">
        <f>Tabell2[[#This Row],[Syssvekst10-I]]*$AJ$2</f>
        <v>7.6107071120166525</v>
      </c>
      <c r="AK52" s="60">
        <f>Tabell2[[#This Row],[Yrkesaktiveandel-I]]*$AK$2</f>
        <v>10</v>
      </c>
      <c r="AL52" s="60">
        <f>Tabell2[[#This Row],[Bruttoinntekt17+-I]]*$AL$2</f>
        <v>6.8221284379974749</v>
      </c>
      <c r="AM52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42.054855754849356</v>
      </c>
    </row>
    <row r="53" spans="1:39">
      <c r="A53" s="63">
        <v>48</v>
      </c>
      <c r="B53" s="8" t="s">
        <v>103</v>
      </c>
      <c r="C53" s="45">
        <f>Råark!L50</f>
        <v>9</v>
      </c>
      <c r="D53" s="80">
        <f>Råark!K50</f>
        <v>251.86443753</v>
      </c>
      <c r="E53" s="80">
        <f>Råark!N50</f>
        <v>8.7012226370890993</v>
      </c>
      <c r="F53" s="80">
        <f>Råark!O50</f>
        <v>-3.491676816889977E-2</v>
      </c>
      <c r="G53" s="80">
        <f>Råark!P50</f>
        <v>0.1110643668489693</v>
      </c>
      <c r="H53" s="80">
        <f>Råark!Q50</f>
        <v>0.18047959612957509</v>
      </c>
      <c r="I53" s="80">
        <f>Råark!R50</f>
        <v>4.4607843137254966E-2</v>
      </c>
      <c r="J53" s="80">
        <f>Råark!S50</f>
        <v>0.906636670416198</v>
      </c>
      <c r="K53" s="80">
        <f>Råark!M50</f>
        <v>337900</v>
      </c>
      <c r="L53" s="59">
        <f>Tabell2[[#This Row],[NIBR11BA]]</f>
        <v>9</v>
      </c>
      <c r="M53" s="80">
        <f>IF(Tabell2[[#This Row],[Reisetid Oslo]]&lt;D$167,D$167,IF(Tabell2[[#This Row],[Reisetid Oslo]]&gt;D$168,D$168,Tabell2[[#This Row],[Reisetid Oslo]]))</f>
        <v>251.86443753</v>
      </c>
      <c r="N53" s="80">
        <f>IF(Tabell2[[#This Row],[beftettotal]]&lt;E$167,E$167,IF(Tabell2[[#This Row],[beftettotal]]&gt;E$168,E$168,Tabell2[[#This Row],[beftettotal]]))</f>
        <v>8.7012226370890993</v>
      </c>
      <c r="O53" s="80">
        <f>IF(Tabell2[[#This Row],[Befvekst10]]&lt;F$167,F$167,IF(Tabell2[[#This Row],[Befvekst10]]&gt;F$168,F$168,Tabell2[[#This Row],[Befvekst10]]))</f>
        <v>-3.491676816889977E-2</v>
      </c>
      <c r="P53" s="80">
        <f>IF(Tabell2[[#This Row],[Kvinneandel]]&lt;G$167,G$167,IF(Tabell2[[#This Row],[Kvinneandel]]&gt;G$168,G$168,Tabell2[[#This Row],[Kvinneandel]]))</f>
        <v>0.1110643668489693</v>
      </c>
      <c r="Q53" s="80">
        <f>IF(Tabell2[[#This Row],[Eldreandel]]&lt;H$167,H$167,IF(Tabell2[[#This Row],[Eldreandel]]&gt;H$168,H$168,Tabell2[[#This Row],[Eldreandel]]))</f>
        <v>0.18047959612957509</v>
      </c>
      <c r="R53" s="80">
        <f>IF(Tabell2[[#This Row],[Syssvekst10]]&lt;I$167,I$167,IF(Tabell2[[#This Row],[Syssvekst10]]&gt;I$168,I$168,Tabell2[[#This Row],[Syssvekst10]]))</f>
        <v>4.4607843137254966E-2</v>
      </c>
      <c r="S53" s="80">
        <f>IF(Tabell2[[#This Row],[Yrkesaktiveandel]]&lt;J$167,J$167,IF(Tabell2[[#This Row],[Yrkesaktiveandel]]&gt;J$168,J$168,Tabell2[[#This Row],[Yrkesaktiveandel]]))</f>
        <v>0.906636670416198</v>
      </c>
      <c r="T53" s="80">
        <f>IF(Tabell2[[#This Row],[Bruttoinntekt17+]]&lt;K$167,K$167,IF(Tabell2[[#This Row],[Bruttoinntekt17+]]&gt;K$168,K$168,Tabell2[[#This Row],[Bruttoinntekt17+]]))</f>
        <v>337900</v>
      </c>
      <c r="U53" s="60">
        <f>IF(Tabell2[[#This Row],[NIBR11-BA-Utrunk]]&lt;=L$170,100,IF(Tabell2[[#This Row],[NIBR11-BA-Utrunk]]&gt;=L$169,0,100-Tabell2[[#This Row],[NIBR11-BA-Utrunk]]*100/L$171))</f>
        <v>10</v>
      </c>
      <c r="V53" s="60">
        <f>(M$169-Tabell2[[#This Row],[Reisetid Oslo-T]])*100/M$171</f>
        <v>35.58850707019387</v>
      </c>
      <c r="W53" s="60">
        <f>100-(N$169-Tabell2[[#This Row],[beftettotal-T]])*100/N$171</f>
        <v>17.894751685901525</v>
      </c>
      <c r="X53" s="60">
        <f>100-(O$169-Tabell2[[#This Row],[Befvekst10-T]])*100/O$171</f>
        <v>40.601547704262735</v>
      </c>
      <c r="Y53" s="60">
        <f>100-(P$169-Tabell2[[#This Row],[Kvinneandel-T]])*100/P$171</f>
        <v>62.510560240570058</v>
      </c>
      <c r="Z53" s="60">
        <f>(Q$169-Tabell2[[#This Row],[Eldreandel-T]])*100/Q$171</f>
        <v>31.116447765903306</v>
      </c>
      <c r="AA53" s="60">
        <f>100-(R$169-Tabell2[[#This Row],[Syssvekst10-T]])*100/R$171</f>
        <v>55.105822723021788</v>
      </c>
      <c r="AB53" s="60">
        <f>100-(S$169-Tabell2[[#This Row],[Yrkesaktiveandel-T]])*100/S$171</f>
        <v>60.548019387701373</v>
      </c>
      <c r="AC53" s="60">
        <f>100-(T$169-Tabell2[[#This Row],[Bruttoinntekt17+-T]])*100/T$171</f>
        <v>73.078680026965344</v>
      </c>
      <c r="AD53" s="60">
        <f>Tabell2[[#This Row],[NIBR11-BA-I]]*$AD$2</f>
        <v>2</v>
      </c>
      <c r="AE53" s="60">
        <f>Tabell2[[#This Row],[Reisetid Oslo-I]]*$AE$2</f>
        <v>3.5588507070193871</v>
      </c>
      <c r="AF53" s="60">
        <f>Tabell2[[#This Row],[beftettotal-I]]*$AF$2</f>
        <v>1.7894751685901527</v>
      </c>
      <c r="AG53" s="60">
        <f>Tabell2[[#This Row],[Befvekst10-I]]*$AG$2</f>
        <v>8.1203095408525474</v>
      </c>
      <c r="AH53" s="60">
        <f>Tabell2[[#This Row],[Kvinneandel-I]]*$AH$2</f>
        <v>3.1255280120285032</v>
      </c>
      <c r="AI53" s="60">
        <f>Tabell2[[#This Row],[Eldreandel-I]]*$AI$2</f>
        <v>1.5558223882951654</v>
      </c>
      <c r="AJ53" s="60">
        <f>Tabell2[[#This Row],[Syssvekst10-I]]*$AJ$2</f>
        <v>5.5105822723021793</v>
      </c>
      <c r="AK53" s="60">
        <f>Tabell2[[#This Row],[Yrkesaktiveandel-I]]*$AK$2</f>
        <v>6.0548019387701375</v>
      </c>
      <c r="AL53" s="60">
        <f>Tabell2[[#This Row],[Bruttoinntekt17+-I]]*$AL$2</f>
        <v>7.3078680026965346</v>
      </c>
      <c r="AM53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39.023238030554609</v>
      </c>
    </row>
    <row r="54" spans="1:39">
      <c r="A54" s="64">
        <v>49</v>
      </c>
      <c r="B54" s="8" t="s">
        <v>104</v>
      </c>
      <c r="C54" s="45">
        <f>Råark!L51</f>
        <v>11</v>
      </c>
      <c r="D54" s="80">
        <f>Råark!K51</f>
        <v>233</v>
      </c>
      <c r="E54" s="80">
        <f>Råark!N51</f>
        <v>34.603174603174601</v>
      </c>
      <c r="F54" s="80">
        <f>Råark!O51</f>
        <v>-6.4377682403433445E-2</v>
      </c>
      <c r="G54" s="80">
        <f>Råark!P51</f>
        <v>8.7155963302752298E-2</v>
      </c>
      <c r="H54" s="80">
        <f>Råark!Q51</f>
        <v>0.16972477064220184</v>
      </c>
      <c r="I54" s="80">
        <f>Råark!R51</f>
        <v>-2.5210084033613467E-2</v>
      </c>
      <c r="J54" s="80">
        <f>Råark!S51</f>
        <v>1.016</v>
      </c>
      <c r="K54" s="80">
        <f>Råark!M51</f>
        <v>363700</v>
      </c>
      <c r="L54" s="59">
        <f>Tabell2[[#This Row],[NIBR11BA]]</f>
        <v>11</v>
      </c>
      <c r="M54" s="80">
        <f>IF(Tabell2[[#This Row],[Reisetid Oslo]]&lt;D$167,D$167,IF(Tabell2[[#This Row],[Reisetid Oslo]]&gt;D$168,D$168,Tabell2[[#This Row],[Reisetid Oslo]]))</f>
        <v>233</v>
      </c>
      <c r="N54" s="80">
        <f>IF(Tabell2[[#This Row],[beftettotal]]&lt;E$167,E$167,IF(Tabell2[[#This Row],[beftettotal]]&gt;E$168,E$168,Tabell2[[#This Row],[beftettotal]]))</f>
        <v>34.603174603174601</v>
      </c>
      <c r="O54" s="80">
        <f>IF(Tabell2[[#This Row],[Befvekst10]]&lt;F$167,F$167,IF(Tabell2[[#This Row],[Befvekst10]]&gt;F$168,F$168,Tabell2[[#This Row],[Befvekst10]]))</f>
        <v>-6.4377682403433445E-2</v>
      </c>
      <c r="P54" s="80">
        <f>IF(Tabell2[[#This Row],[Kvinneandel]]&lt;G$167,G$167,IF(Tabell2[[#This Row],[Kvinneandel]]&gt;G$168,G$168,Tabell2[[#This Row],[Kvinneandel]]))</f>
        <v>9.1462840383166502E-2</v>
      </c>
      <c r="Q54" s="80">
        <f>IF(Tabell2[[#This Row],[Eldreandel]]&lt;H$167,H$167,IF(Tabell2[[#This Row],[Eldreandel]]&gt;H$168,H$168,Tabell2[[#This Row],[Eldreandel]]))</f>
        <v>0.16972477064220184</v>
      </c>
      <c r="R54" s="80">
        <f>IF(Tabell2[[#This Row],[Syssvekst10]]&lt;I$167,I$167,IF(Tabell2[[#This Row],[Syssvekst10]]&gt;I$168,I$168,Tabell2[[#This Row],[Syssvekst10]]))</f>
        <v>-2.5210084033613467E-2</v>
      </c>
      <c r="S54" s="80">
        <f>IF(Tabell2[[#This Row],[Yrkesaktiveandel]]&lt;J$167,J$167,IF(Tabell2[[#This Row],[Yrkesaktiveandel]]&gt;J$168,J$168,Tabell2[[#This Row],[Yrkesaktiveandel]]))</f>
        <v>0.95882761854672227</v>
      </c>
      <c r="T54" s="80">
        <f>IF(Tabell2[[#This Row],[Bruttoinntekt17+]]&lt;K$167,K$167,IF(Tabell2[[#This Row],[Bruttoinntekt17+]]&gt;K$168,K$168,Tabell2[[#This Row],[Bruttoinntekt17+]]))</f>
        <v>353972.77512388147</v>
      </c>
      <c r="U54" s="60">
        <f>IF(Tabell2[[#This Row],[NIBR11-BA-Utrunk]]&lt;=L$170,100,IF(Tabell2[[#This Row],[NIBR11-BA-Utrunk]]&gt;=L$169,0,100-Tabell2[[#This Row],[NIBR11-BA-Utrunk]]*100/L$171))</f>
        <v>0</v>
      </c>
      <c r="V54" s="60">
        <f>(M$169-Tabell2[[#This Row],[Reisetid Oslo-T]])*100/M$171</f>
        <v>45.717465843382229</v>
      </c>
      <c r="W54" s="60">
        <f>100-(N$169-Tabell2[[#This Row],[beftettotal-T]])*100/N$171</f>
        <v>78.113614302226722</v>
      </c>
      <c r="X54" s="60">
        <f>100-(O$169-Tabell2[[#This Row],[Befvekst10-T]])*100/O$171</f>
        <v>27.389522875751808</v>
      </c>
      <c r="Y54" s="60">
        <f>100-(P$169-Tabell2[[#This Row],[Kvinneandel-T]])*100/P$171</f>
        <v>0</v>
      </c>
      <c r="Z54" s="60">
        <f>(Q$169-Tabell2[[#This Row],[Eldreandel-T]])*100/Q$171</f>
        <v>45.422979250644921</v>
      </c>
      <c r="AA54" s="60">
        <f>100-(R$169-Tabell2[[#This Row],[Syssvekst10-T]])*100/R$171</f>
        <v>28.75750255166875</v>
      </c>
      <c r="AB54" s="60">
        <f>100-(S$169-Tabell2[[#This Row],[Yrkesaktiveandel-T]])*100/S$171</f>
        <v>100</v>
      </c>
      <c r="AC54" s="60">
        <f>100-(T$169-Tabell2[[#This Row],[Bruttoinntekt17+-T]])*100/T$171</f>
        <v>100</v>
      </c>
      <c r="AD54" s="60">
        <f>Tabell2[[#This Row],[NIBR11-BA-I]]*$AD$2</f>
        <v>0</v>
      </c>
      <c r="AE54" s="60">
        <f>Tabell2[[#This Row],[Reisetid Oslo-I]]*$AE$2</f>
        <v>4.5717465843382232</v>
      </c>
      <c r="AF54" s="60">
        <f>Tabell2[[#This Row],[beftettotal-I]]*$AF$2</f>
        <v>7.8113614302226724</v>
      </c>
      <c r="AG54" s="60">
        <f>Tabell2[[#This Row],[Befvekst10-I]]*$AG$2</f>
        <v>5.4779045751503617</v>
      </c>
      <c r="AH54" s="60">
        <f>Tabell2[[#This Row],[Kvinneandel-I]]*$AH$2</f>
        <v>0</v>
      </c>
      <c r="AI54" s="60">
        <f>Tabell2[[#This Row],[Eldreandel-I]]*$AI$2</f>
        <v>2.2711489625322461</v>
      </c>
      <c r="AJ54" s="60">
        <f>Tabell2[[#This Row],[Syssvekst10-I]]*$AJ$2</f>
        <v>2.8757502551668752</v>
      </c>
      <c r="AK54" s="60">
        <f>Tabell2[[#This Row],[Yrkesaktiveandel-I]]*$AK$2</f>
        <v>10</v>
      </c>
      <c r="AL54" s="60">
        <f>Tabell2[[#This Row],[Bruttoinntekt17+-I]]*$AL$2</f>
        <v>10</v>
      </c>
      <c r="AM54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43.00791180741038</v>
      </c>
    </row>
    <row r="55" spans="1:39">
      <c r="A55" s="63">
        <v>50</v>
      </c>
      <c r="B55" s="8" t="s">
        <v>105</v>
      </c>
      <c r="C55" s="45">
        <f>Råark!L52</f>
        <v>1</v>
      </c>
      <c r="D55" s="80">
        <f>Råark!K52</f>
        <v>171.36902233269481</v>
      </c>
      <c r="E55" s="80">
        <f>Råark!N52</f>
        <v>115.07411191565605</v>
      </c>
      <c r="F55" s="80">
        <f>Råark!O52</f>
        <v>0.14752621739990723</v>
      </c>
      <c r="G55" s="80">
        <f>Råark!P52</f>
        <v>0.14118873290183109</v>
      </c>
      <c r="H55" s="80">
        <f>Råark!Q52</f>
        <v>0.12004426543821498</v>
      </c>
      <c r="I55" s="80">
        <f>Råark!R52</f>
        <v>0.20663475137434983</v>
      </c>
      <c r="J55" s="80">
        <f>Råark!S52</f>
        <v>0.87020690478627227</v>
      </c>
      <c r="K55" s="80">
        <f>Råark!M52</f>
        <v>369699.16066121357</v>
      </c>
      <c r="L55" s="59">
        <f>Tabell2[[#This Row],[NIBR11BA]]</f>
        <v>1</v>
      </c>
      <c r="M55" s="80">
        <f>IF(Tabell2[[#This Row],[Reisetid Oslo]]&lt;D$167,D$167,IF(Tabell2[[#This Row],[Reisetid Oslo]]&gt;D$168,D$168,Tabell2[[#This Row],[Reisetid Oslo]]))</f>
        <v>171.36902233269481</v>
      </c>
      <c r="N55" s="80">
        <f>IF(Tabell2[[#This Row],[beftettotal]]&lt;E$167,E$167,IF(Tabell2[[#This Row],[beftettotal]]&gt;E$168,E$168,Tabell2[[#This Row],[beftettotal]]))</f>
        <v>44.017170258769376</v>
      </c>
      <c r="O55" s="80">
        <f>IF(Tabell2[[#This Row],[Befvekst10]]&lt;F$167,F$167,IF(Tabell2[[#This Row],[Befvekst10]]&gt;F$168,F$168,Tabell2[[#This Row],[Befvekst10]]))</f>
        <v>9.7533233360955388E-2</v>
      </c>
      <c r="P55" s="80">
        <f>IF(Tabell2[[#This Row],[Kvinneandel]]&lt;G$167,G$167,IF(Tabell2[[#This Row],[Kvinneandel]]&gt;G$168,G$168,Tabell2[[#This Row],[Kvinneandel]]))</f>
        <v>0.12281998450468276</v>
      </c>
      <c r="Q55" s="80">
        <f>IF(Tabell2[[#This Row],[Eldreandel]]&lt;H$167,H$167,IF(Tabell2[[#This Row],[Eldreandel]]&gt;H$168,H$168,Tabell2[[#This Row],[Eldreandel]]))</f>
        <v>0.1286969132327325</v>
      </c>
      <c r="R55" s="80">
        <f>IF(Tabell2[[#This Row],[Syssvekst10]]&lt;I$167,I$167,IF(Tabell2[[#This Row],[Syssvekst10]]&gt;I$168,I$168,Tabell2[[#This Row],[Syssvekst10]]))</f>
        <v>0.1635686869077807</v>
      </c>
      <c r="S55" s="80">
        <f>IF(Tabell2[[#This Row],[Yrkesaktiveandel]]&lt;J$167,J$167,IF(Tabell2[[#This Row],[Yrkesaktiveandel]]&gt;J$168,J$168,Tabell2[[#This Row],[Yrkesaktiveandel]]))</f>
        <v>0.87020690478627227</v>
      </c>
      <c r="T55" s="80">
        <f>IF(Tabell2[[#This Row],[Bruttoinntekt17+]]&lt;K$167,K$167,IF(Tabell2[[#This Row],[Bruttoinntekt17+]]&gt;K$168,K$168,Tabell2[[#This Row],[Bruttoinntekt17+]]))</f>
        <v>353972.77512388147</v>
      </c>
      <c r="U55" s="60">
        <f>IF(Tabell2[[#This Row],[NIBR11-BA-Utrunk]]&lt;=L$170,100,IF(Tabell2[[#This Row],[NIBR11-BA-Utrunk]]&gt;=L$169,0,100-Tabell2[[#This Row],[NIBR11-BA-Utrunk]]*100/L$171))</f>
        <v>100</v>
      </c>
      <c r="V55" s="60">
        <f>(M$169-Tabell2[[#This Row],[Reisetid Oslo-T]])*100/M$171</f>
        <v>78.809236056550461</v>
      </c>
      <c r="W55" s="60">
        <f>100-(N$169-Tabell2[[#This Row],[beftettotal-T]])*100/N$171</f>
        <v>100</v>
      </c>
      <c r="X55" s="60">
        <f>100-(O$169-Tabell2[[#This Row],[Befvekst10-T]])*100/O$171</f>
        <v>100</v>
      </c>
      <c r="Y55" s="60">
        <f>100-(P$169-Tabell2[[#This Row],[Kvinneandel-T]])*100/P$171</f>
        <v>100</v>
      </c>
      <c r="Z55" s="60">
        <f>(Q$169-Tabell2[[#This Row],[Eldreandel-T]])*100/Q$171</f>
        <v>100</v>
      </c>
      <c r="AA55" s="60">
        <f>100-(R$169-Tabell2[[#This Row],[Syssvekst10-T]])*100/R$171</f>
        <v>100</v>
      </c>
      <c r="AB55" s="60">
        <f>100-(S$169-Tabell2[[#This Row],[Yrkesaktiveandel-T]])*100/S$171</f>
        <v>33.010171181762388</v>
      </c>
      <c r="AC55" s="60">
        <f>100-(T$169-Tabell2[[#This Row],[Bruttoinntekt17+-T]])*100/T$171</f>
        <v>100</v>
      </c>
      <c r="AD55" s="60">
        <f>Tabell2[[#This Row],[NIBR11-BA-I]]*$AD$2</f>
        <v>20</v>
      </c>
      <c r="AE55" s="60">
        <f>Tabell2[[#This Row],[Reisetid Oslo-I]]*$AE$2</f>
        <v>7.8809236056550462</v>
      </c>
      <c r="AF55" s="60">
        <f>Tabell2[[#This Row],[beftettotal-I]]*$AF$2</f>
        <v>10</v>
      </c>
      <c r="AG55" s="60">
        <f>Tabell2[[#This Row],[Befvekst10-I]]*$AG$2</f>
        <v>20</v>
      </c>
      <c r="AH55" s="60">
        <f>Tabell2[[#This Row],[Kvinneandel-I]]*$AH$2</f>
        <v>5</v>
      </c>
      <c r="AI55" s="60">
        <f>Tabell2[[#This Row],[Eldreandel-I]]*$AI$2</f>
        <v>5</v>
      </c>
      <c r="AJ55" s="60">
        <f>Tabell2[[#This Row],[Syssvekst10-I]]*$AJ$2</f>
        <v>10</v>
      </c>
      <c r="AK55" s="60">
        <f>Tabell2[[#This Row],[Yrkesaktiveandel-I]]*$AK$2</f>
        <v>3.3010171181762389</v>
      </c>
      <c r="AL55" s="60">
        <f>Tabell2[[#This Row],[Bruttoinntekt17+-I]]*$AL$2</f>
        <v>10</v>
      </c>
      <c r="AM55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91.181940723831275</v>
      </c>
    </row>
    <row r="56" spans="1:39">
      <c r="A56" s="64">
        <v>51</v>
      </c>
      <c r="B56" s="8" t="s">
        <v>106</v>
      </c>
      <c r="C56" s="45">
        <f>Råark!L53</f>
        <v>6</v>
      </c>
      <c r="D56" s="80">
        <f>Råark!K53</f>
        <v>176.62100621121698</v>
      </c>
      <c r="E56" s="80">
        <f>Råark!N53</f>
        <v>44.662018870560146</v>
      </c>
      <c r="F56" s="80">
        <f>Råark!O53</f>
        <v>6.9809885931559013E-2</v>
      </c>
      <c r="G56" s="80">
        <f>Råark!P53</f>
        <v>0.12013079328973557</v>
      </c>
      <c r="H56" s="80">
        <f>Råark!Q53</f>
        <v>0.12584589138470287</v>
      </c>
      <c r="I56" s="80">
        <f>Råark!R53</f>
        <v>0.10122843525542047</v>
      </c>
      <c r="J56" s="80">
        <f>Råark!S53</f>
        <v>0.8990162617948203</v>
      </c>
      <c r="K56" s="80">
        <f>Råark!M53</f>
        <v>358877.89528756682</v>
      </c>
      <c r="L56" s="59">
        <f>Tabell2[[#This Row],[NIBR11BA]]</f>
        <v>6</v>
      </c>
      <c r="M56" s="80">
        <f>IF(Tabell2[[#This Row],[Reisetid Oslo]]&lt;D$167,D$167,IF(Tabell2[[#This Row],[Reisetid Oslo]]&gt;D$168,D$168,Tabell2[[#This Row],[Reisetid Oslo]]))</f>
        <v>176.62100621121698</v>
      </c>
      <c r="N56" s="80">
        <f>IF(Tabell2[[#This Row],[beftettotal]]&lt;E$167,E$167,IF(Tabell2[[#This Row],[beftettotal]]&gt;E$168,E$168,Tabell2[[#This Row],[beftettotal]]))</f>
        <v>44.017170258769376</v>
      </c>
      <c r="O56" s="80">
        <f>IF(Tabell2[[#This Row],[Befvekst10]]&lt;F$167,F$167,IF(Tabell2[[#This Row],[Befvekst10]]&gt;F$168,F$168,Tabell2[[#This Row],[Befvekst10]]))</f>
        <v>6.9809885931559013E-2</v>
      </c>
      <c r="P56" s="80">
        <f>IF(Tabell2[[#This Row],[Kvinneandel]]&lt;G$167,G$167,IF(Tabell2[[#This Row],[Kvinneandel]]&gt;G$168,G$168,Tabell2[[#This Row],[Kvinneandel]]))</f>
        <v>0.12013079328973557</v>
      </c>
      <c r="Q56" s="80">
        <f>IF(Tabell2[[#This Row],[Eldreandel]]&lt;H$167,H$167,IF(Tabell2[[#This Row],[Eldreandel]]&gt;H$168,H$168,Tabell2[[#This Row],[Eldreandel]]))</f>
        <v>0.1286969132327325</v>
      </c>
      <c r="R56" s="80">
        <f>IF(Tabell2[[#This Row],[Syssvekst10]]&lt;I$167,I$167,IF(Tabell2[[#This Row],[Syssvekst10]]&gt;I$168,I$168,Tabell2[[#This Row],[Syssvekst10]]))</f>
        <v>0.10122843525542047</v>
      </c>
      <c r="S56" s="80">
        <f>IF(Tabell2[[#This Row],[Yrkesaktiveandel]]&lt;J$167,J$167,IF(Tabell2[[#This Row],[Yrkesaktiveandel]]&gt;J$168,J$168,Tabell2[[#This Row],[Yrkesaktiveandel]]))</f>
        <v>0.8990162617948203</v>
      </c>
      <c r="T56" s="80">
        <f>IF(Tabell2[[#This Row],[Bruttoinntekt17+]]&lt;K$167,K$167,IF(Tabell2[[#This Row],[Bruttoinntekt17+]]&gt;K$168,K$168,Tabell2[[#This Row],[Bruttoinntekt17+]]))</f>
        <v>353972.77512388147</v>
      </c>
      <c r="U56" s="60">
        <f>IF(Tabell2[[#This Row],[NIBR11-BA-Utrunk]]&lt;=L$170,100,IF(Tabell2[[#This Row],[NIBR11-BA-Utrunk]]&gt;=L$169,0,100-Tabell2[[#This Row],[NIBR11-BA-Utrunk]]*100/L$171))</f>
        <v>40</v>
      </c>
      <c r="V56" s="60">
        <f>(M$169-Tabell2[[#This Row],[Reisetid Oslo-T]])*100/M$171</f>
        <v>75.989267101822719</v>
      </c>
      <c r="W56" s="60">
        <f>100-(N$169-Tabell2[[#This Row],[beftettotal-T]])*100/N$171</f>
        <v>100</v>
      </c>
      <c r="X56" s="60">
        <f>100-(O$169-Tabell2[[#This Row],[Befvekst10-T]])*100/O$171</f>
        <v>87.567203391900534</v>
      </c>
      <c r="Y56" s="60">
        <f>100-(P$169-Tabell2[[#This Row],[Kvinneandel-T]])*100/P$171</f>
        <v>91.423991915443736</v>
      </c>
      <c r="Z56" s="60">
        <f>(Q$169-Tabell2[[#This Row],[Eldreandel-T]])*100/Q$171</f>
        <v>100</v>
      </c>
      <c r="AA56" s="60">
        <f>100-(R$169-Tabell2[[#This Row],[Syssvekst10-T]])*100/R$171</f>
        <v>76.473651157256541</v>
      </c>
      <c r="AB56" s="60">
        <f>100-(S$169-Tabell2[[#This Row],[Yrkesaktiveandel-T]])*100/S$171</f>
        <v>54.787629435855401</v>
      </c>
      <c r="AC56" s="60">
        <f>100-(T$169-Tabell2[[#This Row],[Bruttoinntekt17+-T]])*100/T$171</f>
        <v>100</v>
      </c>
      <c r="AD56" s="60">
        <f>Tabell2[[#This Row],[NIBR11-BA-I]]*$AD$2</f>
        <v>8</v>
      </c>
      <c r="AE56" s="60">
        <f>Tabell2[[#This Row],[Reisetid Oslo-I]]*$AE$2</f>
        <v>7.5989267101822726</v>
      </c>
      <c r="AF56" s="60">
        <f>Tabell2[[#This Row],[beftettotal-I]]*$AF$2</f>
        <v>10</v>
      </c>
      <c r="AG56" s="60">
        <f>Tabell2[[#This Row],[Befvekst10-I]]*$AG$2</f>
        <v>17.513440678380107</v>
      </c>
      <c r="AH56" s="60">
        <f>Tabell2[[#This Row],[Kvinneandel-I]]*$AH$2</f>
        <v>4.5711995957721872</v>
      </c>
      <c r="AI56" s="60">
        <f>Tabell2[[#This Row],[Eldreandel-I]]*$AI$2</f>
        <v>5</v>
      </c>
      <c r="AJ56" s="60">
        <f>Tabell2[[#This Row],[Syssvekst10-I]]*$AJ$2</f>
        <v>7.6473651157256546</v>
      </c>
      <c r="AK56" s="60">
        <f>Tabell2[[#This Row],[Yrkesaktiveandel-I]]*$AK$2</f>
        <v>5.4787629435855401</v>
      </c>
      <c r="AL56" s="60">
        <f>Tabell2[[#This Row],[Bruttoinntekt17+-I]]*$AL$2</f>
        <v>10</v>
      </c>
      <c r="AM56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75.80969504364576</v>
      </c>
    </row>
    <row r="57" spans="1:39">
      <c r="A57" s="63">
        <v>52</v>
      </c>
      <c r="B57" s="8" t="s">
        <v>107</v>
      </c>
      <c r="C57" s="45">
        <f>Råark!L54</f>
        <v>5</v>
      </c>
      <c r="D57" s="80">
        <f>Råark!K54</f>
        <v>218.93005854618286</v>
      </c>
      <c r="E57" s="80">
        <f>Råark!N54</f>
        <v>11.581086967042539</v>
      </c>
      <c r="F57" s="80">
        <f>Råark!O54</f>
        <v>-5.8163689239717487E-3</v>
      </c>
      <c r="G57" s="80">
        <f>Råark!P54</f>
        <v>0.10499373171750941</v>
      </c>
      <c r="H57" s="80">
        <f>Råark!Q54</f>
        <v>0.17363142498955286</v>
      </c>
      <c r="I57" s="80">
        <f>Råark!R54</f>
        <v>-8.6956521739129933E-3</v>
      </c>
      <c r="J57" s="80">
        <f>Råark!S54</f>
        <v>0.92518040258260537</v>
      </c>
      <c r="K57" s="80">
        <f>Råark!M54</f>
        <v>327975.1769331586</v>
      </c>
      <c r="L57" s="59">
        <f>Tabell2[[#This Row],[NIBR11BA]]</f>
        <v>5</v>
      </c>
      <c r="M57" s="80">
        <f>IF(Tabell2[[#This Row],[Reisetid Oslo]]&lt;D$167,D$167,IF(Tabell2[[#This Row],[Reisetid Oslo]]&gt;D$168,D$168,Tabell2[[#This Row],[Reisetid Oslo]]))</f>
        <v>218.93005854618286</v>
      </c>
      <c r="N57" s="80">
        <f>IF(Tabell2[[#This Row],[beftettotal]]&lt;E$167,E$167,IF(Tabell2[[#This Row],[beftettotal]]&gt;E$168,E$168,Tabell2[[#This Row],[beftettotal]]))</f>
        <v>11.581086967042539</v>
      </c>
      <c r="O57" s="80">
        <f>IF(Tabell2[[#This Row],[Befvekst10]]&lt;F$167,F$167,IF(Tabell2[[#This Row],[Befvekst10]]&gt;F$168,F$168,Tabell2[[#This Row],[Befvekst10]]))</f>
        <v>-5.8163689239717487E-3</v>
      </c>
      <c r="P57" s="80">
        <f>IF(Tabell2[[#This Row],[Kvinneandel]]&lt;G$167,G$167,IF(Tabell2[[#This Row],[Kvinneandel]]&gt;G$168,G$168,Tabell2[[#This Row],[Kvinneandel]]))</f>
        <v>0.10499373171750941</v>
      </c>
      <c r="Q57" s="80">
        <f>IF(Tabell2[[#This Row],[Eldreandel]]&lt;H$167,H$167,IF(Tabell2[[#This Row],[Eldreandel]]&gt;H$168,H$168,Tabell2[[#This Row],[Eldreandel]]))</f>
        <v>0.17363142498955286</v>
      </c>
      <c r="R57" s="80">
        <f>IF(Tabell2[[#This Row],[Syssvekst10]]&lt;I$167,I$167,IF(Tabell2[[#This Row],[Syssvekst10]]&gt;I$168,I$168,Tabell2[[#This Row],[Syssvekst10]]))</f>
        <v>-8.6956521739129933E-3</v>
      </c>
      <c r="S57" s="80">
        <f>IF(Tabell2[[#This Row],[Yrkesaktiveandel]]&lt;J$167,J$167,IF(Tabell2[[#This Row],[Yrkesaktiveandel]]&gt;J$168,J$168,Tabell2[[#This Row],[Yrkesaktiveandel]]))</f>
        <v>0.92518040258260537</v>
      </c>
      <c r="T57" s="80">
        <f>IF(Tabell2[[#This Row],[Bruttoinntekt17+]]&lt;K$167,K$167,IF(Tabell2[[#This Row],[Bruttoinntekt17+]]&gt;K$168,K$168,Tabell2[[#This Row],[Bruttoinntekt17+]]))</f>
        <v>327975.1769331586</v>
      </c>
      <c r="U57" s="60">
        <f>IF(Tabell2[[#This Row],[NIBR11-BA-Utrunk]]&lt;=L$170,100,IF(Tabell2[[#This Row],[NIBR11-BA-Utrunk]]&gt;=L$169,0,100-Tabell2[[#This Row],[NIBR11-BA-Utrunk]]*100/L$171))</f>
        <v>50</v>
      </c>
      <c r="V57" s="60">
        <f>(M$169-Tabell2[[#This Row],[Reisetid Oslo-T]])*100/M$171</f>
        <v>53.272096438662302</v>
      </c>
      <c r="W57" s="60">
        <f>100-(N$169-Tabell2[[#This Row],[beftettotal-T]])*100/N$171</f>
        <v>24.590083167721531</v>
      </c>
      <c r="X57" s="60">
        <f>100-(O$169-Tabell2[[#This Row],[Befvekst10-T]])*100/O$171</f>
        <v>53.651896185739687</v>
      </c>
      <c r="Y57" s="60">
        <f>100-(P$169-Tabell2[[#This Row],[Kvinneandel-T]])*100/P$171</f>
        <v>43.150904565503602</v>
      </c>
      <c r="Z57" s="60">
        <f>(Q$169-Tabell2[[#This Row],[Eldreandel-T]])*100/Q$171</f>
        <v>40.226179592110363</v>
      </c>
      <c r="AA57" s="60">
        <f>100-(R$169-Tabell2[[#This Row],[Syssvekst10-T]])*100/R$171</f>
        <v>34.989820750152006</v>
      </c>
      <c r="AB57" s="60">
        <f>100-(S$169-Tabell2[[#This Row],[Yrkesaktiveandel-T]])*100/S$171</f>
        <v>74.565526026575554</v>
      </c>
      <c r="AC57" s="60">
        <f>100-(T$169-Tabell2[[#This Row],[Bruttoinntekt17+-T]])*100/T$171</f>
        <v>56.454958522818018</v>
      </c>
      <c r="AD57" s="60">
        <f>Tabell2[[#This Row],[NIBR11-BA-I]]*$AD$2</f>
        <v>10</v>
      </c>
      <c r="AE57" s="60">
        <f>Tabell2[[#This Row],[Reisetid Oslo-I]]*$AE$2</f>
        <v>5.3272096438662304</v>
      </c>
      <c r="AF57" s="60">
        <f>Tabell2[[#This Row],[beftettotal-I]]*$AF$2</f>
        <v>2.4590083167721533</v>
      </c>
      <c r="AG57" s="60">
        <f>Tabell2[[#This Row],[Befvekst10-I]]*$AG$2</f>
        <v>10.730379237147938</v>
      </c>
      <c r="AH57" s="60">
        <f>Tabell2[[#This Row],[Kvinneandel-I]]*$AH$2</f>
        <v>2.1575452282751804</v>
      </c>
      <c r="AI57" s="60">
        <f>Tabell2[[#This Row],[Eldreandel-I]]*$AI$2</f>
        <v>2.0113089796055181</v>
      </c>
      <c r="AJ57" s="60">
        <f>Tabell2[[#This Row],[Syssvekst10-I]]*$AJ$2</f>
        <v>3.498982075015201</v>
      </c>
      <c r="AK57" s="60">
        <f>Tabell2[[#This Row],[Yrkesaktiveandel-I]]*$AK$2</f>
        <v>7.4565526026575562</v>
      </c>
      <c r="AL57" s="60">
        <f>Tabell2[[#This Row],[Bruttoinntekt17+-I]]*$AL$2</f>
        <v>5.645495852281802</v>
      </c>
      <c r="AM57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49.286481935621573</v>
      </c>
    </row>
    <row r="58" spans="1:39">
      <c r="A58" s="64">
        <v>53</v>
      </c>
      <c r="B58" s="8" t="s">
        <v>108</v>
      </c>
      <c r="C58" s="45">
        <f>Råark!L55</f>
        <v>8</v>
      </c>
      <c r="D58" s="80">
        <f>Råark!K55</f>
        <v>267.881399837</v>
      </c>
      <c r="E58" s="80">
        <f>Råark!N55</f>
        <v>11.806528253045158</v>
      </c>
      <c r="F58" s="80">
        <f>Råark!O55</f>
        <v>1.3546423135464281E-2</v>
      </c>
      <c r="G58" s="80">
        <f>Råark!P55</f>
        <v>0.10797417029584022</v>
      </c>
      <c r="H58" s="80">
        <f>Råark!Q55</f>
        <v>0.15730590178705511</v>
      </c>
      <c r="I58" s="80">
        <f>Råark!R55</f>
        <v>6.5582464203641555E-2</v>
      </c>
      <c r="J58" s="80">
        <f>Råark!S55</f>
        <v>0.89774272504759312</v>
      </c>
      <c r="K58" s="80">
        <f>Råark!M55</f>
        <v>335600</v>
      </c>
      <c r="L58" s="59">
        <f>Tabell2[[#This Row],[NIBR11BA]]</f>
        <v>8</v>
      </c>
      <c r="M58" s="80">
        <f>IF(Tabell2[[#This Row],[Reisetid Oslo]]&lt;D$167,D$167,IF(Tabell2[[#This Row],[Reisetid Oslo]]&gt;D$168,D$168,Tabell2[[#This Row],[Reisetid Oslo]]))</f>
        <v>267.881399837</v>
      </c>
      <c r="N58" s="80">
        <f>IF(Tabell2[[#This Row],[beftettotal]]&lt;E$167,E$167,IF(Tabell2[[#This Row],[beftettotal]]&gt;E$168,E$168,Tabell2[[#This Row],[beftettotal]]))</f>
        <v>11.806528253045158</v>
      </c>
      <c r="O58" s="80">
        <f>IF(Tabell2[[#This Row],[Befvekst10]]&lt;F$167,F$167,IF(Tabell2[[#This Row],[Befvekst10]]&gt;F$168,F$168,Tabell2[[#This Row],[Befvekst10]]))</f>
        <v>1.3546423135464281E-2</v>
      </c>
      <c r="P58" s="80">
        <f>IF(Tabell2[[#This Row],[Kvinneandel]]&lt;G$167,G$167,IF(Tabell2[[#This Row],[Kvinneandel]]&gt;G$168,G$168,Tabell2[[#This Row],[Kvinneandel]]))</f>
        <v>0.10797417029584022</v>
      </c>
      <c r="Q58" s="80">
        <f>IF(Tabell2[[#This Row],[Eldreandel]]&lt;H$167,H$167,IF(Tabell2[[#This Row],[Eldreandel]]&gt;H$168,H$168,Tabell2[[#This Row],[Eldreandel]]))</f>
        <v>0.15730590178705511</v>
      </c>
      <c r="R58" s="80">
        <f>IF(Tabell2[[#This Row],[Syssvekst10]]&lt;I$167,I$167,IF(Tabell2[[#This Row],[Syssvekst10]]&gt;I$168,I$168,Tabell2[[#This Row],[Syssvekst10]]))</f>
        <v>6.5582464203641555E-2</v>
      </c>
      <c r="S58" s="80">
        <f>IF(Tabell2[[#This Row],[Yrkesaktiveandel]]&lt;J$167,J$167,IF(Tabell2[[#This Row],[Yrkesaktiveandel]]&gt;J$168,J$168,Tabell2[[#This Row],[Yrkesaktiveandel]]))</f>
        <v>0.89774272504759312</v>
      </c>
      <c r="T58" s="80">
        <f>IF(Tabell2[[#This Row],[Bruttoinntekt17+]]&lt;K$167,K$167,IF(Tabell2[[#This Row],[Bruttoinntekt17+]]&gt;K$168,K$168,Tabell2[[#This Row],[Bruttoinntekt17+]]))</f>
        <v>335600</v>
      </c>
      <c r="U58" s="60">
        <f>IF(Tabell2[[#This Row],[NIBR11-BA-Utrunk]]&lt;=L$170,100,IF(Tabell2[[#This Row],[NIBR11-BA-Utrunk]]&gt;=L$169,0,100-Tabell2[[#This Row],[NIBR11-BA-Utrunk]]*100/L$171))</f>
        <v>20</v>
      </c>
      <c r="V58" s="60">
        <f>(M$169-Tabell2[[#This Row],[Reisetid Oslo-T]])*100/M$171</f>
        <v>26.988454690083756</v>
      </c>
      <c r="W58" s="60">
        <f>100-(N$169-Tabell2[[#This Row],[beftettotal-T]])*100/N$171</f>
        <v>25.114206517483538</v>
      </c>
      <c r="X58" s="60">
        <f>100-(O$169-Tabell2[[#This Row],[Befvekst10-T]])*100/O$171</f>
        <v>62.33532289144226</v>
      </c>
      <c r="Y58" s="60">
        <f>100-(P$169-Tabell2[[#This Row],[Kvinneandel-T]])*100/P$171</f>
        <v>52.655719694014408</v>
      </c>
      <c r="Z58" s="60">
        <f>(Q$169-Tabell2[[#This Row],[Eldreandel-T]])*100/Q$171</f>
        <v>61.943092802429561</v>
      </c>
      <c r="AA58" s="60">
        <f>100-(R$169-Tabell2[[#This Row],[Syssvekst10-T]])*100/R$171</f>
        <v>63.021354646183099</v>
      </c>
      <c r="AB58" s="60">
        <f>100-(S$169-Tabell2[[#This Row],[Yrkesaktiveandel-T]])*100/S$171</f>
        <v>53.824942440114256</v>
      </c>
      <c r="AC58" s="60">
        <f>100-(T$169-Tabell2[[#This Row],[Bruttoinntekt17+-T]])*100/T$171</f>
        <v>69.226262789696946</v>
      </c>
      <c r="AD58" s="60">
        <f>Tabell2[[#This Row],[NIBR11-BA-I]]*$AD$2</f>
        <v>4</v>
      </c>
      <c r="AE58" s="60">
        <f>Tabell2[[#This Row],[Reisetid Oslo-I]]*$AE$2</f>
        <v>2.6988454690083756</v>
      </c>
      <c r="AF58" s="60">
        <f>Tabell2[[#This Row],[beftettotal-I]]*$AF$2</f>
        <v>2.5114206517483542</v>
      </c>
      <c r="AG58" s="60">
        <f>Tabell2[[#This Row],[Befvekst10-I]]*$AG$2</f>
        <v>12.467064578288452</v>
      </c>
      <c r="AH58" s="60">
        <f>Tabell2[[#This Row],[Kvinneandel-I]]*$AH$2</f>
        <v>2.6327859847007207</v>
      </c>
      <c r="AI58" s="60">
        <f>Tabell2[[#This Row],[Eldreandel-I]]*$AI$2</f>
        <v>3.0971546401214782</v>
      </c>
      <c r="AJ58" s="60">
        <f>Tabell2[[#This Row],[Syssvekst10-I]]*$AJ$2</f>
        <v>6.3021354646183099</v>
      </c>
      <c r="AK58" s="60">
        <f>Tabell2[[#This Row],[Yrkesaktiveandel-I]]*$AK$2</f>
        <v>5.3824942440114256</v>
      </c>
      <c r="AL58" s="60">
        <f>Tabell2[[#This Row],[Bruttoinntekt17+-I]]*$AL$2</f>
        <v>6.9226262789696946</v>
      </c>
      <c r="AM58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46.014527311466814</v>
      </c>
    </row>
    <row r="59" spans="1:39">
      <c r="A59" s="63">
        <v>54</v>
      </c>
      <c r="B59" s="8" t="s">
        <v>109</v>
      </c>
      <c r="C59" s="45">
        <f>Råark!L56</f>
        <v>7</v>
      </c>
      <c r="D59" s="80">
        <f>Råark!K56</f>
        <v>273.05154038970255</v>
      </c>
      <c r="E59" s="80">
        <f>Råark!N56</f>
        <v>2.512005254795445</v>
      </c>
      <c r="F59" s="80">
        <f>Råark!O56</f>
        <v>-6.3998677029932227E-2</v>
      </c>
      <c r="G59" s="80">
        <f>Råark!P56</f>
        <v>0.10353356890459364</v>
      </c>
      <c r="H59" s="80">
        <f>Råark!Q56</f>
        <v>0.19001766784452298</v>
      </c>
      <c r="I59" s="80">
        <f>Råark!R56</f>
        <v>-4.155374887082175E-3</v>
      </c>
      <c r="J59" s="80">
        <f>Råark!S56</f>
        <v>0.92225585470766291</v>
      </c>
      <c r="K59" s="80">
        <f>Råark!M56</f>
        <v>329069.89540204837</v>
      </c>
      <c r="L59" s="59">
        <f>Tabell2[[#This Row],[NIBR11BA]]</f>
        <v>7</v>
      </c>
      <c r="M59" s="80">
        <f>IF(Tabell2[[#This Row],[Reisetid Oslo]]&lt;D$167,D$167,IF(Tabell2[[#This Row],[Reisetid Oslo]]&gt;D$168,D$168,Tabell2[[#This Row],[Reisetid Oslo]]))</f>
        <v>273.05154038970255</v>
      </c>
      <c r="N59" s="80">
        <f>IF(Tabell2[[#This Row],[beftettotal]]&lt;E$167,E$167,IF(Tabell2[[#This Row],[beftettotal]]&gt;E$168,E$168,Tabell2[[#This Row],[beftettotal]]))</f>
        <v>2.512005254795445</v>
      </c>
      <c r="O59" s="80">
        <f>IF(Tabell2[[#This Row],[Befvekst10]]&lt;F$167,F$167,IF(Tabell2[[#This Row],[Befvekst10]]&gt;F$168,F$168,Tabell2[[#This Row],[Befvekst10]]))</f>
        <v>-6.3998677029932227E-2</v>
      </c>
      <c r="P59" s="80">
        <f>IF(Tabell2[[#This Row],[Kvinneandel]]&lt;G$167,G$167,IF(Tabell2[[#This Row],[Kvinneandel]]&gt;G$168,G$168,Tabell2[[#This Row],[Kvinneandel]]))</f>
        <v>0.10353356890459364</v>
      </c>
      <c r="Q59" s="80">
        <f>IF(Tabell2[[#This Row],[Eldreandel]]&lt;H$167,H$167,IF(Tabell2[[#This Row],[Eldreandel]]&gt;H$168,H$168,Tabell2[[#This Row],[Eldreandel]]))</f>
        <v>0.19001766784452298</v>
      </c>
      <c r="R59" s="80">
        <f>IF(Tabell2[[#This Row],[Syssvekst10]]&lt;I$167,I$167,IF(Tabell2[[#This Row],[Syssvekst10]]&gt;I$168,I$168,Tabell2[[#This Row],[Syssvekst10]]))</f>
        <v>-4.155374887082175E-3</v>
      </c>
      <c r="S59" s="80">
        <f>IF(Tabell2[[#This Row],[Yrkesaktiveandel]]&lt;J$167,J$167,IF(Tabell2[[#This Row],[Yrkesaktiveandel]]&gt;J$168,J$168,Tabell2[[#This Row],[Yrkesaktiveandel]]))</f>
        <v>0.92225585470766291</v>
      </c>
      <c r="T59" s="80">
        <f>IF(Tabell2[[#This Row],[Bruttoinntekt17+]]&lt;K$167,K$167,IF(Tabell2[[#This Row],[Bruttoinntekt17+]]&gt;K$168,K$168,Tabell2[[#This Row],[Bruttoinntekt17+]]))</f>
        <v>329069.89540204837</v>
      </c>
      <c r="U59" s="60">
        <f>IF(Tabell2[[#This Row],[NIBR11-BA-Utrunk]]&lt;=L$170,100,IF(Tabell2[[#This Row],[NIBR11-BA-Utrunk]]&gt;=L$169,0,100-Tabell2[[#This Row],[NIBR11-BA-Utrunk]]*100/L$171))</f>
        <v>30</v>
      </c>
      <c r="V59" s="60">
        <f>(M$169-Tabell2[[#This Row],[Reisetid Oslo-T]])*100/M$171</f>
        <v>24.21243020344679</v>
      </c>
      <c r="W59" s="60">
        <f>100-(N$169-Tabell2[[#This Row],[beftettotal-T]])*100/N$171</f>
        <v>3.5055801001108335</v>
      </c>
      <c r="X59" s="60">
        <f>100-(O$169-Tabell2[[#This Row],[Befvekst10-T]])*100/O$171</f>
        <v>27.559491409822883</v>
      </c>
      <c r="Y59" s="60">
        <f>100-(P$169-Tabell2[[#This Row],[Kvinneandel-T]])*100/P$171</f>
        <v>38.494349085650931</v>
      </c>
      <c r="Z59" s="60">
        <f>(Q$169-Tabell2[[#This Row],[Eldreandel-T]])*100/Q$171</f>
        <v>18.428494488201775</v>
      </c>
      <c r="AA59" s="60">
        <f>100-(R$169-Tabell2[[#This Row],[Syssvekst10-T]])*100/R$171</f>
        <v>36.703258608703251</v>
      </c>
      <c r="AB59" s="60">
        <f>100-(S$169-Tabell2[[#This Row],[Yrkesaktiveandel-T]])*100/S$171</f>
        <v>72.354813054406179</v>
      </c>
      <c r="AC59" s="60">
        <f>100-(T$169-Tabell2[[#This Row],[Bruttoinntekt17+-T]])*100/T$171</f>
        <v>58.288572566081932</v>
      </c>
      <c r="AD59" s="60">
        <f>Tabell2[[#This Row],[NIBR11-BA-I]]*$AD$2</f>
        <v>6</v>
      </c>
      <c r="AE59" s="60">
        <f>Tabell2[[#This Row],[Reisetid Oslo-I]]*$AE$2</f>
        <v>2.4212430203446793</v>
      </c>
      <c r="AF59" s="60">
        <f>Tabell2[[#This Row],[beftettotal-I]]*$AF$2</f>
        <v>0.35055801001108339</v>
      </c>
      <c r="AG59" s="60">
        <f>Tabell2[[#This Row],[Befvekst10-I]]*$AG$2</f>
        <v>5.5118982819645765</v>
      </c>
      <c r="AH59" s="60">
        <f>Tabell2[[#This Row],[Kvinneandel-I]]*$AH$2</f>
        <v>1.9247174542825467</v>
      </c>
      <c r="AI59" s="60">
        <f>Tabell2[[#This Row],[Eldreandel-I]]*$AI$2</f>
        <v>0.92142472441008882</v>
      </c>
      <c r="AJ59" s="60">
        <f>Tabell2[[#This Row],[Syssvekst10-I]]*$AJ$2</f>
        <v>3.6703258608703253</v>
      </c>
      <c r="AK59" s="60">
        <f>Tabell2[[#This Row],[Yrkesaktiveandel-I]]*$AK$2</f>
        <v>7.2354813054406186</v>
      </c>
      <c r="AL59" s="60">
        <f>Tabell2[[#This Row],[Bruttoinntekt17+-I]]*$AL$2</f>
        <v>5.8288572566081935</v>
      </c>
      <c r="AM59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33.864505913932106</v>
      </c>
    </row>
    <row r="60" spans="1:39">
      <c r="A60" s="64">
        <v>55</v>
      </c>
      <c r="B60" s="8" t="s">
        <v>110</v>
      </c>
      <c r="C60" s="45">
        <f>Råark!L57</f>
        <v>6</v>
      </c>
      <c r="D60" s="80">
        <f>Råark!K57</f>
        <v>242.0528983915446</v>
      </c>
      <c r="E60" s="80">
        <f>Råark!N57</f>
        <v>5.8460168009550477</v>
      </c>
      <c r="F60" s="80">
        <f>Råark!O57</f>
        <v>6.248828344685986E-4</v>
      </c>
      <c r="G60" s="80">
        <f>Råark!P57</f>
        <v>0.11022294385811528</v>
      </c>
      <c r="H60" s="80">
        <f>Råark!Q57</f>
        <v>0.17473302941360144</v>
      </c>
      <c r="I60" s="80">
        <f>Råark!R57</f>
        <v>6.0867148415786554E-2</v>
      </c>
      <c r="J60" s="80">
        <f>Råark!S57</f>
        <v>0.94398551544641851</v>
      </c>
      <c r="K60" s="80">
        <f>Råark!M57</f>
        <v>320727.46838425891</v>
      </c>
      <c r="L60" s="59">
        <f>Tabell2[[#This Row],[NIBR11BA]]</f>
        <v>6</v>
      </c>
      <c r="M60" s="80">
        <f>IF(Tabell2[[#This Row],[Reisetid Oslo]]&lt;D$167,D$167,IF(Tabell2[[#This Row],[Reisetid Oslo]]&gt;D$168,D$168,Tabell2[[#This Row],[Reisetid Oslo]]))</f>
        <v>242.0528983915446</v>
      </c>
      <c r="N60" s="80">
        <f>IF(Tabell2[[#This Row],[beftettotal]]&lt;E$167,E$167,IF(Tabell2[[#This Row],[beftettotal]]&gt;E$168,E$168,Tabell2[[#This Row],[beftettotal]]))</f>
        <v>5.8460168009550477</v>
      </c>
      <c r="O60" s="80">
        <f>IF(Tabell2[[#This Row],[Befvekst10]]&lt;F$167,F$167,IF(Tabell2[[#This Row],[Befvekst10]]&gt;F$168,F$168,Tabell2[[#This Row],[Befvekst10]]))</f>
        <v>6.248828344685986E-4</v>
      </c>
      <c r="P60" s="80">
        <f>IF(Tabell2[[#This Row],[Kvinneandel]]&lt;G$167,G$167,IF(Tabell2[[#This Row],[Kvinneandel]]&gt;G$168,G$168,Tabell2[[#This Row],[Kvinneandel]]))</f>
        <v>0.11022294385811528</v>
      </c>
      <c r="Q60" s="80">
        <f>IF(Tabell2[[#This Row],[Eldreandel]]&lt;H$167,H$167,IF(Tabell2[[#This Row],[Eldreandel]]&gt;H$168,H$168,Tabell2[[#This Row],[Eldreandel]]))</f>
        <v>0.17473302941360144</v>
      </c>
      <c r="R60" s="80">
        <f>IF(Tabell2[[#This Row],[Syssvekst10]]&lt;I$167,I$167,IF(Tabell2[[#This Row],[Syssvekst10]]&gt;I$168,I$168,Tabell2[[#This Row],[Syssvekst10]]))</f>
        <v>6.0867148415786554E-2</v>
      </c>
      <c r="S60" s="80">
        <f>IF(Tabell2[[#This Row],[Yrkesaktiveandel]]&lt;J$167,J$167,IF(Tabell2[[#This Row],[Yrkesaktiveandel]]&gt;J$168,J$168,Tabell2[[#This Row],[Yrkesaktiveandel]]))</f>
        <v>0.94398551544641851</v>
      </c>
      <c r="T60" s="80">
        <f>IF(Tabell2[[#This Row],[Bruttoinntekt17+]]&lt;K$167,K$167,IF(Tabell2[[#This Row],[Bruttoinntekt17+]]&gt;K$168,K$168,Tabell2[[#This Row],[Bruttoinntekt17+]]))</f>
        <v>320727.46838425891</v>
      </c>
      <c r="U60" s="60">
        <f>IF(Tabell2[[#This Row],[NIBR11-BA-Utrunk]]&lt;=L$170,100,IF(Tabell2[[#This Row],[NIBR11-BA-Utrunk]]&gt;=L$169,0,100-Tabell2[[#This Row],[NIBR11-BA-Utrunk]]*100/L$171))</f>
        <v>40</v>
      </c>
      <c r="V60" s="60">
        <f>(M$169-Tabell2[[#This Row],[Reisetid Oslo-T]])*100/M$171</f>
        <v>40.856656479732017</v>
      </c>
      <c r="W60" s="60">
        <f>100-(N$169-Tabell2[[#This Row],[beftettotal-T]])*100/N$171</f>
        <v>11.256748178960791</v>
      </c>
      <c r="X60" s="60">
        <f>100-(O$169-Tabell2[[#This Row],[Befvekst10-T]])*100/O$171</f>
        <v>56.540536282979041</v>
      </c>
      <c r="Y60" s="60">
        <f>100-(P$169-Tabell2[[#This Row],[Kvinneandel-T]])*100/P$171</f>
        <v>59.827206847182872</v>
      </c>
      <c r="Z60" s="60">
        <f>(Q$169-Tabell2[[#This Row],[Eldreandel-T]])*100/Q$171</f>
        <v>38.760778001458341</v>
      </c>
      <c r="AA60" s="60">
        <f>100-(R$169-Tabell2[[#This Row],[Syssvekst10-T]])*100/R$171</f>
        <v>61.241859678030004</v>
      </c>
      <c r="AB60" s="60">
        <f>100-(S$169-Tabell2[[#This Row],[Yrkesaktiveandel-T]])*100/S$171</f>
        <v>88.780614556100431</v>
      </c>
      <c r="AC60" s="60">
        <f>100-(T$169-Tabell2[[#This Row],[Bruttoinntekt17+-T]])*100/T$171</f>
        <v>44.315307503479467</v>
      </c>
      <c r="AD60" s="60">
        <f>Tabell2[[#This Row],[NIBR11-BA-I]]*$AD$2</f>
        <v>8</v>
      </c>
      <c r="AE60" s="60">
        <f>Tabell2[[#This Row],[Reisetid Oslo-I]]*$AE$2</f>
        <v>4.0856656479732019</v>
      </c>
      <c r="AF60" s="60">
        <f>Tabell2[[#This Row],[beftettotal-I]]*$AF$2</f>
        <v>1.1256748178960791</v>
      </c>
      <c r="AG60" s="60">
        <f>Tabell2[[#This Row],[Befvekst10-I]]*$AG$2</f>
        <v>11.308107256595809</v>
      </c>
      <c r="AH60" s="60">
        <f>Tabell2[[#This Row],[Kvinneandel-I]]*$AH$2</f>
        <v>2.9913603423591439</v>
      </c>
      <c r="AI60" s="60">
        <f>Tabell2[[#This Row],[Eldreandel-I]]*$AI$2</f>
        <v>1.9380389000729172</v>
      </c>
      <c r="AJ60" s="60">
        <f>Tabell2[[#This Row],[Syssvekst10-I]]*$AJ$2</f>
        <v>6.1241859678030011</v>
      </c>
      <c r="AK60" s="60">
        <f>Tabell2[[#This Row],[Yrkesaktiveandel-I]]*$AK$2</f>
        <v>8.8780614556100428</v>
      </c>
      <c r="AL60" s="60">
        <f>Tabell2[[#This Row],[Bruttoinntekt17+-I]]*$AL$2</f>
        <v>4.4315307503479469</v>
      </c>
      <c r="AM60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48.882625138658142</v>
      </c>
    </row>
    <row r="61" spans="1:39">
      <c r="A61" s="63">
        <v>56</v>
      </c>
      <c r="B61" s="8" t="s">
        <v>111</v>
      </c>
      <c r="C61" s="45">
        <f>Råark!L58</f>
        <v>5</v>
      </c>
      <c r="D61" s="80">
        <f>Råark!K58</f>
        <v>216.4344654484</v>
      </c>
      <c r="E61" s="80">
        <f>Råark!N58</f>
        <v>40.880395836887907</v>
      </c>
      <c r="F61" s="80">
        <f>Råark!O58</f>
        <v>7.4439461883408109E-2</v>
      </c>
      <c r="G61" s="80">
        <f>Råark!P58</f>
        <v>0.12729549248747912</v>
      </c>
      <c r="H61" s="80">
        <f>Råark!Q58</f>
        <v>0.12562604340567612</v>
      </c>
      <c r="I61" s="80">
        <f>Råark!R58</f>
        <v>0.18714222809335102</v>
      </c>
      <c r="J61" s="80">
        <f>Råark!S58</f>
        <v>0.95144213216502371</v>
      </c>
      <c r="K61" s="80">
        <f>Råark!M58</f>
        <v>439700</v>
      </c>
      <c r="L61" s="59">
        <f>Tabell2[[#This Row],[NIBR11BA]]</f>
        <v>5</v>
      </c>
      <c r="M61" s="80">
        <f>IF(Tabell2[[#This Row],[Reisetid Oslo]]&lt;D$167,D$167,IF(Tabell2[[#This Row],[Reisetid Oslo]]&gt;D$168,D$168,Tabell2[[#This Row],[Reisetid Oslo]]))</f>
        <v>216.4344654484</v>
      </c>
      <c r="N61" s="80">
        <f>IF(Tabell2[[#This Row],[beftettotal]]&lt;E$167,E$167,IF(Tabell2[[#This Row],[beftettotal]]&gt;E$168,E$168,Tabell2[[#This Row],[beftettotal]]))</f>
        <v>40.880395836887907</v>
      </c>
      <c r="O61" s="80">
        <f>IF(Tabell2[[#This Row],[Befvekst10]]&lt;F$167,F$167,IF(Tabell2[[#This Row],[Befvekst10]]&gt;F$168,F$168,Tabell2[[#This Row],[Befvekst10]]))</f>
        <v>7.4439461883408109E-2</v>
      </c>
      <c r="P61" s="80">
        <f>IF(Tabell2[[#This Row],[Kvinneandel]]&lt;G$167,G$167,IF(Tabell2[[#This Row],[Kvinneandel]]&gt;G$168,G$168,Tabell2[[#This Row],[Kvinneandel]]))</f>
        <v>0.12281998450468276</v>
      </c>
      <c r="Q61" s="80">
        <f>IF(Tabell2[[#This Row],[Eldreandel]]&lt;H$167,H$167,IF(Tabell2[[#This Row],[Eldreandel]]&gt;H$168,H$168,Tabell2[[#This Row],[Eldreandel]]))</f>
        <v>0.1286969132327325</v>
      </c>
      <c r="R61" s="80">
        <f>IF(Tabell2[[#This Row],[Syssvekst10]]&lt;I$167,I$167,IF(Tabell2[[#This Row],[Syssvekst10]]&gt;I$168,I$168,Tabell2[[#This Row],[Syssvekst10]]))</f>
        <v>0.1635686869077807</v>
      </c>
      <c r="S61" s="80">
        <f>IF(Tabell2[[#This Row],[Yrkesaktiveandel]]&lt;J$167,J$167,IF(Tabell2[[#This Row],[Yrkesaktiveandel]]&gt;J$168,J$168,Tabell2[[#This Row],[Yrkesaktiveandel]]))</f>
        <v>0.95144213216502371</v>
      </c>
      <c r="T61" s="80">
        <f>IF(Tabell2[[#This Row],[Bruttoinntekt17+]]&lt;K$167,K$167,IF(Tabell2[[#This Row],[Bruttoinntekt17+]]&gt;K$168,K$168,Tabell2[[#This Row],[Bruttoinntekt17+]]))</f>
        <v>353972.77512388147</v>
      </c>
      <c r="U61" s="60">
        <f>IF(Tabell2[[#This Row],[NIBR11-BA-Utrunk]]&lt;=L$170,100,IF(Tabell2[[#This Row],[NIBR11-BA-Utrunk]]&gt;=L$169,0,100-Tabell2[[#This Row],[NIBR11-BA-Utrunk]]*100/L$171))</f>
        <v>50</v>
      </c>
      <c r="V61" s="60">
        <f>(M$169-Tabell2[[#This Row],[Reisetid Oslo-T]])*100/M$171</f>
        <v>54.612065338445127</v>
      </c>
      <c r="W61" s="60">
        <f>100-(N$169-Tabell2[[#This Row],[beftettotal-T]])*100/N$171</f>
        <v>92.707384052869514</v>
      </c>
      <c r="X61" s="60">
        <f>100-(O$169-Tabell2[[#This Row],[Befvekst10-T]])*100/O$171</f>
        <v>89.643380388119127</v>
      </c>
      <c r="Y61" s="60">
        <f>100-(P$169-Tabell2[[#This Row],[Kvinneandel-T]])*100/P$171</f>
        <v>100</v>
      </c>
      <c r="Z61" s="60">
        <f>(Q$169-Tabell2[[#This Row],[Eldreandel-T]])*100/Q$171</f>
        <v>100</v>
      </c>
      <c r="AA61" s="60">
        <f>100-(R$169-Tabell2[[#This Row],[Syssvekst10-T]])*100/R$171</f>
        <v>100</v>
      </c>
      <c r="AB61" s="60">
        <f>100-(S$169-Tabell2[[#This Row],[Yrkesaktiveandel-T]])*100/S$171</f>
        <v>94.417191563286508</v>
      </c>
      <c r="AC61" s="60">
        <f>100-(T$169-Tabell2[[#This Row],[Bruttoinntekt17+-T]])*100/T$171</f>
        <v>100</v>
      </c>
      <c r="AD61" s="60">
        <f>Tabell2[[#This Row],[NIBR11-BA-I]]*$AD$2</f>
        <v>10</v>
      </c>
      <c r="AE61" s="60">
        <f>Tabell2[[#This Row],[Reisetid Oslo-I]]*$AE$2</f>
        <v>5.4612065338445133</v>
      </c>
      <c r="AF61" s="60">
        <f>Tabell2[[#This Row],[beftettotal-I]]*$AF$2</f>
        <v>9.2707384052869521</v>
      </c>
      <c r="AG61" s="60">
        <f>Tabell2[[#This Row],[Befvekst10-I]]*$AG$2</f>
        <v>17.928676077623827</v>
      </c>
      <c r="AH61" s="60">
        <f>Tabell2[[#This Row],[Kvinneandel-I]]*$AH$2</f>
        <v>5</v>
      </c>
      <c r="AI61" s="60">
        <f>Tabell2[[#This Row],[Eldreandel-I]]*$AI$2</f>
        <v>5</v>
      </c>
      <c r="AJ61" s="60">
        <f>Tabell2[[#This Row],[Syssvekst10-I]]*$AJ$2</f>
        <v>10</v>
      </c>
      <c r="AK61" s="60">
        <f>Tabell2[[#This Row],[Yrkesaktiveandel-I]]*$AK$2</f>
        <v>9.4417191563286504</v>
      </c>
      <c r="AL61" s="60">
        <f>Tabell2[[#This Row],[Bruttoinntekt17+-I]]*$AL$2</f>
        <v>10</v>
      </c>
      <c r="AM61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82.102340173083945</v>
      </c>
    </row>
    <row r="62" spans="1:39">
      <c r="A62" s="64">
        <v>57</v>
      </c>
      <c r="B62" s="8" t="s">
        <v>112</v>
      </c>
      <c r="C62" s="45">
        <f>Råark!L59</f>
        <v>5</v>
      </c>
      <c r="D62" s="80">
        <f>Råark!K59</f>
        <v>230.6496714914</v>
      </c>
      <c r="E62" s="80">
        <f>Råark!N59</f>
        <v>0.89773140846779076</v>
      </c>
      <c r="F62" s="80">
        <f>Råark!O59</f>
        <v>7.2463768115942129E-2</v>
      </c>
      <c r="G62" s="80">
        <f>Råark!P59</f>
        <v>0.11351351351351352</v>
      </c>
      <c r="H62" s="80">
        <f>Råark!Q59</f>
        <v>0.14324324324324325</v>
      </c>
      <c r="I62" s="80">
        <f>Råark!R59</f>
        <v>5.2380952380952417E-2</v>
      </c>
      <c r="J62" s="80">
        <f>Råark!S59</f>
        <v>0.87939698492462315</v>
      </c>
      <c r="K62" s="80">
        <f>Råark!M59</f>
        <v>321900</v>
      </c>
      <c r="L62" s="59">
        <f>Tabell2[[#This Row],[NIBR11BA]]</f>
        <v>5</v>
      </c>
      <c r="M62" s="80">
        <f>IF(Tabell2[[#This Row],[Reisetid Oslo]]&lt;D$167,D$167,IF(Tabell2[[#This Row],[Reisetid Oslo]]&gt;D$168,D$168,Tabell2[[#This Row],[Reisetid Oslo]]))</f>
        <v>230.6496714914</v>
      </c>
      <c r="N62" s="80">
        <f>IF(Tabell2[[#This Row],[beftettotal]]&lt;E$167,E$167,IF(Tabell2[[#This Row],[beftettotal]]&gt;E$168,E$168,Tabell2[[#This Row],[beftettotal]]))</f>
        <v>1.0041493534832273</v>
      </c>
      <c r="O62" s="80">
        <f>IF(Tabell2[[#This Row],[Befvekst10]]&lt;F$167,F$167,IF(Tabell2[[#This Row],[Befvekst10]]&gt;F$168,F$168,Tabell2[[#This Row],[Befvekst10]]))</f>
        <v>7.2463768115942129E-2</v>
      </c>
      <c r="P62" s="80">
        <f>IF(Tabell2[[#This Row],[Kvinneandel]]&lt;G$167,G$167,IF(Tabell2[[#This Row],[Kvinneandel]]&gt;G$168,G$168,Tabell2[[#This Row],[Kvinneandel]]))</f>
        <v>0.11351351351351352</v>
      </c>
      <c r="Q62" s="80">
        <f>IF(Tabell2[[#This Row],[Eldreandel]]&lt;H$167,H$167,IF(Tabell2[[#This Row],[Eldreandel]]&gt;H$168,H$168,Tabell2[[#This Row],[Eldreandel]]))</f>
        <v>0.14324324324324325</v>
      </c>
      <c r="R62" s="80">
        <f>IF(Tabell2[[#This Row],[Syssvekst10]]&lt;I$167,I$167,IF(Tabell2[[#This Row],[Syssvekst10]]&gt;I$168,I$168,Tabell2[[#This Row],[Syssvekst10]]))</f>
        <v>5.2380952380952417E-2</v>
      </c>
      <c r="S62" s="80">
        <f>IF(Tabell2[[#This Row],[Yrkesaktiveandel]]&lt;J$167,J$167,IF(Tabell2[[#This Row],[Yrkesaktiveandel]]&gt;J$168,J$168,Tabell2[[#This Row],[Yrkesaktiveandel]]))</f>
        <v>0.87939698492462315</v>
      </c>
      <c r="T62" s="80">
        <f>IF(Tabell2[[#This Row],[Bruttoinntekt17+]]&lt;K$167,K$167,IF(Tabell2[[#This Row],[Bruttoinntekt17+]]&gt;K$168,K$168,Tabell2[[#This Row],[Bruttoinntekt17+]]))</f>
        <v>321900</v>
      </c>
      <c r="U62" s="60">
        <f>IF(Tabell2[[#This Row],[NIBR11-BA-Utrunk]]&lt;=L$170,100,IF(Tabell2[[#This Row],[NIBR11-BA-Utrunk]]&gt;=L$169,0,100-Tabell2[[#This Row],[NIBR11-BA-Utrunk]]*100/L$171))</f>
        <v>50</v>
      </c>
      <c r="V62" s="60">
        <f>(M$169-Tabell2[[#This Row],[Reisetid Oslo-T]])*100/M$171</f>
        <v>46.979437239518461</v>
      </c>
      <c r="W62" s="60">
        <f>100-(N$169-Tabell2[[#This Row],[beftettotal-T]])*100/N$171</f>
        <v>0</v>
      </c>
      <c r="X62" s="60">
        <f>100-(O$169-Tabell2[[#This Row],[Befvekst10-T]])*100/O$171</f>
        <v>88.757361885723242</v>
      </c>
      <c r="Y62" s="60">
        <f>100-(P$169-Tabell2[[#This Row],[Kvinneandel-T]])*100/P$171</f>
        <v>70.321050427601151</v>
      </c>
      <c r="Z62" s="60">
        <f>(Q$169-Tabell2[[#This Row],[Eldreandel-T]])*100/Q$171</f>
        <v>80.649846106090379</v>
      </c>
      <c r="AA62" s="60">
        <f>100-(R$169-Tabell2[[#This Row],[Syssvekst10-T]])*100/R$171</f>
        <v>58.039286653834402</v>
      </c>
      <c r="AB62" s="60">
        <f>100-(S$169-Tabell2[[#This Row],[Yrkesaktiveandel-T]])*100/S$171</f>
        <v>39.957101184584843</v>
      </c>
      <c r="AC62" s="60">
        <f>100-(T$169-Tabell2[[#This Row],[Bruttoinntekt17+-T]])*100/T$171</f>
        <v>46.279255767706914</v>
      </c>
      <c r="AD62" s="60">
        <f>Tabell2[[#This Row],[NIBR11-BA-I]]*$AD$2</f>
        <v>10</v>
      </c>
      <c r="AE62" s="60">
        <f>Tabell2[[#This Row],[Reisetid Oslo-I]]*$AE$2</f>
        <v>4.6979437239518465</v>
      </c>
      <c r="AF62" s="60">
        <f>Tabell2[[#This Row],[beftettotal-I]]*$AF$2</f>
        <v>0</v>
      </c>
      <c r="AG62" s="60">
        <f>Tabell2[[#This Row],[Befvekst10-I]]*$AG$2</f>
        <v>17.751472377144648</v>
      </c>
      <c r="AH62" s="60">
        <f>Tabell2[[#This Row],[Kvinneandel-I]]*$AH$2</f>
        <v>3.5160525213800575</v>
      </c>
      <c r="AI62" s="60">
        <f>Tabell2[[#This Row],[Eldreandel-I]]*$AI$2</f>
        <v>4.032492305304519</v>
      </c>
      <c r="AJ62" s="60">
        <f>Tabell2[[#This Row],[Syssvekst10-I]]*$AJ$2</f>
        <v>5.8039286653834408</v>
      </c>
      <c r="AK62" s="60">
        <f>Tabell2[[#This Row],[Yrkesaktiveandel-I]]*$AK$2</f>
        <v>3.9957101184584847</v>
      </c>
      <c r="AL62" s="60">
        <f>Tabell2[[#This Row],[Bruttoinntekt17+-I]]*$AL$2</f>
        <v>4.6279255767706919</v>
      </c>
      <c r="AM62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54.425525288393679</v>
      </c>
    </row>
    <row r="63" spans="1:39">
      <c r="A63" s="63">
        <v>58</v>
      </c>
      <c r="B63" s="8" t="s">
        <v>113</v>
      </c>
      <c r="C63" s="45">
        <f>Råark!L60</f>
        <v>11</v>
      </c>
      <c r="D63" s="80">
        <f>Råark!K60</f>
        <v>258.81720152700001</v>
      </c>
      <c r="E63" s="80">
        <f>Råark!N60</f>
        <v>62.203023758099356</v>
      </c>
      <c r="F63" s="80">
        <f>Råark!O60</f>
        <v>-0.15912408759124086</v>
      </c>
      <c r="G63" s="80">
        <f>Råark!P60</f>
        <v>9.0277777777777776E-2</v>
      </c>
      <c r="H63" s="80">
        <f>Råark!Q60</f>
        <v>0.2204861111111111</v>
      </c>
      <c r="I63" s="80">
        <f>Råark!R60</f>
        <v>-9.4915254237288083E-2</v>
      </c>
      <c r="J63" s="80">
        <f>Råark!S60</f>
        <v>0.90397350993377479</v>
      </c>
      <c r="K63" s="80">
        <f>Råark!M60</f>
        <v>354400</v>
      </c>
      <c r="L63" s="59">
        <f>Tabell2[[#This Row],[NIBR11BA]]</f>
        <v>11</v>
      </c>
      <c r="M63" s="80">
        <f>IF(Tabell2[[#This Row],[Reisetid Oslo]]&lt;D$167,D$167,IF(Tabell2[[#This Row],[Reisetid Oslo]]&gt;D$168,D$168,Tabell2[[#This Row],[Reisetid Oslo]]))</f>
        <v>258.81720152700001</v>
      </c>
      <c r="N63" s="80">
        <f>IF(Tabell2[[#This Row],[beftettotal]]&lt;E$167,E$167,IF(Tabell2[[#This Row],[beftettotal]]&gt;E$168,E$168,Tabell2[[#This Row],[beftettotal]]))</f>
        <v>44.017170258769376</v>
      </c>
      <c r="O63" s="80">
        <f>IF(Tabell2[[#This Row],[Befvekst10]]&lt;F$167,F$167,IF(Tabell2[[#This Row],[Befvekst10]]&gt;F$168,F$168,Tabell2[[#This Row],[Befvekst10]]))</f>
        <v>-0.12545237722432315</v>
      </c>
      <c r="P63" s="80">
        <f>IF(Tabell2[[#This Row],[Kvinneandel]]&lt;G$167,G$167,IF(Tabell2[[#This Row],[Kvinneandel]]&gt;G$168,G$168,Tabell2[[#This Row],[Kvinneandel]]))</f>
        <v>9.1462840383166502E-2</v>
      </c>
      <c r="Q63" s="80">
        <f>IF(Tabell2[[#This Row],[Eldreandel]]&lt;H$167,H$167,IF(Tabell2[[#This Row],[Eldreandel]]&gt;H$168,H$168,Tabell2[[#This Row],[Eldreandel]]))</f>
        <v>0.20387114745465851</v>
      </c>
      <c r="R63" s="80">
        <f>IF(Tabell2[[#This Row],[Syssvekst10]]&lt;I$167,I$167,IF(Tabell2[[#This Row],[Syssvekst10]]&gt;I$168,I$168,Tabell2[[#This Row],[Syssvekst10]]))</f>
        <v>-9.4915254237288083E-2</v>
      </c>
      <c r="S63" s="80">
        <f>IF(Tabell2[[#This Row],[Yrkesaktiveandel]]&lt;J$167,J$167,IF(Tabell2[[#This Row],[Yrkesaktiveandel]]&gt;J$168,J$168,Tabell2[[#This Row],[Yrkesaktiveandel]]))</f>
        <v>0.90397350993377479</v>
      </c>
      <c r="T63" s="80">
        <f>IF(Tabell2[[#This Row],[Bruttoinntekt17+]]&lt;K$167,K$167,IF(Tabell2[[#This Row],[Bruttoinntekt17+]]&gt;K$168,K$168,Tabell2[[#This Row],[Bruttoinntekt17+]]))</f>
        <v>353972.77512388147</v>
      </c>
      <c r="U63" s="60">
        <f>IF(Tabell2[[#This Row],[NIBR11-BA-Utrunk]]&lt;=L$170,100,IF(Tabell2[[#This Row],[NIBR11-BA-Utrunk]]&gt;=L$169,0,100-Tabell2[[#This Row],[NIBR11-BA-Utrunk]]*100/L$171))</f>
        <v>0</v>
      </c>
      <c r="V63" s="60">
        <f>(M$169-Tabell2[[#This Row],[Reisetid Oslo-T]])*100/M$171</f>
        <v>31.855331364672502</v>
      </c>
      <c r="W63" s="60">
        <f>100-(N$169-Tabell2[[#This Row],[beftettotal-T]])*100/N$171</f>
        <v>100</v>
      </c>
      <c r="X63" s="60">
        <f>100-(O$169-Tabell2[[#This Row],[Befvekst10-T]])*100/O$171</f>
        <v>0</v>
      </c>
      <c r="Y63" s="60">
        <f>100-(P$169-Tabell2[[#This Row],[Kvinneandel-T]])*100/P$171</f>
        <v>0</v>
      </c>
      <c r="Z63" s="60">
        <f>(Q$169-Tabell2[[#This Row],[Eldreandel-T]])*100/Q$171</f>
        <v>0</v>
      </c>
      <c r="AA63" s="60">
        <f>100-(R$169-Tabell2[[#This Row],[Syssvekst10-T]])*100/R$171</f>
        <v>2.4517353003687958</v>
      </c>
      <c r="AB63" s="60">
        <f>100-(S$169-Tabell2[[#This Row],[Yrkesaktiveandel-T]])*100/S$171</f>
        <v>58.534893367127104</v>
      </c>
      <c r="AC63" s="60">
        <f>100-(T$169-Tabell2[[#This Row],[Bruttoinntekt17+-T]])*100/T$171</f>
        <v>100</v>
      </c>
      <c r="AD63" s="60">
        <f>Tabell2[[#This Row],[NIBR11-BA-I]]*$AD$2</f>
        <v>0</v>
      </c>
      <c r="AE63" s="60">
        <f>Tabell2[[#This Row],[Reisetid Oslo-I]]*$AE$2</f>
        <v>3.1855331364672503</v>
      </c>
      <c r="AF63" s="60">
        <f>Tabell2[[#This Row],[beftettotal-I]]*$AF$2</f>
        <v>10</v>
      </c>
      <c r="AG63" s="60">
        <f>Tabell2[[#This Row],[Befvekst10-I]]*$AG$2</f>
        <v>0</v>
      </c>
      <c r="AH63" s="60">
        <f>Tabell2[[#This Row],[Kvinneandel-I]]*$AH$2</f>
        <v>0</v>
      </c>
      <c r="AI63" s="60">
        <f>Tabell2[[#This Row],[Eldreandel-I]]*$AI$2</f>
        <v>0</v>
      </c>
      <c r="AJ63" s="60">
        <f>Tabell2[[#This Row],[Syssvekst10-I]]*$AJ$2</f>
        <v>0.24517353003687958</v>
      </c>
      <c r="AK63" s="60">
        <f>Tabell2[[#This Row],[Yrkesaktiveandel-I]]*$AK$2</f>
        <v>5.8534893367127108</v>
      </c>
      <c r="AL63" s="60">
        <f>Tabell2[[#This Row],[Bruttoinntekt17+-I]]*$AL$2</f>
        <v>10</v>
      </c>
      <c r="AM63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29.284196003216842</v>
      </c>
    </row>
    <row r="64" spans="1:39">
      <c r="A64" s="64">
        <v>59</v>
      </c>
      <c r="B64" s="8" t="s">
        <v>114</v>
      </c>
      <c r="C64" s="45">
        <f>Råark!L61</f>
        <v>11</v>
      </c>
      <c r="D64" s="80">
        <f>Råark!K61</f>
        <v>247.08731750069336</v>
      </c>
      <c r="E64" s="80">
        <f>Råark!N61</f>
        <v>3.4610083989910807</v>
      </c>
      <c r="F64" s="80">
        <f>Råark!O61</f>
        <v>-5.736543909348446E-2</v>
      </c>
      <c r="G64" s="80">
        <f>Råark!P61</f>
        <v>0.10067618332081142</v>
      </c>
      <c r="H64" s="80">
        <f>Råark!Q61</f>
        <v>0.18482344102178813</v>
      </c>
      <c r="I64" s="80">
        <f>Råark!R61</f>
        <v>4.3930635838150378E-2</v>
      </c>
      <c r="J64" s="80">
        <f>Råark!S61</f>
        <v>0.96780128794848208</v>
      </c>
      <c r="K64" s="80">
        <f>Råark!M61</f>
        <v>335746.65409990575</v>
      </c>
      <c r="L64" s="59">
        <f>Tabell2[[#This Row],[NIBR11BA]]</f>
        <v>11</v>
      </c>
      <c r="M64" s="80">
        <f>IF(Tabell2[[#This Row],[Reisetid Oslo]]&lt;D$167,D$167,IF(Tabell2[[#This Row],[Reisetid Oslo]]&gt;D$168,D$168,Tabell2[[#This Row],[Reisetid Oslo]]))</f>
        <v>247.08731750069336</v>
      </c>
      <c r="N64" s="80">
        <f>IF(Tabell2[[#This Row],[beftettotal]]&lt;E$167,E$167,IF(Tabell2[[#This Row],[beftettotal]]&gt;E$168,E$168,Tabell2[[#This Row],[beftettotal]]))</f>
        <v>3.4610083989910807</v>
      </c>
      <c r="O64" s="80">
        <f>IF(Tabell2[[#This Row],[Befvekst10]]&lt;F$167,F$167,IF(Tabell2[[#This Row],[Befvekst10]]&gt;F$168,F$168,Tabell2[[#This Row],[Befvekst10]]))</f>
        <v>-5.736543909348446E-2</v>
      </c>
      <c r="P64" s="80">
        <f>IF(Tabell2[[#This Row],[Kvinneandel]]&lt;G$167,G$167,IF(Tabell2[[#This Row],[Kvinneandel]]&gt;G$168,G$168,Tabell2[[#This Row],[Kvinneandel]]))</f>
        <v>0.10067618332081142</v>
      </c>
      <c r="Q64" s="80">
        <f>IF(Tabell2[[#This Row],[Eldreandel]]&lt;H$167,H$167,IF(Tabell2[[#This Row],[Eldreandel]]&gt;H$168,H$168,Tabell2[[#This Row],[Eldreandel]]))</f>
        <v>0.18482344102178813</v>
      </c>
      <c r="R64" s="80">
        <f>IF(Tabell2[[#This Row],[Syssvekst10]]&lt;I$167,I$167,IF(Tabell2[[#This Row],[Syssvekst10]]&gt;I$168,I$168,Tabell2[[#This Row],[Syssvekst10]]))</f>
        <v>4.3930635838150378E-2</v>
      </c>
      <c r="S64" s="80">
        <f>IF(Tabell2[[#This Row],[Yrkesaktiveandel]]&lt;J$167,J$167,IF(Tabell2[[#This Row],[Yrkesaktiveandel]]&gt;J$168,J$168,Tabell2[[#This Row],[Yrkesaktiveandel]]))</f>
        <v>0.95882761854672227</v>
      </c>
      <c r="T64" s="80">
        <f>IF(Tabell2[[#This Row],[Bruttoinntekt17+]]&lt;K$167,K$167,IF(Tabell2[[#This Row],[Bruttoinntekt17+]]&gt;K$168,K$168,Tabell2[[#This Row],[Bruttoinntekt17+]]))</f>
        <v>335746.65409990575</v>
      </c>
      <c r="U64" s="60">
        <f>IF(Tabell2[[#This Row],[NIBR11-BA-Utrunk]]&lt;=L$170,100,IF(Tabell2[[#This Row],[NIBR11-BA-Utrunk]]&gt;=L$169,0,100-Tabell2[[#This Row],[NIBR11-BA-Utrunk]]*100/L$171))</f>
        <v>0</v>
      </c>
      <c r="V64" s="60">
        <f>(M$169-Tabell2[[#This Row],[Reisetid Oslo-T]])*100/M$171</f>
        <v>38.153505456945098</v>
      </c>
      <c r="W64" s="60">
        <f>100-(N$169-Tabell2[[#This Row],[beftettotal-T]])*100/N$171</f>
        <v>5.7118960579816331</v>
      </c>
      <c r="X64" s="60">
        <f>100-(O$169-Tabell2[[#This Row],[Befvekst10-T]])*100/O$171</f>
        <v>30.534229519173195</v>
      </c>
      <c r="Y64" s="60">
        <f>100-(P$169-Tabell2[[#This Row],[Kvinneandel-T]])*100/P$171</f>
        <v>29.381958069717896</v>
      </c>
      <c r="Z64" s="60">
        <f>(Q$169-Tabell2[[#This Row],[Eldreandel-T]])*100/Q$171</f>
        <v>25.338078438735522</v>
      </c>
      <c r="AA64" s="60">
        <f>100-(R$169-Tabell2[[#This Row],[Syssvekst10-T]])*100/R$171</f>
        <v>54.850254053738382</v>
      </c>
      <c r="AB64" s="60">
        <f>100-(S$169-Tabell2[[#This Row],[Yrkesaktiveandel-T]])*100/S$171</f>
        <v>100</v>
      </c>
      <c r="AC64" s="60">
        <f>100-(T$169-Tabell2[[#This Row],[Bruttoinntekt17+-T]])*100/T$171</f>
        <v>69.471903129867798</v>
      </c>
      <c r="AD64" s="60">
        <f>Tabell2[[#This Row],[NIBR11-BA-I]]*$AD$2</f>
        <v>0</v>
      </c>
      <c r="AE64" s="60">
        <f>Tabell2[[#This Row],[Reisetid Oslo-I]]*$AE$2</f>
        <v>3.81535054569451</v>
      </c>
      <c r="AF64" s="60">
        <f>Tabell2[[#This Row],[beftettotal-I]]*$AF$2</f>
        <v>0.57118960579816336</v>
      </c>
      <c r="AG64" s="60">
        <f>Tabell2[[#This Row],[Befvekst10-I]]*$AG$2</f>
        <v>6.106845903834639</v>
      </c>
      <c r="AH64" s="60">
        <f>Tabell2[[#This Row],[Kvinneandel-I]]*$AH$2</f>
        <v>1.4690979034858949</v>
      </c>
      <c r="AI64" s="60">
        <f>Tabell2[[#This Row],[Eldreandel-I]]*$AI$2</f>
        <v>1.2669039219367761</v>
      </c>
      <c r="AJ64" s="60">
        <f>Tabell2[[#This Row],[Syssvekst10-I]]*$AJ$2</f>
        <v>5.4850254053738388</v>
      </c>
      <c r="AK64" s="60">
        <f>Tabell2[[#This Row],[Yrkesaktiveandel-I]]*$AK$2</f>
        <v>10</v>
      </c>
      <c r="AL64" s="60">
        <f>Tabell2[[#This Row],[Bruttoinntekt17+-I]]*$AL$2</f>
        <v>6.9471903129867805</v>
      </c>
      <c r="AM64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35.661603599110606</v>
      </c>
    </row>
    <row r="65" spans="1:39">
      <c r="A65" s="63">
        <v>60</v>
      </c>
      <c r="B65" s="8" t="s">
        <v>115</v>
      </c>
      <c r="C65" s="45">
        <f>Råark!L62</f>
        <v>7</v>
      </c>
      <c r="D65" s="80">
        <f>Råark!K62</f>
        <v>167.71914329310999</v>
      </c>
      <c r="E65" s="80">
        <f>Råark!N62</f>
        <v>16.838607137696865</v>
      </c>
      <c r="F65" s="80">
        <f>Råark!O62</f>
        <v>2.9232535547116578E-2</v>
      </c>
      <c r="G65" s="80">
        <f>Råark!P62</f>
        <v>0.11781362622275614</v>
      </c>
      <c r="H65" s="80">
        <f>Råark!Q62</f>
        <v>0.11995881242491849</v>
      </c>
      <c r="I65" s="80">
        <f>Råark!R62</f>
        <v>7.5422626788036462E-2</v>
      </c>
      <c r="J65" s="80">
        <f>Råark!S62</f>
        <v>0.90029673590504455</v>
      </c>
      <c r="K65" s="80">
        <f>Råark!M62</f>
        <v>347100</v>
      </c>
      <c r="L65" s="59">
        <f>Tabell2[[#This Row],[NIBR11BA]]</f>
        <v>7</v>
      </c>
      <c r="M65" s="80">
        <f>IF(Tabell2[[#This Row],[Reisetid Oslo]]&lt;D$167,D$167,IF(Tabell2[[#This Row],[Reisetid Oslo]]&gt;D$168,D$168,Tabell2[[#This Row],[Reisetid Oslo]]))</f>
        <v>167.71914329310999</v>
      </c>
      <c r="N65" s="80">
        <f>IF(Tabell2[[#This Row],[beftettotal]]&lt;E$167,E$167,IF(Tabell2[[#This Row],[beftettotal]]&gt;E$168,E$168,Tabell2[[#This Row],[beftettotal]]))</f>
        <v>16.838607137696865</v>
      </c>
      <c r="O65" s="80">
        <f>IF(Tabell2[[#This Row],[Befvekst10]]&lt;F$167,F$167,IF(Tabell2[[#This Row],[Befvekst10]]&gt;F$168,F$168,Tabell2[[#This Row],[Befvekst10]]))</f>
        <v>2.9232535547116578E-2</v>
      </c>
      <c r="P65" s="80">
        <f>IF(Tabell2[[#This Row],[Kvinneandel]]&lt;G$167,G$167,IF(Tabell2[[#This Row],[Kvinneandel]]&gt;G$168,G$168,Tabell2[[#This Row],[Kvinneandel]]))</f>
        <v>0.11781362622275614</v>
      </c>
      <c r="Q65" s="80">
        <f>IF(Tabell2[[#This Row],[Eldreandel]]&lt;H$167,H$167,IF(Tabell2[[#This Row],[Eldreandel]]&gt;H$168,H$168,Tabell2[[#This Row],[Eldreandel]]))</f>
        <v>0.1286969132327325</v>
      </c>
      <c r="R65" s="80">
        <f>IF(Tabell2[[#This Row],[Syssvekst10]]&lt;I$167,I$167,IF(Tabell2[[#This Row],[Syssvekst10]]&gt;I$168,I$168,Tabell2[[#This Row],[Syssvekst10]]))</f>
        <v>7.5422626788036462E-2</v>
      </c>
      <c r="S65" s="80">
        <f>IF(Tabell2[[#This Row],[Yrkesaktiveandel]]&lt;J$167,J$167,IF(Tabell2[[#This Row],[Yrkesaktiveandel]]&gt;J$168,J$168,Tabell2[[#This Row],[Yrkesaktiveandel]]))</f>
        <v>0.90029673590504455</v>
      </c>
      <c r="T65" s="80">
        <f>IF(Tabell2[[#This Row],[Bruttoinntekt17+]]&lt;K$167,K$167,IF(Tabell2[[#This Row],[Bruttoinntekt17+]]&gt;K$168,K$168,Tabell2[[#This Row],[Bruttoinntekt17+]]))</f>
        <v>347100</v>
      </c>
      <c r="U65" s="60">
        <f>IF(Tabell2[[#This Row],[NIBR11-BA-Utrunk]]&lt;=L$170,100,IF(Tabell2[[#This Row],[NIBR11-BA-Utrunk]]&gt;=L$169,0,100-Tabell2[[#This Row],[NIBR11-BA-Utrunk]]*100/L$171))</f>
        <v>30</v>
      </c>
      <c r="V65" s="60">
        <f>(M$169-Tabell2[[#This Row],[Reisetid Oslo-T]])*100/M$171</f>
        <v>80.768980377592982</v>
      </c>
      <c r="W65" s="60">
        <f>100-(N$169-Tabell2[[#This Row],[beftettotal-T]])*100/N$171</f>
        <v>36.813172967043656</v>
      </c>
      <c r="X65" s="60">
        <f>100-(O$169-Tabell2[[#This Row],[Befvekst10-T]])*100/O$171</f>
        <v>69.369907935060269</v>
      </c>
      <c r="Y65" s="60">
        <f>100-(P$169-Tabell2[[#This Row],[Kvinneandel-T]])*100/P$171</f>
        <v>84.0343933665457</v>
      </c>
      <c r="Z65" s="60">
        <f>(Q$169-Tabell2[[#This Row],[Eldreandel-T]])*100/Q$171</f>
        <v>100</v>
      </c>
      <c r="AA65" s="60">
        <f>100-(R$169-Tabell2[[#This Row],[Syssvekst10-T]])*100/R$171</f>
        <v>66.734895921581881</v>
      </c>
      <c r="AB65" s="60">
        <f>100-(S$169-Tabell2[[#This Row],[Yrkesaktiveandel-T]])*100/S$171</f>
        <v>55.755560496329323</v>
      </c>
      <c r="AC65" s="60">
        <f>100-(T$169-Tabell2[[#This Row],[Bruttoinntekt17+-T]])*100/T$171</f>
        <v>88.488348976038949</v>
      </c>
      <c r="AD65" s="60">
        <f>Tabell2[[#This Row],[NIBR11-BA-I]]*$AD$2</f>
        <v>6</v>
      </c>
      <c r="AE65" s="60">
        <f>Tabell2[[#This Row],[Reisetid Oslo-I]]*$AE$2</f>
        <v>8.0768980377592978</v>
      </c>
      <c r="AF65" s="60">
        <f>Tabell2[[#This Row],[beftettotal-I]]*$AF$2</f>
        <v>3.6813172967043659</v>
      </c>
      <c r="AG65" s="60">
        <f>Tabell2[[#This Row],[Befvekst10-I]]*$AG$2</f>
        <v>13.873981587012054</v>
      </c>
      <c r="AH65" s="60">
        <f>Tabell2[[#This Row],[Kvinneandel-I]]*$AH$2</f>
        <v>4.2017196683272848</v>
      </c>
      <c r="AI65" s="60">
        <f>Tabell2[[#This Row],[Eldreandel-I]]*$AI$2</f>
        <v>5</v>
      </c>
      <c r="AJ65" s="60">
        <f>Tabell2[[#This Row],[Syssvekst10-I]]*$AJ$2</f>
        <v>6.6734895921581883</v>
      </c>
      <c r="AK65" s="60">
        <f>Tabell2[[#This Row],[Yrkesaktiveandel-I]]*$AK$2</f>
        <v>5.5755560496329331</v>
      </c>
      <c r="AL65" s="60">
        <f>Tabell2[[#This Row],[Bruttoinntekt17+-I]]*$AL$2</f>
        <v>8.8488348976038953</v>
      </c>
      <c r="AM65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61.931797129198017</v>
      </c>
    </row>
    <row r="66" spans="1:39">
      <c r="A66" s="64">
        <v>61</v>
      </c>
      <c r="B66" s="8" t="s">
        <v>116</v>
      </c>
      <c r="C66" s="45">
        <f>Råark!L63</f>
        <v>11</v>
      </c>
      <c r="D66" s="80">
        <f>Råark!K63</f>
        <v>311.54441855300001</v>
      </c>
      <c r="E66" s="80">
        <f>Råark!N63</f>
        <v>3.7251039614795363</v>
      </c>
      <c r="F66" s="80">
        <f>Råark!O63</f>
        <v>-7.6004343105320338E-2</v>
      </c>
      <c r="G66" s="80">
        <f>Råark!P63</f>
        <v>7.2855464159811992E-2</v>
      </c>
      <c r="H66" s="80">
        <f>Råark!Q63</f>
        <v>0.19506462984723855</v>
      </c>
      <c r="I66" s="80">
        <f>Råark!R63</f>
        <v>-5.9225512528473856E-2</v>
      </c>
      <c r="J66" s="80">
        <f>Råark!S63</f>
        <v>0.97228144989339016</v>
      </c>
      <c r="K66" s="80">
        <f>Råark!M63</f>
        <v>319500</v>
      </c>
      <c r="L66" s="59">
        <f>Tabell2[[#This Row],[NIBR11BA]]</f>
        <v>11</v>
      </c>
      <c r="M66" s="80">
        <f>IF(Tabell2[[#This Row],[Reisetid Oslo]]&lt;D$167,D$167,IF(Tabell2[[#This Row],[Reisetid Oslo]]&gt;D$168,D$168,Tabell2[[#This Row],[Reisetid Oslo]]))</f>
        <v>311.54441855300001</v>
      </c>
      <c r="N66" s="80">
        <f>IF(Tabell2[[#This Row],[beftettotal]]&lt;E$167,E$167,IF(Tabell2[[#This Row],[beftettotal]]&gt;E$168,E$168,Tabell2[[#This Row],[beftettotal]]))</f>
        <v>3.7251039614795363</v>
      </c>
      <c r="O66" s="80">
        <f>IF(Tabell2[[#This Row],[Befvekst10]]&lt;F$167,F$167,IF(Tabell2[[#This Row],[Befvekst10]]&gt;F$168,F$168,Tabell2[[#This Row],[Befvekst10]]))</f>
        <v>-7.6004343105320338E-2</v>
      </c>
      <c r="P66" s="80">
        <f>IF(Tabell2[[#This Row],[Kvinneandel]]&lt;G$167,G$167,IF(Tabell2[[#This Row],[Kvinneandel]]&gt;G$168,G$168,Tabell2[[#This Row],[Kvinneandel]]))</f>
        <v>9.1462840383166502E-2</v>
      </c>
      <c r="Q66" s="80">
        <f>IF(Tabell2[[#This Row],[Eldreandel]]&lt;H$167,H$167,IF(Tabell2[[#This Row],[Eldreandel]]&gt;H$168,H$168,Tabell2[[#This Row],[Eldreandel]]))</f>
        <v>0.19506462984723855</v>
      </c>
      <c r="R66" s="80">
        <f>IF(Tabell2[[#This Row],[Syssvekst10]]&lt;I$167,I$167,IF(Tabell2[[#This Row],[Syssvekst10]]&gt;I$168,I$168,Tabell2[[#This Row],[Syssvekst10]]))</f>
        <v>-5.9225512528473856E-2</v>
      </c>
      <c r="S66" s="80">
        <f>IF(Tabell2[[#This Row],[Yrkesaktiveandel]]&lt;J$167,J$167,IF(Tabell2[[#This Row],[Yrkesaktiveandel]]&gt;J$168,J$168,Tabell2[[#This Row],[Yrkesaktiveandel]]))</f>
        <v>0.95882761854672227</v>
      </c>
      <c r="T66" s="80">
        <f>IF(Tabell2[[#This Row],[Bruttoinntekt17+]]&lt;K$167,K$167,IF(Tabell2[[#This Row],[Bruttoinntekt17+]]&gt;K$168,K$168,Tabell2[[#This Row],[Bruttoinntekt17+]]))</f>
        <v>319500</v>
      </c>
      <c r="U66" s="60">
        <f>IF(Tabell2[[#This Row],[NIBR11-BA-Utrunk]]&lt;=L$170,100,IF(Tabell2[[#This Row],[NIBR11-BA-Utrunk]]&gt;=L$169,0,100-Tabell2[[#This Row],[NIBR11-BA-Utrunk]]*100/L$171))</f>
        <v>0</v>
      </c>
      <c r="V66" s="60">
        <f>(M$169-Tabell2[[#This Row],[Reisetid Oslo-T]])*100/M$171</f>
        <v>3.544293379470012</v>
      </c>
      <c r="W66" s="60">
        <f>100-(N$169-Tabell2[[#This Row],[beftettotal-T]])*100/N$171</f>
        <v>6.3258858613715887</v>
      </c>
      <c r="X66" s="60">
        <f>100-(O$169-Tabell2[[#This Row],[Befvekst10-T]])*100/O$171</f>
        <v>22.175437235261398</v>
      </c>
      <c r="Y66" s="60">
        <f>100-(P$169-Tabell2[[#This Row],[Kvinneandel-T]])*100/P$171</f>
        <v>0</v>
      </c>
      <c r="Z66" s="60">
        <f>(Q$169-Tabell2[[#This Row],[Eldreandel-T]])*100/Q$171</f>
        <v>11.714808535889775</v>
      </c>
      <c r="AA66" s="60">
        <f>100-(R$169-Tabell2[[#This Row],[Syssvekst10-T]])*100/R$171</f>
        <v>15.920550252083615</v>
      </c>
      <c r="AB66" s="60">
        <f>100-(S$169-Tabell2[[#This Row],[Yrkesaktiveandel-T]])*100/S$171</f>
        <v>100</v>
      </c>
      <c r="AC66" s="60">
        <f>100-(T$169-Tabell2[[#This Row],[Bruttoinntekt17+-T]])*100/T$171</f>
        <v>42.259342128818147</v>
      </c>
      <c r="AD66" s="60">
        <f>Tabell2[[#This Row],[NIBR11-BA-I]]*$AD$2</f>
        <v>0</v>
      </c>
      <c r="AE66" s="60">
        <f>Tabell2[[#This Row],[Reisetid Oslo-I]]*$AE$2</f>
        <v>0.35442933794700121</v>
      </c>
      <c r="AF66" s="60">
        <f>Tabell2[[#This Row],[beftettotal-I]]*$AF$2</f>
        <v>0.63258858613715896</v>
      </c>
      <c r="AG66" s="60">
        <f>Tabell2[[#This Row],[Befvekst10-I]]*$AG$2</f>
        <v>4.4350874470522799</v>
      </c>
      <c r="AH66" s="60">
        <f>Tabell2[[#This Row],[Kvinneandel-I]]*$AH$2</f>
        <v>0</v>
      </c>
      <c r="AI66" s="60">
        <f>Tabell2[[#This Row],[Eldreandel-I]]*$AI$2</f>
        <v>0.58574042679448879</v>
      </c>
      <c r="AJ66" s="60">
        <f>Tabell2[[#This Row],[Syssvekst10-I]]*$AJ$2</f>
        <v>1.5920550252083616</v>
      </c>
      <c r="AK66" s="60">
        <f>Tabell2[[#This Row],[Yrkesaktiveandel-I]]*$AK$2</f>
        <v>10</v>
      </c>
      <c r="AL66" s="60">
        <f>Tabell2[[#This Row],[Bruttoinntekt17+-I]]*$AL$2</f>
        <v>4.2259342128818149</v>
      </c>
      <c r="AM66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21.825835036021104</v>
      </c>
    </row>
    <row r="67" spans="1:39">
      <c r="A67" s="63">
        <v>62</v>
      </c>
      <c r="B67" s="8" t="s">
        <v>117</v>
      </c>
      <c r="C67" s="45">
        <f>Råark!L64</f>
        <v>9</v>
      </c>
      <c r="D67" s="80">
        <f>Råark!K64</f>
        <v>202.16038943850242</v>
      </c>
      <c r="E67" s="80">
        <f>Råark!N64</f>
        <v>4.1517163018777659</v>
      </c>
      <c r="F67" s="80">
        <f>Råark!O64</f>
        <v>-9.5144998370804812E-2</v>
      </c>
      <c r="G67" s="80">
        <f>Råark!P64</f>
        <v>0.1019085343896291</v>
      </c>
      <c r="H67" s="80">
        <f>Råark!Q64</f>
        <v>0.16942743968311128</v>
      </c>
      <c r="I67" s="80">
        <f>Råark!R64</f>
        <v>-0.20298203998644526</v>
      </c>
      <c r="J67" s="80">
        <f>Råark!S64</f>
        <v>0.90129449838187703</v>
      </c>
      <c r="K67" s="80">
        <f>Råark!M64</f>
        <v>324775.12528473802</v>
      </c>
      <c r="L67" s="59">
        <f>Tabell2[[#This Row],[NIBR11BA]]</f>
        <v>9</v>
      </c>
      <c r="M67" s="80">
        <f>IF(Tabell2[[#This Row],[Reisetid Oslo]]&lt;D$167,D$167,IF(Tabell2[[#This Row],[Reisetid Oslo]]&gt;D$168,D$168,Tabell2[[#This Row],[Reisetid Oslo]]))</f>
        <v>202.16038943850242</v>
      </c>
      <c r="N67" s="80">
        <f>IF(Tabell2[[#This Row],[beftettotal]]&lt;E$167,E$167,IF(Tabell2[[#This Row],[beftettotal]]&gt;E$168,E$168,Tabell2[[#This Row],[beftettotal]]))</f>
        <v>4.1517163018777659</v>
      </c>
      <c r="O67" s="80">
        <f>IF(Tabell2[[#This Row],[Befvekst10]]&lt;F$167,F$167,IF(Tabell2[[#This Row],[Befvekst10]]&gt;F$168,F$168,Tabell2[[#This Row],[Befvekst10]]))</f>
        <v>-9.5144998370804812E-2</v>
      </c>
      <c r="P67" s="80">
        <f>IF(Tabell2[[#This Row],[Kvinneandel]]&lt;G$167,G$167,IF(Tabell2[[#This Row],[Kvinneandel]]&gt;G$168,G$168,Tabell2[[#This Row],[Kvinneandel]]))</f>
        <v>0.1019085343896291</v>
      </c>
      <c r="Q67" s="80">
        <f>IF(Tabell2[[#This Row],[Eldreandel]]&lt;H$167,H$167,IF(Tabell2[[#This Row],[Eldreandel]]&gt;H$168,H$168,Tabell2[[#This Row],[Eldreandel]]))</f>
        <v>0.16942743968311128</v>
      </c>
      <c r="R67" s="80">
        <f>IF(Tabell2[[#This Row],[Syssvekst10]]&lt;I$167,I$167,IF(Tabell2[[#This Row],[Syssvekst10]]&gt;I$168,I$168,Tabell2[[#This Row],[Syssvekst10]]))</f>
        <v>-0.10141187624317609</v>
      </c>
      <c r="S67" s="80">
        <f>IF(Tabell2[[#This Row],[Yrkesaktiveandel]]&lt;J$167,J$167,IF(Tabell2[[#This Row],[Yrkesaktiveandel]]&gt;J$168,J$168,Tabell2[[#This Row],[Yrkesaktiveandel]]))</f>
        <v>0.90129449838187703</v>
      </c>
      <c r="T67" s="80">
        <f>IF(Tabell2[[#This Row],[Bruttoinntekt17+]]&lt;K$167,K$167,IF(Tabell2[[#This Row],[Bruttoinntekt17+]]&gt;K$168,K$168,Tabell2[[#This Row],[Bruttoinntekt17+]]))</f>
        <v>324775.12528473802</v>
      </c>
      <c r="U67" s="60">
        <f>IF(Tabell2[[#This Row],[NIBR11-BA-Utrunk]]&lt;=L$170,100,IF(Tabell2[[#This Row],[NIBR11-BA-Utrunk]]&gt;=L$169,0,100-Tabell2[[#This Row],[NIBR11-BA-Utrunk]]*100/L$171))</f>
        <v>10</v>
      </c>
      <c r="V67" s="60">
        <f>(M$169-Tabell2[[#This Row],[Reisetid Oslo-T]])*100/M$171</f>
        <v>62.276302726900667</v>
      </c>
      <c r="W67" s="60">
        <f>100-(N$169-Tabell2[[#This Row],[beftettotal-T]])*100/N$171</f>
        <v>7.3177072480573173</v>
      </c>
      <c r="X67" s="60">
        <f>100-(O$169-Tabell2[[#This Row],[Befvekst10-T]])*100/O$171</f>
        <v>13.591629869734405</v>
      </c>
      <c r="Y67" s="60">
        <f>100-(P$169-Tabell2[[#This Row],[Kvinneandel-T]])*100/P$171</f>
        <v>33.312006877868384</v>
      </c>
      <c r="Z67" s="60">
        <f>(Q$169-Tabell2[[#This Row],[Eldreandel-T]])*100/Q$171</f>
        <v>45.818501682190814</v>
      </c>
      <c r="AA67" s="60">
        <f>100-(R$169-Tabell2[[#This Row],[Syssvekst10-T]])*100/R$171</f>
        <v>0</v>
      </c>
      <c r="AB67" s="60">
        <f>100-(S$169-Tabell2[[#This Row],[Yrkesaktiveandel-T]])*100/S$171</f>
        <v>56.509785267131136</v>
      </c>
      <c r="AC67" s="60">
        <f>100-(T$169-Tabell2[[#This Row],[Bruttoinntekt17+-T]])*100/T$171</f>
        <v>51.094987161720375</v>
      </c>
      <c r="AD67" s="60">
        <f>Tabell2[[#This Row],[NIBR11-BA-I]]*$AD$2</f>
        <v>2</v>
      </c>
      <c r="AE67" s="60">
        <f>Tabell2[[#This Row],[Reisetid Oslo-I]]*$AE$2</f>
        <v>6.2276302726900674</v>
      </c>
      <c r="AF67" s="60">
        <f>Tabell2[[#This Row],[beftettotal-I]]*$AF$2</f>
        <v>0.7317707248057318</v>
      </c>
      <c r="AG67" s="60">
        <f>Tabell2[[#This Row],[Befvekst10-I]]*$AG$2</f>
        <v>2.718325973946881</v>
      </c>
      <c r="AH67" s="60">
        <f>Tabell2[[#This Row],[Kvinneandel-I]]*$AH$2</f>
        <v>1.6656003438934193</v>
      </c>
      <c r="AI67" s="60">
        <f>Tabell2[[#This Row],[Eldreandel-I]]*$AI$2</f>
        <v>2.2909250841095408</v>
      </c>
      <c r="AJ67" s="60">
        <f>Tabell2[[#This Row],[Syssvekst10-I]]*$AJ$2</f>
        <v>0</v>
      </c>
      <c r="AK67" s="60">
        <f>Tabell2[[#This Row],[Yrkesaktiveandel-I]]*$AK$2</f>
        <v>5.6509785267131143</v>
      </c>
      <c r="AL67" s="60">
        <f>Tabell2[[#This Row],[Bruttoinntekt17+-I]]*$AL$2</f>
        <v>5.1094987161720375</v>
      </c>
      <c r="AM67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26.394729642330791</v>
      </c>
    </row>
    <row r="68" spans="1:39">
      <c r="A68" s="64">
        <v>63</v>
      </c>
      <c r="B68" s="8" t="s">
        <v>118</v>
      </c>
      <c r="C68" s="45">
        <f>Råark!L65</f>
        <v>11</v>
      </c>
      <c r="D68" s="80">
        <f>Råark!K65</f>
        <v>220.90599999999998</v>
      </c>
      <c r="E68" s="80">
        <f>Råark!N65</f>
        <v>3.2978110599078336</v>
      </c>
      <c r="F68" s="80">
        <f>Råark!O65</f>
        <v>-5.7289879931389343E-2</v>
      </c>
      <c r="G68" s="80">
        <f>Råark!P65</f>
        <v>9.8617176128093162E-2</v>
      </c>
      <c r="H68" s="80">
        <f>Råark!Q65</f>
        <v>0.20997088791848617</v>
      </c>
      <c r="I68" s="80">
        <f>Råark!R65</f>
        <v>8.0000000000000071E-3</v>
      </c>
      <c r="J68" s="80">
        <f>Råark!S65</f>
        <v>0.95684931506849313</v>
      </c>
      <c r="K68" s="80">
        <f>Råark!M65</f>
        <v>317500</v>
      </c>
      <c r="L68" s="59">
        <f>Tabell2[[#This Row],[NIBR11BA]]</f>
        <v>11</v>
      </c>
      <c r="M68" s="80">
        <f>IF(Tabell2[[#This Row],[Reisetid Oslo]]&lt;D$167,D$167,IF(Tabell2[[#This Row],[Reisetid Oslo]]&gt;D$168,D$168,Tabell2[[#This Row],[Reisetid Oslo]]))</f>
        <v>220.90599999999998</v>
      </c>
      <c r="N68" s="80">
        <f>IF(Tabell2[[#This Row],[beftettotal]]&lt;E$167,E$167,IF(Tabell2[[#This Row],[beftettotal]]&gt;E$168,E$168,Tabell2[[#This Row],[beftettotal]]))</f>
        <v>3.2978110599078336</v>
      </c>
      <c r="O68" s="80">
        <f>IF(Tabell2[[#This Row],[Befvekst10]]&lt;F$167,F$167,IF(Tabell2[[#This Row],[Befvekst10]]&gt;F$168,F$168,Tabell2[[#This Row],[Befvekst10]]))</f>
        <v>-5.7289879931389343E-2</v>
      </c>
      <c r="P68" s="80">
        <f>IF(Tabell2[[#This Row],[Kvinneandel]]&lt;G$167,G$167,IF(Tabell2[[#This Row],[Kvinneandel]]&gt;G$168,G$168,Tabell2[[#This Row],[Kvinneandel]]))</f>
        <v>9.8617176128093162E-2</v>
      </c>
      <c r="Q68" s="80">
        <f>IF(Tabell2[[#This Row],[Eldreandel]]&lt;H$167,H$167,IF(Tabell2[[#This Row],[Eldreandel]]&gt;H$168,H$168,Tabell2[[#This Row],[Eldreandel]]))</f>
        <v>0.20387114745465851</v>
      </c>
      <c r="R68" s="80">
        <f>IF(Tabell2[[#This Row],[Syssvekst10]]&lt;I$167,I$167,IF(Tabell2[[#This Row],[Syssvekst10]]&gt;I$168,I$168,Tabell2[[#This Row],[Syssvekst10]]))</f>
        <v>8.0000000000000071E-3</v>
      </c>
      <c r="S68" s="80">
        <f>IF(Tabell2[[#This Row],[Yrkesaktiveandel]]&lt;J$167,J$167,IF(Tabell2[[#This Row],[Yrkesaktiveandel]]&gt;J$168,J$168,Tabell2[[#This Row],[Yrkesaktiveandel]]))</f>
        <v>0.95684931506849313</v>
      </c>
      <c r="T68" s="80">
        <f>IF(Tabell2[[#This Row],[Bruttoinntekt17+]]&lt;K$167,K$167,IF(Tabell2[[#This Row],[Bruttoinntekt17+]]&gt;K$168,K$168,Tabell2[[#This Row],[Bruttoinntekt17+]]))</f>
        <v>317500</v>
      </c>
      <c r="U68" s="60">
        <f>IF(Tabell2[[#This Row],[NIBR11-BA-Utrunk]]&lt;=L$170,100,IF(Tabell2[[#This Row],[NIBR11-BA-Utrunk]]&gt;=L$169,0,100-Tabell2[[#This Row],[NIBR11-BA-Utrunk]]*100/L$171))</f>
        <v>0</v>
      </c>
      <c r="V68" s="60">
        <f>(M$169-Tabell2[[#This Row],[Reisetid Oslo-T]])*100/M$171</f>
        <v>52.211146198713784</v>
      </c>
      <c r="W68" s="60">
        <f>100-(N$169-Tabell2[[#This Row],[beftettotal-T]])*100/N$171</f>
        <v>5.3324822533976572</v>
      </c>
      <c r="X68" s="60">
        <f>100-(O$169-Tabell2[[#This Row],[Befvekst10-T]])*100/O$171</f>
        <v>30.568114737998215</v>
      </c>
      <c r="Y68" s="60">
        <f>100-(P$169-Tabell2[[#This Row],[Kvinneandel-T]])*100/P$171</f>
        <v>22.81564838048368</v>
      </c>
      <c r="Z68" s="60">
        <f>(Q$169-Tabell2[[#This Row],[Eldreandel-T]])*100/Q$171</f>
        <v>0</v>
      </c>
      <c r="AA68" s="60">
        <f>100-(R$169-Tabell2[[#This Row],[Syssvekst10-T]])*100/R$171</f>
        <v>41.290528989043338</v>
      </c>
      <c r="AB68" s="60">
        <f>100-(S$169-Tabell2[[#This Row],[Yrkesaktiveandel-T]])*100/S$171</f>
        <v>98.504568449817228</v>
      </c>
      <c r="AC68" s="60">
        <f>100-(T$169-Tabell2[[#This Row],[Bruttoinntekt17+-T]])*100/T$171</f>
        <v>38.909414096410842</v>
      </c>
      <c r="AD68" s="60">
        <f>Tabell2[[#This Row],[NIBR11-BA-I]]*$AD$2</f>
        <v>0</v>
      </c>
      <c r="AE68" s="60">
        <f>Tabell2[[#This Row],[Reisetid Oslo-I]]*$AE$2</f>
        <v>5.2211146198713791</v>
      </c>
      <c r="AF68" s="60">
        <f>Tabell2[[#This Row],[beftettotal-I]]*$AF$2</f>
        <v>0.53324822533976579</v>
      </c>
      <c r="AG68" s="60">
        <f>Tabell2[[#This Row],[Befvekst10-I]]*$AG$2</f>
        <v>6.1136229475996435</v>
      </c>
      <c r="AH68" s="60">
        <f>Tabell2[[#This Row],[Kvinneandel-I]]*$AH$2</f>
        <v>1.140782419024184</v>
      </c>
      <c r="AI68" s="60">
        <f>Tabell2[[#This Row],[Eldreandel-I]]*$AI$2</f>
        <v>0</v>
      </c>
      <c r="AJ68" s="60">
        <f>Tabell2[[#This Row],[Syssvekst10-I]]*$AJ$2</f>
        <v>4.1290528989043338</v>
      </c>
      <c r="AK68" s="60">
        <f>Tabell2[[#This Row],[Yrkesaktiveandel-I]]*$AK$2</f>
        <v>9.8504568449817231</v>
      </c>
      <c r="AL68" s="60">
        <f>Tabell2[[#This Row],[Bruttoinntekt17+-I]]*$AL$2</f>
        <v>3.8909414096410844</v>
      </c>
      <c r="AM68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30.879219365362115</v>
      </c>
    </row>
    <row r="69" spans="1:39">
      <c r="A69" s="63">
        <v>64</v>
      </c>
      <c r="B69" s="8" t="s">
        <v>119</v>
      </c>
      <c r="C69" s="45">
        <f>Råark!L66</f>
        <v>8</v>
      </c>
      <c r="D69" s="80">
        <f>Råark!K66</f>
        <v>173.60517666935331</v>
      </c>
      <c r="E69" s="80">
        <f>Råark!N66</f>
        <v>4.0221673452869613</v>
      </c>
      <c r="F69" s="80">
        <f>Råark!O66</f>
        <v>6.0925132524871195E-2</v>
      </c>
      <c r="G69" s="80">
        <f>Råark!P66</f>
        <v>0.12094455852156058</v>
      </c>
      <c r="H69" s="80">
        <f>Råark!Q66</f>
        <v>0.14688569472963722</v>
      </c>
      <c r="I69" s="80">
        <f>Råark!R66</f>
        <v>6.3483376658913571E-2</v>
      </c>
      <c r="J69" s="80">
        <f>Råark!S66</f>
        <v>0.94774147044690049</v>
      </c>
      <c r="K69" s="80">
        <f>Råark!M66</f>
        <v>329466.3250109505</v>
      </c>
      <c r="L69" s="59">
        <f>Tabell2[[#This Row],[NIBR11BA]]</f>
        <v>8</v>
      </c>
      <c r="M69" s="80">
        <f>IF(Tabell2[[#This Row],[Reisetid Oslo]]&lt;D$167,D$167,IF(Tabell2[[#This Row],[Reisetid Oslo]]&gt;D$168,D$168,Tabell2[[#This Row],[Reisetid Oslo]]))</f>
        <v>173.60517666935331</v>
      </c>
      <c r="N69" s="80">
        <f>IF(Tabell2[[#This Row],[beftettotal]]&lt;E$167,E$167,IF(Tabell2[[#This Row],[beftettotal]]&gt;E$168,E$168,Tabell2[[#This Row],[beftettotal]]))</f>
        <v>4.0221673452869613</v>
      </c>
      <c r="O69" s="80">
        <f>IF(Tabell2[[#This Row],[Befvekst10]]&lt;F$167,F$167,IF(Tabell2[[#This Row],[Befvekst10]]&gt;F$168,F$168,Tabell2[[#This Row],[Befvekst10]]))</f>
        <v>6.0925132524871195E-2</v>
      </c>
      <c r="P69" s="80">
        <f>IF(Tabell2[[#This Row],[Kvinneandel]]&lt;G$167,G$167,IF(Tabell2[[#This Row],[Kvinneandel]]&gt;G$168,G$168,Tabell2[[#This Row],[Kvinneandel]]))</f>
        <v>0.12094455852156058</v>
      </c>
      <c r="Q69" s="80">
        <f>IF(Tabell2[[#This Row],[Eldreandel]]&lt;H$167,H$167,IF(Tabell2[[#This Row],[Eldreandel]]&gt;H$168,H$168,Tabell2[[#This Row],[Eldreandel]]))</f>
        <v>0.14688569472963722</v>
      </c>
      <c r="R69" s="80">
        <f>IF(Tabell2[[#This Row],[Syssvekst10]]&lt;I$167,I$167,IF(Tabell2[[#This Row],[Syssvekst10]]&gt;I$168,I$168,Tabell2[[#This Row],[Syssvekst10]]))</f>
        <v>6.3483376658913571E-2</v>
      </c>
      <c r="S69" s="80">
        <f>IF(Tabell2[[#This Row],[Yrkesaktiveandel]]&lt;J$167,J$167,IF(Tabell2[[#This Row],[Yrkesaktiveandel]]&gt;J$168,J$168,Tabell2[[#This Row],[Yrkesaktiveandel]]))</f>
        <v>0.94774147044690049</v>
      </c>
      <c r="T69" s="80">
        <f>IF(Tabell2[[#This Row],[Bruttoinntekt17+]]&lt;K$167,K$167,IF(Tabell2[[#This Row],[Bruttoinntekt17+]]&gt;K$168,K$168,Tabell2[[#This Row],[Bruttoinntekt17+]]))</f>
        <v>329466.3250109505</v>
      </c>
      <c r="U69" s="60">
        <f>IF(Tabell2[[#This Row],[NIBR11-BA-Utrunk]]&lt;=L$170,100,IF(Tabell2[[#This Row],[NIBR11-BA-Utrunk]]&gt;=L$169,0,100-Tabell2[[#This Row],[NIBR11-BA-Utrunk]]*100/L$171))</f>
        <v>20</v>
      </c>
      <c r="V69" s="60">
        <f>(M$169-Tabell2[[#This Row],[Reisetid Oslo-T]])*100/M$171</f>
        <v>77.608568660531873</v>
      </c>
      <c r="W69" s="60">
        <f>100-(N$169-Tabell2[[#This Row],[beftettotal-T]])*100/N$171</f>
        <v>7.0165218073135236</v>
      </c>
      <c r="X69" s="60">
        <f>100-(O$169-Tabell2[[#This Row],[Befvekst10-T]])*100/O$171</f>
        <v>83.582751936325593</v>
      </c>
      <c r="Y69" s="60">
        <f>100-(P$169-Tabell2[[#This Row],[Kvinneandel-T]])*100/P$171</f>
        <v>94.019142891793763</v>
      </c>
      <c r="Z69" s="60">
        <f>(Q$169-Tabell2[[#This Row],[Eldreandel-T]])*100/Q$171</f>
        <v>75.804500457951306</v>
      </c>
      <c r="AA69" s="60">
        <f>100-(R$169-Tabell2[[#This Row],[Syssvekst10-T]])*100/R$171</f>
        <v>62.22918803601096</v>
      </c>
      <c r="AB69" s="60">
        <f>100-(S$169-Tabell2[[#This Row],[Yrkesaktiveandel-T]])*100/S$171</f>
        <v>91.619801602273625</v>
      </c>
      <c r="AC69" s="60">
        <f>100-(T$169-Tabell2[[#This Row],[Bruttoinntekt17+-T]])*100/T$171</f>
        <v>58.952577895950704</v>
      </c>
      <c r="AD69" s="60">
        <f>Tabell2[[#This Row],[NIBR11-BA-I]]*$AD$2</f>
        <v>4</v>
      </c>
      <c r="AE69" s="60">
        <f>Tabell2[[#This Row],[Reisetid Oslo-I]]*$AE$2</f>
        <v>7.7608568660531878</v>
      </c>
      <c r="AF69" s="60">
        <f>Tabell2[[#This Row],[beftettotal-I]]*$AF$2</f>
        <v>0.70165218073135238</v>
      </c>
      <c r="AG69" s="60">
        <f>Tabell2[[#This Row],[Befvekst10-I]]*$AG$2</f>
        <v>16.716550387265119</v>
      </c>
      <c r="AH69" s="60">
        <f>Tabell2[[#This Row],[Kvinneandel-I]]*$AH$2</f>
        <v>4.7009571445896885</v>
      </c>
      <c r="AI69" s="60">
        <f>Tabell2[[#This Row],[Eldreandel-I]]*$AI$2</f>
        <v>3.7902250228975656</v>
      </c>
      <c r="AJ69" s="60">
        <f>Tabell2[[#This Row],[Syssvekst10-I]]*$AJ$2</f>
        <v>6.2229188036010967</v>
      </c>
      <c r="AK69" s="60">
        <f>Tabell2[[#This Row],[Yrkesaktiveandel-I]]*$AK$2</f>
        <v>9.1619801602273636</v>
      </c>
      <c r="AL69" s="60">
        <f>Tabell2[[#This Row],[Bruttoinntekt17+-I]]*$AL$2</f>
        <v>5.8952577895950711</v>
      </c>
      <c r="AM69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58.950398354960448</v>
      </c>
    </row>
    <row r="70" spans="1:39">
      <c r="A70" s="64">
        <v>65</v>
      </c>
      <c r="B70" s="8" t="s">
        <v>120</v>
      </c>
      <c r="C70" s="45">
        <f>Råark!L67</f>
        <v>11</v>
      </c>
      <c r="D70" s="80">
        <f>Råark!K67</f>
        <v>206.8877959502</v>
      </c>
      <c r="E70" s="80">
        <f>Råark!N67</f>
        <v>1.1663317096433561</v>
      </c>
      <c r="F70" s="80">
        <f>Råark!O67</f>
        <v>-5.2573325954620942E-2</v>
      </c>
      <c r="G70" s="80">
        <f>Råark!P67</f>
        <v>0.10338785046728972</v>
      </c>
      <c r="H70" s="80">
        <f>Råark!Q67</f>
        <v>0.16413551401869159</v>
      </c>
      <c r="I70" s="80">
        <f>Råark!R67</f>
        <v>1.6797312430011146E-2</v>
      </c>
      <c r="J70" s="80">
        <f>Råark!S67</f>
        <v>0.9442755825734549</v>
      </c>
      <c r="K70" s="80">
        <f>Råark!M67</f>
        <v>329200</v>
      </c>
      <c r="L70" s="59">
        <f>Tabell2[[#This Row],[NIBR11BA]]</f>
        <v>11</v>
      </c>
      <c r="M70" s="80">
        <f>IF(Tabell2[[#This Row],[Reisetid Oslo]]&lt;D$167,D$167,IF(Tabell2[[#This Row],[Reisetid Oslo]]&gt;D$168,D$168,Tabell2[[#This Row],[Reisetid Oslo]]))</f>
        <v>206.8877959502</v>
      </c>
      <c r="N70" s="80">
        <f>IF(Tabell2[[#This Row],[beftettotal]]&lt;E$167,E$167,IF(Tabell2[[#This Row],[beftettotal]]&gt;E$168,E$168,Tabell2[[#This Row],[beftettotal]]))</f>
        <v>1.1663317096433561</v>
      </c>
      <c r="O70" s="80">
        <f>IF(Tabell2[[#This Row],[Befvekst10]]&lt;F$167,F$167,IF(Tabell2[[#This Row],[Befvekst10]]&gt;F$168,F$168,Tabell2[[#This Row],[Befvekst10]]))</f>
        <v>-5.2573325954620942E-2</v>
      </c>
      <c r="P70" s="80">
        <f>IF(Tabell2[[#This Row],[Kvinneandel]]&lt;G$167,G$167,IF(Tabell2[[#This Row],[Kvinneandel]]&gt;G$168,G$168,Tabell2[[#This Row],[Kvinneandel]]))</f>
        <v>0.10338785046728972</v>
      </c>
      <c r="Q70" s="80">
        <f>IF(Tabell2[[#This Row],[Eldreandel]]&lt;H$167,H$167,IF(Tabell2[[#This Row],[Eldreandel]]&gt;H$168,H$168,Tabell2[[#This Row],[Eldreandel]]))</f>
        <v>0.16413551401869159</v>
      </c>
      <c r="R70" s="80">
        <f>IF(Tabell2[[#This Row],[Syssvekst10]]&lt;I$167,I$167,IF(Tabell2[[#This Row],[Syssvekst10]]&gt;I$168,I$168,Tabell2[[#This Row],[Syssvekst10]]))</f>
        <v>1.6797312430011146E-2</v>
      </c>
      <c r="S70" s="80">
        <f>IF(Tabell2[[#This Row],[Yrkesaktiveandel]]&lt;J$167,J$167,IF(Tabell2[[#This Row],[Yrkesaktiveandel]]&gt;J$168,J$168,Tabell2[[#This Row],[Yrkesaktiveandel]]))</f>
        <v>0.9442755825734549</v>
      </c>
      <c r="T70" s="80">
        <f>IF(Tabell2[[#This Row],[Bruttoinntekt17+]]&lt;K$167,K$167,IF(Tabell2[[#This Row],[Bruttoinntekt17+]]&gt;K$168,K$168,Tabell2[[#This Row],[Bruttoinntekt17+]]))</f>
        <v>329200</v>
      </c>
      <c r="U70" s="60">
        <f>IF(Tabell2[[#This Row],[NIBR11-BA-Utrunk]]&lt;=L$170,100,IF(Tabell2[[#This Row],[NIBR11-BA-Utrunk]]&gt;=L$169,0,100-Tabell2[[#This Row],[NIBR11-BA-Utrunk]]*100/L$171))</f>
        <v>0</v>
      </c>
      <c r="V70" s="60">
        <f>(M$169-Tabell2[[#This Row],[Reisetid Oslo-T]])*100/M$171</f>
        <v>59.737997220312515</v>
      </c>
      <c r="W70" s="60">
        <f>100-(N$169-Tabell2[[#This Row],[beftettotal-T]])*100/N$171</f>
        <v>0.37705409372955501</v>
      </c>
      <c r="X70" s="60">
        <f>100-(O$169-Tabell2[[#This Row],[Befvekst10-T]])*100/O$171</f>
        <v>32.683297849764344</v>
      </c>
      <c r="Y70" s="60">
        <f>100-(P$169-Tabell2[[#This Row],[Kvinneandel-T]])*100/P$171</f>
        <v>38.029643381779358</v>
      </c>
      <c r="Z70" s="60">
        <f>(Q$169-Tabell2[[#This Row],[Eldreandel-T]])*100/Q$171</f>
        <v>52.858048834473202</v>
      </c>
      <c r="AA70" s="60">
        <f>100-(R$169-Tabell2[[#This Row],[Syssvekst10-T]])*100/R$171</f>
        <v>44.610513038212787</v>
      </c>
      <c r="AB70" s="60">
        <f>100-(S$169-Tabell2[[#This Row],[Yrkesaktiveandel-T]])*100/S$171</f>
        <v>88.99988098221489</v>
      </c>
      <c r="AC70" s="60">
        <f>100-(T$169-Tabell2[[#This Row],[Bruttoinntekt17+-T]])*100/T$171</f>
        <v>58.506493085993576</v>
      </c>
      <c r="AD70" s="60">
        <f>Tabell2[[#This Row],[NIBR11-BA-I]]*$AD$2</f>
        <v>0</v>
      </c>
      <c r="AE70" s="60">
        <f>Tabell2[[#This Row],[Reisetid Oslo-I]]*$AE$2</f>
        <v>5.9737997220312522</v>
      </c>
      <c r="AF70" s="60">
        <f>Tabell2[[#This Row],[beftettotal-I]]*$AF$2</f>
        <v>3.7705409372955502E-2</v>
      </c>
      <c r="AG70" s="60">
        <f>Tabell2[[#This Row],[Befvekst10-I]]*$AG$2</f>
        <v>6.5366595699528691</v>
      </c>
      <c r="AH70" s="60">
        <f>Tabell2[[#This Row],[Kvinneandel-I]]*$AH$2</f>
        <v>1.9014821690889681</v>
      </c>
      <c r="AI70" s="60">
        <f>Tabell2[[#This Row],[Eldreandel-I]]*$AI$2</f>
        <v>2.6429024417236602</v>
      </c>
      <c r="AJ70" s="60">
        <f>Tabell2[[#This Row],[Syssvekst10-I]]*$AJ$2</f>
        <v>4.4610513038212787</v>
      </c>
      <c r="AK70" s="60">
        <f>Tabell2[[#This Row],[Yrkesaktiveandel-I]]*$AK$2</f>
        <v>8.8999880982214901</v>
      </c>
      <c r="AL70" s="60">
        <f>Tabell2[[#This Row],[Bruttoinntekt17+-I]]*$AL$2</f>
        <v>5.8506493085993583</v>
      </c>
      <c r="AM70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36.30423802281183</v>
      </c>
    </row>
    <row r="71" spans="1:39">
      <c r="A71" s="63">
        <v>66</v>
      </c>
      <c r="B71" s="8" t="s">
        <v>121</v>
      </c>
      <c r="C71" s="45">
        <f>Råark!L68</f>
        <v>9</v>
      </c>
      <c r="D71" s="80">
        <f>Råark!K68</f>
        <v>188.96040774465894</v>
      </c>
      <c r="E71" s="80">
        <f>Råark!N68</f>
        <v>3.3535573062875428</v>
      </c>
      <c r="F71" s="80">
        <f>Råark!O68</f>
        <v>-1.3947001394700176E-2</v>
      </c>
      <c r="G71" s="80">
        <f>Råark!P68</f>
        <v>0.10453902533110454</v>
      </c>
      <c r="H71" s="80">
        <f>Råark!Q68</f>
        <v>0.17731773177317731</v>
      </c>
      <c r="I71" s="80">
        <f>Råark!R68</f>
        <v>-3.3236994219653204E-2</v>
      </c>
      <c r="J71" s="80">
        <f>Råark!S68</f>
        <v>0.89807474518686292</v>
      </c>
      <c r="K71" s="80">
        <f>Råark!M68</f>
        <v>354763.02934179222</v>
      </c>
      <c r="L71" s="59">
        <f>Tabell2[[#This Row],[NIBR11BA]]</f>
        <v>9</v>
      </c>
      <c r="M71" s="80">
        <f>IF(Tabell2[[#This Row],[Reisetid Oslo]]&lt;D$167,D$167,IF(Tabell2[[#This Row],[Reisetid Oslo]]&gt;D$168,D$168,Tabell2[[#This Row],[Reisetid Oslo]]))</f>
        <v>188.96040774465894</v>
      </c>
      <c r="N71" s="80">
        <f>IF(Tabell2[[#This Row],[beftettotal]]&lt;E$167,E$167,IF(Tabell2[[#This Row],[beftettotal]]&gt;E$168,E$168,Tabell2[[#This Row],[beftettotal]]))</f>
        <v>3.3535573062875428</v>
      </c>
      <c r="O71" s="80">
        <f>IF(Tabell2[[#This Row],[Befvekst10]]&lt;F$167,F$167,IF(Tabell2[[#This Row],[Befvekst10]]&gt;F$168,F$168,Tabell2[[#This Row],[Befvekst10]]))</f>
        <v>-1.3947001394700176E-2</v>
      </c>
      <c r="P71" s="80">
        <f>IF(Tabell2[[#This Row],[Kvinneandel]]&lt;G$167,G$167,IF(Tabell2[[#This Row],[Kvinneandel]]&gt;G$168,G$168,Tabell2[[#This Row],[Kvinneandel]]))</f>
        <v>0.10453902533110454</v>
      </c>
      <c r="Q71" s="80">
        <f>IF(Tabell2[[#This Row],[Eldreandel]]&lt;H$167,H$167,IF(Tabell2[[#This Row],[Eldreandel]]&gt;H$168,H$168,Tabell2[[#This Row],[Eldreandel]]))</f>
        <v>0.17731773177317731</v>
      </c>
      <c r="R71" s="80">
        <f>IF(Tabell2[[#This Row],[Syssvekst10]]&lt;I$167,I$167,IF(Tabell2[[#This Row],[Syssvekst10]]&gt;I$168,I$168,Tabell2[[#This Row],[Syssvekst10]]))</f>
        <v>-3.3236994219653204E-2</v>
      </c>
      <c r="S71" s="80">
        <f>IF(Tabell2[[#This Row],[Yrkesaktiveandel]]&lt;J$167,J$167,IF(Tabell2[[#This Row],[Yrkesaktiveandel]]&gt;J$168,J$168,Tabell2[[#This Row],[Yrkesaktiveandel]]))</f>
        <v>0.89807474518686292</v>
      </c>
      <c r="T71" s="80">
        <f>IF(Tabell2[[#This Row],[Bruttoinntekt17+]]&lt;K$167,K$167,IF(Tabell2[[#This Row],[Bruttoinntekt17+]]&gt;K$168,K$168,Tabell2[[#This Row],[Bruttoinntekt17+]]))</f>
        <v>353972.77512388147</v>
      </c>
      <c r="U71" s="60">
        <f>IF(Tabell2[[#This Row],[NIBR11-BA-Utrunk]]&lt;=L$170,100,IF(Tabell2[[#This Row],[NIBR11-BA-Utrunk]]&gt;=L$169,0,100-Tabell2[[#This Row],[NIBR11-BA-Utrunk]]*100/L$171))</f>
        <v>10</v>
      </c>
      <c r="V71" s="60">
        <f>(M$169-Tabell2[[#This Row],[Reisetid Oslo-T]])*100/M$171</f>
        <v>69.363822308184552</v>
      </c>
      <c r="W71" s="60">
        <f>100-(N$169-Tabell2[[#This Row],[beftettotal-T]])*100/N$171</f>
        <v>5.4620854414705349</v>
      </c>
      <c r="X71" s="60">
        <f>100-(O$169-Tabell2[[#This Row],[Befvekst10-T]])*100/O$171</f>
        <v>50.00563737586058</v>
      </c>
      <c r="Y71" s="60">
        <f>100-(P$169-Tabell2[[#This Row],[Kvinneandel-T]])*100/P$171</f>
        <v>41.700815920176815</v>
      </c>
      <c r="Z71" s="60">
        <f>(Q$169-Tabell2[[#This Row],[Eldreandel-T]])*100/Q$171</f>
        <v>35.322495741149012</v>
      </c>
      <c r="AA71" s="60">
        <f>100-(R$169-Tabell2[[#This Row],[Syssvekst10-T]])*100/R$171</f>
        <v>25.728257655141419</v>
      </c>
      <c r="AB71" s="60">
        <f>100-(S$169-Tabell2[[#This Row],[Yrkesaktiveandel-T]])*100/S$171</f>
        <v>54.075921825746526</v>
      </c>
      <c r="AC71" s="60">
        <f>100-(T$169-Tabell2[[#This Row],[Bruttoinntekt17+-T]])*100/T$171</f>
        <v>100</v>
      </c>
      <c r="AD71" s="60">
        <f>Tabell2[[#This Row],[NIBR11-BA-I]]*$AD$2</f>
        <v>2</v>
      </c>
      <c r="AE71" s="60">
        <f>Tabell2[[#This Row],[Reisetid Oslo-I]]*$AE$2</f>
        <v>6.936382230818456</v>
      </c>
      <c r="AF71" s="60">
        <f>Tabell2[[#This Row],[beftettotal-I]]*$AF$2</f>
        <v>0.54620854414705355</v>
      </c>
      <c r="AG71" s="60">
        <f>Tabell2[[#This Row],[Befvekst10-I]]*$AG$2</f>
        <v>10.001127475172117</v>
      </c>
      <c r="AH71" s="60">
        <f>Tabell2[[#This Row],[Kvinneandel-I]]*$AH$2</f>
        <v>2.0850407960088408</v>
      </c>
      <c r="AI71" s="60">
        <f>Tabell2[[#This Row],[Eldreandel-I]]*$AI$2</f>
        <v>1.7661247870574508</v>
      </c>
      <c r="AJ71" s="60">
        <f>Tabell2[[#This Row],[Syssvekst10-I]]*$AJ$2</f>
        <v>2.5728257655141422</v>
      </c>
      <c r="AK71" s="60">
        <f>Tabell2[[#This Row],[Yrkesaktiveandel-I]]*$AK$2</f>
        <v>5.4075921825746534</v>
      </c>
      <c r="AL71" s="60">
        <f>Tabell2[[#This Row],[Bruttoinntekt17+-I]]*$AL$2</f>
        <v>10</v>
      </c>
      <c r="AM71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41.315301781292717</v>
      </c>
    </row>
    <row r="72" spans="1:39">
      <c r="A72" s="64">
        <v>67</v>
      </c>
      <c r="B72" s="8" t="s">
        <v>122</v>
      </c>
      <c r="C72" s="45">
        <f>Råark!L69</f>
        <v>11</v>
      </c>
      <c r="D72" s="80">
        <f>Råark!K69</f>
        <v>210.97684935489997</v>
      </c>
      <c r="E72" s="80">
        <f>Råark!N69</f>
        <v>5.6394024780947234</v>
      </c>
      <c r="F72" s="80">
        <f>Råark!O69</f>
        <v>-4.3848167539267013E-2</v>
      </c>
      <c r="G72" s="80">
        <f>Råark!P69</f>
        <v>7.665982203969883E-2</v>
      </c>
      <c r="H72" s="80">
        <f>Råark!Q69</f>
        <v>0.19917864476386038</v>
      </c>
      <c r="I72" s="80">
        <f>Råark!R69</f>
        <v>-0.10160427807486627</v>
      </c>
      <c r="J72" s="80">
        <f>Råark!S69</f>
        <v>0.94451612903225801</v>
      </c>
      <c r="K72" s="80">
        <f>Råark!M69</f>
        <v>305700</v>
      </c>
      <c r="L72" s="59">
        <f>Tabell2[[#This Row],[NIBR11BA]]</f>
        <v>11</v>
      </c>
      <c r="M72" s="80">
        <f>IF(Tabell2[[#This Row],[Reisetid Oslo]]&lt;D$167,D$167,IF(Tabell2[[#This Row],[Reisetid Oslo]]&gt;D$168,D$168,Tabell2[[#This Row],[Reisetid Oslo]]))</f>
        <v>210.97684935489997</v>
      </c>
      <c r="N72" s="80">
        <f>IF(Tabell2[[#This Row],[beftettotal]]&lt;E$167,E$167,IF(Tabell2[[#This Row],[beftettotal]]&gt;E$168,E$168,Tabell2[[#This Row],[beftettotal]]))</f>
        <v>5.6394024780947234</v>
      </c>
      <c r="O72" s="80">
        <f>IF(Tabell2[[#This Row],[Befvekst10]]&lt;F$167,F$167,IF(Tabell2[[#This Row],[Befvekst10]]&gt;F$168,F$168,Tabell2[[#This Row],[Befvekst10]]))</f>
        <v>-4.3848167539267013E-2</v>
      </c>
      <c r="P72" s="80">
        <f>IF(Tabell2[[#This Row],[Kvinneandel]]&lt;G$167,G$167,IF(Tabell2[[#This Row],[Kvinneandel]]&gt;G$168,G$168,Tabell2[[#This Row],[Kvinneandel]]))</f>
        <v>9.1462840383166502E-2</v>
      </c>
      <c r="Q72" s="80">
        <f>IF(Tabell2[[#This Row],[Eldreandel]]&lt;H$167,H$167,IF(Tabell2[[#This Row],[Eldreandel]]&gt;H$168,H$168,Tabell2[[#This Row],[Eldreandel]]))</f>
        <v>0.19917864476386038</v>
      </c>
      <c r="R72" s="80">
        <f>IF(Tabell2[[#This Row],[Syssvekst10]]&lt;I$167,I$167,IF(Tabell2[[#This Row],[Syssvekst10]]&gt;I$168,I$168,Tabell2[[#This Row],[Syssvekst10]]))</f>
        <v>-0.10141187624317609</v>
      </c>
      <c r="S72" s="80">
        <f>IF(Tabell2[[#This Row],[Yrkesaktiveandel]]&lt;J$167,J$167,IF(Tabell2[[#This Row],[Yrkesaktiveandel]]&gt;J$168,J$168,Tabell2[[#This Row],[Yrkesaktiveandel]]))</f>
        <v>0.94451612903225801</v>
      </c>
      <c r="T72" s="80">
        <f>IF(Tabell2[[#This Row],[Bruttoinntekt17+]]&lt;K$167,K$167,IF(Tabell2[[#This Row],[Bruttoinntekt17+]]&gt;K$168,K$168,Tabell2[[#This Row],[Bruttoinntekt17+]]))</f>
        <v>305700</v>
      </c>
      <c r="U72" s="60">
        <f>IF(Tabell2[[#This Row],[NIBR11-BA-Utrunk]]&lt;=L$170,100,IF(Tabell2[[#This Row],[NIBR11-BA-Utrunk]]&gt;=L$169,0,100-Tabell2[[#This Row],[NIBR11-BA-Utrunk]]*100/L$171))</f>
        <v>0</v>
      </c>
      <c r="V72" s="60">
        <f>(M$169-Tabell2[[#This Row],[Reisetid Oslo-T]])*100/M$171</f>
        <v>57.54244523040002</v>
      </c>
      <c r="W72" s="60">
        <f>100-(N$169-Tabell2[[#This Row],[beftettotal-T]])*100/N$171</f>
        <v>10.77639521022769</v>
      </c>
      <c r="X72" s="60">
        <f>100-(O$169-Tabell2[[#This Row],[Befvekst10-T]])*100/O$171</f>
        <v>36.596177426366921</v>
      </c>
      <c r="Y72" s="60">
        <f>100-(P$169-Tabell2[[#This Row],[Kvinneandel-T]])*100/P$171</f>
        <v>0</v>
      </c>
      <c r="Z72" s="60">
        <f>(Q$169-Tabell2[[#This Row],[Eldreandel-T]])*100/Q$171</f>
        <v>6.2421689284457909</v>
      </c>
      <c r="AA72" s="60">
        <f>100-(R$169-Tabell2[[#This Row],[Syssvekst10-T]])*100/R$171</f>
        <v>0</v>
      </c>
      <c r="AB72" s="60">
        <f>100-(S$169-Tabell2[[#This Row],[Yrkesaktiveandel-T]])*100/S$171</f>
        <v>89.181713935418259</v>
      </c>
      <c r="AC72" s="60">
        <f>100-(T$169-Tabell2[[#This Row],[Bruttoinntekt17+-T]])*100/T$171</f>
        <v>19.144838705207746</v>
      </c>
      <c r="AD72" s="60">
        <f>Tabell2[[#This Row],[NIBR11-BA-I]]*$AD$2</f>
        <v>0</v>
      </c>
      <c r="AE72" s="60">
        <f>Tabell2[[#This Row],[Reisetid Oslo-I]]*$AE$2</f>
        <v>5.7542445230400023</v>
      </c>
      <c r="AF72" s="60">
        <f>Tabell2[[#This Row],[beftettotal-I]]*$AF$2</f>
        <v>1.0776395210227692</v>
      </c>
      <c r="AG72" s="60">
        <f>Tabell2[[#This Row],[Befvekst10-I]]*$AG$2</f>
        <v>7.319235485273385</v>
      </c>
      <c r="AH72" s="60">
        <f>Tabell2[[#This Row],[Kvinneandel-I]]*$AH$2</f>
        <v>0</v>
      </c>
      <c r="AI72" s="60">
        <f>Tabell2[[#This Row],[Eldreandel-I]]*$AI$2</f>
        <v>0.31210844642228958</v>
      </c>
      <c r="AJ72" s="60">
        <f>Tabell2[[#This Row],[Syssvekst10-I]]*$AJ$2</f>
        <v>0</v>
      </c>
      <c r="AK72" s="60">
        <f>Tabell2[[#This Row],[Yrkesaktiveandel-I]]*$AK$2</f>
        <v>8.9181713935418259</v>
      </c>
      <c r="AL72" s="60">
        <f>Tabell2[[#This Row],[Bruttoinntekt17+-I]]*$AL$2</f>
        <v>1.9144838705207747</v>
      </c>
      <c r="AM72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25.295883239821048</v>
      </c>
    </row>
    <row r="73" spans="1:39">
      <c r="A73" s="63">
        <v>68</v>
      </c>
      <c r="B73" s="8" t="s">
        <v>123</v>
      </c>
      <c r="C73" s="45">
        <f>Råark!L70</f>
        <v>6</v>
      </c>
      <c r="D73" s="80">
        <f>Råark!K70</f>
        <v>179.24147412369726</v>
      </c>
      <c r="E73" s="80">
        <f>Råark!N70</f>
        <v>9.0652239458234369</v>
      </c>
      <c r="F73" s="80">
        <f>Råark!O70</f>
        <v>4.5395944837285596E-2</v>
      </c>
      <c r="G73" s="80">
        <f>Råark!P70</f>
        <v>0.11876378041032923</v>
      </c>
      <c r="H73" s="80">
        <f>Råark!Q70</f>
        <v>0.13270301580776561</v>
      </c>
      <c r="I73" s="80">
        <f>Råark!R70</f>
        <v>9.9054022359471583E-2</v>
      </c>
      <c r="J73" s="80">
        <f>Råark!S70</f>
        <v>0.9495942468826285</v>
      </c>
      <c r="K73" s="80">
        <f>Råark!M70</f>
        <v>333087.92542603292</v>
      </c>
      <c r="L73" s="59">
        <f>Tabell2[[#This Row],[NIBR11BA]]</f>
        <v>6</v>
      </c>
      <c r="M73" s="80">
        <f>IF(Tabell2[[#This Row],[Reisetid Oslo]]&lt;D$167,D$167,IF(Tabell2[[#This Row],[Reisetid Oslo]]&gt;D$168,D$168,Tabell2[[#This Row],[Reisetid Oslo]]))</f>
        <v>179.24147412369726</v>
      </c>
      <c r="N73" s="80">
        <f>IF(Tabell2[[#This Row],[beftettotal]]&lt;E$167,E$167,IF(Tabell2[[#This Row],[beftettotal]]&gt;E$168,E$168,Tabell2[[#This Row],[beftettotal]]))</f>
        <v>9.0652239458234369</v>
      </c>
      <c r="O73" s="80">
        <f>IF(Tabell2[[#This Row],[Befvekst10]]&lt;F$167,F$167,IF(Tabell2[[#This Row],[Befvekst10]]&gt;F$168,F$168,Tabell2[[#This Row],[Befvekst10]]))</f>
        <v>4.5395944837285596E-2</v>
      </c>
      <c r="P73" s="80">
        <f>IF(Tabell2[[#This Row],[Kvinneandel]]&lt;G$167,G$167,IF(Tabell2[[#This Row],[Kvinneandel]]&gt;G$168,G$168,Tabell2[[#This Row],[Kvinneandel]]))</f>
        <v>0.11876378041032923</v>
      </c>
      <c r="Q73" s="80">
        <f>IF(Tabell2[[#This Row],[Eldreandel]]&lt;H$167,H$167,IF(Tabell2[[#This Row],[Eldreandel]]&gt;H$168,H$168,Tabell2[[#This Row],[Eldreandel]]))</f>
        <v>0.13270301580776561</v>
      </c>
      <c r="R73" s="80">
        <f>IF(Tabell2[[#This Row],[Syssvekst10]]&lt;I$167,I$167,IF(Tabell2[[#This Row],[Syssvekst10]]&gt;I$168,I$168,Tabell2[[#This Row],[Syssvekst10]]))</f>
        <v>9.9054022359471583E-2</v>
      </c>
      <c r="S73" s="80">
        <f>IF(Tabell2[[#This Row],[Yrkesaktiveandel]]&lt;J$167,J$167,IF(Tabell2[[#This Row],[Yrkesaktiveandel]]&gt;J$168,J$168,Tabell2[[#This Row],[Yrkesaktiveandel]]))</f>
        <v>0.9495942468826285</v>
      </c>
      <c r="T73" s="80">
        <f>IF(Tabell2[[#This Row],[Bruttoinntekt17+]]&lt;K$167,K$167,IF(Tabell2[[#This Row],[Bruttoinntekt17+]]&gt;K$168,K$168,Tabell2[[#This Row],[Bruttoinntekt17+]]))</f>
        <v>333087.92542603292</v>
      </c>
      <c r="U73" s="60">
        <f>IF(Tabell2[[#This Row],[NIBR11-BA-Utrunk]]&lt;=L$170,100,IF(Tabell2[[#This Row],[NIBR11-BA-Utrunk]]&gt;=L$169,0,100-Tabell2[[#This Row],[NIBR11-BA-Utrunk]]*100/L$171))</f>
        <v>40</v>
      </c>
      <c r="V73" s="60">
        <f>(M$169-Tabell2[[#This Row],[Reisetid Oslo-T]])*100/M$171</f>
        <v>74.582248662509841</v>
      </c>
      <c r="W73" s="60">
        <f>100-(N$169-Tabell2[[#This Row],[beftettotal-T]])*100/N$171</f>
        <v>18.741010100384599</v>
      </c>
      <c r="X73" s="60">
        <f>100-(O$169-Tabell2[[#This Row],[Befvekst10-T]])*100/O$171</f>
        <v>76.618541265141218</v>
      </c>
      <c r="Y73" s="60">
        <f>100-(P$169-Tabell2[[#This Row],[Kvinneandel-T]])*100/P$171</f>
        <v>87.06449771498707</v>
      </c>
      <c r="Z73" s="60">
        <f>(Q$169-Tabell2[[#This Row],[Eldreandel-T]])*100/Q$171</f>
        <v>94.670910031212983</v>
      </c>
      <c r="AA73" s="60">
        <f>100-(R$169-Tabell2[[#This Row],[Syssvekst10-T]])*100/R$171</f>
        <v>75.653057801241161</v>
      </c>
      <c r="AB73" s="60">
        <f>100-(S$169-Tabell2[[#This Row],[Yrkesaktiveandel-T]])*100/S$171</f>
        <v>93.020345233679976</v>
      </c>
      <c r="AC73" s="60">
        <f>100-(T$169-Tabell2[[#This Row],[Bruttoinntekt17+-T]])*100/T$171</f>
        <v>65.018628272281973</v>
      </c>
      <c r="AD73" s="60">
        <f>Tabell2[[#This Row],[NIBR11-BA-I]]*$AD$2</f>
        <v>8</v>
      </c>
      <c r="AE73" s="60">
        <f>Tabell2[[#This Row],[Reisetid Oslo-I]]*$AE$2</f>
        <v>7.4582248662509842</v>
      </c>
      <c r="AF73" s="60">
        <f>Tabell2[[#This Row],[beftettotal-I]]*$AF$2</f>
        <v>1.8741010100384601</v>
      </c>
      <c r="AG73" s="60">
        <f>Tabell2[[#This Row],[Befvekst10-I]]*$AG$2</f>
        <v>15.323708253028244</v>
      </c>
      <c r="AH73" s="60">
        <f>Tabell2[[#This Row],[Kvinneandel-I]]*$AH$2</f>
        <v>4.3532248857493538</v>
      </c>
      <c r="AI73" s="60">
        <f>Tabell2[[#This Row],[Eldreandel-I]]*$AI$2</f>
        <v>4.7335455015606493</v>
      </c>
      <c r="AJ73" s="60">
        <f>Tabell2[[#This Row],[Syssvekst10-I]]*$AJ$2</f>
        <v>7.5653057801241168</v>
      </c>
      <c r="AK73" s="60">
        <f>Tabell2[[#This Row],[Yrkesaktiveandel-I]]*$AK$2</f>
        <v>9.3020345233679986</v>
      </c>
      <c r="AL73" s="60">
        <f>Tabell2[[#This Row],[Bruttoinntekt17+-I]]*$AL$2</f>
        <v>6.501862827228198</v>
      </c>
      <c r="AM73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65.112007647348008</v>
      </c>
    </row>
    <row r="74" spans="1:39">
      <c r="A74" s="64">
        <v>69</v>
      </c>
      <c r="B74" s="8" t="s">
        <v>124</v>
      </c>
      <c r="C74" s="45">
        <f>Råark!L71</f>
        <v>11</v>
      </c>
      <c r="D74" s="80">
        <f>Råark!K71</f>
        <v>215.2085479863</v>
      </c>
      <c r="E74" s="80">
        <f>Råark!N71</f>
        <v>4.6742107539282109</v>
      </c>
      <c r="F74" s="80">
        <f>Råark!O71</f>
        <v>-4.9352553139506483E-2</v>
      </c>
      <c r="G74" s="80">
        <f>Råark!P71</f>
        <v>9.5605242868157289E-2</v>
      </c>
      <c r="H74" s="80">
        <f>Råark!Q71</f>
        <v>0.20997172963248523</v>
      </c>
      <c r="I74" s="80">
        <f>Råark!R71</f>
        <v>-0.11006114508060039</v>
      </c>
      <c r="J74" s="80">
        <f>Råark!S71</f>
        <v>0.9228868017795353</v>
      </c>
      <c r="K74" s="80">
        <f>Råark!M71</f>
        <v>314200</v>
      </c>
      <c r="L74" s="59">
        <f>Tabell2[[#This Row],[NIBR11BA]]</f>
        <v>11</v>
      </c>
      <c r="M74" s="80">
        <f>IF(Tabell2[[#This Row],[Reisetid Oslo]]&lt;D$167,D$167,IF(Tabell2[[#This Row],[Reisetid Oslo]]&gt;D$168,D$168,Tabell2[[#This Row],[Reisetid Oslo]]))</f>
        <v>215.2085479863</v>
      </c>
      <c r="N74" s="80">
        <f>IF(Tabell2[[#This Row],[beftettotal]]&lt;E$167,E$167,IF(Tabell2[[#This Row],[beftettotal]]&gt;E$168,E$168,Tabell2[[#This Row],[beftettotal]]))</f>
        <v>4.6742107539282109</v>
      </c>
      <c r="O74" s="80">
        <f>IF(Tabell2[[#This Row],[Befvekst10]]&lt;F$167,F$167,IF(Tabell2[[#This Row],[Befvekst10]]&gt;F$168,F$168,Tabell2[[#This Row],[Befvekst10]]))</f>
        <v>-4.9352553139506483E-2</v>
      </c>
      <c r="P74" s="80">
        <f>IF(Tabell2[[#This Row],[Kvinneandel]]&lt;G$167,G$167,IF(Tabell2[[#This Row],[Kvinneandel]]&gt;G$168,G$168,Tabell2[[#This Row],[Kvinneandel]]))</f>
        <v>9.5605242868157289E-2</v>
      </c>
      <c r="Q74" s="80">
        <f>IF(Tabell2[[#This Row],[Eldreandel]]&lt;H$167,H$167,IF(Tabell2[[#This Row],[Eldreandel]]&gt;H$168,H$168,Tabell2[[#This Row],[Eldreandel]]))</f>
        <v>0.20387114745465851</v>
      </c>
      <c r="R74" s="80">
        <f>IF(Tabell2[[#This Row],[Syssvekst10]]&lt;I$167,I$167,IF(Tabell2[[#This Row],[Syssvekst10]]&gt;I$168,I$168,Tabell2[[#This Row],[Syssvekst10]]))</f>
        <v>-0.10141187624317609</v>
      </c>
      <c r="S74" s="80">
        <f>IF(Tabell2[[#This Row],[Yrkesaktiveandel]]&lt;J$167,J$167,IF(Tabell2[[#This Row],[Yrkesaktiveandel]]&gt;J$168,J$168,Tabell2[[#This Row],[Yrkesaktiveandel]]))</f>
        <v>0.9228868017795353</v>
      </c>
      <c r="T74" s="80">
        <f>IF(Tabell2[[#This Row],[Bruttoinntekt17+]]&lt;K$167,K$167,IF(Tabell2[[#This Row],[Bruttoinntekt17+]]&gt;K$168,K$168,Tabell2[[#This Row],[Bruttoinntekt17+]]))</f>
        <v>314200</v>
      </c>
      <c r="U74" s="60">
        <f>IF(Tabell2[[#This Row],[NIBR11-BA-Utrunk]]&lt;=L$170,100,IF(Tabell2[[#This Row],[NIBR11-BA-Utrunk]]&gt;=L$169,0,100-Tabell2[[#This Row],[NIBR11-BA-Utrunk]]*100/L$171))</f>
        <v>0</v>
      </c>
      <c r="V74" s="60">
        <f>(M$169-Tabell2[[#This Row],[Reisetid Oslo-T]])*100/M$171</f>
        <v>55.270302161737398</v>
      </c>
      <c r="W74" s="60">
        <f>100-(N$169-Tabell2[[#This Row],[beftettotal-T]])*100/N$171</f>
        <v>8.5324427887229604</v>
      </c>
      <c r="X74" s="60">
        <f>100-(O$169-Tabell2[[#This Row],[Befvekst10-T]])*100/O$171</f>
        <v>34.127683793171528</v>
      </c>
      <c r="Y74" s="60">
        <f>100-(P$169-Tabell2[[#This Row],[Kvinneandel-T]])*100/P$171</f>
        <v>13.210394635869932</v>
      </c>
      <c r="Z74" s="60">
        <f>(Q$169-Tabell2[[#This Row],[Eldreandel-T]])*100/Q$171</f>
        <v>0</v>
      </c>
      <c r="AA74" s="60">
        <f>100-(R$169-Tabell2[[#This Row],[Syssvekst10-T]])*100/R$171</f>
        <v>0</v>
      </c>
      <c r="AB74" s="60">
        <f>100-(S$169-Tabell2[[#This Row],[Yrkesaktiveandel-T]])*100/S$171</f>
        <v>72.831756136272475</v>
      </c>
      <c r="AC74" s="60">
        <f>100-(T$169-Tabell2[[#This Row],[Bruttoinntekt17+-T]])*100/T$171</f>
        <v>33.382032842938798</v>
      </c>
      <c r="AD74" s="60">
        <f>Tabell2[[#This Row],[NIBR11-BA-I]]*$AD$2</f>
        <v>0</v>
      </c>
      <c r="AE74" s="60">
        <f>Tabell2[[#This Row],[Reisetid Oslo-I]]*$AE$2</f>
        <v>5.5270302161737401</v>
      </c>
      <c r="AF74" s="60">
        <f>Tabell2[[#This Row],[beftettotal-I]]*$AF$2</f>
        <v>0.85324427887229604</v>
      </c>
      <c r="AG74" s="60">
        <f>Tabell2[[#This Row],[Befvekst10-I]]*$AG$2</f>
        <v>6.8255367586343061</v>
      </c>
      <c r="AH74" s="60">
        <f>Tabell2[[#This Row],[Kvinneandel-I]]*$AH$2</f>
        <v>0.66051973179349666</v>
      </c>
      <c r="AI74" s="60">
        <f>Tabell2[[#This Row],[Eldreandel-I]]*$AI$2</f>
        <v>0</v>
      </c>
      <c r="AJ74" s="60">
        <f>Tabell2[[#This Row],[Syssvekst10-I]]*$AJ$2</f>
        <v>0</v>
      </c>
      <c r="AK74" s="60">
        <f>Tabell2[[#This Row],[Yrkesaktiveandel-I]]*$AK$2</f>
        <v>7.2831756136272476</v>
      </c>
      <c r="AL74" s="60">
        <f>Tabell2[[#This Row],[Bruttoinntekt17+-I]]*$AL$2</f>
        <v>3.33820328429388</v>
      </c>
      <c r="AM74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24.487709883394963</v>
      </c>
    </row>
    <row r="75" spans="1:39">
      <c r="A75" s="63">
        <v>70</v>
      </c>
      <c r="B75" s="8" t="s">
        <v>125</v>
      </c>
      <c r="C75" s="45">
        <f>Råark!L72</f>
        <v>9</v>
      </c>
      <c r="D75" s="80">
        <f>Råark!K72</f>
        <v>221.71785161076954</v>
      </c>
      <c r="E75" s="80">
        <f>Råark!N72</f>
        <v>22.252024040133115</v>
      </c>
      <c r="F75" s="80">
        <f>Råark!O72</f>
        <v>-4.9034175334323971E-2</v>
      </c>
      <c r="G75" s="80">
        <f>Råark!P72</f>
        <v>9.8325892857142855E-2</v>
      </c>
      <c r="H75" s="80">
        <f>Råark!Q72</f>
        <v>0.16484375000000001</v>
      </c>
      <c r="I75" s="80">
        <f>Råark!R72</f>
        <v>-4.8262120876688019E-2</v>
      </c>
      <c r="J75" s="80">
        <f>Råark!S72</f>
        <v>0.92338547934215809</v>
      </c>
      <c r="K75" s="80">
        <f>Råark!M72</f>
        <v>331413.26732673269</v>
      </c>
      <c r="L75" s="59">
        <f>Tabell2[[#This Row],[NIBR11BA]]</f>
        <v>9</v>
      </c>
      <c r="M75" s="80">
        <f>IF(Tabell2[[#This Row],[Reisetid Oslo]]&lt;D$167,D$167,IF(Tabell2[[#This Row],[Reisetid Oslo]]&gt;D$168,D$168,Tabell2[[#This Row],[Reisetid Oslo]]))</f>
        <v>221.71785161076954</v>
      </c>
      <c r="N75" s="80">
        <f>IF(Tabell2[[#This Row],[beftettotal]]&lt;E$167,E$167,IF(Tabell2[[#This Row],[beftettotal]]&gt;E$168,E$168,Tabell2[[#This Row],[beftettotal]]))</f>
        <v>22.252024040133115</v>
      </c>
      <c r="O75" s="80">
        <f>IF(Tabell2[[#This Row],[Befvekst10]]&lt;F$167,F$167,IF(Tabell2[[#This Row],[Befvekst10]]&gt;F$168,F$168,Tabell2[[#This Row],[Befvekst10]]))</f>
        <v>-4.9034175334323971E-2</v>
      </c>
      <c r="P75" s="80">
        <f>IF(Tabell2[[#This Row],[Kvinneandel]]&lt;G$167,G$167,IF(Tabell2[[#This Row],[Kvinneandel]]&gt;G$168,G$168,Tabell2[[#This Row],[Kvinneandel]]))</f>
        <v>9.8325892857142855E-2</v>
      </c>
      <c r="Q75" s="80">
        <f>IF(Tabell2[[#This Row],[Eldreandel]]&lt;H$167,H$167,IF(Tabell2[[#This Row],[Eldreandel]]&gt;H$168,H$168,Tabell2[[#This Row],[Eldreandel]]))</f>
        <v>0.16484375000000001</v>
      </c>
      <c r="R75" s="80">
        <f>IF(Tabell2[[#This Row],[Syssvekst10]]&lt;I$167,I$167,IF(Tabell2[[#This Row],[Syssvekst10]]&gt;I$168,I$168,Tabell2[[#This Row],[Syssvekst10]]))</f>
        <v>-4.8262120876688019E-2</v>
      </c>
      <c r="S75" s="80">
        <f>IF(Tabell2[[#This Row],[Yrkesaktiveandel]]&lt;J$167,J$167,IF(Tabell2[[#This Row],[Yrkesaktiveandel]]&gt;J$168,J$168,Tabell2[[#This Row],[Yrkesaktiveandel]]))</f>
        <v>0.92338547934215809</v>
      </c>
      <c r="T75" s="80">
        <f>IF(Tabell2[[#This Row],[Bruttoinntekt17+]]&lt;K$167,K$167,IF(Tabell2[[#This Row],[Bruttoinntekt17+]]&gt;K$168,K$168,Tabell2[[#This Row],[Bruttoinntekt17+]]))</f>
        <v>331413.26732673269</v>
      </c>
      <c r="U75" s="60">
        <f>IF(Tabell2[[#This Row],[NIBR11-BA-Utrunk]]&lt;=L$170,100,IF(Tabell2[[#This Row],[NIBR11-BA-Utrunk]]&gt;=L$169,0,100-Tabell2[[#This Row],[NIBR11-BA-Utrunk]]*100/L$171))</f>
        <v>10</v>
      </c>
      <c r="V75" s="60">
        <f>(M$169-Tabell2[[#This Row],[Reisetid Oslo-T]])*100/M$171</f>
        <v>51.77523542838977</v>
      </c>
      <c r="W75" s="60">
        <f>100-(N$169-Tabell2[[#This Row],[beftettotal-T]])*100/N$171</f>
        <v>49.398703554064021</v>
      </c>
      <c r="X75" s="60">
        <f>100-(O$169-Tabell2[[#This Row],[Befvekst10-T]])*100/O$171</f>
        <v>34.270463322463513</v>
      </c>
      <c r="Y75" s="60">
        <f>100-(P$169-Tabell2[[#This Row],[Kvinneandel-T]])*100/P$171</f>
        <v>21.886726824931571</v>
      </c>
      <c r="Z75" s="60">
        <f>(Q$169-Tabell2[[#This Row],[Eldreandel-T]])*100/Q$171</f>
        <v>51.915922867193508</v>
      </c>
      <c r="AA75" s="60">
        <f>100-(R$169-Tabell2[[#This Row],[Syssvekst10-T]])*100/R$171</f>
        <v>20.057982643885168</v>
      </c>
      <c r="AB75" s="60">
        <f>100-(S$169-Tabell2[[#This Row],[Yrkesaktiveandel-T]])*100/S$171</f>
        <v>73.2087145598516</v>
      </c>
      <c r="AC75" s="60">
        <f>100-(T$169-Tabell2[[#This Row],[Bruttoinntekt17+-T]])*100/T$171</f>
        <v>62.213636216510075</v>
      </c>
      <c r="AD75" s="60">
        <f>Tabell2[[#This Row],[NIBR11-BA-I]]*$AD$2</f>
        <v>2</v>
      </c>
      <c r="AE75" s="60">
        <f>Tabell2[[#This Row],[Reisetid Oslo-I]]*$AE$2</f>
        <v>5.1775235428389772</v>
      </c>
      <c r="AF75" s="60">
        <f>Tabell2[[#This Row],[beftettotal-I]]*$AF$2</f>
        <v>4.9398703554064021</v>
      </c>
      <c r="AG75" s="60">
        <f>Tabell2[[#This Row],[Befvekst10-I]]*$AG$2</f>
        <v>6.8540926644927032</v>
      </c>
      <c r="AH75" s="60">
        <f>Tabell2[[#This Row],[Kvinneandel-I]]*$AH$2</f>
        <v>1.0943363412465785</v>
      </c>
      <c r="AI75" s="60">
        <f>Tabell2[[#This Row],[Eldreandel-I]]*$AI$2</f>
        <v>2.5957961433596757</v>
      </c>
      <c r="AJ75" s="60">
        <f>Tabell2[[#This Row],[Syssvekst10-I]]*$AJ$2</f>
        <v>2.0057982643885168</v>
      </c>
      <c r="AK75" s="60">
        <f>Tabell2[[#This Row],[Yrkesaktiveandel-I]]*$AK$2</f>
        <v>7.3208714559851602</v>
      </c>
      <c r="AL75" s="60">
        <f>Tabell2[[#This Row],[Bruttoinntekt17+-I]]*$AL$2</f>
        <v>6.2213636216510082</v>
      </c>
      <c r="AM75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38.209652389369019</v>
      </c>
    </row>
    <row r="76" spans="1:39">
      <c r="A76" s="64">
        <v>71</v>
      </c>
      <c r="B76" s="8" t="s">
        <v>126</v>
      </c>
      <c r="C76" s="45">
        <f>Råark!L73</f>
        <v>9</v>
      </c>
      <c r="D76" s="80">
        <f>Råark!K73</f>
        <v>165.96171553433999</v>
      </c>
      <c r="E76" s="80">
        <f>Råark!N73</f>
        <v>5.5070692965613546</v>
      </c>
      <c r="F76" s="80">
        <f>Råark!O73</f>
        <v>-6.4730580825752559E-3</v>
      </c>
      <c r="G76" s="80">
        <f>Råark!P73</f>
        <v>0.10406761753829899</v>
      </c>
      <c r="H76" s="80">
        <f>Råark!Q73</f>
        <v>0.17397429124845923</v>
      </c>
      <c r="I76" s="80">
        <f>Råark!R73</f>
        <v>7.3901205756514932E-2</v>
      </c>
      <c r="J76" s="80">
        <f>Råark!S73</f>
        <v>0.98180636777128005</v>
      </c>
      <c r="K76" s="80">
        <f>Råark!M73</f>
        <v>319400</v>
      </c>
      <c r="L76" s="59">
        <f>Tabell2[[#This Row],[NIBR11BA]]</f>
        <v>9</v>
      </c>
      <c r="M76" s="80">
        <f>IF(Tabell2[[#This Row],[Reisetid Oslo]]&lt;D$167,D$167,IF(Tabell2[[#This Row],[Reisetid Oslo]]&gt;D$168,D$168,Tabell2[[#This Row],[Reisetid Oslo]]))</f>
        <v>165.96171553433999</v>
      </c>
      <c r="N76" s="80">
        <f>IF(Tabell2[[#This Row],[beftettotal]]&lt;E$167,E$167,IF(Tabell2[[#This Row],[beftettotal]]&gt;E$168,E$168,Tabell2[[#This Row],[beftettotal]]))</f>
        <v>5.5070692965613546</v>
      </c>
      <c r="O76" s="80">
        <f>IF(Tabell2[[#This Row],[Befvekst10]]&lt;F$167,F$167,IF(Tabell2[[#This Row],[Befvekst10]]&gt;F$168,F$168,Tabell2[[#This Row],[Befvekst10]]))</f>
        <v>-6.4730580825752559E-3</v>
      </c>
      <c r="P76" s="80">
        <f>IF(Tabell2[[#This Row],[Kvinneandel]]&lt;G$167,G$167,IF(Tabell2[[#This Row],[Kvinneandel]]&gt;G$168,G$168,Tabell2[[#This Row],[Kvinneandel]]))</f>
        <v>0.10406761753829899</v>
      </c>
      <c r="Q76" s="80">
        <f>IF(Tabell2[[#This Row],[Eldreandel]]&lt;H$167,H$167,IF(Tabell2[[#This Row],[Eldreandel]]&gt;H$168,H$168,Tabell2[[#This Row],[Eldreandel]]))</f>
        <v>0.17397429124845923</v>
      </c>
      <c r="R76" s="80">
        <f>IF(Tabell2[[#This Row],[Syssvekst10]]&lt;I$167,I$167,IF(Tabell2[[#This Row],[Syssvekst10]]&gt;I$168,I$168,Tabell2[[#This Row],[Syssvekst10]]))</f>
        <v>7.3901205756514932E-2</v>
      </c>
      <c r="S76" s="80">
        <f>IF(Tabell2[[#This Row],[Yrkesaktiveandel]]&lt;J$167,J$167,IF(Tabell2[[#This Row],[Yrkesaktiveandel]]&gt;J$168,J$168,Tabell2[[#This Row],[Yrkesaktiveandel]]))</f>
        <v>0.95882761854672227</v>
      </c>
      <c r="T76" s="80">
        <f>IF(Tabell2[[#This Row],[Bruttoinntekt17+]]&lt;K$167,K$167,IF(Tabell2[[#This Row],[Bruttoinntekt17+]]&gt;K$168,K$168,Tabell2[[#This Row],[Bruttoinntekt17+]]))</f>
        <v>319400</v>
      </c>
      <c r="U76" s="60">
        <f>IF(Tabell2[[#This Row],[NIBR11-BA-Utrunk]]&lt;=L$170,100,IF(Tabell2[[#This Row],[NIBR11-BA-Utrunk]]&gt;=L$169,0,100-Tabell2[[#This Row],[NIBR11-BA-Utrunk]]*100/L$171))</f>
        <v>10</v>
      </c>
      <c r="V76" s="60">
        <f>(M$169-Tabell2[[#This Row],[Reisetid Oslo-T]])*100/M$171</f>
        <v>81.712603175099105</v>
      </c>
      <c r="W76" s="60">
        <f>100-(N$169-Tabell2[[#This Row],[beftettotal-T]])*100/N$171</f>
        <v>10.46873678785191</v>
      </c>
      <c r="X76" s="60">
        <f>100-(O$169-Tabell2[[#This Row],[Befvekst10-T]])*100/O$171</f>
        <v>53.357397739458833</v>
      </c>
      <c r="Y76" s="60">
        <f>100-(P$169-Tabell2[[#This Row],[Kvinneandel-T]])*100/P$171</f>
        <v>40.197465388703868</v>
      </c>
      <c r="Z76" s="60">
        <f>(Q$169-Tabell2[[#This Row],[Eldreandel-T]])*100/Q$171</f>
        <v>39.770084146037483</v>
      </c>
      <c r="AA76" s="60">
        <f>100-(R$169-Tabell2[[#This Row],[Syssvekst10-T]])*100/R$171</f>
        <v>66.160732664688652</v>
      </c>
      <c r="AB76" s="60">
        <f>100-(S$169-Tabell2[[#This Row],[Yrkesaktiveandel-T]])*100/S$171</f>
        <v>100</v>
      </c>
      <c r="AC76" s="60">
        <f>100-(T$169-Tabell2[[#This Row],[Bruttoinntekt17+-T]])*100/T$171</f>
        <v>42.091845727197786</v>
      </c>
      <c r="AD76" s="60">
        <f>Tabell2[[#This Row],[NIBR11-BA-I]]*$AD$2</f>
        <v>2</v>
      </c>
      <c r="AE76" s="60">
        <f>Tabell2[[#This Row],[Reisetid Oslo-I]]*$AE$2</f>
        <v>8.1712603175099101</v>
      </c>
      <c r="AF76" s="60">
        <f>Tabell2[[#This Row],[beftettotal-I]]*$AF$2</f>
        <v>1.0468736787851911</v>
      </c>
      <c r="AG76" s="60">
        <f>Tabell2[[#This Row],[Befvekst10-I]]*$AG$2</f>
        <v>10.671479547891767</v>
      </c>
      <c r="AH76" s="60">
        <f>Tabell2[[#This Row],[Kvinneandel-I]]*$AH$2</f>
        <v>2.0098732694351935</v>
      </c>
      <c r="AI76" s="60">
        <f>Tabell2[[#This Row],[Eldreandel-I]]*$AI$2</f>
        <v>1.9885042073018742</v>
      </c>
      <c r="AJ76" s="60">
        <f>Tabell2[[#This Row],[Syssvekst10-I]]*$AJ$2</f>
        <v>6.6160732664688657</v>
      </c>
      <c r="AK76" s="60">
        <f>Tabell2[[#This Row],[Yrkesaktiveandel-I]]*$AK$2</f>
        <v>10</v>
      </c>
      <c r="AL76" s="60">
        <f>Tabell2[[#This Row],[Bruttoinntekt17+-I]]*$AL$2</f>
        <v>4.2091845727197787</v>
      </c>
      <c r="AM76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46.713248860112579</v>
      </c>
    </row>
    <row r="77" spans="1:39">
      <c r="A77" s="63">
        <v>72</v>
      </c>
      <c r="B77" s="8" t="s">
        <v>127</v>
      </c>
      <c r="C77" s="45">
        <f>Råark!L74</f>
        <v>8</v>
      </c>
      <c r="D77" s="80">
        <f>Råark!K74</f>
        <v>190.6592816317997</v>
      </c>
      <c r="E77" s="80">
        <f>Råark!N74</f>
        <v>6.9844462980226689</v>
      </c>
      <c r="F77" s="80">
        <f>Råark!O74</f>
        <v>3.9886039886039892E-2</v>
      </c>
      <c r="G77" s="80">
        <f>Råark!P74</f>
        <v>0.11232876712328767</v>
      </c>
      <c r="H77" s="80">
        <f>Råark!Q74</f>
        <v>0.14618897084650509</v>
      </c>
      <c r="I77" s="80">
        <f>Råark!R74</f>
        <v>3.575564562825706E-2</v>
      </c>
      <c r="J77" s="80">
        <f>Råark!S74</f>
        <v>0.96550855991943607</v>
      </c>
      <c r="K77" s="80">
        <f>Råark!M74</f>
        <v>313848.66485013627</v>
      </c>
      <c r="L77" s="59">
        <f>Tabell2[[#This Row],[NIBR11BA]]</f>
        <v>8</v>
      </c>
      <c r="M77" s="80">
        <f>IF(Tabell2[[#This Row],[Reisetid Oslo]]&lt;D$167,D$167,IF(Tabell2[[#This Row],[Reisetid Oslo]]&gt;D$168,D$168,Tabell2[[#This Row],[Reisetid Oslo]]))</f>
        <v>190.6592816317997</v>
      </c>
      <c r="N77" s="80">
        <f>IF(Tabell2[[#This Row],[beftettotal]]&lt;E$167,E$167,IF(Tabell2[[#This Row],[beftettotal]]&gt;E$168,E$168,Tabell2[[#This Row],[beftettotal]]))</f>
        <v>6.9844462980226689</v>
      </c>
      <c r="O77" s="80">
        <f>IF(Tabell2[[#This Row],[Befvekst10]]&lt;F$167,F$167,IF(Tabell2[[#This Row],[Befvekst10]]&gt;F$168,F$168,Tabell2[[#This Row],[Befvekst10]]))</f>
        <v>3.9886039886039892E-2</v>
      </c>
      <c r="P77" s="80">
        <f>IF(Tabell2[[#This Row],[Kvinneandel]]&lt;G$167,G$167,IF(Tabell2[[#This Row],[Kvinneandel]]&gt;G$168,G$168,Tabell2[[#This Row],[Kvinneandel]]))</f>
        <v>0.11232876712328767</v>
      </c>
      <c r="Q77" s="80">
        <f>IF(Tabell2[[#This Row],[Eldreandel]]&lt;H$167,H$167,IF(Tabell2[[#This Row],[Eldreandel]]&gt;H$168,H$168,Tabell2[[#This Row],[Eldreandel]]))</f>
        <v>0.14618897084650509</v>
      </c>
      <c r="R77" s="80">
        <f>IF(Tabell2[[#This Row],[Syssvekst10]]&lt;I$167,I$167,IF(Tabell2[[#This Row],[Syssvekst10]]&gt;I$168,I$168,Tabell2[[#This Row],[Syssvekst10]]))</f>
        <v>3.575564562825706E-2</v>
      </c>
      <c r="S77" s="80">
        <f>IF(Tabell2[[#This Row],[Yrkesaktiveandel]]&lt;J$167,J$167,IF(Tabell2[[#This Row],[Yrkesaktiveandel]]&gt;J$168,J$168,Tabell2[[#This Row],[Yrkesaktiveandel]]))</f>
        <v>0.95882761854672227</v>
      </c>
      <c r="T77" s="80">
        <f>IF(Tabell2[[#This Row],[Bruttoinntekt17+]]&lt;K$167,K$167,IF(Tabell2[[#This Row],[Bruttoinntekt17+]]&gt;K$168,K$168,Tabell2[[#This Row],[Bruttoinntekt17+]]))</f>
        <v>313848.66485013627</v>
      </c>
      <c r="U77" s="60">
        <f>IF(Tabell2[[#This Row],[NIBR11-BA-Utrunk]]&lt;=L$170,100,IF(Tabell2[[#This Row],[NIBR11-BA-Utrunk]]&gt;=L$169,0,100-Tabell2[[#This Row],[NIBR11-BA-Utrunk]]*100/L$171))</f>
        <v>20</v>
      </c>
      <c r="V77" s="60">
        <f>(M$169-Tabell2[[#This Row],[Reisetid Oslo-T]])*100/M$171</f>
        <v>68.451639077895834</v>
      </c>
      <c r="W77" s="60">
        <f>100-(N$169-Tabell2[[#This Row],[beftettotal-T]])*100/N$171</f>
        <v>13.903457182670195</v>
      </c>
      <c r="X77" s="60">
        <f>100-(O$169-Tabell2[[#This Row],[Befvekst10-T]])*100/O$171</f>
        <v>74.147572426935184</v>
      </c>
      <c r="Y77" s="60">
        <f>100-(P$169-Tabell2[[#This Row],[Kvinneandel-T]])*100/P$171</f>
        <v>66.542816078086787</v>
      </c>
      <c r="Z77" s="60">
        <f>(Q$169-Tabell2[[#This Row],[Eldreandel-T]])*100/Q$171</f>
        <v>76.731312537041191</v>
      </c>
      <c r="AA77" s="60">
        <f>100-(R$169-Tabell2[[#This Row],[Syssvekst10-T]])*100/R$171</f>
        <v>51.765125804072724</v>
      </c>
      <c r="AB77" s="60">
        <f>100-(S$169-Tabell2[[#This Row],[Yrkesaktiveandel-T]])*100/S$171</f>
        <v>100</v>
      </c>
      <c r="AC77" s="60">
        <f>100-(T$169-Tabell2[[#This Row],[Bruttoinntekt17+-T]])*100/T$171</f>
        <v>32.793559109289518</v>
      </c>
      <c r="AD77" s="60">
        <f>Tabell2[[#This Row],[NIBR11-BA-I]]*$AD$2</f>
        <v>4</v>
      </c>
      <c r="AE77" s="60">
        <f>Tabell2[[#This Row],[Reisetid Oslo-I]]*$AE$2</f>
        <v>6.8451639077895834</v>
      </c>
      <c r="AF77" s="60">
        <f>Tabell2[[#This Row],[beftettotal-I]]*$AF$2</f>
        <v>1.3903457182670196</v>
      </c>
      <c r="AG77" s="60">
        <f>Tabell2[[#This Row],[Befvekst10-I]]*$AG$2</f>
        <v>14.829514485387037</v>
      </c>
      <c r="AH77" s="60">
        <f>Tabell2[[#This Row],[Kvinneandel-I]]*$AH$2</f>
        <v>3.3271408039043395</v>
      </c>
      <c r="AI77" s="60">
        <f>Tabell2[[#This Row],[Eldreandel-I]]*$AI$2</f>
        <v>3.8365656268520598</v>
      </c>
      <c r="AJ77" s="60">
        <f>Tabell2[[#This Row],[Syssvekst10-I]]*$AJ$2</f>
        <v>5.1765125804072731</v>
      </c>
      <c r="AK77" s="60">
        <f>Tabell2[[#This Row],[Yrkesaktiveandel-I]]*$AK$2</f>
        <v>10</v>
      </c>
      <c r="AL77" s="60">
        <f>Tabell2[[#This Row],[Bruttoinntekt17+-I]]*$AL$2</f>
        <v>3.2793559109289521</v>
      </c>
      <c r="AM77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52.684599033536266</v>
      </c>
    </row>
    <row r="78" spans="1:39">
      <c r="A78" s="64">
        <v>73</v>
      </c>
      <c r="B78" s="8" t="s">
        <v>128</v>
      </c>
      <c r="C78" s="45">
        <f>Råark!L75</f>
        <v>4</v>
      </c>
      <c r="D78" s="80">
        <f>Råark!K75</f>
        <v>171.77627295250502</v>
      </c>
      <c r="E78" s="80">
        <f>Råark!N75</f>
        <v>19.798794612292966</v>
      </c>
      <c r="F78" s="80">
        <f>Råark!O75</f>
        <v>4.5618044887406839E-2</v>
      </c>
      <c r="G78" s="80">
        <f>Råark!P75</f>
        <v>0.11312776593266802</v>
      </c>
      <c r="H78" s="80">
        <f>Råark!Q75</f>
        <v>0.14349703474101017</v>
      </c>
      <c r="I78" s="80">
        <f>Råark!R75</f>
        <v>9.8423992043454867E-2</v>
      </c>
      <c r="J78" s="80">
        <f>Råark!S75</f>
        <v>0.90918677501395695</v>
      </c>
      <c r="K78" s="80">
        <f>Råark!M75</f>
        <v>345883.77654138755</v>
      </c>
      <c r="L78" s="59">
        <f>Tabell2[[#This Row],[NIBR11BA]]</f>
        <v>4</v>
      </c>
      <c r="M78" s="80">
        <f>IF(Tabell2[[#This Row],[Reisetid Oslo]]&lt;D$167,D$167,IF(Tabell2[[#This Row],[Reisetid Oslo]]&gt;D$168,D$168,Tabell2[[#This Row],[Reisetid Oslo]]))</f>
        <v>171.77627295250502</v>
      </c>
      <c r="N78" s="80">
        <f>IF(Tabell2[[#This Row],[beftettotal]]&lt;E$167,E$167,IF(Tabell2[[#This Row],[beftettotal]]&gt;E$168,E$168,Tabell2[[#This Row],[beftettotal]]))</f>
        <v>19.798794612292966</v>
      </c>
      <c r="O78" s="80">
        <f>IF(Tabell2[[#This Row],[Befvekst10]]&lt;F$167,F$167,IF(Tabell2[[#This Row],[Befvekst10]]&gt;F$168,F$168,Tabell2[[#This Row],[Befvekst10]]))</f>
        <v>4.5618044887406839E-2</v>
      </c>
      <c r="P78" s="80">
        <f>IF(Tabell2[[#This Row],[Kvinneandel]]&lt;G$167,G$167,IF(Tabell2[[#This Row],[Kvinneandel]]&gt;G$168,G$168,Tabell2[[#This Row],[Kvinneandel]]))</f>
        <v>0.11312776593266802</v>
      </c>
      <c r="Q78" s="80">
        <f>IF(Tabell2[[#This Row],[Eldreandel]]&lt;H$167,H$167,IF(Tabell2[[#This Row],[Eldreandel]]&gt;H$168,H$168,Tabell2[[#This Row],[Eldreandel]]))</f>
        <v>0.14349703474101017</v>
      </c>
      <c r="R78" s="80">
        <f>IF(Tabell2[[#This Row],[Syssvekst10]]&lt;I$167,I$167,IF(Tabell2[[#This Row],[Syssvekst10]]&gt;I$168,I$168,Tabell2[[#This Row],[Syssvekst10]]))</f>
        <v>9.8423992043454867E-2</v>
      </c>
      <c r="S78" s="80">
        <f>IF(Tabell2[[#This Row],[Yrkesaktiveandel]]&lt;J$167,J$167,IF(Tabell2[[#This Row],[Yrkesaktiveandel]]&gt;J$168,J$168,Tabell2[[#This Row],[Yrkesaktiveandel]]))</f>
        <v>0.90918677501395695</v>
      </c>
      <c r="T78" s="80">
        <f>IF(Tabell2[[#This Row],[Bruttoinntekt17+]]&lt;K$167,K$167,IF(Tabell2[[#This Row],[Bruttoinntekt17+]]&gt;K$168,K$168,Tabell2[[#This Row],[Bruttoinntekt17+]]))</f>
        <v>345883.77654138755</v>
      </c>
      <c r="U78" s="60">
        <f>IF(Tabell2[[#This Row],[NIBR11-BA-Utrunk]]&lt;=L$170,100,IF(Tabell2[[#This Row],[NIBR11-BA-Utrunk]]&gt;=L$169,0,100-Tabell2[[#This Row],[NIBR11-BA-Utrunk]]*100/L$171))</f>
        <v>60</v>
      </c>
      <c r="V78" s="60">
        <f>(M$169-Tabell2[[#This Row],[Reisetid Oslo-T]])*100/M$171</f>
        <v>78.590569333418472</v>
      </c>
      <c r="W78" s="60">
        <f>100-(N$169-Tabell2[[#This Row],[beftettotal-T]])*100/N$171</f>
        <v>43.695245912151087</v>
      </c>
      <c r="X78" s="60">
        <f>100-(O$169-Tabell2[[#This Row],[Befvekst10-T]])*100/O$171</f>
        <v>76.718144127199579</v>
      </c>
      <c r="Y78" s="60">
        <f>100-(P$169-Tabell2[[#This Row],[Kvinneandel-T]])*100/P$171</f>
        <v>69.090875959701137</v>
      </c>
      <c r="Z78" s="60">
        <f>(Q$169-Tabell2[[#This Row],[Eldreandel-T]])*100/Q$171</f>
        <v>80.312241738857736</v>
      </c>
      <c r="AA78" s="60">
        <f>100-(R$169-Tabell2[[#This Row],[Syssvekst10-T]])*100/R$171</f>
        <v>75.415293072943797</v>
      </c>
      <c r="AB78" s="60">
        <f>100-(S$169-Tabell2[[#This Row],[Yrkesaktiveandel-T]])*100/S$171</f>
        <v>62.475684639126058</v>
      </c>
      <c r="AC78" s="60">
        <f>100-(T$169-Tabell2[[#This Row],[Bruttoinntekt17+-T]])*100/T$171</f>
        <v>86.451218447200333</v>
      </c>
      <c r="AD78" s="60">
        <f>Tabell2[[#This Row],[NIBR11-BA-I]]*$AD$2</f>
        <v>12</v>
      </c>
      <c r="AE78" s="60">
        <f>Tabell2[[#This Row],[Reisetid Oslo-I]]*$AE$2</f>
        <v>7.8590569333418472</v>
      </c>
      <c r="AF78" s="60">
        <f>Tabell2[[#This Row],[beftettotal-I]]*$AF$2</f>
        <v>4.3695245912151091</v>
      </c>
      <c r="AG78" s="60">
        <f>Tabell2[[#This Row],[Befvekst10-I]]*$AG$2</f>
        <v>15.343628825439916</v>
      </c>
      <c r="AH78" s="60">
        <f>Tabell2[[#This Row],[Kvinneandel-I]]*$AH$2</f>
        <v>3.4545437979850568</v>
      </c>
      <c r="AI78" s="60">
        <f>Tabell2[[#This Row],[Eldreandel-I]]*$AI$2</f>
        <v>4.0156120869428866</v>
      </c>
      <c r="AJ78" s="60">
        <f>Tabell2[[#This Row],[Syssvekst10-I]]*$AJ$2</f>
        <v>7.5415293072943799</v>
      </c>
      <c r="AK78" s="60">
        <f>Tabell2[[#This Row],[Yrkesaktiveandel-I]]*$AK$2</f>
        <v>6.2475684639126063</v>
      </c>
      <c r="AL78" s="60">
        <f>Tabell2[[#This Row],[Bruttoinntekt17+-I]]*$AL$2</f>
        <v>8.645121844720034</v>
      </c>
      <c r="AM78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69.476585850851848</v>
      </c>
    </row>
    <row r="79" spans="1:39">
      <c r="A79" s="63">
        <v>74</v>
      </c>
      <c r="B79" s="8" t="s">
        <v>129</v>
      </c>
      <c r="C79" s="45">
        <f>Råark!L76</f>
        <v>5</v>
      </c>
      <c r="D79" s="80">
        <f>Råark!K76</f>
        <v>168.14935820557432</v>
      </c>
      <c r="E79" s="80">
        <f>Råark!N76</f>
        <v>54.136828431535818</v>
      </c>
      <c r="F79" s="80">
        <f>Råark!O76</f>
        <v>5.5387812084023214E-2</v>
      </c>
      <c r="G79" s="80">
        <f>Råark!P76</f>
        <v>0.11400621404620544</v>
      </c>
      <c r="H79" s="80">
        <f>Råark!Q76</f>
        <v>0.14498415725843664</v>
      </c>
      <c r="I79" s="80">
        <f>Råark!R76</f>
        <v>0.15066514633219308</v>
      </c>
      <c r="J79" s="80">
        <f>Råark!S76</f>
        <v>0.85298589629318933</v>
      </c>
      <c r="K79" s="80">
        <f>Råark!M76</f>
        <v>341580.47754976084</v>
      </c>
      <c r="L79" s="59">
        <f>Tabell2[[#This Row],[NIBR11BA]]</f>
        <v>5</v>
      </c>
      <c r="M79" s="80">
        <f>IF(Tabell2[[#This Row],[Reisetid Oslo]]&lt;D$167,D$167,IF(Tabell2[[#This Row],[Reisetid Oslo]]&gt;D$168,D$168,Tabell2[[#This Row],[Reisetid Oslo]]))</f>
        <v>168.14935820557432</v>
      </c>
      <c r="N79" s="80">
        <f>IF(Tabell2[[#This Row],[beftettotal]]&lt;E$167,E$167,IF(Tabell2[[#This Row],[beftettotal]]&gt;E$168,E$168,Tabell2[[#This Row],[beftettotal]]))</f>
        <v>44.017170258769376</v>
      </c>
      <c r="O79" s="80">
        <f>IF(Tabell2[[#This Row],[Befvekst10]]&lt;F$167,F$167,IF(Tabell2[[#This Row],[Befvekst10]]&gt;F$168,F$168,Tabell2[[#This Row],[Befvekst10]]))</f>
        <v>5.5387812084023214E-2</v>
      </c>
      <c r="P79" s="80">
        <f>IF(Tabell2[[#This Row],[Kvinneandel]]&lt;G$167,G$167,IF(Tabell2[[#This Row],[Kvinneandel]]&gt;G$168,G$168,Tabell2[[#This Row],[Kvinneandel]]))</f>
        <v>0.11400621404620544</v>
      </c>
      <c r="Q79" s="80">
        <f>IF(Tabell2[[#This Row],[Eldreandel]]&lt;H$167,H$167,IF(Tabell2[[#This Row],[Eldreandel]]&gt;H$168,H$168,Tabell2[[#This Row],[Eldreandel]]))</f>
        <v>0.14498415725843664</v>
      </c>
      <c r="R79" s="80">
        <f>IF(Tabell2[[#This Row],[Syssvekst10]]&lt;I$167,I$167,IF(Tabell2[[#This Row],[Syssvekst10]]&gt;I$168,I$168,Tabell2[[#This Row],[Syssvekst10]]))</f>
        <v>0.15066514633219308</v>
      </c>
      <c r="S79" s="80">
        <f>IF(Tabell2[[#This Row],[Yrkesaktiveandel]]&lt;J$167,J$167,IF(Tabell2[[#This Row],[Yrkesaktiveandel]]&gt;J$168,J$168,Tabell2[[#This Row],[Yrkesaktiveandel]]))</f>
        <v>0.85298589629318933</v>
      </c>
      <c r="T79" s="80">
        <f>IF(Tabell2[[#This Row],[Bruttoinntekt17+]]&lt;K$167,K$167,IF(Tabell2[[#This Row],[Bruttoinntekt17+]]&gt;K$168,K$168,Tabell2[[#This Row],[Bruttoinntekt17+]]))</f>
        <v>341580.47754976084</v>
      </c>
      <c r="U79" s="60">
        <f>IF(Tabell2[[#This Row],[NIBR11-BA-Utrunk]]&lt;=L$170,100,IF(Tabell2[[#This Row],[NIBR11-BA-Utrunk]]&gt;=L$169,0,100-Tabell2[[#This Row],[NIBR11-BA-Utrunk]]*100/L$171))</f>
        <v>50</v>
      </c>
      <c r="V79" s="60">
        <f>(M$169-Tabell2[[#This Row],[Reisetid Oslo-T]])*100/M$171</f>
        <v>80.537983343886992</v>
      </c>
      <c r="W79" s="60">
        <f>100-(N$169-Tabell2[[#This Row],[beftettotal-T]])*100/N$171</f>
        <v>100</v>
      </c>
      <c r="X79" s="60">
        <f>100-(O$169-Tabell2[[#This Row],[Befvekst10-T]])*100/O$171</f>
        <v>81.099488363257365</v>
      </c>
      <c r="Y79" s="60">
        <f>100-(P$169-Tabell2[[#This Row],[Kvinneandel-T]])*100/P$171</f>
        <v>71.892304910415618</v>
      </c>
      <c r="Z79" s="60">
        <f>(Q$169-Tabell2[[#This Row],[Eldreandel-T]])*100/Q$171</f>
        <v>78.334007397239773</v>
      </c>
      <c r="AA79" s="60">
        <f>100-(R$169-Tabell2[[#This Row],[Syssvekst10-T]])*100/R$171</f>
        <v>95.130382235531513</v>
      </c>
      <c r="AB79" s="60">
        <f>100-(S$169-Tabell2[[#This Row],[Yrkesaktiveandel-T]])*100/S$171</f>
        <v>19.992532730469634</v>
      </c>
      <c r="AC79" s="60">
        <f>100-(T$169-Tabell2[[#This Row],[Bruttoinntekt17+-T]])*100/T$171</f>
        <v>79.243347485260131</v>
      </c>
      <c r="AD79" s="60">
        <f>Tabell2[[#This Row],[NIBR11-BA-I]]*$AD$2</f>
        <v>10</v>
      </c>
      <c r="AE79" s="60">
        <f>Tabell2[[#This Row],[Reisetid Oslo-I]]*$AE$2</f>
        <v>8.0537983343887003</v>
      </c>
      <c r="AF79" s="60">
        <f>Tabell2[[#This Row],[beftettotal-I]]*$AF$2</f>
        <v>10</v>
      </c>
      <c r="AG79" s="60">
        <f>Tabell2[[#This Row],[Befvekst10-I]]*$AG$2</f>
        <v>16.219897672651474</v>
      </c>
      <c r="AH79" s="60">
        <f>Tabell2[[#This Row],[Kvinneandel-I]]*$AH$2</f>
        <v>3.5946152455207812</v>
      </c>
      <c r="AI79" s="60">
        <f>Tabell2[[#This Row],[Eldreandel-I]]*$AI$2</f>
        <v>3.9167003698619887</v>
      </c>
      <c r="AJ79" s="60">
        <f>Tabell2[[#This Row],[Syssvekst10-I]]*$AJ$2</f>
        <v>9.513038223553151</v>
      </c>
      <c r="AK79" s="60">
        <f>Tabell2[[#This Row],[Yrkesaktiveandel-I]]*$AK$2</f>
        <v>1.9992532730469634</v>
      </c>
      <c r="AL79" s="60">
        <f>Tabell2[[#This Row],[Bruttoinntekt17+-I]]*$AL$2</f>
        <v>7.9243347485260136</v>
      </c>
      <c r="AM79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71.221637867549063</v>
      </c>
    </row>
    <row r="80" spans="1:39">
      <c r="A80" s="64">
        <v>75</v>
      </c>
      <c r="B80" s="8" t="s">
        <v>130</v>
      </c>
      <c r="C80" s="45">
        <f>Råark!L77</f>
        <v>4</v>
      </c>
      <c r="D80" s="80">
        <f>Råark!K77</f>
        <v>174.62588938204513</v>
      </c>
      <c r="E80" s="80">
        <f>Råark!N77</f>
        <v>64.857292808298482</v>
      </c>
      <c r="F80" s="80">
        <f>Råark!O77</f>
        <v>0.10629418502086652</v>
      </c>
      <c r="G80" s="80">
        <f>Råark!P77</f>
        <v>0.12548641605083716</v>
      </c>
      <c r="H80" s="80">
        <f>Råark!Q77</f>
        <v>0.13149595992050742</v>
      </c>
      <c r="I80" s="80">
        <f>Råark!R77</f>
        <v>0.13239034518556969</v>
      </c>
      <c r="J80" s="80">
        <f>Råark!S77</f>
        <v>0.90978497025320315</v>
      </c>
      <c r="K80" s="80">
        <f>Råark!M77</f>
        <v>357454.73751796252</v>
      </c>
      <c r="L80" s="59">
        <f>Tabell2[[#This Row],[NIBR11BA]]</f>
        <v>4</v>
      </c>
      <c r="M80" s="80">
        <f>IF(Tabell2[[#This Row],[Reisetid Oslo]]&lt;D$167,D$167,IF(Tabell2[[#This Row],[Reisetid Oslo]]&gt;D$168,D$168,Tabell2[[#This Row],[Reisetid Oslo]]))</f>
        <v>174.62588938204513</v>
      </c>
      <c r="N80" s="80">
        <f>IF(Tabell2[[#This Row],[beftettotal]]&lt;E$167,E$167,IF(Tabell2[[#This Row],[beftettotal]]&gt;E$168,E$168,Tabell2[[#This Row],[beftettotal]]))</f>
        <v>44.017170258769376</v>
      </c>
      <c r="O80" s="80">
        <f>IF(Tabell2[[#This Row],[Befvekst10]]&lt;F$167,F$167,IF(Tabell2[[#This Row],[Befvekst10]]&gt;F$168,F$168,Tabell2[[#This Row],[Befvekst10]]))</f>
        <v>9.7533233360955388E-2</v>
      </c>
      <c r="P80" s="80">
        <f>IF(Tabell2[[#This Row],[Kvinneandel]]&lt;G$167,G$167,IF(Tabell2[[#This Row],[Kvinneandel]]&gt;G$168,G$168,Tabell2[[#This Row],[Kvinneandel]]))</f>
        <v>0.12281998450468276</v>
      </c>
      <c r="Q80" s="80">
        <f>IF(Tabell2[[#This Row],[Eldreandel]]&lt;H$167,H$167,IF(Tabell2[[#This Row],[Eldreandel]]&gt;H$168,H$168,Tabell2[[#This Row],[Eldreandel]]))</f>
        <v>0.13149595992050742</v>
      </c>
      <c r="R80" s="80">
        <f>IF(Tabell2[[#This Row],[Syssvekst10]]&lt;I$167,I$167,IF(Tabell2[[#This Row],[Syssvekst10]]&gt;I$168,I$168,Tabell2[[#This Row],[Syssvekst10]]))</f>
        <v>0.13239034518556969</v>
      </c>
      <c r="S80" s="80">
        <f>IF(Tabell2[[#This Row],[Yrkesaktiveandel]]&lt;J$167,J$167,IF(Tabell2[[#This Row],[Yrkesaktiveandel]]&gt;J$168,J$168,Tabell2[[#This Row],[Yrkesaktiveandel]]))</f>
        <v>0.90978497025320315</v>
      </c>
      <c r="T80" s="80">
        <f>IF(Tabell2[[#This Row],[Bruttoinntekt17+]]&lt;K$167,K$167,IF(Tabell2[[#This Row],[Bruttoinntekt17+]]&gt;K$168,K$168,Tabell2[[#This Row],[Bruttoinntekt17+]]))</f>
        <v>353972.77512388147</v>
      </c>
      <c r="U80" s="60">
        <f>IF(Tabell2[[#This Row],[NIBR11-BA-Utrunk]]&lt;=L$170,100,IF(Tabell2[[#This Row],[NIBR11-BA-Utrunk]]&gt;=L$169,0,100-Tabell2[[#This Row],[NIBR11-BA-Utrunk]]*100/L$171))</f>
        <v>60</v>
      </c>
      <c r="V80" s="60">
        <f>(M$169-Tabell2[[#This Row],[Reisetid Oslo-T]])*100/M$171</f>
        <v>77.060513253648793</v>
      </c>
      <c r="W80" s="60">
        <f>100-(N$169-Tabell2[[#This Row],[beftettotal-T]])*100/N$171</f>
        <v>100</v>
      </c>
      <c r="X80" s="60">
        <f>100-(O$169-Tabell2[[#This Row],[Befvekst10-T]])*100/O$171</f>
        <v>100</v>
      </c>
      <c r="Y80" s="60">
        <f>100-(P$169-Tabell2[[#This Row],[Kvinneandel-T]])*100/P$171</f>
        <v>100</v>
      </c>
      <c r="Z80" s="60">
        <f>(Q$169-Tabell2[[#This Row],[Eldreandel-T]])*100/Q$171</f>
        <v>96.276587694246814</v>
      </c>
      <c r="AA80" s="60">
        <f>100-(R$169-Tabell2[[#This Row],[Syssvekst10-T]])*100/R$171</f>
        <v>88.233725013087465</v>
      </c>
      <c r="AB80" s="60">
        <f>100-(S$169-Tabell2[[#This Row],[Yrkesaktiveandel-T]])*100/S$171</f>
        <v>62.927870081745141</v>
      </c>
      <c r="AC80" s="60">
        <f>100-(T$169-Tabell2[[#This Row],[Bruttoinntekt17+-T]])*100/T$171</f>
        <v>100</v>
      </c>
      <c r="AD80" s="60">
        <f>Tabell2[[#This Row],[NIBR11-BA-I]]*$AD$2</f>
        <v>12</v>
      </c>
      <c r="AE80" s="60">
        <f>Tabell2[[#This Row],[Reisetid Oslo-I]]*$AE$2</f>
        <v>7.7060513253648795</v>
      </c>
      <c r="AF80" s="60">
        <f>Tabell2[[#This Row],[beftettotal-I]]*$AF$2</f>
        <v>10</v>
      </c>
      <c r="AG80" s="60">
        <f>Tabell2[[#This Row],[Befvekst10-I]]*$AG$2</f>
        <v>20</v>
      </c>
      <c r="AH80" s="60">
        <f>Tabell2[[#This Row],[Kvinneandel-I]]*$AH$2</f>
        <v>5</v>
      </c>
      <c r="AI80" s="60">
        <f>Tabell2[[#This Row],[Eldreandel-I]]*$AI$2</f>
        <v>4.8138293847123412</v>
      </c>
      <c r="AJ80" s="60">
        <f>Tabell2[[#This Row],[Syssvekst10-I]]*$AJ$2</f>
        <v>8.8233725013087465</v>
      </c>
      <c r="AK80" s="60">
        <f>Tabell2[[#This Row],[Yrkesaktiveandel-I]]*$AK$2</f>
        <v>6.2927870081745141</v>
      </c>
      <c r="AL80" s="60">
        <f>Tabell2[[#This Row],[Bruttoinntekt17+-I]]*$AL$2</f>
        <v>10</v>
      </c>
      <c r="AM80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84.636040219560485</v>
      </c>
    </row>
    <row r="81" spans="1:39">
      <c r="A81" s="63">
        <v>76</v>
      </c>
      <c r="B81" s="8" t="s">
        <v>131</v>
      </c>
      <c r="C81" s="45">
        <f>Råark!L78</f>
        <v>11</v>
      </c>
      <c r="D81" s="80">
        <f>Råark!K78</f>
        <v>222.10938798840002</v>
      </c>
      <c r="E81" s="80">
        <f>Råark!N78</f>
        <v>8.7947459958985537</v>
      </c>
      <c r="F81" s="80">
        <f>Råark!O78</f>
        <v>-0.13105924596050267</v>
      </c>
      <c r="G81" s="80">
        <f>Råark!P78</f>
        <v>8.7957497048406136E-2</v>
      </c>
      <c r="H81" s="80">
        <f>Råark!Q78</f>
        <v>0.18919716646989373</v>
      </c>
      <c r="I81" s="80">
        <f>Råark!R78</f>
        <v>-0.11881188118811881</v>
      </c>
      <c r="J81" s="80">
        <f>Råark!S78</f>
        <v>0.89513108614232206</v>
      </c>
      <c r="K81" s="80">
        <f>Råark!M78</f>
        <v>326800</v>
      </c>
      <c r="L81" s="59">
        <f>Tabell2[[#This Row],[NIBR11BA]]</f>
        <v>11</v>
      </c>
      <c r="M81" s="80">
        <f>IF(Tabell2[[#This Row],[Reisetid Oslo]]&lt;D$167,D$167,IF(Tabell2[[#This Row],[Reisetid Oslo]]&gt;D$168,D$168,Tabell2[[#This Row],[Reisetid Oslo]]))</f>
        <v>222.10938798840002</v>
      </c>
      <c r="N81" s="80">
        <f>IF(Tabell2[[#This Row],[beftettotal]]&lt;E$167,E$167,IF(Tabell2[[#This Row],[beftettotal]]&gt;E$168,E$168,Tabell2[[#This Row],[beftettotal]]))</f>
        <v>8.7947459958985537</v>
      </c>
      <c r="O81" s="80">
        <f>IF(Tabell2[[#This Row],[Befvekst10]]&lt;F$167,F$167,IF(Tabell2[[#This Row],[Befvekst10]]&gt;F$168,F$168,Tabell2[[#This Row],[Befvekst10]]))</f>
        <v>-0.12545237722432315</v>
      </c>
      <c r="P81" s="80">
        <f>IF(Tabell2[[#This Row],[Kvinneandel]]&lt;G$167,G$167,IF(Tabell2[[#This Row],[Kvinneandel]]&gt;G$168,G$168,Tabell2[[#This Row],[Kvinneandel]]))</f>
        <v>9.1462840383166502E-2</v>
      </c>
      <c r="Q81" s="80">
        <f>IF(Tabell2[[#This Row],[Eldreandel]]&lt;H$167,H$167,IF(Tabell2[[#This Row],[Eldreandel]]&gt;H$168,H$168,Tabell2[[#This Row],[Eldreandel]]))</f>
        <v>0.18919716646989373</v>
      </c>
      <c r="R81" s="80">
        <f>IF(Tabell2[[#This Row],[Syssvekst10]]&lt;I$167,I$167,IF(Tabell2[[#This Row],[Syssvekst10]]&gt;I$168,I$168,Tabell2[[#This Row],[Syssvekst10]]))</f>
        <v>-0.10141187624317609</v>
      </c>
      <c r="S81" s="80">
        <f>IF(Tabell2[[#This Row],[Yrkesaktiveandel]]&lt;J$167,J$167,IF(Tabell2[[#This Row],[Yrkesaktiveandel]]&gt;J$168,J$168,Tabell2[[#This Row],[Yrkesaktiveandel]]))</f>
        <v>0.89513108614232206</v>
      </c>
      <c r="T81" s="80">
        <f>IF(Tabell2[[#This Row],[Bruttoinntekt17+]]&lt;K$167,K$167,IF(Tabell2[[#This Row],[Bruttoinntekt17+]]&gt;K$168,K$168,Tabell2[[#This Row],[Bruttoinntekt17+]]))</f>
        <v>326800</v>
      </c>
      <c r="U81" s="60">
        <f>IF(Tabell2[[#This Row],[NIBR11-BA-Utrunk]]&lt;=L$170,100,IF(Tabell2[[#This Row],[NIBR11-BA-Utrunk]]&gt;=L$169,0,100-Tabell2[[#This Row],[NIBR11-BA-Utrunk]]*100/L$171))</f>
        <v>0</v>
      </c>
      <c r="V81" s="60">
        <f>(M$169-Tabell2[[#This Row],[Reisetid Oslo-T]])*100/M$171</f>
        <v>51.565006216895085</v>
      </c>
      <c r="W81" s="60">
        <f>100-(N$169-Tabell2[[#This Row],[beftettotal-T]])*100/N$171</f>
        <v>18.112182028716532</v>
      </c>
      <c r="X81" s="60">
        <f>100-(O$169-Tabell2[[#This Row],[Befvekst10-T]])*100/O$171</f>
        <v>0</v>
      </c>
      <c r="Y81" s="60">
        <f>100-(P$169-Tabell2[[#This Row],[Kvinneandel-T]])*100/P$171</f>
        <v>0</v>
      </c>
      <c r="Z81" s="60">
        <f>(Q$169-Tabell2[[#This Row],[Eldreandel-T]])*100/Q$171</f>
        <v>19.519960710800063</v>
      </c>
      <c r="AA81" s="60">
        <f>100-(R$169-Tabell2[[#This Row],[Syssvekst10-T]])*100/R$171</f>
        <v>0</v>
      </c>
      <c r="AB81" s="60">
        <f>100-(S$169-Tabell2[[#This Row],[Yrkesaktiveandel-T]])*100/S$171</f>
        <v>51.85076241181892</v>
      </c>
      <c r="AC81" s="60">
        <f>100-(T$169-Tabell2[[#This Row],[Bruttoinntekt17+-T]])*100/T$171</f>
        <v>54.486579447104809</v>
      </c>
      <c r="AD81" s="60">
        <f>Tabell2[[#This Row],[NIBR11-BA-I]]*$AD$2</f>
        <v>0</v>
      </c>
      <c r="AE81" s="60">
        <f>Tabell2[[#This Row],[Reisetid Oslo-I]]*$AE$2</f>
        <v>5.1565006216895091</v>
      </c>
      <c r="AF81" s="60">
        <f>Tabell2[[#This Row],[beftettotal-I]]*$AF$2</f>
        <v>1.8112182028716532</v>
      </c>
      <c r="AG81" s="60">
        <f>Tabell2[[#This Row],[Befvekst10-I]]*$AG$2</f>
        <v>0</v>
      </c>
      <c r="AH81" s="60">
        <f>Tabell2[[#This Row],[Kvinneandel-I]]*$AH$2</f>
        <v>0</v>
      </c>
      <c r="AI81" s="60">
        <f>Tabell2[[#This Row],[Eldreandel-I]]*$AI$2</f>
        <v>0.97599803554000319</v>
      </c>
      <c r="AJ81" s="60">
        <f>Tabell2[[#This Row],[Syssvekst10-I]]*$AJ$2</f>
        <v>0</v>
      </c>
      <c r="AK81" s="60">
        <f>Tabell2[[#This Row],[Yrkesaktiveandel-I]]*$AK$2</f>
        <v>5.1850762411818927</v>
      </c>
      <c r="AL81" s="60">
        <f>Tabell2[[#This Row],[Bruttoinntekt17+-I]]*$AL$2</f>
        <v>5.4486579447104813</v>
      </c>
      <c r="AM81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18.577451045993541</v>
      </c>
    </row>
    <row r="82" spans="1:39">
      <c r="A82" s="64">
        <v>77</v>
      </c>
      <c r="B82" s="8" t="s">
        <v>132</v>
      </c>
      <c r="C82" s="45">
        <f>Råark!L79</f>
        <v>5</v>
      </c>
      <c r="D82" s="80">
        <f>Råark!K79</f>
        <v>191.71474805216883</v>
      </c>
      <c r="E82" s="80">
        <f>Råark!N79</f>
        <v>61.488895680521601</v>
      </c>
      <c r="F82" s="80">
        <f>Råark!O79</f>
        <v>7.536412631954037E-2</v>
      </c>
      <c r="G82" s="80">
        <f>Råark!P79</f>
        <v>0.11473304891687032</v>
      </c>
      <c r="H82" s="80">
        <f>Råark!Q79</f>
        <v>0.13817669717930664</v>
      </c>
      <c r="I82" s="80">
        <f>Råark!R79</f>
        <v>0.19083532219570398</v>
      </c>
      <c r="J82" s="80">
        <f>Råark!S79</f>
        <v>0.88846732049538268</v>
      </c>
      <c r="K82" s="80">
        <f>Råark!M79</f>
        <v>363427.4889351037</v>
      </c>
      <c r="L82" s="59">
        <f>Tabell2[[#This Row],[NIBR11BA]]</f>
        <v>5</v>
      </c>
      <c r="M82" s="80">
        <f>IF(Tabell2[[#This Row],[Reisetid Oslo]]&lt;D$167,D$167,IF(Tabell2[[#This Row],[Reisetid Oslo]]&gt;D$168,D$168,Tabell2[[#This Row],[Reisetid Oslo]]))</f>
        <v>191.71474805216883</v>
      </c>
      <c r="N82" s="80">
        <f>IF(Tabell2[[#This Row],[beftettotal]]&lt;E$167,E$167,IF(Tabell2[[#This Row],[beftettotal]]&gt;E$168,E$168,Tabell2[[#This Row],[beftettotal]]))</f>
        <v>44.017170258769376</v>
      </c>
      <c r="O82" s="80">
        <f>IF(Tabell2[[#This Row],[Befvekst10]]&lt;F$167,F$167,IF(Tabell2[[#This Row],[Befvekst10]]&gt;F$168,F$168,Tabell2[[#This Row],[Befvekst10]]))</f>
        <v>7.536412631954037E-2</v>
      </c>
      <c r="P82" s="80">
        <f>IF(Tabell2[[#This Row],[Kvinneandel]]&lt;G$167,G$167,IF(Tabell2[[#This Row],[Kvinneandel]]&gt;G$168,G$168,Tabell2[[#This Row],[Kvinneandel]]))</f>
        <v>0.11473304891687032</v>
      </c>
      <c r="Q82" s="80">
        <f>IF(Tabell2[[#This Row],[Eldreandel]]&lt;H$167,H$167,IF(Tabell2[[#This Row],[Eldreandel]]&gt;H$168,H$168,Tabell2[[#This Row],[Eldreandel]]))</f>
        <v>0.13817669717930664</v>
      </c>
      <c r="R82" s="80">
        <f>IF(Tabell2[[#This Row],[Syssvekst10]]&lt;I$167,I$167,IF(Tabell2[[#This Row],[Syssvekst10]]&gt;I$168,I$168,Tabell2[[#This Row],[Syssvekst10]]))</f>
        <v>0.1635686869077807</v>
      </c>
      <c r="S82" s="80">
        <f>IF(Tabell2[[#This Row],[Yrkesaktiveandel]]&lt;J$167,J$167,IF(Tabell2[[#This Row],[Yrkesaktiveandel]]&gt;J$168,J$168,Tabell2[[#This Row],[Yrkesaktiveandel]]))</f>
        <v>0.88846732049538268</v>
      </c>
      <c r="T82" s="80">
        <f>IF(Tabell2[[#This Row],[Bruttoinntekt17+]]&lt;K$167,K$167,IF(Tabell2[[#This Row],[Bruttoinntekt17+]]&gt;K$168,K$168,Tabell2[[#This Row],[Bruttoinntekt17+]]))</f>
        <v>353972.77512388147</v>
      </c>
      <c r="U82" s="60">
        <f>IF(Tabell2[[#This Row],[NIBR11-BA-Utrunk]]&lt;=L$170,100,IF(Tabell2[[#This Row],[NIBR11-BA-Utrunk]]&gt;=L$169,0,100-Tabell2[[#This Row],[NIBR11-BA-Utrunk]]*100/L$171))</f>
        <v>50</v>
      </c>
      <c r="V82" s="60">
        <f>(M$169-Tabell2[[#This Row],[Reisetid Oslo-T]])*100/M$171</f>
        <v>67.884923222127441</v>
      </c>
      <c r="W82" s="60">
        <f>100-(N$169-Tabell2[[#This Row],[beftettotal-T]])*100/N$171</f>
        <v>100</v>
      </c>
      <c r="X82" s="60">
        <f>100-(O$169-Tabell2[[#This Row],[Befvekst10-T]])*100/O$171</f>
        <v>90.058054874829395</v>
      </c>
      <c r="Y82" s="60">
        <f>100-(P$169-Tabell2[[#This Row],[Kvinneandel-T]])*100/P$171</f>
        <v>74.210229233651901</v>
      </c>
      <c r="Z82" s="60">
        <f>(Q$169-Tabell2[[#This Row],[Eldreandel-T]])*100/Q$171</f>
        <v>87.389583619051777</v>
      </c>
      <c r="AA82" s="60">
        <f>100-(R$169-Tabell2[[#This Row],[Syssvekst10-T]])*100/R$171</f>
        <v>100</v>
      </c>
      <c r="AB82" s="60">
        <f>100-(S$169-Tabell2[[#This Row],[Yrkesaktiveandel-T]])*100/S$171</f>
        <v>46.813514334806207</v>
      </c>
      <c r="AC82" s="60">
        <f>100-(T$169-Tabell2[[#This Row],[Bruttoinntekt17+-T]])*100/T$171</f>
        <v>100</v>
      </c>
      <c r="AD82" s="60">
        <f>Tabell2[[#This Row],[NIBR11-BA-I]]*$AD$2</f>
        <v>10</v>
      </c>
      <c r="AE82" s="60">
        <f>Tabell2[[#This Row],[Reisetid Oslo-I]]*$AE$2</f>
        <v>6.7884923222127442</v>
      </c>
      <c r="AF82" s="60">
        <f>Tabell2[[#This Row],[beftettotal-I]]*$AF$2</f>
        <v>10</v>
      </c>
      <c r="AG82" s="60">
        <f>Tabell2[[#This Row],[Befvekst10-I]]*$AG$2</f>
        <v>18.01161097496588</v>
      </c>
      <c r="AH82" s="60">
        <f>Tabell2[[#This Row],[Kvinneandel-I]]*$AH$2</f>
        <v>3.7105114616825952</v>
      </c>
      <c r="AI82" s="60">
        <f>Tabell2[[#This Row],[Eldreandel-I]]*$AI$2</f>
        <v>4.369479180952589</v>
      </c>
      <c r="AJ82" s="60">
        <f>Tabell2[[#This Row],[Syssvekst10-I]]*$AJ$2</f>
        <v>10</v>
      </c>
      <c r="AK82" s="60">
        <f>Tabell2[[#This Row],[Yrkesaktiveandel-I]]*$AK$2</f>
        <v>4.6813514334806205</v>
      </c>
      <c r="AL82" s="60">
        <f>Tabell2[[#This Row],[Bruttoinntekt17+-I]]*$AL$2</f>
        <v>10</v>
      </c>
      <c r="AM82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77.561445373294418</v>
      </c>
    </row>
    <row r="83" spans="1:39">
      <c r="A83" s="63">
        <v>78</v>
      </c>
      <c r="B83" s="8" t="s">
        <v>133</v>
      </c>
      <c r="C83" s="45">
        <f>Råark!L80</f>
        <v>6</v>
      </c>
      <c r="D83" s="80">
        <f>Råark!K80</f>
        <v>165.34601883158217</v>
      </c>
      <c r="E83" s="80">
        <f>Råark!N80</f>
        <v>14.116072550889882</v>
      </c>
      <c r="F83" s="80">
        <f>Råark!O80</f>
        <v>2.933088909257564E-2</v>
      </c>
      <c r="G83" s="80">
        <f>Råark!P80</f>
        <v>0.11764705882352941</v>
      </c>
      <c r="H83" s="80">
        <f>Råark!Q80</f>
        <v>0.15232308417578963</v>
      </c>
      <c r="I83" s="80">
        <f>Råark!R80</f>
        <v>9.8638203901361798E-2</v>
      </c>
      <c r="J83" s="80">
        <f>Råark!S80</f>
        <v>0.8964623078347842</v>
      </c>
      <c r="K83" s="80">
        <f>Råark!M80</f>
        <v>322654.4056692071</v>
      </c>
      <c r="L83" s="59">
        <f>Tabell2[[#This Row],[NIBR11BA]]</f>
        <v>6</v>
      </c>
      <c r="M83" s="80">
        <f>IF(Tabell2[[#This Row],[Reisetid Oslo]]&lt;D$167,D$167,IF(Tabell2[[#This Row],[Reisetid Oslo]]&gt;D$168,D$168,Tabell2[[#This Row],[Reisetid Oslo]]))</f>
        <v>165.34601883158217</v>
      </c>
      <c r="N83" s="80">
        <f>IF(Tabell2[[#This Row],[beftettotal]]&lt;E$167,E$167,IF(Tabell2[[#This Row],[beftettotal]]&gt;E$168,E$168,Tabell2[[#This Row],[beftettotal]]))</f>
        <v>14.116072550889882</v>
      </c>
      <c r="O83" s="80">
        <f>IF(Tabell2[[#This Row],[Befvekst10]]&lt;F$167,F$167,IF(Tabell2[[#This Row],[Befvekst10]]&gt;F$168,F$168,Tabell2[[#This Row],[Befvekst10]]))</f>
        <v>2.933088909257564E-2</v>
      </c>
      <c r="P83" s="80">
        <f>IF(Tabell2[[#This Row],[Kvinneandel]]&lt;G$167,G$167,IF(Tabell2[[#This Row],[Kvinneandel]]&gt;G$168,G$168,Tabell2[[#This Row],[Kvinneandel]]))</f>
        <v>0.11764705882352941</v>
      </c>
      <c r="Q83" s="80">
        <f>IF(Tabell2[[#This Row],[Eldreandel]]&lt;H$167,H$167,IF(Tabell2[[#This Row],[Eldreandel]]&gt;H$168,H$168,Tabell2[[#This Row],[Eldreandel]]))</f>
        <v>0.15232308417578963</v>
      </c>
      <c r="R83" s="80">
        <f>IF(Tabell2[[#This Row],[Syssvekst10]]&lt;I$167,I$167,IF(Tabell2[[#This Row],[Syssvekst10]]&gt;I$168,I$168,Tabell2[[#This Row],[Syssvekst10]]))</f>
        <v>9.8638203901361798E-2</v>
      </c>
      <c r="S83" s="80">
        <f>IF(Tabell2[[#This Row],[Yrkesaktiveandel]]&lt;J$167,J$167,IF(Tabell2[[#This Row],[Yrkesaktiveandel]]&gt;J$168,J$168,Tabell2[[#This Row],[Yrkesaktiveandel]]))</f>
        <v>0.8964623078347842</v>
      </c>
      <c r="T83" s="80">
        <f>IF(Tabell2[[#This Row],[Bruttoinntekt17+]]&lt;K$167,K$167,IF(Tabell2[[#This Row],[Bruttoinntekt17+]]&gt;K$168,K$168,Tabell2[[#This Row],[Bruttoinntekt17+]]))</f>
        <v>322654.4056692071</v>
      </c>
      <c r="U83" s="60">
        <f>IF(Tabell2[[#This Row],[NIBR11-BA-Utrunk]]&lt;=L$170,100,IF(Tabell2[[#This Row],[NIBR11-BA-Utrunk]]&gt;=L$169,0,100-Tabell2[[#This Row],[NIBR11-BA-Utrunk]]*100/L$171))</f>
        <v>40</v>
      </c>
      <c r="V83" s="60">
        <f>(M$169-Tabell2[[#This Row],[Reisetid Oslo-T]])*100/M$171</f>
        <v>82.043191696972841</v>
      </c>
      <c r="W83" s="60">
        <f>100-(N$169-Tabell2[[#This Row],[beftettotal-T]])*100/N$171</f>
        <v>30.483613848650293</v>
      </c>
      <c r="X83" s="60">
        <f>100-(O$169-Tabell2[[#This Row],[Befvekst10-T]])*100/O$171</f>
        <v>69.414015510074151</v>
      </c>
      <c r="Y83" s="60">
        <f>100-(P$169-Tabell2[[#This Row],[Kvinneandel-T]])*100/P$171</f>
        <v>83.503198948516939</v>
      </c>
      <c r="Z83" s="60">
        <f>(Q$169-Tabell2[[#This Row],[Eldreandel-T]])*100/Q$171</f>
        <v>68.571451126048046</v>
      </c>
      <c r="AA83" s="60">
        <f>100-(R$169-Tabell2[[#This Row],[Syssvekst10-T]])*100/R$171</f>
        <v>75.496133665687523</v>
      </c>
      <c r="AB83" s="60">
        <f>100-(S$169-Tabell2[[#This Row],[Yrkesaktiveandel-T]])*100/S$171</f>
        <v>52.857054389315515</v>
      </c>
      <c r="AC83" s="60">
        <f>100-(T$169-Tabell2[[#This Row],[Bruttoinntekt17+-T]])*100/T$171</f>
        <v>47.542858117248841</v>
      </c>
      <c r="AD83" s="60">
        <f>Tabell2[[#This Row],[NIBR11-BA-I]]*$AD$2</f>
        <v>8</v>
      </c>
      <c r="AE83" s="60">
        <f>Tabell2[[#This Row],[Reisetid Oslo-I]]*$AE$2</f>
        <v>8.2043191696972837</v>
      </c>
      <c r="AF83" s="60">
        <f>Tabell2[[#This Row],[beftettotal-I]]*$AF$2</f>
        <v>3.0483613848650295</v>
      </c>
      <c r="AG83" s="60">
        <f>Tabell2[[#This Row],[Befvekst10-I]]*$AG$2</f>
        <v>13.882803102014831</v>
      </c>
      <c r="AH83" s="60">
        <f>Tabell2[[#This Row],[Kvinneandel-I]]*$AH$2</f>
        <v>4.175159947425847</v>
      </c>
      <c r="AI83" s="60">
        <f>Tabell2[[#This Row],[Eldreandel-I]]*$AI$2</f>
        <v>3.4285725563024023</v>
      </c>
      <c r="AJ83" s="60">
        <f>Tabell2[[#This Row],[Syssvekst10-I]]*$AJ$2</f>
        <v>7.549613366568753</v>
      </c>
      <c r="AK83" s="60">
        <f>Tabell2[[#This Row],[Yrkesaktiveandel-I]]*$AK$2</f>
        <v>5.2857054389315516</v>
      </c>
      <c r="AL83" s="60">
        <f>Tabell2[[#This Row],[Bruttoinntekt17+-I]]*$AL$2</f>
        <v>4.7542858117248841</v>
      </c>
      <c r="AM83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58.328820777530574</v>
      </c>
    </row>
    <row r="84" spans="1:39">
      <c r="A84" s="64">
        <v>79</v>
      </c>
      <c r="B84" s="8" t="s">
        <v>134</v>
      </c>
      <c r="C84" s="45">
        <f>Råark!L81</f>
        <v>5</v>
      </c>
      <c r="D84" s="80">
        <f>Råark!K81</f>
        <v>229.44621309650421</v>
      </c>
      <c r="E84" s="80">
        <f>Råark!N81</f>
        <v>3.5034398916917633</v>
      </c>
      <c r="F84" s="80">
        <f>Råark!O81</f>
        <v>-3.7644201578627801E-2</v>
      </c>
      <c r="G84" s="80">
        <f>Råark!P81</f>
        <v>0.10583596214511042</v>
      </c>
      <c r="H84" s="80">
        <f>Råark!Q81</f>
        <v>0.18280757097791797</v>
      </c>
      <c r="I84" s="80">
        <f>Råark!R81</f>
        <v>-2.1808665309683062E-2</v>
      </c>
      <c r="J84" s="80">
        <f>Råark!S81</f>
        <v>1.0069889341875364</v>
      </c>
      <c r="K84" s="80">
        <f>Råark!M81</f>
        <v>321364.53476788203</v>
      </c>
      <c r="L84" s="59">
        <f>Tabell2[[#This Row],[NIBR11BA]]</f>
        <v>5</v>
      </c>
      <c r="M84" s="80">
        <f>IF(Tabell2[[#This Row],[Reisetid Oslo]]&lt;D$167,D$167,IF(Tabell2[[#This Row],[Reisetid Oslo]]&gt;D$168,D$168,Tabell2[[#This Row],[Reisetid Oslo]]))</f>
        <v>229.44621309650421</v>
      </c>
      <c r="N84" s="80">
        <f>IF(Tabell2[[#This Row],[beftettotal]]&lt;E$167,E$167,IF(Tabell2[[#This Row],[beftettotal]]&gt;E$168,E$168,Tabell2[[#This Row],[beftettotal]]))</f>
        <v>3.5034398916917633</v>
      </c>
      <c r="O84" s="80">
        <f>IF(Tabell2[[#This Row],[Befvekst10]]&lt;F$167,F$167,IF(Tabell2[[#This Row],[Befvekst10]]&gt;F$168,F$168,Tabell2[[#This Row],[Befvekst10]]))</f>
        <v>-3.7644201578627801E-2</v>
      </c>
      <c r="P84" s="80">
        <f>IF(Tabell2[[#This Row],[Kvinneandel]]&lt;G$167,G$167,IF(Tabell2[[#This Row],[Kvinneandel]]&gt;G$168,G$168,Tabell2[[#This Row],[Kvinneandel]]))</f>
        <v>0.10583596214511042</v>
      </c>
      <c r="Q84" s="80">
        <f>IF(Tabell2[[#This Row],[Eldreandel]]&lt;H$167,H$167,IF(Tabell2[[#This Row],[Eldreandel]]&gt;H$168,H$168,Tabell2[[#This Row],[Eldreandel]]))</f>
        <v>0.18280757097791797</v>
      </c>
      <c r="R84" s="80">
        <f>IF(Tabell2[[#This Row],[Syssvekst10]]&lt;I$167,I$167,IF(Tabell2[[#This Row],[Syssvekst10]]&gt;I$168,I$168,Tabell2[[#This Row],[Syssvekst10]]))</f>
        <v>-2.1808665309683062E-2</v>
      </c>
      <c r="S84" s="80">
        <f>IF(Tabell2[[#This Row],[Yrkesaktiveandel]]&lt;J$167,J$167,IF(Tabell2[[#This Row],[Yrkesaktiveandel]]&gt;J$168,J$168,Tabell2[[#This Row],[Yrkesaktiveandel]]))</f>
        <v>0.95882761854672227</v>
      </c>
      <c r="T84" s="80">
        <f>IF(Tabell2[[#This Row],[Bruttoinntekt17+]]&lt;K$167,K$167,IF(Tabell2[[#This Row],[Bruttoinntekt17+]]&gt;K$168,K$168,Tabell2[[#This Row],[Bruttoinntekt17+]]))</f>
        <v>321364.53476788203</v>
      </c>
      <c r="U84" s="60">
        <f>IF(Tabell2[[#This Row],[NIBR11-BA-Utrunk]]&lt;=L$170,100,IF(Tabell2[[#This Row],[NIBR11-BA-Utrunk]]&gt;=L$169,0,100-Tabell2[[#This Row],[NIBR11-BA-Utrunk]]*100/L$171))</f>
        <v>50</v>
      </c>
      <c r="V84" s="60">
        <f>(M$169-Tabell2[[#This Row],[Reisetid Oslo-T]])*100/M$171</f>
        <v>47.625615024981798</v>
      </c>
      <c r="W84" s="60">
        <f>100-(N$169-Tabell2[[#This Row],[beftettotal-T]])*100/N$171</f>
        <v>5.8105440762040956</v>
      </c>
      <c r="X84" s="60">
        <f>100-(O$169-Tabell2[[#This Row],[Befvekst10-T]])*100/O$171</f>
        <v>39.3784044697871</v>
      </c>
      <c r="Y84" s="60">
        <f>100-(P$169-Tabell2[[#This Row],[Kvinneandel-T]])*100/P$171</f>
        <v>45.836832927911765</v>
      </c>
      <c r="Z84" s="60">
        <f>(Q$169-Tabell2[[#This Row],[Eldreandel-T]])*100/Q$171</f>
        <v>28.019675484232518</v>
      </c>
      <c r="AA84" s="60">
        <f>100-(R$169-Tabell2[[#This Row],[Syssvekst10-T]])*100/R$171</f>
        <v>30.041150938359152</v>
      </c>
      <c r="AB84" s="60">
        <f>100-(S$169-Tabell2[[#This Row],[Yrkesaktiveandel-T]])*100/S$171</f>
        <v>100</v>
      </c>
      <c r="AC84" s="60">
        <f>100-(T$169-Tabell2[[#This Row],[Bruttoinntekt17+-T]])*100/T$171</f>
        <v>45.382370771981165</v>
      </c>
      <c r="AD84" s="60">
        <f>Tabell2[[#This Row],[NIBR11-BA-I]]*$AD$2</f>
        <v>10</v>
      </c>
      <c r="AE84" s="60">
        <f>Tabell2[[#This Row],[Reisetid Oslo-I]]*$AE$2</f>
        <v>4.7625615024981798</v>
      </c>
      <c r="AF84" s="60">
        <f>Tabell2[[#This Row],[beftettotal-I]]*$AF$2</f>
        <v>0.58105440762040961</v>
      </c>
      <c r="AG84" s="60">
        <f>Tabell2[[#This Row],[Befvekst10-I]]*$AG$2</f>
        <v>7.8756808939574201</v>
      </c>
      <c r="AH84" s="60">
        <f>Tabell2[[#This Row],[Kvinneandel-I]]*$AH$2</f>
        <v>2.2918416463955884</v>
      </c>
      <c r="AI84" s="60">
        <f>Tabell2[[#This Row],[Eldreandel-I]]*$AI$2</f>
        <v>1.400983774211626</v>
      </c>
      <c r="AJ84" s="60">
        <f>Tabell2[[#This Row],[Syssvekst10-I]]*$AJ$2</f>
        <v>3.0041150938359156</v>
      </c>
      <c r="AK84" s="60">
        <f>Tabell2[[#This Row],[Yrkesaktiveandel-I]]*$AK$2</f>
        <v>10</v>
      </c>
      <c r="AL84" s="60">
        <f>Tabell2[[#This Row],[Bruttoinntekt17+-I]]*$AL$2</f>
        <v>4.5382370771981169</v>
      </c>
      <c r="AM84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44.454474395717256</v>
      </c>
    </row>
    <row r="85" spans="1:39">
      <c r="A85" s="63">
        <v>80</v>
      </c>
      <c r="B85" s="8" t="s">
        <v>135</v>
      </c>
      <c r="C85" s="45">
        <f>Råark!L82</f>
        <v>5</v>
      </c>
      <c r="D85" s="80">
        <f>Råark!K82</f>
        <v>204.25833785169999</v>
      </c>
      <c r="E85" s="80">
        <f>Råark!N82</f>
        <v>4.9447147868806631</v>
      </c>
      <c r="F85" s="80">
        <f>Råark!O82</f>
        <v>6.3677008535429902E-3</v>
      </c>
      <c r="G85" s="80">
        <f>Råark!P82</f>
        <v>0.10083467959073775</v>
      </c>
      <c r="H85" s="80">
        <f>Råark!Q82</f>
        <v>0.1762250942380183</v>
      </c>
      <c r="I85" s="80">
        <f>Råark!R82</f>
        <v>8.1089168162776781E-2</v>
      </c>
      <c r="J85" s="80">
        <f>Råark!S82</f>
        <v>0.92722891566265064</v>
      </c>
      <c r="K85" s="80">
        <f>Råark!M82</f>
        <v>324200</v>
      </c>
      <c r="L85" s="59">
        <f>Tabell2[[#This Row],[NIBR11BA]]</f>
        <v>5</v>
      </c>
      <c r="M85" s="80">
        <f>IF(Tabell2[[#This Row],[Reisetid Oslo]]&lt;D$167,D$167,IF(Tabell2[[#This Row],[Reisetid Oslo]]&gt;D$168,D$168,Tabell2[[#This Row],[Reisetid Oslo]]))</f>
        <v>204.25833785169999</v>
      </c>
      <c r="N85" s="80">
        <f>IF(Tabell2[[#This Row],[beftettotal]]&lt;E$167,E$167,IF(Tabell2[[#This Row],[beftettotal]]&gt;E$168,E$168,Tabell2[[#This Row],[beftettotal]]))</f>
        <v>4.9447147868806631</v>
      </c>
      <c r="O85" s="80">
        <f>IF(Tabell2[[#This Row],[Befvekst10]]&lt;F$167,F$167,IF(Tabell2[[#This Row],[Befvekst10]]&gt;F$168,F$168,Tabell2[[#This Row],[Befvekst10]]))</f>
        <v>6.3677008535429902E-3</v>
      </c>
      <c r="P85" s="80">
        <f>IF(Tabell2[[#This Row],[Kvinneandel]]&lt;G$167,G$167,IF(Tabell2[[#This Row],[Kvinneandel]]&gt;G$168,G$168,Tabell2[[#This Row],[Kvinneandel]]))</f>
        <v>0.10083467959073775</v>
      </c>
      <c r="Q85" s="80">
        <f>IF(Tabell2[[#This Row],[Eldreandel]]&lt;H$167,H$167,IF(Tabell2[[#This Row],[Eldreandel]]&gt;H$168,H$168,Tabell2[[#This Row],[Eldreandel]]))</f>
        <v>0.1762250942380183</v>
      </c>
      <c r="R85" s="80">
        <f>IF(Tabell2[[#This Row],[Syssvekst10]]&lt;I$167,I$167,IF(Tabell2[[#This Row],[Syssvekst10]]&gt;I$168,I$168,Tabell2[[#This Row],[Syssvekst10]]))</f>
        <v>8.1089168162776781E-2</v>
      </c>
      <c r="S85" s="80">
        <f>IF(Tabell2[[#This Row],[Yrkesaktiveandel]]&lt;J$167,J$167,IF(Tabell2[[#This Row],[Yrkesaktiveandel]]&gt;J$168,J$168,Tabell2[[#This Row],[Yrkesaktiveandel]]))</f>
        <v>0.92722891566265064</v>
      </c>
      <c r="T85" s="80">
        <f>IF(Tabell2[[#This Row],[Bruttoinntekt17+]]&lt;K$167,K$167,IF(Tabell2[[#This Row],[Bruttoinntekt17+]]&gt;K$168,K$168,Tabell2[[#This Row],[Bruttoinntekt17+]]))</f>
        <v>324200</v>
      </c>
      <c r="U85" s="60">
        <f>IF(Tabell2[[#This Row],[NIBR11-BA-Utrunk]]&lt;=L$170,100,IF(Tabell2[[#This Row],[NIBR11-BA-Utrunk]]&gt;=L$169,0,100-Tabell2[[#This Row],[NIBR11-BA-Utrunk]]*100/L$171))</f>
        <v>50</v>
      </c>
      <c r="V85" s="60">
        <f>(M$169-Tabell2[[#This Row],[Reisetid Oslo-T]])*100/M$171</f>
        <v>61.149842796581495</v>
      </c>
      <c r="W85" s="60">
        <f>100-(N$169-Tabell2[[#This Row],[beftettotal-T]])*100/N$171</f>
        <v>9.1613315002321798</v>
      </c>
      <c r="X85" s="60">
        <f>100-(O$169-Tabell2[[#This Row],[Befvekst10-T]])*100/O$171</f>
        <v>59.115957183009769</v>
      </c>
      <c r="Y85" s="60">
        <f>100-(P$169-Tabell2[[#This Row],[Kvinneandel-T]])*100/P$171</f>
        <v>29.887413124272982</v>
      </c>
      <c r="Z85" s="60">
        <f>(Q$169-Tabell2[[#This Row],[Eldreandel-T]])*100/Q$171</f>
        <v>36.775969190487224</v>
      </c>
      <c r="AA85" s="60">
        <f>100-(R$169-Tabell2[[#This Row],[Syssvekst10-T]])*100/R$171</f>
        <v>68.873370271306968</v>
      </c>
      <c r="AB85" s="60">
        <f>100-(S$169-Tabell2[[#This Row],[Yrkesaktiveandel-T]])*100/S$171</f>
        <v>76.114030148705496</v>
      </c>
      <c r="AC85" s="60">
        <f>100-(T$169-Tabell2[[#This Row],[Bruttoinntekt17+-T]])*100/T$171</f>
        <v>50.131673004975312</v>
      </c>
      <c r="AD85" s="60">
        <f>Tabell2[[#This Row],[NIBR11-BA-I]]*$AD$2</f>
        <v>10</v>
      </c>
      <c r="AE85" s="60">
        <f>Tabell2[[#This Row],[Reisetid Oslo-I]]*$AE$2</f>
        <v>6.1149842796581497</v>
      </c>
      <c r="AF85" s="60">
        <f>Tabell2[[#This Row],[beftettotal-I]]*$AF$2</f>
        <v>0.91613315002321805</v>
      </c>
      <c r="AG85" s="60">
        <f>Tabell2[[#This Row],[Befvekst10-I]]*$AG$2</f>
        <v>11.823191436601954</v>
      </c>
      <c r="AH85" s="60">
        <f>Tabell2[[#This Row],[Kvinneandel-I]]*$AH$2</f>
        <v>1.4943706562136492</v>
      </c>
      <c r="AI85" s="60">
        <f>Tabell2[[#This Row],[Eldreandel-I]]*$AI$2</f>
        <v>1.8387984595243614</v>
      </c>
      <c r="AJ85" s="60">
        <f>Tabell2[[#This Row],[Syssvekst10-I]]*$AJ$2</f>
        <v>6.8873370271306973</v>
      </c>
      <c r="AK85" s="60">
        <f>Tabell2[[#This Row],[Yrkesaktiveandel-I]]*$AK$2</f>
        <v>7.6114030148705503</v>
      </c>
      <c r="AL85" s="60">
        <f>Tabell2[[#This Row],[Bruttoinntekt17+-I]]*$AL$2</f>
        <v>5.0131673004975319</v>
      </c>
      <c r="AM85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51.699385324520108</v>
      </c>
    </row>
    <row r="86" spans="1:39">
      <c r="A86" s="64">
        <v>81</v>
      </c>
      <c r="B86" s="8" t="s">
        <v>136</v>
      </c>
      <c r="C86" s="45">
        <f>Råark!L83</f>
        <v>11</v>
      </c>
      <c r="D86" s="80">
        <f>Råark!K83</f>
        <v>253.085921533</v>
      </c>
      <c r="E86" s="80">
        <f>Råark!N83</f>
        <v>64.39764936336924</v>
      </c>
      <c r="F86" s="80">
        <f>Råark!O83</f>
        <v>7.6628352490422103E-3</v>
      </c>
      <c r="G86" s="80">
        <f>Råark!P83</f>
        <v>0.10038022813688213</v>
      </c>
      <c r="H86" s="80">
        <f>Råark!Q83</f>
        <v>0.17870722433460076</v>
      </c>
      <c r="I86" s="80">
        <f>Råark!R83</f>
        <v>4.3760129659643487E-2</v>
      </c>
      <c r="J86" s="80">
        <f>Råark!S83</f>
        <v>0.94077134986225897</v>
      </c>
      <c r="K86" s="80">
        <f>Råark!M83</f>
        <v>368200</v>
      </c>
      <c r="L86" s="59">
        <f>Tabell2[[#This Row],[NIBR11BA]]</f>
        <v>11</v>
      </c>
      <c r="M86" s="80">
        <f>IF(Tabell2[[#This Row],[Reisetid Oslo]]&lt;D$167,D$167,IF(Tabell2[[#This Row],[Reisetid Oslo]]&gt;D$168,D$168,Tabell2[[#This Row],[Reisetid Oslo]]))</f>
        <v>253.085921533</v>
      </c>
      <c r="N86" s="80">
        <f>IF(Tabell2[[#This Row],[beftettotal]]&lt;E$167,E$167,IF(Tabell2[[#This Row],[beftettotal]]&gt;E$168,E$168,Tabell2[[#This Row],[beftettotal]]))</f>
        <v>44.017170258769376</v>
      </c>
      <c r="O86" s="80">
        <f>IF(Tabell2[[#This Row],[Befvekst10]]&lt;F$167,F$167,IF(Tabell2[[#This Row],[Befvekst10]]&gt;F$168,F$168,Tabell2[[#This Row],[Befvekst10]]))</f>
        <v>7.6628352490422103E-3</v>
      </c>
      <c r="P86" s="80">
        <f>IF(Tabell2[[#This Row],[Kvinneandel]]&lt;G$167,G$167,IF(Tabell2[[#This Row],[Kvinneandel]]&gt;G$168,G$168,Tabell2[[#This Row],[Kvinneandel]]))</f>
        <v>0.10038022813688213</v>
      </c>
      <c r="Q86" s="80">
        <f>IF(Tabell2[[#This Row],[Eldreandel]]&lt;H$167,H$167,IF(Tabell2[[#This Row],[Eldreandel]]&gt;H$168,H$168,Tabell2[[#This Row],[Eldreandel]]))</f>
        <v>0.17870722433460076</v>
      </c>
      <c r="R86" s="80">
        <f>IF(Tabell2[[#This Row],[Syssvekst10]]&lt;I$167,I$167,IF(Tabell2[[#This Row],[Syssvekst10]]&gt;I$168,I$168,Tabell2[[#This Row],[Syssvekst10]]))</f>
        <v>4.3760129659643487E-2</v>
      </c>
      <c r="S86" s="80">
        <f>IF(Tabell2[[#This Row],[Yrkesaktiveandel]]&lt;J$167,J$167,IF(Tabell2[[#This Row],[Yrkesaktiveandel]]&gt;J$168,J$168,Tabell2[[#This Row],[Yrkesaktiveandel]]))</f>
        <v>0.94077134986225897</v>
      </c>
      <c r="T86" s="80">
        <f>IF(Tabell2[[#This Row],[Bruttoinntekt17+]]&lt;K$167,K$167,IF(Tabell2[[#This Row],[Bruttoinntekt17+]]&gt;K$168,K$168,Tabell2[[#This Row],[Bruttoinntekt17+]]))</f>
        <v>353972.77512388147</v>
      </c>
      <c r="U86" s="60">
        <f>IF(Tabell2[[#This Row],[NIBR11-BA-Utrunk]]&lt;=L$170,100,IF(Tabell2[[#This Row],[NIBR11-BA-Utrunk]]&gt;=L$169,0,100-Tabell2[[#This Row],[NIBR11-BA-Utrunk]]*100/L$171))</f>
        <v>0</v>
      </c>
      <c r="V86" s="60">
        <f>(M$169-Tabell2[[#This Row],[Reisetid Oslo-T]])*100/M$171</f>
        <v>34.932650722035042</v>
      </c>
      <c r="W86" s="60">
        <f>100-(N$169-Tabell2[[#This Row],[beftettotal-T]])*100/N$171</f>
        <v>100</v>
      </c>
      <c r="X86" s="60">
        <f>100-(O$169-Tabell2[[#This Row],[Befvekst10-T]])*100/O$171</f>
        <v>59.696772416826789</v>
      </c>
      <c r="Y86" s="60">
        <f>100-(P$169-Tabell2[[#This Row],[Kvinneandel-T]])*100/P$171</f>
        <v>28.438137475653619</v>
      </c>
      <c r="Z86" s="60">
        <f>(Q$169-Tabell2[[#This Row],[Eldreandel-T]])*100/Q$171</f>
        <v>33.474132966582594</v>
      </c>
      <c r="AA86" s="60">
        <f>100-(R$169-Tabell2[[#This Row],[Syssvekst10-T]])*100/R$171</f>
        <v>54.785907379975086</v>
      </c>
      <c r="AB86" s="60">
        <f>100-(S$169-Tabell2[[#This Row],[Yrkesaktiveandel-T]])*100/S$171</f>
        <v>86.350974880004628</v>
      </c>
      <c r="AC86" s="60">
        <f>100-(T$169-Tabell2[[#This Row],[Bruttoinntekt17+-T]])*100/T$171</f>
        <v>100</v>
      </c>
      <c r="AD86" s="60">
        <f>Tabell2[[#This Row],[NIBR11-BA-I]]*$AD$2</f>
        <v>0</v>
      </c>
      <c r="AE86" s="60">
        <f>Tabell2[[#This Row],[Reisetid Oslo-I]]*$AE$2</f>
        <v>3.4932650722035046</v>
      </c>
      <c r="AF86" s="60">
        <f>Tabell2[[#This Row],[beftettotal-I]]*$AF$2</f>
        <v>10</v>
      </c>
      <c r="AG86" s="60">
        <f>Tabell2[[#This Row],[Befvekst10-I]]*$AG$2</f>
        <v>11.939354483365358</v>
      </c>
      <c r="AH86" s="60">
        <f>Tabell2[[#This Row],[Kvinneandel-I]]*$AH$2</f>
        <v>1.421906873782681</v>
      </c>
      <c r="AI86" s="60">
        <f>Tabell2[[#This Row],[Eldreandel-I]]*$AI$2</f>
        <v>1.6737066483291299</v>
      </c>
      <c r="AJ86" s="60">
        <f>Tabell2[[#This Row],[Syssvekst10-I]]*$AJ$2</f>
        <v>5.478590737997509</v>
      </c>
      <c r="AK86" s="60">
        <f>Tabell2[[#This Row],[Yrkesaktiveandel-I]]*$AK$2</f>
        <v>8.6350974880004632</v>
      </c>
      <c r="AL86" s="60">
        <f>Tabell2[[#This Row],[Bruttoinntekt17+-I]]*$AL$2</f>
        <v>10</v>
      </c>
      <c r="AM86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52.641921303678643</v>
      </c>
    </row>
    <row r="87" spans="1:39">
      <c r="A87" s="63">
        <v>82</v>
      </c>
      <c r="B87" s="8" t="s">
        <v>137</v>
      </c>
      <c r="C87" s="45">
        <f>Råark!L84</f>
        <v>9</v>
      </c>
      <c r="D87" s="80">
        <f>Råark!K84</f>
        <v>220.9231681631</v>
      </c>
      <c r="E87" s="80">
        <f>Råark!N84</f>
        <v>4.1998120706660984</v>
      </c>
      <c r="F87" s="80">
        <f>Råark!O84</f>
        <v>-2.1484906173511065E-2</v>
      </c>
      <c r="G87" s="80">
        <f>Råark!P84</f>
        <v>0.10297387437465258</v>
      </c>
      <c r="H87" s="80">
        <f>Råark!Q84</f>
        <v>0.16939966648137855</v>
      </c>
      <c r="I87" s="80">
        <f>Råark!R84</f>
        <v>-8.5470085470085166E-3</v>
      </c>
      <c r="J87" s="80">
        <f>Råark!S84</f>
        <v>0.86432038834951452</v>
      </c>
      <c r="K87" s="80">
        <f>Råark!M84</f>
        <v>332900</v>
      </c>
      <c r="L87" s="59">
        <f>Tabell2[[#This Row],[NIBR11BA]]</f>
        <v>9</v>
      </c>
      <c r="M87" s="80">
        <f>IF(Tabell2[[#This Row],[Reisetid Oslo]]&lt;D$167,D$167,IF(Tabell2[[#This Row],[Reisetid Oslo]]&gt;D$168,D$168,Tabell2[[#This Row],[Reisetid Oslo]]))</f>
        <v>220.9231681631</v>
      </c>
      <c r="N87" s="80">
        <f>IF(Tabell2[[#This Row],[beftettotal]]&lt;E$167,E$167,IF(Tabell2[[#This Row],[beftettotal]]&gt;E$168,E$168,Tabell2[[#This Row],[beftettotal]]))</f>
        <v>4.1998120706660984</v>
      </c>
      <c r="O87" s="80">
        <f>IF(Tabell2[[#This Row],[Befvekst10]]&lt;F$167,F$167,IF(Tabell2[[#This Row],[Befvekst10]]&gt;F$168,F$168,Tabell2[[#This Row],[Befvekst10]]))</f>
        <v>-2.1484906173511065E-2</v>
      </c>
      <c r="P87" s="80">
        <f>IF(Tabell2[[#This Row],[Kvinneandel]]&lt;G$167,G$167,IF(Tabell2[[#This Row],[Kvinneandel]]&gt;G$168,G$168,Tabell2[[#This Row],[Kvinneandel]]))</f>
        <v>0.10297387437465258</v>
      </c>
      <c r="Q87" s="80">
        <f>IF(Tabell2[[#This Row],[Eldreandel]]&lt;H$167,H$167,IF(Tabell2[[#This Row],[Eldreandel]]&gt;H$168,H$168,Tabell2[[#This Row],[Eldreandel]]))</f>
        <v>0.16939966648137855</v>
      </c>
      <c r="R87" s="80">
        <f>IF(Tabell2[[#This Row],[Syssvekst10]]&lt;I$167,I$167,IF(Tabell2[[#This Row],[Syssvekst10]]&gt;I$168,I$168,Tabell2[[#This Row],[Syssvekst10]]))</f>
        <v>-8.5470085470085166E-3</v>
      </c>
      <c r="S87" s="80">
        <f>IF(Tabell2[[#This Row],[Yrkesaktiveandel]]&lt;J$167,J$167,IF(Tabell2[[#This Row],[Yrkesaktiveandel]]&gt;J$168,J$168,Tabell2[[#This Row],[Yrkesaktiveandel]]))</f>
        <v>0.86432038834951452</v>
      </c>
      <c r="T87" s="80">
        <f>IF(Tabell2[[#This Row],[Bruttoinntekt17+]]&lt;K$167,K$167,IF(Tabell2[[#This Row],[Bruttoinntekt17+]]&gt;K$168,K$168,Tabell2[[#This Row],[Bruttoinntekt17+]]))</f>
        <v>332900</v>
      </c>
      <c r="U87" s="60">
        <f>IF(Tabell2[[#This Row],[NIBR11-BA-Utrunk]]&lt;=L$170,100,IF(Tabell2[[#This Row],[NIBR11-BA-Utrunk]]&gt;=L$169,0,100-Tabell2[[#This Row],[NIBR11-BA-Utrunk]]*100/L$171))</f>
        <v>10</v>
      </c>
      <c r="V87" s="60">
        <f>(M$169-Tabell2[[#This Row],[Reisetid Oslo-T]])*100/M$171</f>
        <v>52.201928027433823</v>
      </c>
      <c r="W87" s="60">
        <f>100-(N$169-Tabell2[[#This Row],[beftettotal-T]])*100/N$171</f>
        <v>7.4295240137158913</v>
      </c>
      <c r="X87" s="60">
        <f>100-(O$169-Tabell2[[#This Row],[Befvekst10-T]])*100/O$171</f>
        <v>46.625192889319109</v>
      </c>
      <c r="Y87" s="60">
        <f>100-(P$169-Tabell2[[#This Row],[Kvinneandel-T]])*100/P$171</f>
        <v>36.709446328652035</v>
      </c>
      <c r="Z87" s="60">
        <f>(Q$169-Tabell2[[#This Row],[Eldreandel-T]])*100/Q$171</f>
        <v>45.85544678980672</v>
      </c>
      <c r="AA87" s="60">
        <f>100-(R$169-Tabell2[[#This Row],[Syssvekst10-T]])*100/R$171</f>
        <v>35.045916799287411</v>
      </c>
      <c r="AB87" s="60">
        <f>100-(S$169-Tabell2[[#This Row],[Yrkesaktiveandel-T]])*100/S$171</f>
        <v>28.560458335846121</v>
      </c>
      <c r="AC87" s="60">
        <f>100-(T$169-Tabell2[[#This Row],[Bruttoinntekt17+-T]])*100/T$171</f>
        <v>64.703859945947087</v>
      </c>
      <c r="AD87" s="60">
        <f>Tabell2[[#This Row],[NIBR11-BA-I]]*$AD$2</f>
        <v>2</v>
      </c>
      <c r="AE87" s="60">
        <f>Tabell2[[#This Row],[Reisetid Oslo-I]]*$AE$2</f>
        <v>5.2201928027433828</v>
      </c>
      <c r="AF87" s="60">
        <f>Tabell2[[#This Row],[beftettotal-I]]*$AF$2</f>
        <v>0.74295240137158913</v>
      </c>
      <c r="AG87" s="60">
        <f>Tabell2[[#This Row],[Befvekst10-I]]*$AG$2</f>
        <v>9.3250385778638218</v>
      </c>
      <c r="AH87" s="60">
        <f>Tabell2[[#This Row],[Kvinneandel-I]]*$AH$2</f>
        <v>1.8354723164326019</v>
      </c>
      <c r="AI87" s="60">
        <f>Tabell2[[#This Row],[Eldreandel-I]]*$AI$2</f>
        <v>2.2927723394903361</v>
      </c>
      <c r="AJ87" s="60">
        <f>Tabell2[[#This Row],[Syssvekst10-I]]*$AJ$2</f>
        <v>3.5045916799287413</v>
      </c>
      <c r="AK87" s="60">
        <f>Tabell2[[#This Row],[Yrkesaktiveandel-I]]*$AK$2</f>
        <v>2.8560458335846124</v>
      </c>
      <c r="AL87" s="60">
        <f>Tabell2[[#This Row],[Bruttoinntekt17+-I]]*$AL$2</f>
        <v>6.4703859945947091</v>
      </c>
      <c r="AM87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34.247451946009797</v>
      </c>
    </row>
    <row r="88" spans="1:39">
      <c r="A88" s="64">
        <v>83</v>
      </c>
      <c r="B88" s="8" t="s">
        <v>138</v>
      </c>
      <c r="C88" s="45">
        <f>Råark!L85</f>
        <v>9</v>
      </c>
      <c r="D88" s="80">
        <f>Råark!K85</f>
        <v>242.55626915722257</v>
      </c>
      <c r="E88" s="80">
        <f>Råark!N85</f>
        <v>4.2122988160659975</v>
      </c>
      <c r="F88" s="80">
        <f>Råark!O85</f>
        <v>-4.3001186239620348E-2</v>
      </c>
      <c r="G88" s="80">
        <f>Råark!P85</f>
        <v>9.7510587749199462E-2</v>
      </c>
      <c r="H88" s="80">
        <f>Råark!Q85</f>
        <v>0.18117963020349137</v>
      </c>
      <c r="I88" s="80">
        <f>Råark!R85</f>
        <v>3.1818181818181746E-3</v>
      </c>
      <c r="J88" s="80">
        <f>Råark!S85</f>
        <v>0.92515592515592515</v>
      </c>
      <c r="K88" s="80">
        <f>Råark!M85</f>
        <v>299088.35127772734</v>
      </c>
      <c r="L88" s="59">
        <f>Tabell2[[#This Row],[NIBR11BA]]</f>
        <v>9</v>
      </c>
      <c r="M88" s="80">
        <f>IF(Tabell2[[#This Row],[Reisetid Oslo]]&lt;D$167,D$167,IF(Tabell2[[#This Row],[Reisetid Oslo]]&gt;D$168,D$168,Tabell2[[#This Row],[Reisetid Oslo]]))</f>
        <v>242.55626915722257</v>
      </c>
      <c r="N88" s="80">
        <f>IF(Tabell2[[#This Row],[beftettotal]]&lt;E$167,E$167,IF(Tabell2[[#This Row],[beftettotal]]&gt;E$168,E$168,Tabell2[[#This Row],[beftettotal]]))</f>
        <v>4.2122988160659975</v>
      </c>
      <c r="O88" s="80">
        <f>IF(Tabell2[[#This Row],[Befvekst10]]&lt;F$167,F$167,IF(Tabell2[[#This Row],[Befvekst10]]&gt;F$168,F$168,Tabell2[[#This Row],[Befvekst10]]))</f>
        <v>-4.3001186239620348E-2</v>
      </c>
      <c r="P88" s="80">
        <f>IF(Tabell2[[#This Row],[Kvinneandel]]&lt;G$167,G$167,IF(Tabell2[[#This Row],[Kvinneandel]]&gt;G$168,G$168,Tabell2[[#This Row],[Kvinneandel]]))</f>
        <v>9.7510587749199462E-2</v>
      </c>
      <c r="Q88" s="80">
        <f>IF(Tabell2[[#This Row],[Eldreandel]]&lt;H$167,H$167,IF(Tabell2[[#This Row],[Eldreandel]]&gt;H$168,H$168,Tabell2[[#This Row],[Eldreandel]]))</f>
        <v>0.18117963020349137</v>
      </c>
      <c r="R88" s="80">
        <f>IF(Tabell2[[#This Row],[Syssvekst10]]&lt;I$167,I$167,IF(Tabell2[[#This Row],[Syssvekst10]]&gt;I$168,I$168,Tabell2[[#This Row],[Syssvekst10]]))</f>
        <v>3.1818181818181746E-3</v>
      </c>
      <c r="S88" s="80">
        <f>IF(Tabell2[[#This Row],[Yrkesaktiveandel]]&lt;J$167,J$167,IF(Tabell2[[#This Row],[Yrkesaktiveandel]]&gt;J$168,J$168,Tabell2[[#This Row],[Yrkesaktiveandel]]))</f>
        <v>0.92515592515592515</v>
      </c>
      <c r="T88" s="80">
        <f>IF(Tabell2[[#This Row],[Bruttoinntekt17+]]&lt;K$167,K$167,IF(Tabell2[[#This Row],[Bruttoinntekt17+]]&gt;K$168,K$168,Tabell2[[#This Row],[Bruttoinntekt17+]]))</f>
        <v>299088.35127772734</v>
      </c>
      <c r="U88" s="60">
        <f>IF(Tabell2[[#This Row],[NIBR11-BA-Utrunk]]&lt;=L$170,100,IF(Tabell2[[#This Row],[NIBR11-BA-Utrunk]]&gt;=L$169,0,100-Tabell2[[#This Row],[NIBR11-BA-Utrunk]]*100/L$171))</f>
        <v>10</v>
      </c>
      <c r="V88" s="60">
        <f>(M$169-Tabell2[[#This Row],[Reisetid Oslo-T]])*100/M$171</f>
        <v>40.586379577753249</v>
      </c>
      <c r="W88" s="60">
        <f>100-(N$169-Tabell2[[#This Row],[beftettotal-T]])*100/N$171</f>
        <v>7.4585541658351531</v>
      </c>
      <c r="X88" s="60">
        <f>100-(O$169-Tabell2[[#This Row],[Befvekst10-T]])*100/O$171</f>
        <v>36.976014177905988</v>
      </c>
      <c r="Y88" s="60">
        <f>100-(P$169-Tabell2[[#This Row],[Kvinneandel-T]])*100/P$171</f>
        <v>19.286665082115022</v>
      </c>
      <c r="Z88" s="60">
        <f>(Q$169-Tabell2[[#This Row],[Eldreandel-T]])*100/Q$171</f>
        <v>30.185232328643689</v>
      </c>
      <c r="AA88" s="60">
        <f>100-(R$169-Tabell2[[#This Row],[Syssvekst10-T]])*100/R$171</f>
        <v>39.472213803624648</v>
      </c>
      <c r="AB88" s="60">
        <f>100-(S$169-Tabell2[[#This Row],[Yrkesaktiveandel-T]])*100/S$171</f>
        <v>74.547023144420365</v>
      </c>
      <c r="AC88" s="60">
        <f>100-(T$169-Tabell2[[#This Row],[Bruttoinntekt17+-T]])*100/T$171</f>
        <v>8.0705650076221929</v>
      </c>
      <c r="AD88" s="60">
        <f>Tabell2[[#This Row],[NIBR11-BA-I]]*$AD$2</f>
        <v>2</v>
      </c>
      <c r="AE88" s="60">
        <f>Tabell2[[#This Row],[Reisetid Oslo-I]]*$AE$2</f>
        <v>4.0586379577753249</v>
      </c>
      <c r="AF88" s="60">
        <f>Tabell2[[#This Row],[beftettotal-I]]*$AF$2</f>
        <v>0.7458554165835154</v>
      </c>
      <c r="AG88" s="60">
        <f>Tabell2[[#This Row],[Befvekst10-I]]*$AG$2</f>
        <v>7.3952028355811983</v>
      </c>
      <c r="AH88" s="60">
        <f>Tabell2[[#This Row],[Kvinneandel-I]]*$AH$2</f>
        <v>0.9643332541057511</v>
      </c>
      <c r="AI88" s="60">
        <f>Tabell2[[#This Row],[Eldreandel-I]]*$AI$2</f>
        <v>1.5092616164321846</v>
      </c>
      <c r="AJ88" s="60">
        <f>Tabell2[[#This Row],[Syssvekst10-I]]*$AJ$2</f>
        <v>3.9472213803624649</v>
      </c>
      <c r="AK88" s="60">
        <f>Tabell2[[#This Row],[Yrkesaktiveandel-I]]*$AK$2</f>
        <v>7.454702314442037</v>
      </c>
      <c r="AL88" s="60">
        <f>Tabell2[[#This Row],[Bruttoinntekt17+-I]]*$AL$2</f>
        <v>0.80705650076221935</v>
      </c>
      <c r="AM88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28.882271276044694</v>
      </c>
    </row>
    <row r="89" spans="1:39">
      <c r="A89" s="63">
        <v>84</v>
      </c>
      <c r="B89" s="8" t="s">
        <v>139</v>
      </c>
      <c r="C89" s="45">
        <f>Råark!L86</f>
        <v>11</v>
      </c>
      <c r="D89" s="80">
        <f>Råark!K86</f>
        <v>249.91838921329997</v>
      </c>
      <c r="E89" s="80">
        <f>Råark!N86</f>
        <v>7.7425306933503659</v>
      </c>
      <c r="F89" s="80">
        <f>Råark!O86</f>
        <v>-6.3117217689995675E-2</v>
      </c>
      <c r="G89" s="80">
        <f>Råark!P86</f>
        <v>9.4867094408799271E-2</v>
      </c>
      <c r="H89" s="80">
        <f>Råark!Q86</f>
        <v>0.19660861594867093</v>
      </c>
      <c r="I89" s="80">
        <f>Råark!R86</f>
        <v>4.8832271762208057E-2</v>
      </c>
      <c r="J89" s="80">
        <f>Råark!S86</f>
        <v>0.90116279069767447</v>
      </c>
      <c r="K89" s="80">
        <f>Råark!M86</f>
        <v>328200</v>
      </c>
      <c r="L89" s="59">
        <f>Tabell2[[#This Row],[NIBR11BA]]</f>
        <v>11</v>
      </c>
      <c r="M89" s="80">
        <f>IF(Tabell2[[#This Row],[Reisetid Oslo]]&lt;D$167,D$167,IF(Tabell2[[#This Row],[Reisetid Oslo]]&gt;D$168,D$168,Tabell2[[#This Row],[Reisetid Oslo]]))</f>
        <v>249.91838921329997</v>
      </c>
      <c r="N89" s="80">
        <f>IF(Tabell2[[#This Row],[beftettotal]]&lt;E$167,E$167,IF(Tabell2[[#This Row],[beftettotal]]&gt;E$168,E$168,Tabell2[[#This Row],[beftettotal]]))</f>
        <v>7.7425306933503659</v>
      </c>
      <c r="O89" s="80">
        <f>IF(Tabell2[[#This Row],[Befvekst10]]&lt;F$167,F$167,IF(Tabell2[[#This Row],[Befvekst10]]&gt;F$168,F$168,Tabell2[[#This Row],[Befvekst10]]))</f>
        <v>-6.3117217689995675E-2</v>
      </c>
      <c r="P89" s="80">
        <f>IF(Tabell2[[#This Row],[Kvinneandel]]&lt;G$167,G$167,IF(Tabell2[[#This Row],[Kvinneandel]]&gt;G$168,G$168,Tabell2[[#This Row],[Kvinneandel]]))</f>
        <v>9.4867094408799271E-2</v>
      </c>
      <c r="Q89" s="80">
        <f>IF(Tabell2[[#This Row],[Eldreandel]]&lt;H$167,H$167,IF(Tabell2[[#This Row],[Eldreandel]]&gt;H$168,H$168,Tabell2[[#This Row],[Eldreandel]]))</f>
        <v>0.19660861594867093</v>
      </c>
      <c r="R89" s="80">
        <f>IF(Tabell2[[#This Row],[Syssvekst10]]&lt;I$167,I$167,IF(Tabell2[[#This Row],[Syssvekst10]]&gt;I$168,I$168,Tabell2[[#This Row],[Syssvekst10]]))</f>
        <v>4.8832271762208057E-2</v>
      </c>
      <c r="S89" s="80">
        <f>IF(Tabell2[[#This Row],[Yrkesaktiveandel]]&lt;J$167,J$167,IF(Tabell2[[#This Row],[Yrkesaktiveandel]]&gt;J$168,J$168,Tabell2[[#This Row],[Yrkesaktiveandel]]))</f>
        <v>0.90116279069767447</v>
      </c>
      <c r="T89" s="80">
        <f>IF(Tabell2[[#This Row],[Bruttoinntekt17+]]&lt;K$167,K$167,IF(Tabell2[[#This Row],[Bruttoinntekt17+]]&gt;K$168,K$168,Tabell2[[#This Row],[Bruttoinntekt17+]]))</f>
        <v>328200</v>
      </c>
      <c r="U89" s="60">
        <f>IF(Tabell2[[#This Row],[NIBR11-BA-Utrunk]]&lt;=L$170,100,IF(Tabell2[[#This Row],[NIBR11-BA-Utrunk]]&gt;=L$169,0,100-Tabell2[[#This Row],[NIBR11-BA-Utrunk]]*100/L$171))</f>
        <v>0</v>
      </c>
      <c r="V89" s="60">
        <f>(M$169-Tabell2[[#This Row],[Reisetid Oslo-T]])*100/M$171</f>
        <v>36.633406667075043</v>
      </c>
      <c r="W89" s="60">
        <f>100-(N$169-Tabell2[[#This Row],[beftettotal-T]])*100/N$171</f>
        <v>15.665910456986794</v>
      </c>
      <c r="X89" s="60">
        <f>100-(O$169-Tabell2[[#This Row],[Befvekst10-T]])*100/O$171</f>
        <v>27.954790163685502</v>
      </c>
      <c r="Y89" s="60">
        <f>100-(P$169-Tabell2[[#This Row],[Kvinneandel-T]])*100/P$171</f>
        <v>10.856390532379123</v>
      </c>
      <c r="Z89" s="60">
        <f>(Q$169-Tabell2[[#This Row],[Eldreandel-T]])*100/Q$171</f>
        <v>9.6609318088262182</v>
      </c>
      <c r="AA89" s="60">
        <f>100-(R$169-Tabell2[[#This Row],[Syssvekst10-T]])*100/R$171</f>
        <v>56.700063664590957</v>
      </c>
      <c r="AB89" s="60">
        <f>100-(S$169-Tabell2[[#This Row],[Yrkesaktiveandel-T]])*100/S$171</f>
        <v>56.410225301470888</v>
      </c>
      <c r="AC89" s="60">
        <f>100-(T$169-Tabell2[[#This Row],[Bruttoinntekt17+-T]])*100/T$171</f>
        <v>56.831529069789923</v>
      </c>
      <c r="AD89" s="60">
        <f>Tabell2[[#This Row],[NIBR11-BA-I]]*$AD$2</f>
        <v>0</v>
      </c>
      <c r="AE89" s="60">
        <f>Tabell2[[#This Row],[Reisetid Oslo-I]]*$AE$2</f>
        <v>3.6633406667075046</v>
      </c>
      <c r="AF89" s="60">
        <f>Tabell2[[#This Row],[beftettotal-I]]*$AF$2</f>
        <v>1.5665910456986794</v>
      </c>
      <c r="AG89" s="60">
        <f>Tabell2[[#This Row],[Befvekst10-I]]*$AG$2</f>
        <v>5.5909580327371007</v>
      </c>
      <c r="AH89" s="60">
        <f>Tabell2[[#This Row],[Kvinneandel-I]]*$AH$2</f>
        <v>0.54281952661895616</v>
      </c>
      <c r="AI89" s="60">
        <f>Tabell2[[#This Row],[Eldreandel-I]]*$AI$2</f>
        <v>0.48304659044131093</v>
      </c>
      <c r="AJ89" s="60">
        <f>Tabell2[[#This Row],[Syssvekst10-I]]*$AJ$2</f>
        <v>5.6700063664590958</v>
      </c>
      <c r="AK89" s="60">
        <f>Tabell2[[#This Row],[Yrkesaktiveandel-I]]*$AK$2</f>
        <v>5.6410225301470893</v>
      </c>
      <c r="AL89" s="60">
        <f>Tabell2[[#This Row],[Bruttoinntekt17+-I]]*$AL$2</f>
        <v>5.683152906978993</v>
      </c>
      <c r="AM89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28.840937665788733</v>
      </c>
    </row>
    <row r="90" spans="1:39">
      <c r="A90" s="64">
        <v>85</v>
      </c>
      <c r="B90" s="8" t="s">
        <v>140</v>
      </c>
      <c r="C90" s="45">
        <f>Råark!L87</f>
        <v>11</v>
      </c>
      <c r="D90" s="80">
        <f>Råark!K87</f>
        <v>221.96109544550001</v>
      </c>
      <c r="E90" s="80">
        <f>Råark!N87</f>
        <v>5.452371338944622</v>
      </c>
      <c r="F90" s="80">
        <f>Råark!O87</f>
        <v>-6.2983720309580993E-2</v>
      </c>
      <c r="G90" s="80">
        <f>Råark!P87</f>
        <v>9.3990316149245232E-2</v>
      </c>
      <c r="H90" s="80">
        <f>Råark!Q87</f>
        <v>0.18513244090002848</v>
      </c>
      <c r="I90" s="80">
        <f>Råark!R87</f>
        <v>2.9716655148583238E-2</v>
      </c>
      <c r="J90" s="80">
        <f>Råark!S87</f>
        <v>0.89401622718052742</v>
      </c>
      <c r="K90" s="80">
        <f>Råark!M87</f>
        <v>317000</v>
      </c>
      <c r="L90" s="59">
        <f>Tabell2[[#This Row],[NIBR11BA]]</f>
        <v>11</v>
      </c>
      <c r="M90" s="80">
        <f>IF(Tabell2[[#This Row],[Reisetid Oslo]]&lt;D$167,D$167,IF(Tabell2[[#This Row],[Reisetid Oslo]]&gt;D$168,D$168,Tabell2[[#This Row],[Reisetid Oslo]]))</f>
        <v>221.96109544550001</v>
      </c>
      <c r="N90" s="80">
        <f>IF(Tabell2[[#This Row],[beftettotal]]&lt;E$167,E$167,IF(Tabell2[[#This Row],[beftettotal]]&gt;E$168,E$168,Tabell2[[#This Row],[beftettotal]]))</f>
        <v>5.452371338944622</v>
      </c>
      <c r="O90" s="80">
        <f>IF(Tabell2[[#This Row],[Befvekst10]]&lt;F$167,F$167,IF(Tabell2[[#This Row],[Befvekst10]]&gt;F$168,F$168,Tabell2[[#This Row],[Befvekst10]]))</f>
        <v>-6.2983720309580993E-2</v>
      </c>
      <c r="P90" s="80">
        <f>IF(Tabell2[[#This Row],[Kvinneandel]]&lt;G$167,G$167,IF(Tabell2[[#This Row],[Kvinneandel]]&gt;G$168,G$168,Tabell2[[#This Row],[Kvinneandel]]))</f>
        <v>9.3990316149245232E-2</v>
      </c>
      <c r="Q90" s="80">
        <f>IF(Tabell2[[#This Row],[Eldreandel]]&lt;H$167,H$167,IF(Tabell2[[#This Row],[Eldreandel]]&gt;H$168,H$168,Tabell2[[#This Row],[Eldreandel]]))</f>
        <v>0.18513244090002848</v>
      </c>
      <c r="R90" s="80">
        <f>IF(Tabell2[[#This Row],[Syssvekst10]]&lt;I$167,I$167,IF(Tabell2[[#This Row],[Syssvekst10]]&gt;I$168,I$168,Tabell2[[#This Row],[Syssvekst10]]))</f>
        <v>2.9716655148583238E-2</v>
      </c>
      <c r="S90" s="80">
        <f>IF(Tabell2[[#This Row],[Yrkesaktiveandel]]&lt;J$167,J$167,IF(Tabell2[[#This Row],[Yrkesaktiveandel]]&gt;J$168,J$168,Tabell2[[#This Row],[Yrkesaktiveandel]]))</f>
        <v>0.89401622718052742</v>
      </c>
      <c r="T90" s="80">
        <f>IF(Tabell2[[#This Row],[Bruttoinntekt17+]]&lt;K$167,K$167,IF(Tabell2[[#This Row],[Bruttoinntekt17+]]&gt;K$168,K$168,Tabell2[[#This Row],[Bruttoinntekt17+]]))</f>
        <v>317000</v>
      </c>
      <c r="U90" s="60">
        <f>IF(Tabell2[[#This Row],[NIBR11-BA-Utrunk]]&lt;=L$170,100,IF(Tabell2[[#This Row],[NIBR11-BA-Utrunk]]&gt;=L$169,0,100-Tabell2[[#This Row],[NIBR11-BA-Utrunk]]*100/L$171))</f>
        <v>0</v>
      </c>
      <c r="V90" s="60">
        <f>(M$169-Tabell2[[#This Row],[Reisetid Oslo-T]])*100/M$171</f>
        <v>51.644629531982901</v>
      </c>
      <c r="W90" s="60">
        <f>100-(N$169-Tabell2[[#This Row],[beftettotal-T]])*100/N$171</f>
        <v>10.341570742627667</v>
      </c>
      <c r="X90" s="60">
        <f>100-(O$169-Tabell2[[#This Row],[Befvekst10-T]])*100/O$171</f>
        <v>28.014658322919757</v>
      </c>
      <c r="Y90" s="60">
        <f>100-(P$169-Tabell2[[#This Row],[Kvinneandel-T]])*100/P$171</f>
        <v>8.0602868561121852</v>
      </c>
      <c r="Z90" s="60">
        <f>(Q$169-Tabell2[[#This Row],[Eldreandel-T]])*100/Q$171</f>
        <v>24.927033508995198</v>
      </c>
      <c r="AA90" s="60">
        <f>100-(R$169-Tabell2[[#This Row],[Syssvekst10-T]])*100/R$171</f>
        <v>49.486094312908797</v>
      </c>
      <c r="AB90" s="60">
        <f>100-(S$169-Tabell2[[#This Row],[Yrkesaktiveandel-T]])*100/S$171</f>
        <v>51.008022516843816</v>
      </c>
      <c r="AC90" s="60">
        <f>100-(T$169-Tabell2[[#This Row],[Bruttoinntekt17+-T]])*100/T$171</f>
        <v>38.071932088309019</v>
      </c>
      <c r="AD90" s="60">
        <f>Tabell2[[#This Row],[NIBR11-BA-I]]*$AD$2</f>
        <v>0</v>
      </c>
      <c r="AE90" s="60">
        <f>Tabell2[[#This Row],[Reisetid Oslo-I]]*$AE$2</f>
        <v>5.1644629531982904</v>
      </c>
      <c r="AF90" s="60">
        <f>Tabell2[[#This Row],[beftettotal-I]]*$AF$2</f>
        <v>1.0341570742627668</v>
      </c>
      <c r="AG90" s="60">
        <f>Tabell2[[#This Row],[Befvekst10-I]]*$AG$2</f>
        <v>5.6029316645839522</v>
      </c>
      <c r="AH90" s="60">
        <f>Tabell2[[#This Row],[Kvinneandel-I]]*$AH$2</f>
        <v>0.40301434280560927</v>
      </c>
      <c r="AI90" s="60">
        <f>Tabell2[[#This Row],[Eldreandel-I]]*$AI$2</f>
        <v>1.2463516754497599</v>
      </c>
      <c r="AJ90" s="60">
        <f>Tabell2[[#This Row],[Syssvekst10-I]]*$AJ$2</f>
        <v>4.9486094312908797</v>
      </c>
      <c r="AK90" s="60">
        <f>Tabell2[[#This Row],[Yrkesaktiveandel-I]]*$AK$2</f>
        <v>5.1008022516843816</v>
      </c>
      <c r="AL90" s="60">
        <f>Tabell2[[#This Row],[Bruttoinntekt17+-I]]*$AL$2</f>
        <v>3.8071932088309022</v>
      </c>
      <c r="AM90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27.307522602106541</v>
      </c>
    </row>
    <row r="91" spans="1:39">
      <c r="A91" s="63">
        <v>86</v>
      </c>
      <c r="B91" s="8" t="s">
        <v>141</v>
      </c>
      <c r="C91" s="45">
        <f>Råark!L88</f>
        <v>2</v>
      </c>
      <c r="D91" s="80">
        <f>Råark!K88</f>
        <v>182.01435970218043</v>
      </c>
      <c r="E91" s="80">
        <f>Råark!N88</f>
        <v>38.756741269552293</v>
      </c>
      <c r="F91" s="80">
        <f>Råark!O88</f>
        <v>0.15042589664199424</v>
      </c>
      <c r="G91" s="80">
        <f>Råark!P88</f>
        <v>0.14196496983278081</v>
      </c>
      <c r="H91" s="80">
        <f>Råark!Q88</f>
        <v>0.11680701065382201</v>
      </c>
      <c r="I91" s="80">
        <f>Råark!R88</f>
        <v>0.19710024568324158</v>
      </c>
      <c r="J91" s="80">
        <f>Råark!S88</f>
        <v>0.85535565802403812</v>
      </c>
      <c r="K91" s="80">
        <f>Råark!M88</f>
        <v>349674.02306714887</v>
      </c>
      <c r="L91" s="59">
        <f>Tabell2[[#This Row],[NIBR11BA]]</f>
        <v>2</v>
      </c>
      <c r="M91" s="80">
        <f>IF(Tabell2[[#This Row],[Reisetid Oslo]]&lt;D$167,D$167,IF(Tabell2[[#This Row],[Reisetid Oslo]]&gt;D$168,D$168,Tabell2[[#This Row],[Reisetid Oslo]]))</f>
        <v>182.01435970218043</v>
      </c>
      <c r="N91" s="80">
        <f>IF(Tabell2[[#This Row],[beftettotal]]&lt;E$167,E$167,IF(Tabell2[[#This Row],[beftettotal]]&gt;E$168,E$168,Tabell2[[#This Row],[beftettotal]]))</f>
        <v>38.756741269552293</v>
      </c>
      <c r="O91" s="80">
        <f>IF(Tabell2[[#This Row],[Befvekst10]]&lt;F$167,F$167,IF(Tabell2[[#This Row],[Befvekst10]]&gt;F$168,F$168,Tabell2[[#This Row],[Befvekst10]]))</f>
        <v>9.7533233360955388E-2</v>
      </c>
      <c r="P91" s="80">
        <f>IF(Tabell2[[#This Row],[Kvinneandel]]&lt;G$167,G$167,IF(Tabell2[[#This Row],[Kvinneandel]]&gt;G$168,G$168,Tabell2[[#This Row],[Kvinneandel]]))</f>
        <v>0.12281998450468276</v>
      </c>
      <c r="Q91" s="80">
        <f>IF(Tabell2[[#This Row],[Eldreandel]]&lt;H$167,H$167,IF(Tabell2[[#This Row],[Eldreandel]]&gt;H$168,H$168,Tabell2[[#This Row],[Eldreandel]]))</f>
        <v>0.1286969132327325</v>
      </c>
      <c r="R91" s="80">
        <f>IF(Tabell2[[#This Row],[Syssvekst10]]&lt;I$167,I$167,IF(Tabell2[[#This Row],[Syssvekst10]]&gt;I$168,I$168,Tabell2[[#This Row],[Syssvekst10]]))</f>
        <v>0.1635686869077807</v>
      </c>
      <c r="S91" s="80">
        <f>IF(Tabell2[[#This Row],[Yrkesaktiveandel]]&lt;J$167,J$167,IF(Tabell2[[#This Row],[Yrkesaktiveandel]]&gt;J$168,J$168,Tabell2[[#This Row],[Yrkesaktiveandel]]))</f>
        <v>0.85535565802403812</v>
      </c>
      <c r="T91" s="80">
        <f>IF(Tabell2[[#This Row],[Bruttoinntekt17+]]&lt;K$167,K$167,IF(Tabell2[[#This Row],[Bruttoinntekt17+]]&gt;K$168,K$168,Tabell2[[#This Row],[Bruttoinntekt17+]]))</f>
        <v>349674.02306714887</v>
      </c>
      <c r="U91" s="60">
        <f>IF(Tabell2[[#This Row],[NIBR11-BA-Utrunk]]&lt;=L$170,100,IF(Tabell2[[#This Row],[NIBR11-BA-Utrunk]]&gt;=L$169,0,100-Tabell2[[#This Row],[NIBR11-BA-Utrunk]]*100/L$171))</f>
        <v>80</v>
      </c>
      <c r="V91" s="60">
        <f>(M$169-Tabell2[[#This Row],[Reisetid Oslo-T]])*100/M$171</f>
        <v>73.093391989070255</v>
      </c>
      <c r="W91" s="60">
        <f>100-(N$169-Tabell2[[#This Row],[beftettotal-T]])*100/N$171</f>
        <v>87.770147554154718</v>
      </c>
      <c r="X91" s="60">
        <f>100-(O$169-Tabell2[[#This Row],[Befvekst10-T]])*100/O$171</f>
        <v>100</v>
      </c>
      <c r="Y91" s="60">
        <f>100-(P$169-Tabell2[[#This Row],[Kvinneandel-T]])*100/P$171</f>
        <v>100</v>
      </c>
      <c r="Z91" s="60">
        <f>(Q$169-Tabell2[[#This Row],[Eldreandel-T]])*100/Q$171</f>
        <v>100</v>
      </c>
      <c r="AA91" s="60">
        <f>100-(R$169-Tabell2[[#This Row],[Syssvekst10-T]])*100/R$171</f>
        <v>100</v>
      </c>
      <c r="AB91" s="60">
        <f>100-(S$169-Tabell2[[#This Row],[Yrkesaktiveandel-T]])*100/S$171</f>
        <v>21.783873896133073</v>
      </c>
      <c r="AC91" s="60">
        <f>100-(T$169-Tabell2[[#This Row],[Bruttoinntekt17+-T]])*100/T$171</f>
        <v>92.79974499039146</v>
      </c>
      <c r="AD91" s="60">
        <f>Tabell2[[#This Row],[NIBR11-BA-I]]*$AD$2</f>
        <v>16</v>
      </c>
      <c r="AE91" s="60">
        <f>Tabell2[[#This Row],[Reisetid Oslo-I]]*$AE$2</f>
        <v>7.3093391989070255</v>
      </c>
      <c r="AF91" s="60">
        <f>Tabell2[[#This Row],[beftettotal-I]]*$AF$2</f>
        <v>8.7770147554154718</v>
      </c>
      <c r="AG91" s="60">
        <f>Tabell2[[#This Row],[Befvekst10-I]]*$AG$2</f>
        <v>20</v>
      </c>
      <c r="AH91" s="60">
        <f>Tabell2[[#This Row],[Kvinneandel-I]]*$AH$2</f>
        <v>5</v>
      </c>
      <c r="AI91" s="60">
        <f>Tabell2[[#This Row],[Eldreandel-I]]*$AI$2</f>
        <v>5</v>
      </c>
      <c r="AJ91" s="60">
        <f>Tabell2[[#This Row],[Syssvekst10-I]]*$AJ$2</f>
        <v>10</v>
      </c>
      <c r="AK91" s="60">
        <f>Tabell2[[#This Row],[Yrkesaktiveandel-I]]*$AK$2</f>
        <v>2.1783873896133072</v>
      </c>
      <c r="AL91" s="60">
        <f>Tabell2[[#This Row],[Bruttoinntekt17+-I]]*$AL$2</f>
        <v>9.2799744990391471</v>
      </c>
      <c r="AM91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83.544715842974952</v>
      </c>
    </row>
    <row r="92" spans="1:39">
      <c r="A92" s="64">
        <v>87</v>
      </c>
      <c r="B92" s="8" t="s">
        <v>142</v>
      </c>
      <c r="C92" s="45">
        <f>Råark!L89</f>
        <v>9</v>
      </c>
      <c r="D92" s="80">
        <f>Råark!K89</f>
        <v>253.51839397930001</v>
      </c>
      <c r="E92" s="80">
        <f>Råark!N89</f>
        <v>6.2972743141028502</v>
      </c>
      <c r="F92" s="80">
        <f>Råark!O89</f>
        <v>-1.3323983169705511E-2</v>
      </c>
      <c r="G92" s="80">
        <f>Råark!P89</f>
        <v>0.10589907604832978</v>
      </c>
      <c r="H92" s="80">
        <f>Råark!Q89</f>
        <v>0.16796967543236199</v>
      </c>
      <c r="I92" s="80">
        <f>Råark!R89</f>
        <v>0.1034288926363125</v>
      </c>
      <c r="J92" s="80">
        <f>Råark!S89</f>
        <v>0.89804772234273322</v>
      </c>
      <c r="K92" s="80">
        <f>Råark!M89</f>
        <v>315800</v>
      </c>
      <c r="L92" s="59">
        <f>Tabell2[[#This Row],[NIBR11BA]]</f>
        <v>9</v>
      </c>
      <c r="M92" s="80">
        <f>IF(Tabell2[[#This Row],[Reisetid Oslo]]&lt;D$167,D$167,IF(Tabell2[[#This Row],[Reisetid Oslo]]&gt;D$168,D$168,Tabell2[[#This Row],[Reisetid Oslo]]))</f>
        <v>253.51839397930001</v>
      </c>
      <c r="N92" s="80">
        <f>IF(Tabell2[[#This Row],[beftettotal]]&lt;E$167,E$167,IF(Tabell2[[#This Row],[beftettotal]]&gt;E$168,E$168,Tabell2[[#This Row],[beftettotal]]))</f>
        <v>6.2972743141028502</v>
      </c>
      <c r="O92" s="80">
        <f>IF(Tabell2[[#This Row],[Befvekst10]]&lt;F$167,F$167,IF(Tabell2[[#This Row],[Befvekst10]]&gt;F$168,F$168,Tabell2[[#This Row],[Befvekst10]]))</f>
        <v>-1.3323983169705511E-2</v>
      </c>
      <c r="P92" s="80">
        <f>IF(Tabell2[[#This Row],[Kvinneandel]]&lt;G$167,G$167,IF(Tabell2[[#This Row],[Kvinneandel]]&gt;G$168,G$168,Tabell2[[#This Row],[Kvinneandel]]))</f>
        <v>0.10589907604832978</v>
      </c>
      <c r="Q92" s="80">
        <f>IF(Tabell2[[#This Row],[Eldreandel]]&lt;H$167,H$167,IF(Tabell2[[#This Row],[Eldreandel]]&gt;H$168,H$168,Tabell2[[#This Row],[Eldreandel]]))</f>
        <v>0.16796967543236199</v>
      </c>
      <c r="R92" s="80">
        <f>IF(Tabell2[[#This Row],[Syssvekst10]]&lt;I$167,I$167,IF(Tabell2[[#This Row],[Syssvekst10]]&gt;I$168,I$168,Tabell2[[#This Row],[Syssvekst10]]))</f>
        <v>0.1034288926363125</v>
      </c>
      <c r="S92" s="80">
        <f>IF(Tabell2[[#This Row],[Yrkesaktiveandel]]&lt;J$167,J$167,IF(Tabell2[[#This Row],[Yrkesaktiveandel]]&gt;J$168,J$168,Tabell2[[#This Row],[Yrkesaktiveandel]]))</f>
        <v>0.89804772234273322</v>
      </c>
      <c r="T92" s="80">
        <f>IF(Tabell2[[#This Row],[Bruttoinntekt17+]]&lt;K$167,K$167,IF(Tabell2[[#This Row],[Bruttoinntekt17+]]&gt;K$168,K$168,Tabell2[[#This Row],[Bruttoinntekt17+]]))</f>
        <v>315800</v>
      </c>
      <c r="U92" s="60">
        <f>IF(Tabell2[[#This Row],[NIBR11-BA-Utrunk]]&lt;=L$170,100,IF(Tabell2[[#This Row],[NIBR11-BA-Utrunk]]&gt;=L$169,0,100-Tabell2[[#This Row],[NIBR11-BA-Utrunk]]*100/L$171))</f>
        <v>10</v>
      </c>
      <c r="V92" s="60">
        <f>(M$169-Tabell2[[#This Row],[Reisetid Oslo-T]])*100/M$171</f>
        <v>34.700441541552109</v>
      </c>
      <c r="W92" s="60">
        <f>100-(N$169-Tabell2[[#This Row],[beftettotal-T]])*100/N$171</f>
        <v>12.305866570671654</v>
      </c>
      <c r="X92" s="60">
        <f>100-(O$169-Tabell2[[#This Row],[Befvekst10-T]])*100/O$171</f>
        <v>50.285035774420656</v>
      </c>
      <c r="Y92" s="60">
        <f>100-(P$169-Tabell2[[#This Row],[Kvinneandel-T]])*100/P$171</f>
        <v>46.038107326418157</v>
      </c>
      <c r="Z92" s="60">
        <f>(Q$169-Tabell2[[#This Row],[Eldreandel-T]])*100/Q$171</f>
        <v>47.757682394621803</v>
      </c>
      <c r="AA92" s="60">
        <f>100-(R$169-Tabell2[[#This Row],[Syssvekst10-T]])*100/R$171</f>
        <v>77.304073341708786</v>
      </c>
      <c r="AB92" s="60">
        <f>100-(S$169-Tabell2[[#This Row],[Yrkesaktiveandel-T]])*100/S$171</f>
        <v>54.055494821430997</v>
      </c>
      <c r="AC92" s="60">
        <f>100-(T$169-Tabell2[[#This Row],[Bruttoinntekt17+-T]])*100/T$171</f>
        <v>36.061975268864636</v>
      </c>
      <c r="AD92" s="60">
        <f>Tabell2[[#This Row],[NIBR11-BA-I]]*$AD$2</f>
        <v>2</v>
      </c>
      <c r="AE92" s="60">
        <f>Tabell2[[#This Row],[Reisetid Oslo-I]]*$AE$2</f>
        <v>3.4700441541552109</v>
      </c>
      <c r="AF92" s="60">
        <f>Tabell2[[#This Row],[beftettotal-I]]*$AF$2</f>
        <v>1.2305866570671655</v>
      </c>
      <c r="AG92" s="60">
        <f>Tabell2[[#This Row],[Befvekst10-I]]*$AG$2</f>
        <v>10.057007154884133</v>
      </c>
      <c r="AH92" s="60">
        <f>Tabell2[[#This Row],[Kvinneandel-I]]*$AH$2</f>
        <v>2.3019053663209079</v>
      </c>
      <c r="AI92" s="60">
        <f>Tabell2[[#This Row],[Eldreandel-I]]*$AI$2</f>
        <v>2.38788411973109</v>
      </c>
      <c r="AJ92" s="60">
        <f>Tabell2[[#This Row],[Syssvekst10-I]]*$AJ$2</f>
        <v>7.730407334170879</v>
      </c>
      <c r="AK92" s="60">
        <f>Tabell2[[#This Row],[Yrkesaktiveandel-I]]*$AK$2</f>
        <v>5.4055494821431003</v>
      </c>
      <c r="AL92" s="60">
        <f>Tabell2[[#This Row],[Bruttoinntekt17+-I]]*$AL$2</f>
        <v>3.6061975268864637</v>
      </c>
      <c r="AM92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38.189581795358947</v>
      </c>
    </row>
    <row r="93" spans="1:39">
      <c r="A93" s="63">
        <v>88</v>
      </c>
      <c r="B93" s="8" t="s">
        <v>143</v>
      </c>
      <c r="C93" s="45">
        <f>Råark!L90</f>
        <v>10</v>
      </c>
      <c r="D93" s="80">
        <f>Råark!K90</f>
        <v>295.99943208568652</v>
      </c>
      <c r="E93" s="80">
        <f>Råark!N90</f>
        <v>9.4610196924736982</v>
      </c>
      <c r="F93" s="80">
        <f>Råark!O90</f>
        <v>7.4773228732532449E-2</v>
      </c>
      <c r="G93" s="80">
        <f>Råark!P90</f>
        <v>0.11667427007299271</v>
      </c>
      <c r="H93" s="80">
        <f>Råark!Q90</f>
        <v>0.16024178832116789</v>
      </c>
      <c r="I93" s="80">
        <f>Råark!R90</f>
        <v>0.14300545029846878</v>
      </c>
      <c r="J93" s="80">
        <f>Råark!S90</f>
        <v>0.87186520376175547</v>
      </c>
      <c r="K93" s="80">
        <f>Råark!M90</f>
        <v>313620.84043157299</v>
      </c>
      <c r="L93" s="59">
        <f>Tabell2[[#This Row],[NIBR11BA]]</f>
        <v>10</v>
      </c>
      <c r="M93" s="80">
        <f>IF(Tabell2[[#This Row],[Reisetid Oslo]]&lt;D$167,D$167,IF(Tabell2[[#This Row],[Reisetid Oslo]]&gt;D$168,D$168,Tabell2[[#This Row],[Reisetid Oslo]]))</f>
        <v>295.99943208568652</v>
      </c>
      <c r="N93" s="80">
        <f>IF(Tabell2[[#This Row],[beftettotal]]&lt;E$167,E$167,IF(Tabell2[[#This Row],[beftettotal]]&gt;E$168,E$168,Tabell2[[#This Row],[beftettotal]]))</f>
        <v>9.4610196924736982</v>
      </c>
      <c r="O93" s="80">
        <f>IF(Tabell2[[#This Row],[Befvekst10]]&lt;F$167,F$167,IF(Tabell2[[#This Row],[Befvekst10]]&gt;F$168,F$168,Tabell2[[#This Row],[Befvekst10]]))</f>
        <v>7.4773228732532449E-2</v>
      </c>
      <c r="P93" s="80">
        <f>IF(Tabell2[[#This Row],[Kvinneandel]]&lt;G$167,G$167,IF(Tabell2[[#This Row],[Kvinneandel]]&gt;G$168,G$168,Tabell2[[#This Row],[Kvinneandel]]))</f>
        <v>0.11667427007299271</v>
      </c>
      <c r="Q93" s="80">
        <f>IF(Tabell2[[#This Row],[Eldreandel]]&lt;H$167,H$167,IF(Tabell2[[#This Row],[Eldreandel]]&gt;H$168,H$168,Tabell2[[#This Row],[Eldreandel]]))</f>
        <v>0.16024178832116789</v>
      </c>
      <c r="R93" s="80">
        <f>IF(Tabell2[[#This Row],[Syssvekst10]]&lt;I$167,I$167,IF(Tabell2[[#This Row],[Syssvekst10]]&gt;I$168,I$168,Tabell2[[#This Row],[Syssvekst10]]))</f>
        <v>0.14300545029846878</v>
      </c>
      <c r="S93" s="80">
        <f>IF(Tabell2[[#This Row],[Yrkesaktiveandel]]&lt;J$167,J$167,IF(Tabell2[[#This Row],[Yrkesaktiveandel]]&gt;J$168,J$168,Tabell2[[#This Row],[Yrkesaktiveandel]]))</f>
        <v>0.87186520376175547</v>
      </c>
      <c r="T93" s="80">
        <f>IF(Tabell2[[#This Row],[Bruttoinntekt17+]]&lt;K$167,K$167,IF(Tabell2[[#This Row],[Bruttoinntekt17+]]&gt;K$168,K$168,Tabell2[[#This Row],[Bruttoinntekt17+]]))</f>
        <v>313620.84043157299</v>
      </c>
      <c r="U93" s="60">
        <f>IF(Tabell2[[#This Row],[NIBR11-BA-Utrunk]]&lt;=L$170,100,IF(Tabell2[[#This Row],[NIBR11-BA-Utrunk]]&gt;=L$169,0,100-Tabell2[[#This Row],[NIBR11-BA-Utrunk]]*100/L$171))</f>
        <v>0</v>
      </c>
      <c r="V93" s="60">
        <f>(M$169-Tabell2[[#This Row],[Reisetid Oslo-T]])*100/M$171</f>
        <v>11.890925862245625</v>
      </c>
      <c r="W93" s="60">
        <f>100-(N$169-Tabell2[[#This Row],[beftettotal-T]])*100/N$171</f>
        <v>19.661186684870003</v>
      </c>
      <c r="X93" s="60">
        <f>100-(O$169-Tabell2[[#This Row],[Befvekst10-T]])*100/O$171</f>
        <v>89.793061279297831</v>
      </c>
      <c r="Y93" s="60">
        <f>100-(P$169-Tabell2[[#This Row],[Kvinneandel-T]])*100/P$171</f>
        <v>80.400911486473461</v>
      </c>
      <c r="Z93" s="60">
        <f>(Q$169-Tabell2[[#This Row],[Eldreandel-T]])*100/Q$171</f>
        <v>58.037650246878435</v>
      </c>
      <c r="AA93" s="60">
        <f>100-(R$169-Tabell2[[#This Row],[Syssvekst10-T]])*100/R$171</f>
        <v>92.23971888172143</v>
      </c>
      <c r="AB93" s="60">
        <f>100-(S$169-Tabell2[[#This Row],[Yrkesaktiveandel-T]])*100/S$171</f>
        <v>34.263706160022238</v>
      </c>
      <c r="AC93" s="60">
        <f>100-(T$169-Tabell2[[#This Row],[Bruttoinntekt17+-T]])*100/T$171</f>
        <v>32.411961406183494</v>
      </c>
      <c r="AD93" s="60">
        <f>Tabell2[[#This Row],[NIBR11-BA-I]]*$AD$2</f>
        <v>0</v>
      </c>
      <c r="AE93" s="60">
        <f>Tabell2[[#This Row],[Reisetid Oslo-I]]*$AE$2</f>
        <v>1.1890925862245625</v>
      </c>
      <c r="AF93" s="60">
        <f>Tabell2[[#This Row],[beftettotal-I]]*$AF$2</f>
        <v>1.9661186684870005</v>
      </c>
      <c r="AG93" s="60">
        <f>Tabell2[[#This Row],[Befvekst10-I]]*$AG$2</f>
        <v>17.958612255859567</v>
      </c>
      <c r="AH93" s="60">
        <f>Tabell2[[#This Row],[Kvinneandel-I]]*$AH$2</f>
        <v>4.0200455743236736</v>
      </c>
      <c r="AI93" s="60">
        <f>Tabell2[[#This Row],[Eldreandel-I]]*$AI$2</f>
        <v>2.901882512343922</v>
      </c>
      <c r="AJ93" s="60">
        <f>Tabell2[[#This Row],[Syssvekst10-I]]*$AJ$2</f>
        <v>9.2239718881721426</v>
      </c>
      <c r="AK93" s="60">
        <f>Tabell2[[#This Row],[Yrkesaktiveandel-I]]*$AK$2</f>
        <v>3.4263706160022238</v>
      </c>
      <c r="AL93" s="60">
        <f>Tabell2[[#This Row],[Bruttoinntekt17+-I]]*$AL$2</f>
        <v>3.2411961406183494</v>
      </c>
      <c r="AM93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43.92729024203144</v>
      </c>
    </row>
    <row r="94" spans="1:39">
      <c r="A94" s="64">
        <v>89</v>
      </c>
      <c r="B94" s="8" t="s">
        <v>144</v>
      </c>
      <c r="C94" s="45">
        <f>Råark!L91</f>
        <v>10</v>
      </c>
      <c r="D94" s="80">
        <f>Råark!K91</f>
        <v>179.22156812890836</v>
      </c>
      <c r="E94" s="80">
        <f>Råark!N91</f>
        <v>21.215235263249959</v>
      </c>
      <c r="F94" s="80">
        <f>Råark!O91</f>
        <v>-6.0438434746977743E-3</v>
      </c>
      <c r="G94" s="80">
        <f>Råark!P91</f>
        <v>0.10563743172214779</v>
      </c>
      <c r="H94" s="80">
        <f>Råark!Q91</f>
        <v>0.16819540348345871</v>
      </c>
      <c r="I94" s="80">
        <f>Råark!R91</f>
        <v>4.4281376518218618E-2</v>
      </c>
      <c r="J94" s="80">
        <f>Råark!S91</f>
        <v>0.85973353071798664</v>
      </c>
      <c r="K94" s="80">
        <f>Råark!M91</f>
        <v>311886.87823834195</v>
      </c>
      <c r="L94" s="59">
        <f>Tabell2[[#This Row],[NIBR11BA]]</f>
        <v>10</v>
      </c>
      <c r="M94" s="80">
        <f>IF(Tabell2[[#This Row],[Reisetid Oslo]]&lt;D$167,D$167,IF(Tabell2[[#This Row],[Reisetid Oslo]]&gt;D$168,D$168,Tabell2[[#This Row],[Reisetid Oslo]]))</f>
        <v>179.22156812890836</v>
      </c>
      <c r="N94" s="80">
        <f>IF(Tabell2[[#This Row],[beftettotal]]&lt;E$167,E$167,IF(Tabell2[[#This Row],[beftettotal]]&gt;E$168,E$168,Tabell2[[#This Row],[beftettotal]]))</f>
        <v>21.215235263249959</v>
      </c>
      <c r="O94" s="80">
        <f>IF(Tabell2[[#This Row],[Befvekst10]]&lt;F$167,F$167,IF(Tabell2[[#This Row],[Befvekst10]]&gt;F$168,F$168,Tabell2[[#This Row],[Befvekst10]]))</f>
        <v>-6.0438434746977743E-3</v>
      </c>
      <c r="P94" s="80">
        <f>IF(Tabell2[[#This Row],[Kvinneandel]]&lt;G$167,G$167,IF(Tabell2[[#This Row],[Kvinneandel]]&gt;G$168,G$168,Tabell2[[#This Row],[Kvinneandel]]))</f>
        <v>0.10563743172214779</v>
      </c>
      <c r="Q94" s="80">
        <f>IF(Tabell2[[#This Row],[Eldreandel]]&lt;H$167,H$167,IF(Tabell2[[#This Row],[Eldreandel]]&gt;H$168,H$168,Tabell2[[#This Row],[Eldreandel]]))</f>
        <v>0.16819540348345871</v>
      </c>
      <c r="R94" s="80">
        <f>IF(Tabell2[[#This Row],[Syssvekst10]]&lt;I$167,I$167,IF(Tabell2[[#This Row],[Syssvekst10]]&gt;I$168,I$168,Tabell2[[#This Row],[Syssvekst10]]))</f>
        <v>4.4281376518218618E-2</v>
      </c>
      <c r="S94" s="80">
        <f>IF(Tabell2[[#This Row],[Yrkesaktiveandel]]&lt;J$167,J$167,IF(Tabell2[[#This Row],[Yrkesaktiveandel]]&gt;J$168,J$168,Tabell2[[#This Row],[Yrkesaktiveandel]]))</f>
        <v>0.85973353071798664</v>
      </c>
      <c r="T94" s="80">
        <f>IF(Tabell2[[#This Row],[Bruttoinntekt17+]]&lt;K$167,K$167,IF(Tabell2[[#This Row],[Bruttoinntekt17+]]&gt;K$168,K$168,Tabell2[[#This Row],[Bruttoinntekt17+]]))</f>
        <v>311886.87823834195</v>
      </c>
      <c r="U94" s="60">
        <f>IF(Tabell2[[#This Row],[NIBR11-BA-Utrunk]]&lt;=L$170,100,IF(Tabell2[[#This Row],[NIBR11-BA-Utrunk]]&gt;=L$169,0,100-Tabell2[[#This Row],[NIBR11-BA-Utrunk]]*100/L$171))</f>
        <v>0</v>
      </c>
      <c r="V94" s="60">
        <f>(M$169-Tabell2[[#This Row],[Reisetid Oslo-T]])*100/M$171</f>
        <v>74.59293686883646</v>
      </c>
      <c r="W94" s="60">
        <f>100-(N$169-Tabell2[[#This Row],[beftettotal-T]])*100/N$171</f>
        <v>46.988296763138671</v>
      </c>
      <c r="X94" s="60">
        <f>100-(O$169-Tabell2[[#This Row],[Befvekst10-T]])*100/O$171</f>
        <v>53.549883078199265</v>
      </c>
      <c r="Y94" s="60">
        <f>100-(P$169-Tabell2[[#This Row],[Kvinneandel-T]])*100/P$171</f>
        <v>45.20370631984671</v>
      </c>
      <c r="Z94" s="60">
        <f>(Q$169-Tabell2[[#This Row],[Eldreandel-T]])*100/Q$171</f>
        <v>47.457409231305846</v>
      </c>
      <c r="AA94" s="60">
        <f>100-(R$169-Tabell2[[#This Row],[Syssvekst10-T]])*100/R$171</f>
        <v>54.982618735848455</v>
      </c>
      <c r="AB94" s="60">
        <f>100-(S$169-Tabell2[[#This Row],[Yrkesaktiveandel-T]])*100/S$171</f>
        <v>25.093178571204788</v>
      </c>
      <c r="AC94" s="60">
        <f>100-(T$169-Tabell2[[#This Row],[Bruttoinntekt17+-T]])*100/T$171</f>
        <v>29.507637127063958</v>
      </c>
      <c r="AD94" s="60">
        <f>Tabell2[[#This Row],[NIBR11-BA-I]]*$AD$2</f>
        <v>0</v>
      </c>
      <c r="AE94" s="60">
        <f>Tabell2[[#This Row],[Reisetid Oslo-I]]*$AE$2</f>
        <v>7.4592936868836466</v>
      </c>
      <c r="AF94" s="60">
        <f>Tabell2[[#This Row],[beftettotal-I]]*$AF$2</f>
        <v>4.6988296763138671</v>
      </c>
      <c r="AG94" s="60">
        <f>Tabell2[[#This Row],[Befvekst10-I]]*$AG$2</f>
        <v>10.709976615639853</v>
      </c>
      <c r="AH94" s="60">
        <f>Tabell2[[#This Row],[Kvinneandel-I]]*$AH$2</f>
        <v>2.2601853159923357</v>
      </c>
      <c r="AI94" s="60">
        <f>Tabell2[[#This Row],[Eldreandel-I]]*$AI$2</f>
        <v>2.3728704615652925</v>
      </c>
      <c r="AJ94" s="60">
        <f>Tabell2[[#This Row],[Syssvekst10-I]]*$AJ$2</f>
        <v>5.4982618735848456</v>
      </c>
      <c r="AK94" s="60">
        <f>Tabell2[[#This Row],[Yrkesaktiveandel-I]]*$AK$2</f>
        <v>2.5093178571204788</v>
      </c>
      <c r="AL94" s="60">
        <f>Tabell2[[#This Row],[Bruttoinntekt17+-I]]*$AL$2</f>
        <v>2.9507637127063959</v>
      </c>
      <c r="AM94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38.459499199806714</v>
      </c>
    </row>
    <row r="95" spans="1:39">
      <c r="A95" s="63">
        <v>90</v>
      </c>
      <c r="B95" s="8" t="s">
        <v>145</v>
      </c>
      <c r="C95" s="45">
        <f>Råark!L92</f>
        <v>11</v>
      </c>
      <c r="D95" s="80">
        <f>Råark!K92</f>
        <v>230.42989884862806</v>
      </c>
      <c r="E95" s="80">
        <f>Råark!N92</f>
        <v>3.1909774436090226</v>
      </c>
      <c r="F95" s="80">
        <f>Råark!O92</f>
        <v>-5.11960652805723E-2</v>
      </c>
      <c r="G95" s="80">
        <f>Råark!P92</f>
        <v>8.8124410933082001E-2</v>
      </c>
      <c r="H95" s="80">
        <f>Råark!Q92</f>
        <v>0.20358152686145145</v>
      </c>
      <c r="I95" s="80">
        <f>Råark!R92</f>
        <v>1.7976373908577203E-2</v>
      </c>
      <c r="J95" s="80">
        <f>Råark!S92</f>
        <v>0.93988591487494511</v>
      </c>
      <c r="K95" s="80">
        <f>Råark!M92</f>
        <v>297004.07396706153</v>
      </c>
      <c r="L95" s="59">
        <f>Tabell2[[#This Row],[NIBR11BA]]</f>
        <v>11</v>
      </c>
      <c r="M95" s="80">
        <f>IF(Tabell2[[#This Row],[Reisetid Oslo]]&lt;D$167,D$167,IF(Tabell2[[#This Row],[Reisetid Oslo]]&gt;D$168,D$168,Tabell2[[#This Row],[Reisetid Oslo]]))</f>
        <v>230.42989884862806</v>
      </c>
      <c r="N95" s="80">
        <f>IF(Tabell2[[#This Row],[beftettotal]]&lt;E$167,E$167,IF(Tabell2[[#This Row],[beftettotal]]&gt;E$168,E$168,Tabell2[[#This Row],[beftettotal]]))</f>
        <v>3.1909774436090226</v>
      </c>
      <c r="O95" s="80">
        <f>IF(Tabell2[[#This Row],[Befvekst10]]&lt;F$167,F$167,IF(Tabell2[[#This Row],[Befvekst10]]&gt;F$168,F$168,Tabell2[[#This Row],[Befvekst10]]))</f>
        <v>-5.11960652805723E-2</v>
      </c>
      <c r="P95" s="80">
        <f>IF(Tabell2[[#This Row],[Kvinneandel]]&lt;G$167,G$167,IF(Tabell2[[#This Row],[Kvinneandel]]&gt;G$168,G$168,Tabell2[[#This Row],[Kvinneandel]]))</f>
        <v>9.1462840383166502E-2</v>
      </c>
      <c r="Q95" s="80">
        <f>IF(Tabell2[[#This Row],[Eldreandel]]&lt;H$167,H$167,IF(Tabell2[[#This Row],[Eldreandel]]&gt;H$168,H$168,Tabell2[[#This Row],[Eldreandel]]))</f>
        <v>0.20358152686145145</v>
      </c>
      <c r="R95" s="80">
        <f>IF(Tabell2[[#This Row],[Syssvekst10]]&lt;I$167,I$167,IF(Tabell2[[#This Row],[Syssvekst10]]&gt;I$168,I$168,Tabell2[[#This Row],[Syssvekst10]]))</f>
        <v>1.7976373908577203E-2</v>
      </c>
      <c r="S95" s="80">
        <f>IF(Tabell2[[#This Row],[Yrkesaktiveandel]]&lt;J$167,J$167,IF(Tabell2[[#This Row],[Yrkesaktiveandel]]&gt;J$168,J$168,Tabell2[[#This Row],[Yrkesaktiveandel]]))</f>
        <v>0.93988591487494511</v>
      </c>
      <c r="T95" s="80">
        <f>IF(Tabell2[[#This Row],[Bruttoinntekt17+]]&lt;K$167,K$167,IF(Tabell2[[#This Row],[Bruttoinntekt17+]]&gt;K$168,K$168,Tabell2[[#This Row],[Bruttoinntekt17+]]))</f>
        <v>297004.07396706153</v>
      </c>
      <c r="U95" s="60">
        <f>IF(Tabell2[[#This Row],[NIBR11-BA-Utrunk]]&lt;=L$170,100,IF(Tabell2[[#This Row],[NIBR11-BA-Utrunk]]&gt;=L$169,0,100-Tabell2[[#This Row],[NIBR11-BA-Utrunk]]*100/L$171))</f>
        <v>0</v>
      </c>
      <c r="V95" s="60">
        <f>(M$169-Tabell2[[#This Row],[Reisetid Oslo-T]])*100/M$171</f>
        <v>47.097440653856758</v>
      </c>
      <c r="W95" s="60">
        <f>100-(N$169-Tabell2[[#This Row],[beftettotal-T]])*100/N$171</f>
        <v>5.08410719382195</v>
      </c>
      <c r="X95" s="60">
        <f>100-(O$169-Tabell2[[#This Row],[Befvekst10-T]])*100/O$171</f>
        <v>33.300943387713488</v>
      </c>
      <c r="Y95" s="60">
        <f>100-(P$169-Tabell2[[#This Row],[Kvinneandel-T]])*100/P$171</f>
        <v>0</v>
      </c>
      <c r="Z95" s="60">
        <f>(Q$169-Tabell2[[#This Row],[Eldreandel-T]])*100/Q$171</f>
        <v>0.38526577118438249</v>
      </c>
      <c r="AA95" s="60">
        <f>100-(R$169-Tabell2[[#This Row],[Syssvekst10-T]])*100/R$171</f>
        <v>45.055474534461986</v>
      </c>
      <c r="AB95" s="60">
        <f>100-(S$169-Tabell2[[#This Row],[Yrkesaktiveandel-T]])*100/S$171</f>
        <v>85.681660272697712</v>
      </c>
      <c r="AC95" s="60">
        <f>100-(T$169-Tabell2[[#This Row],[Bruttoinntekt17+-T]])*100/T$171</f>
        <v>4.5794755124672264</v>
      </c>
      <c r="AD95" s="60">
        <f>Tabell2[[#This Row],[NIBR11-BA-I]]*$AD$2</f>
        <v>0</v>
      </c>
      <c r="AE95" s="60">
        <f>Tabell2[[#This Row],[Reisetid Oslo-I]]*$AE$2</f>
        <v>4.7097440653856761</v>
      </c>
      <c r="AF95" s="60">
        <f>Tabell2[[#This Row],[beftettotal-I]]*$AF$2</f>
        <v>0.50841071938219506</v>
      </c>
      <c r="AG95" s="60">
        <f>Tabell2[[#This Row],[Befvekst10-I]]*$AG$2</f>
        <v>6.6601886775426982</v>
      </c>
      <c r="AH95" s="60">
        <f>Tabell2[[#This Row],[Kvinneandel-I]]*$AH$2</f>
        <v>0</v>
      </c>
      <c r="AI95" s="60">
        <f>Tabell2[[#This Row],[Eldreandel-I]]*$AI$2</f>
        <v>1.9263288559219126E-2</v>
      </c>
      <c r="AJ95" s="60">
        <f>Tabell2[[#This Row],[Syssvekst10-I]]*$AJ$2</f>
        <v>4.5055474534461988</v>
      </c>
      <c r="AK95" s="60">
        <f>Tabell2[[#This Row],[Yrkesaktiveandel-I]]*$AK$2</f>
        <v>8.5681660272697719</v>
      </c>
      <c r="AL95" s="60">
        <f>Tabell2[[#This Row],[Bruttoinntekt17+-I]]*$AL$2</f>
        <v>0.45794755124672265</v>
      </c>
      <c r="AM95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25.429267782832483</v>
      </c>
    </row>
    <row r="96" spans="1:39">
      <c r="A96" s="64">
        <v>91</v>
      </c>
      <c r="B96" s="8" t="s">
        <v>146</v>
      </c>
      <c r="C96" s="45">
        <f>Råark!L93</f>
        <v>11</v>
      </c>
      <c r="D96" s="80">
        <f>Råark!K93</f>
        <v>267.2582173358</v>
      </c>
      <c r="E96" s="80">
        <f>Råark!N93</f>
        <v>2.6323939300092909</v>
      </c>
      <c r="F96" s="80">
        <f>Råark!O93</f>
        <v>-0.11458333333333337</v>
      </c>
      <c r="G96" s="80">
        <f>Råark!P93</f>
        <v>8.5294117647058826E-2</v>
      </c>
      <c r="H96" s="80">
        <f>Råark!Q93</f>
        <v>0.22254901960784312</v>
      </c>
      <c r="I96" s="80">
        <f>Råark!R93</f>
        <v>-6.2937062937062915E-2</v>
      </c>
      <c r="J96" s="80">
        <f>Råark!S93</f>
        <v>0.92380952380952386</v>
      </c>
      <c r="K96" s="80">
        <f>Råark!M93</f>
        <v>302200</v>
      </c>
      <c r="L96" s="59">
        <f>Tabell2[[#This Row],[NIBR11BA]]</f>
        <v>11</v>
      </c>
      <c r="M96" s="80">
        <f>IF(Tabell2[[#This Row],[Reisetid Oslo]]&lt;D$167,D$167,IF(Tabell2[[#This Row],[Reisetid Oslo]]&gt;D$168,D$168,Tabell2[[#This Row],[Reisetid Oslo]]))</f>
        <v>267.2582173358</v>
      </c>
      <c r="N96" s="80">
        <f>IF(Tabell2[[#This Row],[beftettotal]]&lt;E$167,E$167,IF(Tabell2[[#This Row],[beftettotal]]&gt;E$168,E$168,Tabell2[[#This Row],[beftettotal]]))</f>
        <v>2.6323939300092909</v>
      </c>
      <c r="O96" s="80">
        <f>IF(Tabell2[[#This Row],[Befvekst10]]&lt;F$167,F$167,IF(Tabell2[[#This Row],[Befvekst10]]&gt;F$168,F$168,Tabell2[[#This Row],[Befvekst10]]))</f>
        <v>-0.11458333333333337</v>
      </c>
      <c r="P96" s="80">
        <f>IF(Tabell2[[#This Row],[Kvinneandel]]&lt;G$167,G$167,IF(Tabell2[[#This Row],[Kvinneandel]]&gt;G$168,G$168,Tabell2[[#This Row],[Kvinneandel]]))</f>
        <v>9.1462840383166502E-2</v>
      </c>
      <c r="Q96" s="80">
        <f>IF(Tabell2[[#This Row],[Eldreandel]]&lt;H$167,H$167,IF(Tabell2[[#This Row],[Eldreandel]]&gt;H$168,H$168,Tabell2[[#This Row],[Eldreandel]]))</f>
        <v>0.20387114745465851</v>
      </c>
      <c r="R96" s="80">
        <f>IF(Tabell2[[#This Row],[Syssvekst10]]&lt;I$167,I$167,IF(Tabell2[[#This Row],[Syssvekst10]]&gt;I$168,I$168,Tabell2[[#This Row],[Syssvekst10]]))</f>
        <v>-6.2937062937062915E-2</v>
      </c>
      <c r="S96" s="80">
        <f>IF(Tabell2[[#This Row],[Yrkesaktiveandel]]&lt;J$167,J$167,IF(Tabell2[[#This Row],[Yrkesaktiveandel]]&gt;J$168,J$168,Tabell2[[#This Row],[Yrkesaktiveandel]]))</f>
        <v>0.92380952380952386</v>
      </c>
      <c r="T96" s="80">
        <f>IF(Tabell2[[#This Row],[Bruttoinntekt17+]]&lt;K$167,K$167,IF(Tabell2[[#This Row],[Bruttoinntekt17+]]&gt;K$168,K$168,Tabell2[[#This Row],[Bruttoinntekt17+]]))</f>
        <v>302200</v>
      </c>
      <c r="U96" s="60">
        <f>IF(Tabell2[[#This Row],[NIBR11-BA-Utrunk]]&lt;=L$170,100,IF(Tabell2[[#This Row],[NIBR11-BA-Utrunk]]&gt;=L$169,0,100-Tabell2[[#This Row],[NIBR11-BA-Utrunk]]*100/L$171))</f>
        <v>0</v>
      </c>
      <c r="V96" s="60">
        <f>(M$169-Tabell2[[#This Row],[Reisetid Oslo-T]])*100/M$171</f>
        <v>27.323062592004451</v>
      </c>
      <c r="W96" s="60">
        <f>100-(N$169-Tabell2[[#This Row],[beftettotal-T]])*100/N$171</f>
        <v>3.7854690097480699</v>
      </c>
      <c r="X96" s="60">
        <f>100-(O$169-Tabell2[[#This Row],[Befvekst10-T]])*100/O$171</f>
        <v>4.8743252367098648</v>
      </c>
      <c r="Y96" s="60">
        <f>100-(P$169-Tabell2[[#This Row],[Kvinneandel-T]])*100/P$171</f>
        <v>0</v>
      </c>
      <c r="Z96" s="60">
        <f>(Q$169-Tabell2[[#This Row],[Eldreandel-T]])*100/Q$171</f>
        <v>0</v>
      </c>
      <c r="AA96" s="60">
        <f>100-(R$169-Tabell2[[#This Row],[Syssvekst10-T]])*100/R$171</f>
        <v>14.519862456550996</v>
      </c>
      <c r="AB96" s="60">
        <f>100-(S$169-Tabell2[[#This Row],[Yrkesaktiveandel-T]])*100/S$171</f>
        <v>73.529256621349091</v>
      </c>
      <c r="AC96" s="60">
        <f>100-(T$169-Tabell2[[#This Row],[Bruttoinntekt17+-T]])*100/T$171</f>
        <v>13.282464648494965</v>
      </c>
      <c r="AD96" s="60">
        <f>Tabell2[[#This Row],[NIBR11-BA-I]]*$AD$2</f>
        <v>0</v>
      </c>
      <c r="AE96" s="60">
        <f>Tabell2[[#This Row],[Reisetid Oslo-I]]*$AE$2</f>
        <v>2.7323062592004455</v>
      </c>
      <c r="AF96" s="60">
        <f>Tabell2[[#This Row],[beftettotal-I]]*$AF$2</f>
        <v>0.37854690097480703</v>
      </c>
      <c r="AG96" s="60">
        <f>Tabell2[[#This Row],[Befvekst10-I]]*$AG$2</f>
        <v>0.97486504734197299</v>
      </c>
      <c r="AH96" s="60">
        <f>Tabell2[[#This Row],[Kvinneandel-I]]*$AH$2</f>
        <v>0</v>
      </c>
      <c r="AI96" s="60">
        <f>Tabell2[[#This Row],[Eldreandel-I]]*$AI$2</f>
        <v>0</v>
      </c>
      <c r="AJ96" s="60">
        <f>Tabell2[[#This Row],[Syssvekst10-I]]*$AJ$2</f>
        <v>1.4519862456550996</v>
      </c>
      <c r="AK96" s="60">
        <f>Tabell2[[#This Row],[Yrkesaktiveandel-I]]*$AK$2</f>
        <v>7.3529256621349095</v>
      </c>
      <c r="AL96" s="60">
        <f>Tabell2[[#This Row],[Bruttoinntekt17+-I]]*$AL$2</f>
        <v>1.3282464648494967</v>
      </c>
      <c r="AM96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14.218876580156731</v>
      </c>
    </row>
    <row r="97" spans="1:39">
      <c r="A97" s="63">
        <v>92</v>
      </c>
      <c r="B97" s="8" t="s">
        <v>147</v>
      </c>
      <c r="C97" s="45">
        <f>Råark!L94</f>
        <v>9</v>
      </c>
      <c r="D97" s="80">
        <f>Råark!K94</f>
        <v>265.21708657918037</v>
      </c>
      <c r="E97" s="80">
        <f>Råark!N94</f>
        <v>2.8937828980037739</v>
      </c>
      <c r="F97" s="80">
        <f>Råark!O94</f>
        <v>2.9821073558648159E-2</v>
      </c>
      <c r="G97" s="80">
        <f>Råark!P94</f>
        <v>0.10424710424710425</v>
      </c>
      <c r="H97" s="80">
        <f>Råark!Q94</f>
        <v>0.16999141999141998</v>
      </c>
      <c r="I97" s="80">
        <f>Råark!R94</f>
        <v>2.8852920478536159E-2</v>
      </c>
      <c r="J97" s="80">
        <f>Råark!S94</f>
        <v>0.93265148591277502</v>
      </c>
      <c r="K97" s="80">
        <f>Råark!M94</f>
        <v>305465.82039162726</v>
      </c>
      <c r="L97" s="59">
        <f>Tabell2[[#This Row],[NIBR11BA]]</f>
        <v>9</v>
      </c>
      <c r="M97" s="80">
        <f>IF(Tabell2[[#This Row],[Reisetid Oslo]]&lt;D$167,D$167,IF(Tabell2[[#This Row],[Reisetid Oslo]]&gt;D$168,D$168,Tabell2[[#This Row],[Reisetid Oslo]]))</f>
        <v>265.21708657918037</v>
      </c>
      <c r="N97" s="80">
        <f>IF(Tabell2[[#This Row],[beftettotal]]&lt;E$167,E$167,IF(Tabell2[[#This Row],[beftettotal]]&gt;E$168,E$168,Tabell2[[#This Row],[beftettotal]]))</f>
        <v>2.8937828980037739</v>
      </c>
      <c r="O97" s="80">
        <f>IF(Tabell2[[#This Row],[Befvekst10]]&lt;F$167,F$167,IF(Tabell2[[#This Row],[Befvekst10]]&gt;F$168,F$168,Tabell2[[#This Row],[Befvekst10]]))</f>
        <v>2.9821073558648159E-2</v>
      </c>
      <c r="P97" s="80">
        <f>IF(Tabell2[[#This Row],[Kvinneandel]]&lt;G$167,G$167,IF(Tabell2[[#This Row],[Kvinneandel]]&gt;G$168,G$168,Tabell2[[#This Row],[Kvinneandel]]))</f>
        <v>0.10424710424710425</v>
      </c>
      <c r="Q97" s="80">
        <f>IF(Tabell2[[#This Row],[Eldreandel]]&lt;H$167,H$167,IF(Tabell2[[#This Row],[Eldreandel]]&gt;H$168,H$168,Tabell2[[#This Row],[Eldreandel]]))</f>
        <v>0.16999141999141998</v>
      </c>
      <c r="R97" s="80">
        <f>IF(Tabell2[[#This Row],[Syssvekst10]]&lt;I$167,I$167,IF(Tabell2[[#This Row],[Syssvekst10]]&gt;I$168,I$168,Tabell2[[#This Row],[Syssvekst10]]))</f>
        <v>2.8852920478536159E-2</v>
      </c>
      <c r="S97" s="80">
        <f>IF(Tabell2[[#This Row],[Yrkesaktiveandel]]&lt;J$167,J$167,IF(Tabell2[[#This Row],[Yrkesaktiveandel]]&gt;J$168,J$168,Tabell2[[#This Row],[Yrkesaktiveandel]]))</f>
        <v>0.93265148591277502</v>
      </c>
      <c r="T97" s="80">
        <f>IF(Tabell2[[#This Row],[Bruttoinntekt17+]]&lt;K$167,K$167,IF(Tabell2[[#This Row],[Bruttoinntekt17+]]&gt;K$168,K$168,Tabell2[[#This Row],[Bruttoinntekt17+]]))</f>
        <v>305465.82039162726</v>
      </c>
      <c r="U97" s="60">
        <f>IF(Tabell2[[#This Row],[NIBR11-BA-Utrunk]]&lt;=L$170,100,IF(Tabell2[[#This Row],[NIBR11-BA-Utrunk]]&gt;=L$169,0,100-Tabell2[[#This Row],[NIBR11-BA-Utrunk]]*100/L$171))</f>
        <v>10</v>
      </c>
      <c r="V97" s="60">
        <f>(M$169-Tabell2[[#This Row],[Reisetid Oslo-T]])*100/M$171</f>
        <v>28.419015188078856</v>
      </c>
      <c r="W97" s="60">
        <f>100-(N$169-Tabell2[[#This Row],[beftettotal-T]])*100/N$171</f>
        <v>4.3931663127811333</v>
      </c>
      <c r="X97" s="60">
        <f>100-(O$169-Tabell2[[#This Row],[Befvekst10-T]])*100/O$171</f>
        <v>69.633843356716767</v>
      </c>
      <c r="Y97" s="60">
        <f>100-(P$169-Tabell2[[#This Row],[Kvinneandel-T]])*100/P$171</f>
        <v>40.769860336756864</v>
      </c>
      <c r="Z97" s="60">
        <f>(Q$169-Tabell2[[#This Row],[Eldreandel-T]])*100/Q$171</f>
        <v>45.068270816328258</v>
      </c>
      <c r="AA97" s="60">
        <f>100-(R$169-Tabell2[[#This Row],[Syssvekst10-T]])*100/R$171</f>
        <v>49.16013279340104</v>
      </c>
      <c r="AB97" s="60">
        <f>100-(S$169-Tabell2[[#This Row],[Yrkesaktiveandel-T]])*100/S$171</f>
        <v>80.21303857908913</v>
      </c>
      <c r="AC97" s="60">
        <f>100-(T$169-Tabell2[[#This Row],[Bruttoinntekt17+-T]])*100/T$171</f>
        <v>18.752596287854743</v>
      </c>
      <c r="AD97" s="60">
        <f>Tabell2[[#This Row],[NIBR11-BA-I]]*$AD$2</f>
        <v>2</v>
      </c>
      <c r="AE97" s="60">
        <f>Tabell2[[#This Row],[Reisetid Oslo-I]]*$AE$2</f>
        <v>2.8419015188078856</v>
      </c>
      <c r="AF97" s="60">
        <f>Tabell2[[#This Row],[beftettotal-I]]*$AF$2</f>
        <v>0.43931663127811338</v>
      </c>
      <c r="AG97" s="60">
        <f>Tabell2[[#This Row],[Befvekst10-I]]*$AG$2</f>
        <v>13.926768671343353</v>
      </c>
      <c r="AH97" s="60">
        <f>Tabell2[[#This Row],[Kvinneandel-I]]*$AH$2</f>
        <v>2.0384930168378435</v>
      </c>
      <c r="AI97" s="60">
        <f>Tabell2[[#This Row],[Eldreandel-I]]*$AI$2</f>
        <v>2.2534135408164131</v>
      </c>
      <c r="AJ97" s="60">
        <f>Tabell2[[#This Row],[Syssvekst10-I]]*$AJ$2</f>
        <v>4.9160132793401043</v>
      </c>
      <c r="AK97" s="60">
        <f>Tabell2[[#This Row],[Yrkesaktiveandel-I]]*$AK$2</f>
        <v>8.0213038579089133</v>
      </c>
      <c r="AL97" s="60">
        <f>Tabell2[[#This Row],[Bruttoinntekt17+-I]]*$AL$2</f>
        <v>1.8752596287854744</v>
      </c>
      <c r="AM97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38.312470145118098</v>
      </c>
    </row>
    <row r="98" spans="1:39">
      <c r="A98" s="64">
        <v>93</v>
      </c>
      <c r="B98" s="8" t="s">
        <v>148</v>
      </c>
      <c r="C98" s="45">
        <f>Råark!L95</f>
        <v>5</v>
      </c>
      <c r="D98" s="80">
        <f>Råark!K95</f>
        <v>216.99488098125366</v>
      </c>
      <c r="E98" s="80">
        <f>Råark!N95</f>
        <v>8.8750878952829133</v>
      </c>
      <c r="F98" s="80">
        <f>Råark!O95</f>
        <v>4.6986484134810658E-2</v>
      </c>
      <c r="G98" s="80">
        <f>Råark!P95</f>
        <v>0.11003379688625409</v>
      </c>
      <c r="H98" s="80">
        <f>Råark!Q95</f>
        <v>0.15806969915230762</v>
      </c>
      <c r="I98" s="80">
        <f>Råark!R95</f>
        <v>8.6756187467087909E-2</v>
      </c>
      <c r="J98" s="80">
        <f>Råark!S95</f>
        <v>0.87747991870705511</v>
      </c>
      <c r="K98" s="80">
        <f>Råark!M95</f>
        <v>313563.54319180088</v>
      </c>
      <c r="L98" s="59">
        <f>Tabell2[[#This Row],[NIBR11BA]]</f>
        <v>5</v>
      </c>
      <c r="M98" s="80">
        <f>IF(Tabell2[[#This Row],[Reisetid Oslo]]&lt;D$167,D$167,IF(Tabell2[[#This Row],[Reisetid Oslo]]&gt;D$168,D$168,Tabell2[[#This Row],[Reisetid Oslo]]))</f>
        <v>216.99488098125366</v>
      </c>
      <c r="N98" s="80">
        <f>IF(Tabell2[[#This Row],[beftettotal]]&lt;E$167,E$167,IF(Tabell2[[#This Row],[beftettotal]]&gt;E$168,E$168,Tabell2[[#This Row],[beftettotal]]))</f>
        <v>8.8750878952829133</v>
      </c>
      <c r="O98" s="80">
        <f>IF(Tabell2[[#This Row],[Befvekst10]]&lt;F$167,F$167,IF(Tabell2[[#This Row],[Befvekst10]]&gt;F$168,F$168,Tabell2[[#This Row],[Befvekst10]]))</f>
        <v>4.6986484134810658E-2</v>
      </c>
      <c r="P98" s="80">
        <f>IF(Tabell2[[#This Row],[Kvinneandel]]&lt;G$167,G$167,IF(Tabell2[[#This Row],[Kvinneandel]]&gt;G$168,G$168,Tabell2[[#This Row],[Kvinneandel]]))</f>
        <v>0.11003379688625409</v>
      </c>
      <c r="Q98" s="80">
        <f>IF(Tabell2[[#This Row],[Eldreandel]]&lt;H$167,H$167,IF(Tabell2[[#This Row],[Eldreandel]]&gt;H$168,H$168,Tabell2[[#This Row],[Eldreandel]]))</f>
        <v>0.15806969915230762</v>
      </c>
      <c r="R98" s="80">
        <f>IF(Tabell2[[#This Row],[Syssvekst10]]&lt;I$167,I$167,IF(Tabell2[[#This Row],[Syssvekst10]]&gt;I$168,I$168,Tabell2[[#This Row],[Syssvekst10]]))</f>
        <v>8.6756187467087909E-2</v>
      </c>
      <c r="S98" s="80">
        <f>IF(Tabell2[[#This Row],[Yrkesaktiveandel]]&lt;J$167,J$167,IF(Tabell2[[#This Row],[Yrkesaktiveandel]]&gt;J$168,J$168,Tabell2[[#This Row],[Yrkesaktiveandel]]))</f>
        <v>0.87747991870705511</v>
      </c>
      <c r="T98" s="80">
        <f>IF(Tabell2[[#This Row],[Bruttoinntekt17+]]&lt;K$167,K$167,IF(Tabell2[[#This Row],[Bruttoinntekt17+]]&gt;K$168,K$168,Tabell2[[#This Row],[Bruttoinntekt17+]]))</f>
        <v>313563.54319180088</v>
      </c>
      <c r="U98" s="60">
        <f>IF(Tabell2[[#This Row],[NIBR11-BA-Utrunk]]&lt;=L$170,100,IF(Tabell2[[#This Row],[NIBR11-BA-Utrunk]]&gt;=L$169,0,100-Tabell2[[#This Row],[NIBR11-BA-Utrunk]]*100/L$171))</f>
        <v>50</v>
      </c>
      <c r="V98" s="60">
        <f>(M$169-Tabell2[[#This Row],[Reisetid Oslo-T]])*100/M$171</f>
        <v>54.311159158809417</v>
      </c>
      <c r="W98" s="60">
        <f>100-(N$169-Tabell2[[#This Row],[beftettotal-T]])*100/N$171</f>
        <v>18.298967094478996</v>
      </c>
      <c r="X98" s="60">
        <f>100-(O$169-Tabell2[[#This Row],[Befvekst10-T]])*100/O$171</f>
        <v>77.331833613176741</v>
      </c>
      <c r="Y98" s="60">
        <f>100-(P$169-Tabell2[[#This Row],[Kvinneandel-T]])*100/P$171</f>
        <v>59.224004683337206</v>
      </c>
      <c r="Z98" s="60">
        <f>(Q$169-Tabell2[[#This Row],[Eldreandel-T]])*100/Q$171</f>
        <v>60.927056692240981</v>
      </c>
      <c r="AA98" s="60">
        <f>100-(R$169-Tabell2[[#This Row],[Syssvekst10-T]])*100/R$171</f>
        <v>71.012024985042586</v>
      </c>
      <c r="AB98" s="60">
        <f>100-(S$169-Tabell2[[#This Row],[Yrkesaktiveandel-T]])*100/S$171</f>
        <v>38.507959868760516</v>
      </c>
      <c r="AC98" s="60">
        <f>100-(T$169-Tabell2[[#This Row],[Bruttoinntekt17+-T]])*100/T$171</f>
        <v>32.315990591337439</v>
      </c>
      <c r="AD98" s="60">
        <f>Tabell2[[#This Row],[NIBR11-BA-I]]*$AD$2</f>
        <v>10</v>
      </c>
      <c r="AE98" s="60">
        <f>Tabell2[[#This Row],[Reisetid Oslo-I]]*$AE$2</f>
        <v>5.4311159158809419</v>
      </c>
      <c r="AF98" s="60">
        <f>Tabell2[[#This Row],[beftettotal-I]]*$AF$2</f>
        <v>1.8298967094478997</v>
      </c>
      <c r="AG98" s="60">
        <f>Tabell2[[#This Row],[Befvekst10-I]]*$AG$2</f>
        <v>15.46636672263535</v>
      </c>
      <c r="AH98" s="60">
        <f>Tabell2[[#This Row],[Kvinneandel-I]]*$AH$2</f>
        <v>2.9612002341668604</v>
      </c>
      <c r="AI98" s="60">
        <f>Tabell2[[#This Row],[Eldreandel-I]]*$AI$2</f>
        <v>3.0463528346120494</v>
      </c>
      <c r="AJ98" s="60">
        <f>Tabell2[[#This Row],[Syssvekst10-I]]*$AJ$2</f>
        <v>7.101202498504259</v>
      </c>
      <c r="AK98" s="60">
        <f>Tabell2[[#This Row],[Yrkesaktiveandel-I]]*$AK$2</f>
        <v>3.8507959868760517</v>
      </c>
      <c r="AL98" s="60">
        <f>Tabell2[[#This Row],[Bruttoinntekt17+-I]]*$AL$2</f>
        <v>3.2315990591337442</v>
      </c>
      <c r="AM98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52.91852996125715</v>
      </c>
    </row>
    <row r="99" spans="1:39">
      <c r="A99" s="63">
        <v>94</v>
      </c>
      <c r="B99" s="8" t="s">
        <v>149</v>
      </c>
      <c r="C99" s="45">
        <f>Råark!L96</f>
        <v>9</v>
      </c>
      <c r="D99" s="80">
        <f>Råark!K96</f>
        <v>161.28128219857652</v>
      </c>
      <c r="E99" s="80">
        <f>Råark!N96</f>
        <v>2.2958092032065727</v>
      </c>
      <c r="F99" s="80">
        <f>Råark!O96</f>
        <v>-2.8177518365703924E-2</v>
      </c>
      <c r="G99" s="80">
        <f>Råark!P96</f>
        <v>0.1021021021021021</v>
      </c>
      <c r="H99" s="80">
        <f>Råark!Q96</f>
        <v>0.18297607952780368</v>
      </c>
      <c r="I99" s="80">
        <f>Råark!R96</f>
        <v>2.1867115222876432E-2</v>
      </c>
      <c r="J99" s="80">
        <f>Råark!S96</f>
        <v>0.95640834575260802</v>
      </c>
      <c r="K99" s="80">
        <f>Råark!M96</f>
        <v>306871.95481966372</v>
      </c>
      <c r="L99" s="59">
        <f>Tabell2[[#This Row],[NIBR11BA]]</f>
        <v>9</v>
      </c>
      <c r="M99" s="80">
        <f>IF(Tabell2[[#This Row],[Reisetid Oslo]]&lt;D$167,D$167,IF(Tabell2[[#This Row],[Reisetid Oslo]]&gt;D$168,D$168,Tabell2[[#This Row],[Reisetid Oslo]]))</f>
        <v>161.28128219857652</v>
      </c>
      <c r="N99" s="80">
        <f>IF(Tabell2[[#This Row],[beftettotal]]&lt;E$167,E$167,IF(Tabell2[[#This Row],[beftettotal]]&gt;E$168,E$168,Tabell2[[#This Row],[beftettotal]]))</f>
        <v>2.2958092032065727</v>
      </c>
      <c r="O99" s="80">
        <f>IF(Tabell2[[#This Row],[Befvekst10]]&lt;F$167,F$167,IF(Tabell2[[#This Row],[Befvekst10]]&gt;F$168,F$168,Tabell2[[#This Row],[Befvekst10]]))</f>
        <v>-2.8177518365703924E-2</v>
      </c>
      <c r="P99" s="80">
        <f>IF(Tabell2[[#This Row],[Kvinneandel]]&lt;G$167,G$167,IF(Tabell2[[#This Row],[Kvinneandel]]&gt;G$168,G$168,Tabell2[[#This Row],[Kvinneandel]]))</f>
        <v>0.1021021021021021</v>
      </c>
      <c r="Q99" s="80">
        <f>IF(Tabell2[[#This Row],[Eldreandel]]&lt;H$167,H$167,IF(Tabell2[[#This Row],[Eldreandel]]&gt;H$168,H$168,Tabell2[[#This Row],[Eldreandel]]))</f>
        <v>0.18297607952780368</v>
      </c>
      <c r="R99" s="80">
        <f>IF(Tabell2[[#This Row],[Syssvekst10]]&lt;I$167,I$167,IF(Tabell2[[#This Row],[Syssvekst10]]&gt;I$168,I$168,Tabell2[[#This Row],[Syssvekst10]]))</f>
        <v>2.1867115222876432E-2</v>
      </c>
      <c r="S99" s="80">
        <f>IF(Tabell2[[#This Row],[Yrkesaktiveandel]]&lt;J$167,J$167,IF(Tabell2[[#This Row],[Yrkesaktiveandel]]&gt;J$168,J$168,Tabell2[[#This Row],[Yrkesaktiveandel]]))</f>
        <v>0.95640834575260802</v>
      </c>
      <c r="T99" s="80">
        <f>IF(Tabell2[[#This Row],[Bruttoinntekt17+]]&lt;K$167,K$167,IF(Tabell2[[#This Row],[Bruttoinntekt17+]]&gt;K$168,K$168,Tabell2[[#This Row],[Bruttoinntekt17+]]))</f>
        <v>306871.95481966372</v>
      </c>
      <c r="U99" s="60">
        <f>IF(Tabell2[[#This Row],[NIBR11-BA-Utrunk]]&lt;=L$170,100,IF(Tabell2[[#This Row],[NIBR11-BA-Utrunk]]&gt;=L$169,0,100-Tabell2[[#This Row],[NIBR11-BA-Utrunk]]*100/L$171))</f>
        <v>10</v>
      </c>
      <c r="V99" s="60">
        <f>(M$169-Tabell2[[#This Row],[Reisetid Oslo-T]])*100/M$171</f>
        <v>84.225687184267798</v>
      </c>
      <c r="W99" s="60">
        <f>100-(N$169-Tabell2[[#This Row],[beftettotal-T]])*100/N$171</f>
        <v>3.002950786850235</v>
      </c>
      <c r="X99" s="60">
        <f>100-(O$169-Tabell2[[#This Row],[Befvekst10-T]])*100/O$171</f>
        <v>43.623827835033097</v>
      </c>
      <c r="Y99" s="60">
        <f>100-(P$169-Tabell2[[#This Row],[Kvinneandel-T]])*100/P$171</f>
        <v>33.929307074987378</v>
      </c>
      <c r="Z99" s="60">
        <f>(Q$169-Tabell2[[#This Row],[Eldreandel-T]])*100/Q$171</f>
        <v>27.79551816273824</v>
      </c>
      <c r="AA99" s="60">
        <f>100-(R$169-Tabell2[[#This Row],[Syssvekst10-T]])*100/R$171</f>
        <v>46.523786499699497</v>
      </c>
      <c r="AB99" s="60">
        <f>100-(S$169-Tabell2[[#This Row],[Yrkesaktiveandel-T]])*100/S$171</f>
        <v>98.17123262197579</v>
      </c>
      <c r="AC99" s="60">
        <f>100-(T$169-Tabell2[[#This Row],[Bruttoinntekt17+-T]])*100/T$171</f>
        <v>21.10782085676091</v>
      </c>
      <c r="AD99" s="60">
        <f>Tabell2[[#This Row],[NIBR11-BA-I]]*$AD$2</f>
        <v>2</v>
      </c>
      <c r="AE99" s="60">
        <f>Tabell2[[#This Row],[Reisetid Oslo-I]]*$AE$2</f>
        <v>8.4225687184267795</v>
      </c>
      <c r="AF99" s="60">
        <f>Tabell2[[#This Row],[beftettotal-I]]*$AF$2</f>
        <v>0.30029507868502353</v>
      </c>
      <c r="AG99" s="60">
        <f>Tabell2[[#This Row],[Befvekst10-I]]*$AG$2</f>
        <v>8.7247655670066191</v>
      </c>
      <c r="AH99" s="60">
        <f>Tabell2[[#This Row],[Kvinneandel-I]]*$AH$2</f>
        <v>1.696465353749369</v>
      </c>
      <c r="AI99" s="60">
        <f>Tabell2[[#This Row],[Eldreandel-I]]*$AI$2</f>
        <v>1.3897759081369121</v>
      </c>
      <c r="AJ99" s="60">
        <f>Tabell2[[#This Row],[Syssvekst10-I]]*$AJ$2</f>
        <v>4.6523786499699495</v>
      </c>
      <c r="AK99" s="60">
        <f>Tabell2[[#This Row],[Yrkesaktiveandel-I]]*$AK$2</f>
        <v>9.8171232621975797</v>
      </c>
      <c r="AL99" s="60">
        <f>Tabell2[[#This Row],[Bruttoinntekt17+-I]]*$AL$2</f>
        <v>2.110782085676091</v>
      </c>
      <c r="AM99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39.114154623848322</v>
      </c>
    </row>
    <row r="100" spans="1:39">
      <c r="A100" s="64">
        <v>95</v>
      </c>
      <c r="B100" s="8" t="s">
        <v>150</v>
      </c>
      <c r="C100" s="45">
        <f>Råark!L97</f>
        <v>11</v>
      </c>
      <c r="D100" s="80">
        <f>Råark!K97</f>
        <v>203.073546593</v>
      </c>
      <c r="E100" s="80">
        <f>Råark!N97</f>
        <v>0.65452411582819869</v>
      </c>
      <c r="F100" s="80">
        <f>Råark!O97</f>
        <v>-4.8140043763676199E-2</v>
      </c>
      <c r="G100" s="80">
        <f>Råark!P97</f>
        <v>0.10574712643678161</v>
      </c>
      <c r="H100" s="80">
        <f>Råark!Q97</f>
        <v>0.2218390804597701</v>
      </c>
      <c r="I100" s="80">
        <f>Råark!R97</f>
        <v>-1.6949152542372836E-2</v>
      </c>
      <c r="J100" s="80">
        <f>Råark!S97</f>
        <v>0.99371069182389937</v>
      </c>
      <c r="K100" s="80">
        <f>Råark!M97</f>
        <v>294700</v>
      </c>
      <c r="L100" s="59">
        <f>Tabell2[[#This Row],[NIBR11BA]]</f>
        <v>11</v>
      </c>
      <c r="M100" s="80">
        <f>IF(Tabell2[[#This Row],[Reisetid Oslo]]&lt;D$167,D$167,IF(Tabell2[[#This Row],[Reisetid Oslo]]&gt;D$168,D$168,Tabell2[[#This Row],[Reisetid Oslo]]))</f>
        <v>203.073546593</v>
      </c>
      <c r="N100" s="80">
        <f>IF(Tabell2[[#This Row],[beftettotal]]&lt;E$167,E$167,IF(Tabell2[[#This Row],[beftettotal]]&gt;E$168,E$168,Tabell2[[#This Row],[beftettotal]]))</f>
        <v>1.0041493534832273</v>
      </c>
      <c r="O100" s="80">
        <f>IF(Tabell2[[#This Row],[Befvekst10]]&lt;F$167,F$167,IF(Tabell2[[#This Row],[Befvekst10]]&gt;F$168,F$168,Tabell2[[#This Row],[Befvekst10]]))</f>
        <v>-4.8140043763676199E-2</v>
      </c>
      <c r="P100" s="80">
        <f>IF(Tabell2[[#This Row],[Kvinneandel]]&lt;G$167,G$167,IF(Tabell2[[#This Row],[Kvinneandel]]&gt;G$168,G$168,Tabell2[[#This Row],[Kvinneandel]]))</f>
        <v>0.10574712643678161</v>
      </c>
      <c r="Q100" s="80">
        <f>IF(Tabell2[[#This Row],[Eldreandel]]&lt;H$167,H$167,IF(Tabell2[[#This Row],[Eldreandel]]&gt;H$168,H$168,Tabell2[[#This Row],[Eldreandel]]))</f>
        <v>0.20387114745465851</v>
      </c>
      <c r="R100" s="80">
        <f>IF(Tabell2[[#This Row],[Syssvekst10]]&lt;I$167,I$167,IF(Tabell2[[#This Row],[Syssvekst10]]&gt;I$168,I$168,Tabell2[[#This Row],[Syssvekst10]]))</f>
        <v>-1.6949152542372836E-2</v>
      </c>
      <c r="S100" s="80">
        <f>IF(Tabell2[[#This Row],[Yrkesaktiveandel]]&lt;J$167,J$167,IF(Tabell2[[#This Row],[Yrkesaktiveandel]]&gt;J$168,J$168,Tabell2[[#This Row],[Yrkesaktiveandel]]))</f>
        <v>0.95882761854672227</v>
      </c>
      <c r="T100" s="80">
        <f>IF(Tabell2[[#This Row],[Bruttoinntekt17+]]&lt;K$167,K$167,IF(Tabell2[[#This Row],[Bruttoinntekt17+]]&gt;K$168,K$168,Tabell2[[#This Row],[Bruttoinntekt17+]]))</f>
        <v>294700</v>
      </c>
      <c r="U100" s="60">
        <f>IF(Tabell2[[#This Row],[NIBR11-BA-Utrunk]]&lt;=L$170,100,IF(Tabell2[[#This Row],[NIBR11-BA-Utrunk]]&gt;=L$169,0,100-Tabell2[[#This Row],[NIBR11-BA-Utrunk]]*100/L$171))</f>
        <v>0</v>
      </c>
      <c r="V100" s="60">
        <f>(M$169-Tabell2[[#This Row],[Reisetid Oslo-T]])*100/M$171</f>
        <v>61.785997561075348</v>
      </c>
      <c r="W100" s="60">
        <f>100-(N$169-Tabell2[[#This Row],[beftettotal-T]])*100/N$171</f>
        <v>0</v>
      </c>
      <c r="X100" s="60">
        <f>100-(O$169-Tabell2[[#This Row],[Befvekst10-T]])*100/O$171</f>
        <v>34.671445057697866</v>
      </c>
      <c r="Y100" s="60">
        <f>100-(P$169-Tabell2[[#This Row],[Kvinneandel-T]])*100/P$171</f>
        <v>45.553529997056366</v>
      </c>
      <c r="Z100" s="60">
        <f>(Q$169-Tabell2[[#This Row],[Eldreandel-T]])*100/Q$171</f>
        <v>0</v>
      </c>
      <c r="AA100" s="60">
        <f>100-(R$169-Tabell2[[#This Row],[Syssvekst10-T]])*100/R$171</f>
        <v>31.875063852394973</v>
      </c>
      <c r="AB100" s="60">
        <f>100-(S$169-Tabell2[[#This Row],[Yrkesaktiveandel-T]])*100/S$171</f>
        <v>100</v>
      </c>
      <c r="AC100" s="60">
        <f>100-(T$169-Tabell2[[#This Row],[Bruttoinntekt17+-T]])*100/T$171</f>
        <v>0.72023452696757317</v>
      </c>
      <c r="AD100" s="60">
        <f>Tabell2[[#This Row],[NIBR11-BA-I]]*$AD$2</f>
        <v>0</v>
      </c>
      <c r="AE100" s="60">
        <f>Tabell2[[#This Row],[Reisetid Oslo-I]]*$AE$2</f>
        <v>6.178599756107535</v>
      </c>
      <c r="AF100" s="60">
        <f>Tabell2[[#This Row],[beftettotal-I]]*$AF$2</f>
        <v>0</v>
      </c>
      <c r="AG100" s="60">
        <f>Tabell2[[#This Row],[Befvekst10-I]]*$AG$2</f>
        <v>6.9342890115395734</v>
      </c>
      <c r="AH100" s="60">
        <f>Tabell2[[#This Row],[Kvinneandel-I]]*$AH$2</f>
        <v>2.2776764998528183</v>
      </c>
      <c r="AI100" s="60">
        <f>Tabell2[[#This Row],[Eldreandel-I]]*$AI$2</f>
        <v>0</v>
      </c>
      <c r="AJ100" s="60">
        <f>Tabell2[[#This Row],[Syssvekst10-I]]*$AJ$2</f>
        <v>3.1875063852394976</v>
      </c>
      <c r="AK100" s="60">
        <f>Tabell2[[#This Row],[Yrkesaktiveandel-I]]*$AK$2</f>
        <v>10</v>
      </c>
      <c r="AL100" s="60">
        <f>Tabell2[[#This Row],[Bruttoinntekt17+-I]]*$AL$2</f>
        <v>7.202345269675732E-2</v>
      </c>
      <c r="AM100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28.650095105436183</v>
      </c>
    </row>
    <row r="101" spans="1:39">
      <c r="A101" s="63">
        <v>96</v>
      </c>
      <c r="B101" s="8" t="s">
        <v>151</v>
      </c>
      <c r="C101" s="45">
        <f>Råark!L98</f>
        <v>6</v>
      </c>
      <c r="D101" s="80">
        <f>Råark!K98</f>
        <v>228.63077878776969</v>
      </c>
      <c r="E101" s="80">
        <f>Råark!N98</f>
        <v>6.7416813885110107</v>
      </c>
      <c r="F101" s="80">
        <f>Råark!O98</f>
        <v>1.8600613820256129E-2</v>
      </c>
      <c r="G101" s="80">
        <f>Råark!P98</f>
        <v>0.10372219009647868</v>
      </c>
      <c r="H101" s="80">
        <f>Råark!Q98</f>
        <v>0.16237027117509206</v>
      </c>
      <c r="I101" s="80">
        <f>Råark!R98</f>
        <v>9.7443139586740113E-2</v>
      </c>
      <c r="J101" s="80">
        <f>Råark!S98</f>
        <v>0.87164533722123227</v>
      </c>
      <c r="K101" s="80">
        <f>Råark!M98</f>
        <v>307978.71150605177</v>
      </c>
      <c r="L101" s="59">
        <f>Tabell2[[#This Row],[NIBR11BA]]</f>
        <v>6</v>
      </c>
      <c r="M101" s="80">
        <f>IF(Tabell2[[#This Row],[Reisetid Oslo]]&lt;D$167,D$167,IF(Tabell2[[#This Row],[Reisetid Oslo]]&gt;D$168,D$168,Tabell2[[#This Row],[Reisetid Oslo]]))</f>
        <v>228.63077878776969</v>
      </c>
      <c r="N101" s="80">
        <f>IF(Tabell2[[#This Row],[beftettotal]]&lt;E$167,E$167,IF(Tabell2[[#This Row],[beftettotal]]&gt;E$168,E$168,Tabell2[[#This Row],[beftettotal]]))</f>
        <v>6.7416813885110107</v>
      </c>
      <c r="O101" s="80">
        <f>IF(Tabell2[[#This Row],[Befvekst10]]&lt;F$167,F$167,IF(Tabell2[[#This Row],[Befvekst10]]&gt;F$168,F$168,Tabell2[[#This Row],[Befvekst10]]))</f>
        <v>1.8600613820256129E-2</v>
      </c>
      <c r="P101" s="80">
        <f>IF(Tabell2[[#This Row],[Kvinneandel]]&lt;G$167,G$167,IF(Tabell2[[#This Row],[Kvinneandel]]&gt;G$168,G$168,Tabell2[[#This Row],[Kvinneandel]]))</f>
        <v>0.10372219009647868</v>
      </c>
      <c r="Q101" s="80">
        <f>IF(Tabell2[[#This Row],[Eldreandel]]&lt;H$167,H$167,IF(Tabell2[[#This Row],[Eldreandel]]&gt;H$168,H$168,Tabell2[[#This Row],[Eldreandel]]))</f>
        <v>0.16237027117509206</v>
      </c>
      <c r="R101" s="80">
        <f>IF(Tabell2[[#This Row],[Syssvekst10]]&lt;I$167,I$167,IF(Tabell2[[#This Row],[Syssvekst10]]&gt;I$168,I$168,Tabell2[[#This Row],[Syssvekst10]]))</f>
        <v>9.7443139586740113E-2</v>
      </c>
      <c r="S101" s="80">
        <f>IF(Tabell2[[#This Row],[Yrkesaktiveandel]]&lt;J$167,J$167,IF(Tabell2[[#This Row],[Yrkesaktiveandel]]&gt;J$168,J$168,Tabell2[[#This Row],[Yrkesaktiveandel]]))</f>
        <v>0.87164533722123227</v>
      </c>
      <c r="T101" s="80">
        <f>IF(Tabell2[[#This Row],[Bruttoinntekt17+]]&lt;K$167,K$167,IF(Tabell2[[#This Row],[Bruttoinntekt17+]]&gt;K$168,K$168,Tabell2[[#This Row],[Bruttoinntekt17+]]))</f>
        <v>307978.71150605177</v>
      </c>
      <c r="U101" s="60">
        <f>IF(Tabell2[[#This Row],[NIBR11-BA-Utrunk]]&lt;=L$170,100,IF(Tabell2[[#This Row],[NIBR11-BA-Utrunk]]&gt;=L$169,0,100-Tabell2[[#This Row],[NIBR11-BA-Utrunk]]*100/L$171))</f>
        <v>40</v>
      </c>
      <c r="V101" s="60">
        <f>(M$169-Tabell2[[#This Row],[Reisetid Oslo-T]])*100/M$171</f>
        <v>48.063449467820611</v>
      </c>
      <c r="W101" s="60">
        <f>100-(N$169-Tabell2[[#This Row],[beftettotal-T]])*100/N$171</f>
        <v>13.339058532209862</v>
      </c>
      <c r="X101" s="60">
        <f>100-(O$169-Tabell2[[#This Row],[Befvekst10-T]])*100/O$171</f>
        <v>64.60192236910629</v>
      </c>
      <c r="Y101" s="60">
        <f>100-(P$169-Tabell2[[#This Row],[Kvinneandel-T]])*100/P$171</f>
        <v>39.095874502487639</v>
      </c>
      <c r="Z101" s="60">
        <f>(Q$169-Tabell2[[#This Row],[Eldreandel-T]])*100/Q$171</f>
        <v>55.206250797380136</v>
      </c>
      <c r="AA101" s="60">
        <f>100-(R$169-Tabell2[[#This Row],[Syssvekst10-T]])*100/R$171</f>
        <v>75.045132920421224</v>
      </c>
      <c r="AB101" s="60">
        <f>100-(S$169-Tabell2[[#This Row],[Yrkesaktiveandel-T]])*100/S$171</f>
        <v>34.097505491041844</v>
      </c>
      <c r="AC101" s="60">
        <f>100-(T$169-Tabell2[[#This Row],[Bruttoinntekt17+-T]])*100/T$171</f>
        <v>22.961598481153686</v>
      </c>
      <c r="AD101" s="60">
        <f>Tabell2[[#This Row],[NIBR11-BA-I]]*$AD$2</f>
        <v>8</v>
      </c>
      <c r="AE101" s="60">
        <f>Tabell2[[#This Row],[Reisetid Oslo-I]]*$AE$2</f>
        <v>4.8063449467820618</v>
      </c>
      <c r="AF101" s="60">
        <f>Tabell2[[#This Row],[beftettotal-I]]*$AF$2</f>
        <v>1.3339058532209862</v>
      </c>
      <c r="AG101" s="60">
        <f>Tabell2[[#This Row],[Befvekst10-I]]*$AG$2</f>
        <v>12.920384473821258</v>
      </c>
      <c r="AH101" s="60">
        <f>Tabell2[[#This Row],[Kvinneandel-I]]*$AH$2</f>
        <v>1.9547937251243821</v>
      </c>
      <c r="AI101" s="60">
        <f>Tabell2[[#This Row],[Eldreandel-I]]*$AI$2</f>
        <v>2.7603125398690072</v>
      </c>
      <c r="AJ101" s="60">
        <f>Tabell2[[#This Row],[Syssvekst10-I]]*$AJ$2</f>
        <v>7.5045132920421231</v>
      </c>
      <c r="AK101" s="60">
        <f>Tabell2[[#This Row],[Yrkesaktiveandel-I]]*$AK$2</f>
        <v>3.4097505491041846</v>
      </c>
      <c r="AL101" s="60">
        <f>Tabell2[[#This Row],[Bruttoinntekt17+-I]]*$AL$2</f>
        <v>2.2961598481153689</v>
      </c>
      <c r="AM101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44.986165228079365</v>
      </c>
    </row>
    <row r="102" spans="1:39">
      <c r="A102" s="64">
        <v>97</v>
      </c>
      <c r="B102" s="8" t="s">
        <v>152</v>
      </c>
      <c r="C102" s="45">
        <f>Råark!L99</f>
        <v>6</v>
      </c>
      <c r="D102" s="80">
        <f>Råark!K99</f>
        <v>225.55040931499039</v>
      </c>
      <c r="E102" s="80">
        <f>Råark!N99</f>
        <v>4.8096570835658552</v>
      </c>
      <c r="F102" s="80">
        <f>Råark!O99</f>
        <v>1.0656322454075218E-2</v>
      </c>
      <c r="G102" s="80">
        <f>Råark!P99</f>
        <v>0.11488066351965412</v>
      </c>
      <c r="H102" s="80">
        <f>Råark!Q99</f>
        <v>0.15198305907266069</v>
      </c>
      <c r="I102" s="80">
        <f>Råark!R99</f>
        <v>9.3851132686084249E-2</v>
      </c>
      <c r="J102" s="80">
        <f>Råark!S99</f>
        <v>0.91041468819246596</v>
      </c>
      <c r="K102" s="80">
        <f>Råark!M99</f>
        <v>316294.15834845736</v>
      </c>
      <c r="L102" s="59">
        <f>Tabell2[[#This Row],[NIBR11BA]]</f>
        <v>6</v>
      </c>
      <c r="M102" s="80">
        <f>IF(Tabell2[[#This Row],[Reisetid Oslo]]&lt;D$167,D$167,IF(Tabell2[[#This Row],[Reisetid Oslo]]&gt;D$168,D$168,Tabell2[[#This Row],[Reisetid Oslo]]))</f>
        <v>225.55040931499039</v>
      </c>
      <c r="N102" s="80">
        <f>IF(Tabell2[[#This Row],[beftettotal]]&lt;E$167,E$167,IF(Tabell2[[#This Row],[beftettotal]]&gt;E$168,E$168,Tabell2[[#This Row],[beftettotal]]))</f>
        <v>4.8096570835658552</v>
      </c>
      <c r="O102" s="80">
        <f>IF(Tabell2[[#This Row],[Befvekst10]]&lt;F$167,F$167,IF(Tabell2[[#This Row],[Befvekst10]]&gt;F$168,F$168,Tabell2[[#This Row],[Befvekst10]]))</f>
        <v>1.0656322454075218E-2</v>
      </c>
      <c r="P102" s="80">
        <f>IF(Tabell2[[#This Row],[Kvinneandel]]&lt;G$167,G$167,IF(Tabell2[[#This Row],[Kvinneandel]]&gt;G$168,G$168,Tabell2[[#This Row],[Kvinneandel]]))</f>
        <v>0.11488066351965412</v>
      </c>
      <c r="Q102" s="80">
        <f>IF(Tabell2[[#This Row],[Eldreandel]]&lt;H$167,H$167,IF(Tabell2[[#This Row],[Eldreandel]]&gt;H$168,H$168,Tabell2[[#This Row],[Eldreandel]]))</f>
        <v>0.15198305907266069</v>
      </c>
      <c r="R102" s="80">
        <f>IF(Tabell2[[#This Row],[Syssvekst10]]&lt;I$167,I$167,IF(Tabell2[[#This Row],[Syssvekst10]]&gt;I$168,I$168,Tabell2[[#This Row],[Syssvekst10]]))</f>
        <v>9.3851132686084249E-2</v>
      </c>
      <c r="S102" s="80">
        <f>IF(Tabell2[[#This Row],[Yrkesaktiveandel]]&lt;J$167,J$167,IF(Tabell2[[#This Row],[Yrkesaktiveandel]]&gt;J$168,J$168,Tabell2[[#This Row],[Yrkesaktiveandel]]))</f>
        <v>0.91041468819246596</v>
      </c>
      <c r="T102" s="80">
        <f>IF(Tabell2[[#This Row],[Bruttoinntekt17+]]&lt;K$167,K$167,IF(Tabell2[[#This Row],[Bruttoinntekt17+]]&gt;K$168,K$168,Tabell2[[#This Row],[Bruttoinntekt17+]]))</f>
        <v>316294.15834845736</v>
      </c>
      <c r="U102" s="60">
        <f>IF(Tabell2[[#This Row],[NIBR11-BA-Utrunk]]&lt;=L$170,100,IF(Tabell2[[#This Row],[NIBR11-BA-Utrunk]]&gt;=L$169,0,100-Tabell2[[#This Row],[NIBR11-BA-Utrunk]]*100/L$171))</f>
        <v>40</v>
      </c>
      <c r="V102" s="60">
        <f>(M$169-Tabell2[[#This Row],[Reisetid Oslo-T]])*100/M$171</f>
        <v>49.717404712780912</v>
      </c>
      <c r="W102" s="60">
        <f>100-(N$169-Tabell2[[#This Row],[beftettotal-T]])*100/N$171</f>
        <v>8.8473388987541313</v>
      </c>
      <c r="X102" s="60">
        <f>100-(O$169-Tabell2[[#This Row],[Befvekst10-T]])*100/O$171</f>
        <v>61.039229984907486</v>
      </c>
      <c r="Y102" s="60">
        <f>100-(P$169-Tabell2[[#This Row],[Kvinneandel-T]])*100/P$171</f>
        <v>74.68098193425422</v>
      </c>
      <c r="Z102" s="60">
        <f>(Q$169-Tabell2[[#This Row],[Eldreandel-T]])*100/Q$171</f>
        <v>69.023767144492794</v>
      </c>
      <c r="AA102" s="60">
        <f>100-(R$169-Tabell2[[#This Row],[Syssvekst10-T]])*100/R$171</f>
        <v>73.689559191562651</v>
      </c>
      <c r="AB102" s="60">
        <f>100-(S$169-Tabell2[[#This Row],[Yrkesaktiveandel-T]])*100/S$171</f>
        <v>63.403884042420501</v>
      </c>
      <c r="AC102" s="60">
        <f>100-(T$169-Tabell2[[#This Row],[Bruttoinntekt17+-T]])*100/T$171</f>
        <v>36.889672720837339</v>
      </c>
      <c r="AD102" s="60">
        <f>Tabell2[[#This Row],[NIBR11-BA-I]]*$AD$2</f>
        <v>8</v>
      </c>
      <c r="AE102" s="60">
        <f>Tabell2[[#This Row],[Reisetid Oslo-I]]*$AE$2</f>
        <v>4.9717404712780917</v>
      </c>
      <c r="AF102" s="60">
        <f>Tabell2[[#This Row],[beftettotal-I]]*$AF$2</f>
        <v>0.88473388987541313</v>
      </c>
      <c r="AG102" s="60">
        <f>Tabell2[[#This Row],[Befvekst10-I]]*$AG$2</f>
        <v>12.207845996981497</v>
      </c>
      <c r="AH102" s="60">
        <f>Tabell2[[#This Row],[Kvinneandel-I]]*$AH$2</f>
        <v>3.7340490967127113</v>
      </c>
      <c r="AI102" s="60">
        <f>Tabell2[[#This Row],[Eldreandel-I]]*$AI$2</f>
        <v>3.4511883572246398</v>
      </c>
      <c r="AJ102" s="60">
        <f>Tabell2[[#This Row],[Syssvekst10-I]]*$AJ$2</f>
        <v>7.3689559191562655</v>
      </c>
      <c r="AK102" s="60">
        <f>Tabell2[[#This Row],[Yrkesaktiveandel-I]]*$AK$2</f>
        <v>6.3403884042420504</v>
      </c>
      <c r="AL102" s="60">
        <f>Tabell2[[#This Row],[Bruttoinntekt17+-I]]*$AL$2</f>
        <v>3.6889672720837341</v>
      </c>
      <c r="AM102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50.647869407554403</v>
      </c>
    </row>
    <row r="103" spans="1:39">
      <c r="A103" s="63">
        <v>98</v>
      </c>
      <c r="B103" s="8" t="s">
        <v>153</v>
      </c>
      <c r="C103" s="45">
        <f>Råark!L100</f>
        <v>5</v>
      </c>
      <c r="D103" s="80">
        <f>Råark!K100</f>
        <v>198.31502900409998</v>
      </c>
      <c r="E103" s="80">
        <f>Råark!N100</f>
        <v>1.9734413896545495</v>
      </c>
      <c r="F103" s="80">
        <f>Råark!O100</f>
        <v>-1.7975771785853856E-2</v>
      </c>
      <c r="G103" s="80">
        <f>Råark!P100</f>
        <v>0.1062475129327497</v>
      </c>
      <c r="H103" s="80">
        <f>Råark!Q100</f>
        <v>0.18503780342220455</v>
      </c>
      <c r="I103" s="80">
        <f>Råark!R100</f>
        <v>-0.13039568345323738</v>
      </c>
      <c r="J103" s="80">
        <f>Råark!S100</f>
        <v>0.81971830985915495</v>
      </c>
      <c r="K103" s="80">
        <f>Råark!M100</f>
        <v>287700</v>
      </c>
      <c r="L103" s="59">
        <f>Tabell2[[#This Row],[NIBR11BA]]</f>
        <v>5</v>
      </c>
      <c r="M103" s="80">
        <f>IF(Tabell2[[#This Row],[Reisetid Oslo]]&lt;D$167,D$167,IF(Tabell2[[#This Row],[Reisetid Oslo]]&gt;D$168,D$168,Tabell2[[#This Row],[Reisetid Oslo]]))</f>
        <v>198.31502900409998</v>
      </c>
      <c r="N103" s="80">
        <f>IF(Tabell2[[#This Row],[beftettotal]]&lt;E$167,E$167,IF(Tabell2[[#This Row],[beftettotal]]&gt;E$168,E$168,Tabell2[[#This Row],[beftettotal]]))</f>
        <v>1.9734413896545495</v>
      </c>
      <c r="O103" s="80">
        <f>IF(Tabell2[[#This Row],[Befvekst10]]&lt;F$167,F$167,IF(Tabell2[[#This Row],[Befvekst10]]&gt;F$168,F$168,Tabell2[[#This Row],[Befvekst10]]))</f>
        <v>-1.7975771785853856E-2</v>
      </c>
      <c r="P103" s="80">
        <f>IF(Tabell2[[#This Row],[Kvinneandel]]&lt;G$167,G$167,IF(Tabell2[[#This Row],[Kvinneandel]]&gt;G$168,G$168,Tabell2[[#This Row],[Kvinneandel]]))</f>
        <v>0.1062475129327497</v>
      </c>
      <c r="Q103" s="80">
        <f>IF(Tabell2[[#This Row],[Eldreandel]]&lt;H$167,H$167,IF(Tabell2[[#This Row],[Eldreandel]]&gt;H$168,H$168,Tabell2[[#This Row],[Eldreandel]]))</f>
        <v>0.18503780342220455</v>
      </c>
      <c r="R103" s="80">
        <f>IF(Tabell2[[#This Row],[Syssvekst10]]&lt;I$167,I$167,IF(Tabell2[[#This Row],[Syssvekst10]]&gt;I$168,I$168,Tabell2[[#This Row],[Syssvekst10]]))</f>
        <v>-0.10141187624317609</v>
      </c>
      <c r="S103" s="80">
        <f>IF(Tabell2[[#This Row],[Yrkesaktiveandel]]&lt;J$167,J$167,IF(Tabell2[[#This Row],[Yrkesaktiveandel]]&gt;J$168,J$168,Tabell2[[#This Row],[Yrkesaktiveandel]]))</f>
        <v>0.82653781377516045</v>
      </c>
      <c r="T103" s="80">
        <f>IF(Tabell2[[#This Row],[Bruttoinntekt17+]]&lt;K$167,K$167,IF(Tabell2[[#This Row],[Bruttoinntekt17+]]&gt;K$168,K$168,Tabell2[[#This Row],[Bruttoinntekt17+]]))</f>
        <v>294270</v>
      </c>
      <c r="U103" s="60">
        <f>IF(Tabell2[[#This Row],[NIBR11-BA-Utrunk]]&lt;=L$170,100,IF(Tabell2[[#This Row],[NIBR11-BA-Utrunk]]&gt;=L$169,0,100-Tabell2[[#This Row],[NIBR11-BA-Utrunk]]*100/L$171))</f>
        <v>50</v>
      </c>
      <c r="V103" s="60">
        <f>(M$169-Tabell2[[#This Row],[Reisetid Oslo-T]])*100/M$171</f>
        <v>64.34100766422894</v>
      </c>
      <c r="W103" s="60">
        <f>100-(N$169-Tabell2[[#This Row],[beftettotal-T]])*100/N$171</f>
        <v>2.2534851441977963</v>
      </c>
      <c r="X103" s="60">
        <f>100-(O$169-Tabell2[[#This Row],[Befvekst10-T]])*100/O$171</f>
        <v>48.198897299413851</v>
      </c>
      <c r="Y103" s="60">
        <f>100-(P$169-Tabell2[[#This Row],[Kvinneandel-T]])*100/P$171</f>
        <v>47.149295523498999</v>
      </c>
      <c r="Z103" s="60">
        <f>(Q$169-Tabell2[[#This Row],[Eldreandel-T]])*100/Q$171</f>
        <v>25.052924352850741</v>
      </c>
      <c r="AA103" s="60">
        <f>100-(R$169-Tabell2[[#This Row],[Syssvekst10-T]])*100/R$171</f>
        <v>0</v>
      </c>
      <c r="AB103" s="60">
        <f>100-(S$169-Tabell2[[#This Row],[Yrkesaktiveandel-T]])*100/S$171</f>
        <v>0</v>
      </c>
      <c r="AC103" s="60">
        <f>100-(T$169-Tabell2[[#This Row],[Bruttoinntekt17+-T]])*100/T$171</f>
        <v>0</v>
      </c>
      <c r="AD103" s="60">
        <f>Tabell2[[#This Row],[NIBR11-BA-I]]*$AD$2</f>
        <v>10</v>
      </c>
      <c r="AE103" s="60">
        <f>Tabell2[[#This Row],[Reisetid Oslo-I]]*$AE$2</f>
        <v>6.434100766422894</v>
      </c>
      <c r="AF103" s="60">
        <f>Tabell2[[#This Row],[beftettotal-I]]*$AF$2</f>
        <v>0.22534851441977966</v>
      </c>
      <c r="AG103" s="60">
        <f>Tabell2[[#This Row],[Befvekst10-I]]*$AG$2</f>
        <v>9.6397794598827709</v>
      </c>
      <c r="AH103" s="60">
        <f>Tabell2[[#This Row],[Kvinneandel-I]]*$AH$2</f>
        <v>2.3574647761749499</v>
      </c>
      <c r="AI103" s="60">
        <f>Tabell2[[#This Row],[Eldreandel-I]]*$AI$2</f>
        <v>1.2526462176425373</v>
      </c>
      <c r="AJ103" s="60">
        <f>Tabell2[[#This Row],[Syssvekst10-I]]*$AJ$2</f>
        <v>0</v>
      </c>
      <c r="AK103" s="60">
        <f>Tabell2[[#This Row],[Yrkesaktiveandel-I]]*$AK$2</f>
        <v>0</v>
      </c>
      <c r="AL103" s="60">
        <f>Tabell2[[#This Row],[Bruttoinntekt17+-I]]*$AL$2</f>
        <v>0</v>
      </c>
      <c r="AM103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29.909339734542932</v>
      </c>
    </row>
    <row r="104" spans="1:39">
      <c r="A104" s="64">
        <v>99</v>
      </c>
      <c r="B104" s="8" t="s">
        <v>154</v>
      </c>
      <c r="C104" s="45">
        <f>Råark!L101</f>
        <v>5</v>
      </c>
      <c r="D104" s="80">
        <f>Råark!K101</f>
        <v>197.88142254466996</v>
      </c>
      <c r="E104" s="80">
        <f>Råark!N101</f>
        <v>15.830010354475556</v>
      </c>
      <c r="F104" s="80">
        <f>Råark!O101</f>
        <v>6.6652811590760752E-2</v>
      </c>
      <c r="G104" s="80">
        <f>Råark!P101</f>
        <v>0.11810059286887299</v>
      </c>
      <c r="H104" s="80">
        <f>Råark!Q101</f>
        <v>0.13761238066078438</v>
      </c>
      <c r="I104" s="80">
        <f>Råark!R101</f>
        <v>0.13417687258948519</v>
      </c>
      <c r="J104" s="80">
        <f>Råark!S101</f>
        <v>0.86989299610894943</v>
      </c>
      <c r="K104" s="80">
        <f>Råark!M101</f>
        <v>313938.21851376409</v>
      </c>
      <c r="L104" s="59">
        <f>Tabell2[[#This Row],[NIBR11BA]]</f>
        <v>5</v>
      </c>
      <c r="M104" s="80">
        <f>IF(Tabell2[[#This Row],[Reisetid Oslo]]&lt;D$167,D$167,IF(Tabell2[[#This Row],[Reisetid Oslo]]&gt;D$168,D$168,Tabell2[[#This Row],[Reisetid Oslo]]))</f>
        <v>197.88142254466996</v>
      </c>
      <c r="N104" s="80">
        <f>IF(Tabell2[[#This Row],[beftettotal]]&lt;E$167,E$167,IF(Tabell2[[#This Row],[beftettotal]]&gt;E$168,E$168,Tabell2[[#This Row],[beftettotal]]))</f>
        <v>15.830010354475556</v>
      </c>
      <c r="O104" s="80">
        <f>IF(Tabell2[[#This Row],[Befvekst10]]&lt;F$167,F$167,IF(Tabell2[[#This Row],[Befvekst10]]&gt;F$168,F$168,Tabell2[[#This Row],[Befvekst10]]))</f>
        <v>6.6652811590760752E-2</v>
      </c>
      <c r="P104" s="80">
        <f>IF(Tabell2[[#This Row],[Kvinneandel]]&lt;G$167,G$167,IF(Tabell2[[#This Row],[Kvinneandel]]&gt;G$168,G$168,Tabell2[[#This Row],[Kvinneandel]]))</f>
        <v>0.11810059286887299</v>
      </c>
      <c r="Q104" s="80">
        <f>IF(Tabell2[[#This Row],[Eldreandel]]&lt;H$167,H$167,IF(Tabell2[[#This Row],[Eldreandel]]&gt;H$168,H$168,Tabell2[[#This Row],[Eldreandel]]))</f>
        <v>0.13761238066078438</v>
      </c>
      <c r="R104" s="80">
        <f>IF(Tabell2[[#This Row],[Syssvekst10]]&lt;I$167,I$167,IF(Tabell2[[#This Row],[Syssvekst10]]&gt;I$168,I$168,Tabell2[[#This Row],[Syssvekst10]]))</f>
        <v>0.13417687258948519</v>
      </c>
      <c r="S104" s="80">
        <f>IF(Tabell2[[#This Row],[Yrkesaktiveandel]]&lt;J$167,J$167,IF(Tabell2[[#This Row],[Yrkesaktiveandel]]&gt;J$168,J$168,Tabell2[[#This Row],[Yrkesaktiveandel]]))</f>
        <v>0.86989299610894943</v>
      </c>
      <c r="T104" s="80">
        <f>IF(Tabell2[[#This Row],[Bruttoinntekt17+]]&lt;K$167,K$167,IF(Tabell2[[#This Row],[Bruttoinntekt17+]]&gt;K$168,K$168,Tabell2[[#This Row],[Bruttoinntekt17+]]))</f>
        <v>313938.21851376409</v>
      </c>
      <c r="U104" s="60">
        <f>IF(Tabell2[[#This Row],[NIBR11-BA-Utrunk]]&lt;=L$170,100,IF(Tabell2[[#This Row],[NIBR11-BA-Utrunk]]&gt;=L$169,0,100-Tabell2[[#This Row],[NIBR11-BA-Utrunk]]*100/L$171))</f>
        <v>50</v>
      </c>
      <c r="V104" s="60">
        <f>(M$169-Tabell2[[#This Row],[Reisetid Oslo-T]])*100/M$171</f>
        <v>64.573825734970271</v>
      </c>
      <c r="W104" s="60">
        <f>100-(N$169-Tabell2[[#This Row],[beftettotal-T]])*100/N$171</f>
        <v>34.468309104907064</v>
      </c>
      <c r="X104" s="60">
        <f>100-(O$169-Tabell2[[#This Row],[Befvekst10-T]])*100/O$171</f>
        <v>86.151383630028121</v>
      </c>
      <c r="Y104" s="60">
        <f>100-(P$169-Tabell2[[#This Row],[Kvinneandel-T]])*100/P$171</f>
        <v>84.949548920906111</v>
      </c>
      <c r="Z104" s="60">
        <f>(Q$169-Tabell2[[#This Row],[Eldreandel-T]])*100/Q$171</f>
        <v>88.140261726202567</v>
      </c>
      <c r="AA104" s="60">
        <f>100-(R$169-Tabell2[[#This Row],[Syssvekst10-T]])*100/R$171</f>
        <v>88.907935748649123</v>
      </c>
      <c r="AB104" s="60">
        <f>100-(S$169-Tabell2[[#This Row],[Yrkesaktiveandel-T]])*100/S$171</f>
        <v>32.772882542728638</v>
      </c>
      <c r="AC104" s="60">
        <f>100-(T$169-Tabell2[[#This Row],[Bruttoinntekt17+-T]])*100/T$171</f>
        <v>32.943558273385321</v>
      </c>
      <c r="AD104" s="60">
        <f>Tabell2[[#This Row],[NIBR11-BA-I]]*$AD$2</f>
        <v>10</v>
      </c>
      <c r="AE104" s="60">
        <f>Tabell2[[#This Row],[Reisetid Oslo-I]]*$AE$2</f>
        <v>6.4573825734970276</v>
      </c>
      <c r="AF104" s="60">
        <f>Tabell2[[#This Row],[beftettotal-I]]*$AF$2</f>
        <v>3.4468309104907067</v>
      </c>
      <c r="AG104" s="60">
        <f>Tabell2[[#This Row],[Befvekst10-I]]*$AG$2</f>
        <v>17.230276726005624</v>
      </c>
      <c r="AH104" s="60">
        <f>Tabell2[[#This Row],[Kvinneandel-I]]*$AH$2</f>
        <v>4.2474774460453055</v>
      </c>
      <c r="AI104" s="60">
        <f>Tabell2[[#This Row],[Eldreandel-I]]*$AI$2</f>
        <v>4.4070130863101289</v>
      </c>
      <c r="AJ104" s="60">
        <f>Tabell2[[#This Row],[Syssvekst10-I]]*$AJ$2</f>
        <v>8.8907935748649134</v>
      </c>
      <c r="AK104" s="60">
        <f>Tabell2[[#This Row],[Yrkesaktiveandel-I]]*$AK$2</f>
        <v>3.2772882542728641</v>
      </c>
      <c r="AL104" s="60">
        <f>Tabell2[[#This Row],[Bruttoinntekt17+-I]]*$AL$2</f>
        <v>3.2943558273385323</v>
      </c>
      <c r="AM104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61.251418398825109</v>
      </c>
    </row>
    <row r="105" spans="1:39">
      <c r="A105" s="63">
        <v>100</v>
      </c>
      <c r="B105" s="8" t="s">
        <v>155</v>
      </c>
      <c r="C105" s="45">
        <f>Råark!L102</f>
        <v>11</v>
      </c>
      <c r="D105" s="80">
        <f>Råark!K102</f>
        <v>304.97622563970003</v>
      </c>
      <c r="E105" s="80">
        <f>Råark!N102</f>
        <v>0.47607632077414735</v>
      </c>
      <c r="F105" s="80">
        <f>Råark!O102</f>
        <v>-9.499358151476256E-2</v>
      </c>
      <c r="G105" s="80">
        <f>Råark!P102</f>
        <v>9.8581560283687947E-2</v>
      </c>
      <c r="H105" s="80">
        <f>Råark!Q102</f>
        <v>0.18865248226950354</v>
      </c>
      <c r="I105" s="80">
        <f>Råark!R102</f>
        <v>0</v>
      </c>
      <c r="J105" s="80">
        <f>Råark!S102</f>
        <v>0.96382428940568476</v>
      </c>
      <c r="K105" s="80">
        <f>Råark!M102</f>
        <v>297200</v>
      </c>
      <c r="L105" s="59">
        <f>Tabell2[[#This Row],[NIBR11BA]]</f>
        <v>11</v>
      </c>
      <c r="M105" s="80">
        <f>IF(Tabell2[[#This Row],[Reisetid Oslo]]&lt;D$167,D$167,IF(Tabell2[[#This Row],[Reisetid Oslo]]&gt;D$168,D$168,Tabell2[[#This Row],[Reisetid Oslo]]))</f>
        <v>304.97622563970003</v>
      </c>
      <c r="N105" s="80">
        <f>IF(Tabell2[[#This Row],[beftettotal]]&lt;E$167,E$167,IF(Tabell2[[#This Row],[beftettotal]]&gt;E$168,E$168,Tabell2[[#This Row],[beftettotal]]))</f>
        <v>1.0041493534832273</v>
      </c>
      <c r="O105" s="80">
        <f>IF(Tabell2[[#This Row],[Befvekst10]]&lt;F$167,F$167,IF(Tabell2[[#This Row],[Befvekst10]]&gt;F$168,F$168,Tabell2[[#This Row],[Befvekst10]]))</f>
        <v>-9.499358151476256E-2</v>
      </c>
      <c r="P105" s="80">
        <f>IF(Tabell2[[#This Row],[Kvinneandel]]&lt;G$167,G$167,IF(Tabell2[[#This Row],[Kvinneandel]]&gt;G$168,G$168,Tabell2[[#This Row],[Kvinneandel]]))</f>
        <v>9.8581560283687947E-2</v>
      </c>
      <c r="Q105" s="80">
        <f>IF(Tabell2[[#This Row],[Eldreandel]]&lt;H$167,H$167,IF(Tabell2[[#This Row],[Eldreandel]]&gt;H$168,H$168,Tabell2[[#This Row],[Eldreandel]]))</f>
        <v>0.18865248226950354</v>
      </c>
      <c r="R105" s="80">
        <f>IF(Tabell2[[#This Row],[Syssvekst10]]&lt;I$167,I$167,IF(Tabell2[[#This Row],[Syssvekst10]]&gt;I$168,I$168,Tabell2[[#This Row],[Syssvekst10]]))</f>
        <v>0</v>
      </c>
      <c r="S105" s="80">
        <f>IF(Tabell2[[#This Row],[Yrkesaktiveandel]]&lt;J$167,J$167,IF(Tabell2[[#This Row],[Yrkesaktiveandel]]&gt;J$168,J$168,Tabell2[[#This Row],[Yrkesaktiveandel]]))</f>
        <v>0.95882761854672227</v>
      </c>
      <c r="T105" s="80">
        <f>IF(Tabell2[[#This Row],[Bruttoinntekt17+]]&lt;K$167,K$167,IF(Tabell2[[#This Row],[Bruttoinntekt17+]]&gt;K$168,K$168,Tabell2[[#This Row],[Bruttoinntekt17+]]))</f>
        <v>297200</v>
      </c>
      <c r="U105" s="60">
        <f>IF(Tabell2[[#This Row],[NIBR11-BA-Utrunk]]&lt;=L$170,100,IF(Tabell2[[#This Row],[NIBR11-BA-Utrunk]]&gt;=L$169,0,100-Tabell2[[#This Row],[NIBR11-BA-Utrunk]]*100/L$171))</f>
        <v>0</v>
      </c>
      <c r="V105" s="60">
        <f>(M$169-Tabell2[[#This Row],[Reisetid Oslo-T]])*100/M$171</f>
        <v>7.0709797769500788</v>
      </c>
      <c r="W105" s="60">
        <f>100-(N$169-Tabell2[[#This Row],[beftettotal-T]])*100/N$171</f>
        <v>0</v>
      </c>
      <c r="X105" s="60">
        <f>100-(O$169-Tabell2[[#This Row],[Befvekst10-T]])*100/O$171</f>
        <v>13.65953418680887</v>
      </c>
      <c r="Y105" s="60">
        <f>100-(P$169-Tabell2[[#This Row],[Kvinneandel-T]])*100/P$171</f>
        <v>22.702067104500159</v>
      </c>
      <c r="Z105" s="60">
        <f>(Q$169-Tabell2[[#This Row],[Eldreandel-T]])*100/Q$171</f>
        <v>20.244523063882639</v>
      </c>
      <c r="AA105" s="60">
        <f>100-(R$169-Tabell2[[#This Row],[Syssvekst10-T]])*100/R$171</f>
        <v>38.271439624574555</v>
      </c>
      <c r="AB105" s="60">
        <f>100-(S$169-Tabell2[[#This Row],[Yrkesaktiveandel-T]])*100/S$171</f>
        <v>100</v>
      </c>
      <c r="AC105" s="60">
        <f>100-(T$169-Tabell2[[#This Row],[Bruttoinntekt17+-T]])*100/T$171</f>
        <v>4.9076445674767086</v>
      </c>
      <c r="AD105" s="60">
        <f>Tabell2[[#This Row],[NIBR11-BA-I]]*$AD$2</f>
        <v>0</v>
      </c>
      <c r="AE105" s="60">
        <f>Tabell2[[#This Row],[Reisetid Oslo-I]]*$AE$2</f>
        <v>0.70709797769500793</v>
      </c>
      <c r="AF105" s="60">
        <f>Tabell2[[#This Row],[beftettotal-I]]*$AF$2</f>
        <v>0</v>
      </c>
      <c r="AG105" s="60">
        <f>Tabell2[[#This Row],[Befvekst10-I]]*$AG$2</f>
        <v>2.7319068373617741</v>
      </c>
      <c r="AH105" s="60">
        <f>Tabell2[[#This Row],[Kvinneandel-I]]*$AH$2</f>
        <v>1.135103355225008</v>
      </c>
      <c r="AI105" s="60">
        <f>Tabell2[[#This Row],[Eldreandel-I]]*$AI$2</f>
        <v>1.0122261531941319</v>
      </c>
      <c r="AJ105" s="60">
        <f>Tabell2[[#This Row],[Syssvekst10-I]]*$AJ$2</f>
        <v>3.8271439624574555</v>
      </c>
      <c r="AK105" s="60">
        <f>Tabell2[[#This Row],[Yrkesaktiveandel-I]]*$AK$2</f>
        <v>10</v>
      </c>
      <c r="AL105" s="60">
        <f>Tabell2[[#This Row],[Bruttoinntekt17+-I]]*$AL$2</f>
        <v>0.49076445674767089</v>
      </c>
      <c r="AM105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19.904242742681046</v>
      </c>
    </row>
    <row r="106" spans="1:39">
      <c r="A106" s="64">
        <v>101</v>
      </c>
      <c r="B106" s="8" t="s">
        <v>156</v>
      </c>
      <c r="C106" s="45">
        <f>Råark!L103</f>
        <v>11</v>
      </c>
      <c r="D106" s="80">
        <f>Råark!K103</f>
        <v>317.791532485</v>
      </c>
      <c r="E106" s="80">
        <f>Råark!N103</f>
        <v>0.31171912466240942</v>
      </c>
      <c r="F106" s="80">
        <f>Råark!O103</f>
        <v>-0.12255772646536411</v>
      </c>
      <c r="G106" s="80">
        <f>Råark!P103</f>
        <v>9.7165991902834009E-2</v>
      </c>
      <c r="H106" s="80">
        <f>Råark!Q103</f>
        <v>0.20647773279352227</v>
      </c>
      <c r="I106" s="80">
        <f>Råark!R103</f>
        <v>-9.4827586206896575E-2</v>
      </c>
      <c r="J106" s="80">
        <f>Råark!S103</f>
        <v>0.98880597014925375</v>
      </c>
      <c r="K106" s="80">
        <f>Råark!M103</f>
        <v>300900</v>
      </c>
      <c r="L106" s="59">
        <f>Tabell2[[#This Row],[NIBR11BA]]</f>
        <v>11</v>
      </c>
      <c r="M106" s="80">
        <f>IF(Tabell2[[#This Row],[Reisetid Oslo]]&lt;D$167,D$167,IF(Tabell2[[#This Row],[Reisetid Oslo]]&gt;D$168,D$168,Tabell2[[#This Row],[Reisetid Oslo]]))</f>
        <v>317.791532485</v>
      </c>
      <c r="N106" s="80">
        <f>IF(Tabell2[[#This Row],[beftettotal]]&lt;E$167,E$167,IF(Tabell2[[#This Row],[beftettotal]]&gt;E$168,E$168,Tabell2[[#This Row],[beftettotal]]))</f>
        <v>1.0041493534832273</v>
      </c>
      <c r="O106" s="80">
        <f>IF(Tabell2[[#This Row],[Befvekst10]]&lt;F$167,F$167,IF(Tabell2[[#This Row],[Befvekst10]]&gt;F$168,F$168,Tabell2[[#This Row],[Befvekst10]]))</f>
        <v>-0.12255772646536411</v>
      </c>
      <c r="P106" s="80">
        <f>IF(Tabell2[[#This Row],[Kvinneandel]]&lt;G$167,G$167,IF(Tabell2[[#This Row],[Kvinneandel]]&gt;G$168,G$168,Tabell2[[#This Row],[Kvinneandel]]))</f>
        <v>9.7165991902834009E-2</v>
      </c>
      <c r="Q106" s="80">
        <f>IF(Tabell2[[#This Row],[Eldreandel]]&lt;H$167,H$167,IF(Tabell2[[#This Row],[Eldreandel]]&gt;H$168,H$168,Tabell2[[#This Row],[Eldreandel]]))</f>
        <v>0.20387114745465851</v>
      </c>
      <c r="R106" s="80">
        <f>IF(Tabell2[[#This Row],[Syssvekst10]]&lt;I$167,I$167,IF(Tabell2[[#This Row],[Syssvekst10]]&gt;I$168,I$168,Tabell2[[#This Row],[Syssvekst10]]))</f>
        <v>-9.4827586206896575E-2</v>
      </c>
      <c r="S106" s="80">
        <f>IF(Tabell2[[#This Row],[Yrkesaktiveandel]]&lt;J$167,J$167,IF(Tabell2[[#This Row],[Yrkesaktiveandel]]&gt;J$168,J$168,Tabell2[[#This Row],[Yrkesaktiveandel]]))</f>
        <v>0.95882761854672227</v>
      </c>
      <c r="T106" s="80">
        <f>IF(Tabell2[[#This Row],[Bruttoinntekt17+]]&lt;K$167,K$167,IF(Tabell2[[#This Row],[Bruttoinntekt17+]]&gt;K$168,K$168,Tabell2[[#This Row],[Bruttoinntekt17+]]))</f>
        <v>300900</v>
      </c>
      <c r="U106" s="60">
        <f>IF(Tabell2[[#This Row],[NIBR11-BA-Utrunk]]&lt;=L$170,100,IF(Tabell2[[#This Row],[NIBR11-BA-Utrunk]]&gt;=L$169,0,100-Tabell2[[#This Row],[NIBR11-BA-Utrunk]]*100/L$171))</f>
        <v>0</v>
      </c>
      <c r="V106" s="60">
        <f>(M$169-Tabell2[[#This Row],[Reisetid Oslo-T]])*100/M$171</f>
        <v>0.19000521858475361</v>
      </c>
      <c r="W106" s="60">
        <f>100-(N$169-Tabell2[[#This Row],[beftettotal-T]])*100/N$171</f>
        <v>0</v>
      </c>
      <c r="X106" s="60">
        <f>100-(O$169-Tabell2[[#This Row],[Befvekst10-T]])*100/O$171</f>
        <v>1.2981334317319266</v>
      </c>
      <c r="Y106" s="60">
        <f>100-(P$169-Tabell2[[#This Row],[Kvinneandel-T]])*100/P$171</f>
        <v>18.187726208631958</v>
      </c>
      <c r="Z106" s="60">
        <f>(Q$169-Tabell2[[#This Row],[Eldreandel-T]])*100/Q$171</f>
        <v>0</v>
      </c>
      <c r="AA106" s="60">
        <f>100-(R$169-Tabell2[[#This Row],[Syssvekst10-T]])*100/R$171</f>
        <v>2.4848200026386564</v>
      </c>
      <c r="AB106" s="60">
        <f>100-(S$169-Tabell2[[#This Row],[Yrkesaktiveandel-T]])*100/S$171</f>
        <v>100</v>
      </c>
      <c r="AC106" s="60">
        <f>100-(T$169-Tabell2[[#This Row],[Bruttoinntekt17+-T]])*100/T$171</f>
        <v>11.105011427430213</v>
      </c>
      <c r="AD106" s="60">
        <f>Tabell2[[#This Row],[NIBR11-BA-I]]*$AD$2</f>
        <v>0</v>
      </c>
      <c r="AE106" s="60">
        <f>Tabell2[[#This Row],[Reisetid Oslo-I]]*$AE$2</f>
        <v>1.9000521858475363E-2</v>
      </c>
      <c r="AF106" s="60">
        <f>Tabell2[[#This Row],[beftettotal-I]]*$AF$2</f>
        <v>0</v>
      </c>
      <c r="AG106" s="60">
        <f>Tabell2[[#This Row],[Befvekst10-I]]*$AG$2</f>
        <v>0.25962668634638536</v>
      </c>
      <c r="AH106" s="60">
        <f>Tabell2[[#This Row],[Kvinneandel-I]]*$AH$2</f>
        <v>0.9093863104315979</v>
      </c>
      <c r="AI106" s="60">
        <f>Tabell2[[#This Row],[Eldreandel-I]]*$AI$2</f>
        <v>0</v>
      </c>
      <c r="AJ106" s="60">
        <f>Tabell2[[#This Row],[Syssvekst10-I]]*$AJ$2</f>
        <v>0.24848200026386566</v>
      </c>
      <c r="AK106" s="60">
        <f>Tabell2[[#This Row],[Yrkesaktiveandel-I]]*$AK$2</f>
        <v>10</v>
      </c>
      <c r="AL106" s="60">
        <f>Tabell2[[#This Row],[Bruttoinntekt17+-I]]*$AL$2</f>
        <v>1.1105011427430214</v>
      </c>
      <c r="AM106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12.546996661643346</v>
      </c>
    </row>
    <row r="107" spans="1:39">
      <c r="A107" s="63">
        <v>102</v>
      </c>
      <c r="B107" s="8" t="s">
        <v>157</v>
      </c>
      <c r="C107" s="45">
        <f>Råark!L104</f>
        <v>11</v>
      </c>
      <c r="D107" s="80">
        <f>Råark!K104</f>
        <v>303.37588427659995</v>
      </c>
      <c r="E107" s="80">
        <f>Råark!N104</f>
        <v>0.64636314883287693</v>
      </c>
      <c r="F107" s="80">
        <f>Råark!O104</f>
        <v>-5.4695562435500555E-2</v>
      </c>
      <c r="G107" s="80">
        <f>Råark!P104</f>
        <v>8.1877729257641918E-2</v>
      </c>
      <c r="H107" s="80">
        <f>Råark!Q104</f>
        <v>0.2205240174672489</v>
      </c>
      <c r="I107" s="80">
        <f>Råark!R104</f>
        <v>-3.6144578313253017E-2</v>
      </c>
      <c r="J107" s="80">
        <f>Råark!S104</f>
        <v>0.95258620689655171</v>
      </c>
      <c r="K107" s="80">
        <f>Råark!M104</f>
        <v>296800</v>
      </c>
      <c r="L107" s="59">
        <f>Tabell2[[#This Row],[NIBR11BA]]</f>
        <v>11</v>
      </c>
      <c r="M107" s="80">
        <f>IF(Tabell2[[#This Row],[Reisetid Oslo]]&lt;D$167,D$167,IF(Tabell2[[#This Row],[Reisetid Oslo]]&gt;D$168,D$168,Tabell2[[#This Row],[Reisetid Oslo]]))</f>
        <v>303.37588427659995</v>
      </c>
      <c r="N107" s="80">
        <f>IF(Tabell2[[#This Row],[beftettotal]]&lt;E$167,E$167,IF(Tabell2[[#This Row],[beftettotal]]&gt;E$168,E$168,Tabell2[[#This Row],[beftettotal]]))</f>
        <v>1.0041493534832273</v>
      </c>
      <c r="O107" s="80">
        <f>IF(Tabell2[[#This Row],[Befvekst10]]&lt;F$167,F$167,IF(Tabell2[[#This Row],[Befvekst10]]&gt;F$168,F$168,Tabell2[[#This Row],[Befvekst10]]))</f>
        <v>-5.4695562435500555E-2</v>
      </c>
      <c r="P107" s="80">
        <f>IF(Tabell2[[#This Row],[Kvinneandel]]&lt;G$167,G$167,IF(Tabell2[[#This Row],[Kvinneandel]]&gt;G$168,G$168,Tabell2[[#This Row],[Kvinneandel]]))</f>
        <v>9.1462840383166502E-2</v>
      </c>
      <c r="Q107" s="80">
        <f>IF(Tabell2[[#This Row],[Eldreandel]]&lt;H$167,H$167,IF(Tabell2[[#This Row],[Eldreandel]]&gt;H$168,H$168,Tabell2[[#This Row],[Eldreandel]]))</f>
        <v>0.20387114745465851</v>
      </c>
      <c r="R107" s="80">
        <f>IF(Tabell2[[#This Row],[Syssvekst10]]&lt;I$167,I$167,IF(Tabell2[[#This Row],[Syssvekst10]]&gt;I$168,I$168,Tabell2[[#This Row],[Syssvekst10]]))</f>
        <v>-3.6144578313253017E-2</v>
      </c>
      <c r="S107" s="80">
        <f>IF(Tabell2[[#This Row],[Yrkesaktiveandel]]&lt;J$167,J$167,IF(Tabell2[[#This Row],[Yrkesaktiveandel]]&gt;J$168,J$168,Tabell2[[#This Row],[Yrkesaktiveandel]]))</f>
        <v>0.95258620689655171</v>
      </c>
      <c r="T107" s="80">
        <f>IF(Tabell2[[#This Row],[Bruttoinntekt17+]]&lt;K$167,K$167,IF(Tabell2[[#This Row],[Bruttoinntekt17+]]&gt;K$168,K$168,Tabell2[[#This Row],[Bruttoinntekt17+]]))</f>
        <v>296800</v>
      </c>
      <c r="U107" s="60">
        <f>IF(Tabell2[[#This Row],[NIBR11-BA-Utrunk]]&lt;=L$170,100,IF(Tabell2[[#This Row],[NIBR11-BA-Utrunk]]&gt;=L$169,0,100-Tabell2[[#This Row],[NIBR11-BA-Utrunk]]*100/L$171))</f>
        <v>0</v>
      </c>
      <c r="V107" s="60">
        <f>(M$169-Tabell2[[#This Row],[Reisetid Oslo-T]])*100/M$171</f>
        <v>7.9302575404185358</v>
      </c>
      <c r="W107" s="60">
        <f>100-(N$169-Tabell2[[#This Row],[beftettotal-T]])*100/N$171</f>
        <v>0</v>
      </c>
      <c r="X107" s="60">
        <f>100-(O$169-Tabell2[[#This Row],[Befvekst10-T]])*100/O$171</f>
        <v>31.731560885522882</v>
      </c>
      <c r="Y107" s="60">
        <f>100-(P$169-Tabell2[[#This Row],[Kvinneandel-T]])*100/P$171</f>
        <v>0</v>
      </c>
      <c r="Z107" s="60">
        <f>(Q$169-Tabell2[[#This Row],[Eldreandel-T]])*100/Q$171</f>
        <v>0</v>
      </c>
      <c r="AA107" s="60">
        <f>100-(R$169-Tabell2[[#This Row],[Syssvekst10-T]])*100/R$171</f>
        <v>24.630975628480698</v>
      </c>
      <c r="AB107" s="60">
        <f>100-(S$169-Tabell2[[#This Row],[Yrkesaktiveandel-T]])*100/S$171</f>
        <v>95.282016130458246</v>
      </c>
      <c r="AC107" s="60">
        <f>100-(T$169-Tabell2[[#This Row],[Bruttoinntekt17+-T]])*100/T$171</f>
        <v>4.2376589609952475</v>
      </c>
      <c r="AD107" s="60">
        <f>Tabell2[[#This Row],[NIBR11-BA-I]]*$AD$2</f>
        <v>0</v>
      </c>
      <c r="AE107" s="60">
        <f>Tabell2[[#This Row],[Reisetid Oslo-I]]*$AE$2</f>
        <v>0.7930257540418536</v>
      </c>
      <c r="AF107" s="60">
        <f>Tabell2[[#This Row],[beftettotal-I]]*$AF$2</f>
        <v>0</v>
      </c>
      <c r="AG107" s="60">
        <f>Tabell2[[#This Row],[Befvekst10-I]]*$AG$2</f>
        <v>6.3463121771045765</v>
      </c>
      <c r="AH107" s="60">
        <f>Tabell2[[#This Row],[Kvinneandel-I]]*$AH$2</f>
        <v>0</v>
      </c>
      <c r="AI107" s="60">
        <f>Tabell2[[#This Row],[Eldreandel-I]]*$AI$2</f>
        <v>0</v>
      </c>
      <c r="AJ107" s="60">
        <f>Tabell2[[#This Row],[Syssvekst10-I]]*$AJ$2</f>
        <v>2.4630975628480698</v>
      </c>
      <c r="AK107" s="60">
        <f>Tabell2[[#This Row],[Yrkesaktiveandel-I]]*$AK$2</f>
        <v>9.5282016130458249</v>
      </c>
      <c r="AL107" s="60">
        <f>Tabell2[[#This Row],[Bruttoinntekt17+-I]]*$AL$2</f>
        <v>0.42376589609952475</v>
      </c>
      <c r="AM107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19.55440300313985</v>
      </c>
    </row>
    <row r="108" spans="1:39">
      <c r="A108" s="64">
        <v>103</v>
      </c>
      <c r="B108" s="8" t="s">
        <v>158</v>
      </c>
      <c r="C108" s="45">
        <f>Råark!L105</f>
        <v>11</v>
      </c>
      <c r="D108" s="80">
        <f>Råark!K105</f>
        <v>266.4131057852</v>
      </c>
      <c r="E108" s="80">
        <f>Råark!N105</f>
        <v>2.4842151099499237</v>
      </c>
      <c r="F108" s="80">
        <f>Råark!O105</f>
        <v>-9.0111642743221698E-2</v>
      </c>
      <c r="G108" s="80">
        <f>Råark!P105</f>
        <v>7.9754601226993863E-2</v>
      </c>
      <c r="H108" s="80">
        <f>Råark!Q105</f>
        <v>0.18930762489044697</v>
      </c>
      <c r="I108" s="80">
        <f>Råark!R105</f>
        <v>9.3816631130063888E-2</v>
      </c>
      <c r="J108" s="80">
        <f>Råark!S105</f>
        <v>0.97235772357723582</v>
      </c>
      <c r="K108" s="80">
        <f>Råark!M105</f>
        <v>279700</v>
      </c>
      <c r="L108" s="59">
        <f>Tabell2[[#This Row],[NIBR11BA]]</f>
        <v>11</v>
      </c>
      <c r="M108" s="80">
        <f>IF(Tabell2[[#This Row],[Reisetid Oslo]]&lt;D$167,D$167,IF(Tabell2[[#This Row],[Reisetid Oslo]]&gt;D$168,D$168,Tabell2[[#This Row],[Reisetid Oslo]]))</f>
        <v>266.4131057852</v>
      </c>
      <c r="N108" s="80">
        <f>IF(Tabell2[[#This Row],[beftettotal]]&lt;E$167,E$167,IF(Tabell2[[#This Row],[beftettotal]]&gt;E$168,E$168,Tabell2[[#This Row],[beftettotal]]))</f>
        <v>2.4842151099499237</v>
      </c>
      <c r="O108" s="80">
        <f>IF(Tabell2[[#This Row],[Befvekst10]]&lt;F$167,F$167,IF(Tabell2[[#This Row],[Befvekst10]]&gt;F$168,F$168,Tabell2[[#This Row],[Befvekst10]]))</f>
        <v>-9.0111642743221698E-2</v>
      </c>
      <c r="P108" s="80">
        <f>IF(Tabell2[[#This Row],[Kvinneandel]]&lt;G$167,G$167,IF(Tabell2[[#This Row],[Kvinneandel]]&gt;G$168,G$168,Tabell2[[#This Row],[Kvinneandel]]))</f>
        <v>9.1462840383166502E-2</v>
      </c>
      <c r="Q108" s="80">
        <f>IF(Tabell2[[#This Row],[Eldreandel]]&lt;H$167,H$167,IF(Tabell2[[#This Row],[Eldreandel]]&gt;H$168,H$168,Tabell2[[#This Row],[Eldreandel]]))</f>
        <v>0.18930762489044697</v>
      </c>
      <c r="R108" s="80">
        <f>IF(Tabell2[[#This Row],[Syssvekst10]]&lt;I$167,I$167,IF(Tabell2[[#This Row],[Syssvekst10]]&gt;I$168,I$168,Tabell2[[#This Row],[Syssvekst10]]))</f>
        <v>9.3816631130063888E-2</v>
      </c>
      <c r="S108" s="80">
        <f>IF(Tabell2[[#This Row],[Yrkesaktiveandel]]&lt;J$167,J$167,IF(Tabell2[[#This Row],[Yrkesaktiveandel]]&gt;J$168,J$168,Tabell2[[#This Row],[Yrkesaktiveandel]]))</f>
        <v>0.95882761854672227</v>
      </c>
      <c r="T108" s="80">
        <f>IF(Tabell2[[#This Row],[Bruttoinntekt17+]]&lt;K$167,K$167,IF(Tabell2[[#This Row],[Bruttoinntekt17+]]&gt;K$168,K$168,Tabell2[[#This Row],[Bruttoinntekt17+]]))</f>
        <v>294270</v>
      </c>
      <c r="U108" s="60">
        <f>IF(Tabell2[[#This Row],[NIBR11-BA-Utrunk]]&lt;=L$170,100,IF(Tabell2[[#This Row],[NIBR11-BA-Utrunk]]&gt;=L$169,0,100-Tabell2[[#This Row],[NIBR11-BA-Utrunk]]*100/L$171))</f>
        <v>0</v>
      </c>
      <c r="V108" s="60">
        <f>(M$169-Tabell2[[#This Row],[Reisetid Oslo-T]])*100/M$171</f>
        <v>27.776831756399602</v>
      </c>
      <c r="W108" s="60">
        <f>100-(N$169-Tabell2[[#This Row],[beftettotal-T]])*100/N$171</f>
        <v>3.4409714205513922</v>
      </c>
      <c r="X108" s="60">
        <f>100-(O$169-Tabell2[[#This Row],[Befvekst10-T]])*100/O$171</f>
        <v>15.848885669501882</v>
      </c>
      <c r="Y108" s="60">
        <f>100-(P$169-Tabell2[[#This Row],[Kvinneandel-T]])*100/P$171</f>
        <v>0</v>
      </c>
      <c r="Z108" s="60">
        <f>(Q$169-Tabell2[[#This Row],[Eldreandel-T]])*100/Q$171</f>
        <v>19.373024168384283</v>
      </c>
      <c r="AA108" s="60">
        <f>100-(R$169-Tabell2[[#This Row],[Syssvekst10-T]])*100/R$171</f>
        <v>73.676538781457808</v>
      </c>
      <c r="AB108" s="60">
        <f>100-(S$169-Tabell2[[#This Row],[Yrkesaktiveandel-T]])*100/S$171</f>
        <v>100</v>
      </c>
      <c r="AC108" s="60">
        <f>100-(T$169-Tabell2[[#This Row],[Bruttoinntekt17+-T]])*100/T$171</f>
        <v>0</v>
      </c>
      <c r="AD108" s="60">
        <f>Tabell2[[#This Row],[NIBR11-BA-I]]*$AD$2</f>
        <v>0</v>
      </c>
      <c r="AE108" s="60">
        <f>Tabell2[[#This Row],[Reisetid Oslo-I]]*$AE$2</f>
        <v>2.7776831756399605</v>
      </c>
      <c r="AF108" s="60">
        <f>Tabell2[[#This Row],[beftettotal-I]]*$AF$2</f>
        <v>0.34409714205513925</v>
      </c>
      <c r="AG108" s="60">
        <f>Tabell2[[#This Row],[Befvekst10-I]]*$AG$2</f>
        <v>3.1697771339003769</v>
      </c>
      <c r="AH108" s="60">
        <f>Tabell2[[#This Row],[Kvinneandel-I]]*$AH$2</f>
        <v>0</v>
      </c>
      <c r="AI108" s="60">
        <f>Tabell2[[#This Row],[Eldreandel-I]]*$AI$2</f>
        <v>0.96865120841921426</v>
      </c>
      <c r="AJ108" s="60">
        <f>Tabell2[[#This Row],[Syssvekst10-I]]*$AJ$2</f>
        <v>7.3676538781457808</v>
      </c>
      <c r="AK108" s="60">
        <f>Tabell2[[#This Row],[Yrkesaktiveandel-I]]*$AK$2</f>
        <v>10</v>
      </c>
      <c r="AL108" s="60">
        <f>Tabell2[[#This Row],[Bruttoinntekt17+-I]]*$AL$2</f>
        <v>0</v>
      </c>
      <c r="AM108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24.627862538160471</v>
      </c>
    </row>
    <row r="109" spans="1:39">
      <c r="A109" s="63">
        <v>104</v>
      </c>
      <c r="B109" s="8" t="s">
        <v>159</v>
      </c>
      <c r="C109" s="45">
        <f>Råark!L106</f>
        <v>9</v>
      </c>
      <c r="D109" s="80">
        <f>Råark!K106</f>
        <v>226.9696132105459</v>
      </c>
      <c r="E109" s="80">
        <f>Råark!N106</f>
        <v>6.7228468476275074</v>
      </c>
      <c r="F109" s="80">
        <f>Råark!O106</f>
        <v>6.8130204390612903E-3</v>
      </c>
      <c r="G109" s="80">
        <f>Råark!P106</f>
        <v>0.10827067669172932</v>
      </c>
      <c r="H109" s="80">
        <f>Råark!Q106</f>
        <v>0.1569280343716434</v>
      </c>
      <c r="I109" s="80">
        <f>Råark!R106</f>
        <v>8.4513922813874043E-2</v>
      </c>
      <c r="J109" s="80">
        <f>Råark!S106</f>
        <v>0.90303493033021565</v>
      </c>
      <c r="K109" s="80">
        <f>Råark!M106</f>
        <v>318585.86523946753</v>
      </c>
      <c r="L109" s="59">
        <f>Tabell2[[#This Row],[NIBR11BA]]</f>
        <v>9</v>
      </c>
      <c r="M109" s="80">
        <f>IF(Tabell2[[#This Row],[Reisetid Oslo]]&lt;D$167,D$167,IF(Tabell2[[#This Row],[Reisetid Oslo]]&gt;D$168,D$168,Tabell2[[#This Row],[Reisetid Oslo]]))</f>
        <v>226.9696132105459</v>
      </c>
      <c r="N109" s="80">
        <f>IF(Tabell2[[#This Row],[beftettotal]]&lt;E$167,E$167,IF(Tabell2[[#This Row],[beftettotal]]&gt;E$168,E$168,Tabell2[[#This Row],[beftettotal]]))</f>
        <v>6.7228468476275074</v>
      </c>
      <c r="O109" s="80">
        <f>IF(Tabell2[[#This Row],[Befvekst10]]&lt;F$167,F$167,IF(Tabell2[[#This Row],[Befvekst10]]&gt;F$168,F$168,Tabell2[[#This Row],[Befvekst10]]))</f>
        <v>6.8130204390612903E-3</v>
      </c>
      <c r="P109" s="80">
        <f>IF(Tabell2[[#This Row],[Kvinneandel]]&lt;G$167,G$167,IF(Tabell2[[#This Row],[Kvinneandel]]&gt;G$168,G$168,Tabell2[[#This Row],[Kvinneandel]]))</f>
        <v>0.10827067669172932</v>
      </c>
      <c r="Q109" s="80">
        <f>IF(Tabell2[[#This Row],[Eldreandel]]&lt;H$167,H$167,IF(Tabell2[[#This Row],[Eldreandel]]&gt;H$168,H$168,Tabell2[[#This Row],[Eldreandel]]))</f>
        <v>0.1569280343716434</v>
      </c>
      <c r="R109" s="80">
        <f>IF(Tabell2[[#This Row],[Syssvekst10]]&lt;I$167,I$167,IF(Tabell2[[#This Row],[Syssvekst10]]&gt;I$168,I$168,Tabell2[[#This Row],[Syssvekst10]]))</f>
        <v>8.4513922813874043E-2</v>
      </c>
      <c r="S109" s="80">
        <f>IF(Tabell2[[#This Row],[Yrkesaktiveandel]]&lt;J$167,J$167,IF(Tabell2[[#This Row],[Yrkesaktiveandel]]&gt;J$168,J$168,Tabell2[[#This Row],[Yrkesaktiveandel]]))</f>
        <v>0.90303493033021565</v>
      </c>
      <c r="T109" s="80">
        <f>IF(Tabell2[[#This Row],[Bruttoinntekt17+]]&lt;K$167,K$167,IF(Tabell2[[#This Row],[Bruttoinntekt17+]]&gt;K$168,K$168,Tabell2[[#This Row],[Bruttoinntekt17+]]))</f>
        <v>318585.86523946753</v>
      </c>
      <c r="U109" s="60">
        <f>IF(Tabell2[[#This Row],[NIBR11-BA-Utrunk]]&lt;=L$170,100,IF(Tabell2[[#This Row],[NIBR11-BA-Utrunk]]&gt;=L$169,0,100-Tabell2[[#This Row],[NIBR11-BA-Utrunk]]*100/L$171))</f>
        <v>10</v>
      </c>
      <c r="V109" s="60">
        <f>(M$169-Tabell2[[#This Row],[Reisetid Oslo-T]])*100/M$171</f>
        <v>48.955385822688399</v>
      </c>
      <c r="W109" s="60">
        <f>100-(N$169-Tabell2[[#This Row],[beftettotal-T]])*100/N$171</f>
        <v>13.295270533861697</v>
      </c>
      <c r="X109" s="60">
        <f>100-(O$169-Tabell2[[#This Row],[Befvekst10-T]])*100/O$171</f>
        <v>59.31566495085606</v>
      </c>
      <c r="Y109" s="60">
        <f>100-(P$169-Tabell2[[#This Row],[Kvinneandel-T]])*100/P$171</f>
        <v>53.601298139360296</v>
      </c>
      <c r="Z109" s="60">
        <f>(Q$169-Tabell2[[#This Row],[Eldreandel-T]])*100/Q$171</f>
        <v>62.445748292469126</v>
      </c>
      <c r="AA109" s="60">
        <f>100-(R$169-Tabell2[[#This Row],[Syssvekst10-T]])*100/R$171</f>
        <v>70.165825314187316</v>
      </c>
      <c r="AB109" s="60">
        <f>100-(S$169-Tabell2[[#This Row],[Yrkesaktiveandel-T]])*100/S$171</f>
        <v>57.82540588607754</v>
      </c>
      <c r="AC109" s="60">
        <f>100-(T$169-Tabell2[[#This Row],[Bruttoinntekt17+-T]])*100/T$171</f>
        <v>40.728199298965315</v>
      </c>
      <c r="AD109" s="60">
        <f>Tabell2[[#This Row],[NIBR11-BA-I]]*$AD$2</f>
        <v>2</v>
      </c>
      <c r="AE109" s="60">
        <f>Tabell2[[#This Row],[Reisetid Oslo-I]]*$AE$2</f>
        <v>4.8955385822688404</v>
      </c>
      <c r="AF109" s="60">
        <f>Tabell2[[#This Row],[beftettotal-I]]*$AF$2</f>
        <v>1.3295270533861698</v>
      </c>
      <c r="AG109" s="60">
        <f>Tabell2[[#This Row],[Befvekst10-I]]*$AG$2</f>
        <v>11.863132990171213</v>
      </c>
      <c r="AH109" s="60">
        <f>Tabell2[[#This Row],[Kvinneandel-I]]*$AH$2</f>
        <v>2.6800649069680151</v>
      </c>
      <c r="AI109" s="60">
        <f>Tabell2[[#This Row],[Eldreandel-I]]*$AI$2</f>
        <v>3.1222874146234565</v>
      </c>
      <c r="AJ109" s="60">
        <f>Tabell2[[#This Row],[Syssvekst10-I]]*$AJ$2</f>
        <v>7.0165825314187318</v>
      </c>
      <c r="AK109" s="60">
        <f>Tabell2[[#This Row],[Yrkesaktiveandel-I]]*$AK$2</f>
        <v>5.7825405886077546</v>
      </c>
      <c r="AL109" s="60">
        <f>Tabell2[[#This Row],[Bruttoinntekt17+-I]]*$AL$2</f>
        <v>4.0728199298965313</v>
      </c>
      <c r="AM109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42.762493997340712</v>
      </c>
    </row>
    <row r="110" spans="1:39">
      <c r="A110" s="64">
        <v>105</v>
      </c>
      <c r="B110" s="8" t="s">
        <v>160</v>
      </c>
      <c r="C110" s="45">
        <f>Råark!L107</f>
        <v>11</v>
      </c>
      <c r="D110" s="80">
        <f>Råark!K107</f>
        <v>296.17561002799999</v>
      </c>
      <c r="E110" s="80">
        <f>Råark!N107</f>
        <v>5.2338326635001824</v>
      </c>
      <c r="F110" s="80">
        <f>Råark!O107</f>
        <v>-0.16228070175438591</v>
      </c>
      <c r="G110" s="80">
        <f>Råark!P107</f>
        <v>8.7260034904013961E-2</v>
      </c>
      <c r="H110" s="80">
        <f>Råark!Q107</f>
        <v>0.24432809773123909</v>
      </c>
      <c r="I110" s="80">
        <f>Råark!R107</f>
        <v>3.8910505836575959E-2</v>
      </c>
      <c r="J110" s="80">
        <f>Råark!S107</f>
        <v>1.0068027210884354</v>
      </c>
      <c r="K110" s="80">
        <f>Råark!M107</f>
        <v>279500</v>
      </c>
      <c r="L110" s="59">
        <f>Tabell2[[#This Row],[NIBR11BA]]</f>
        <v>11</v>
      </c>
      <c r="M110" s="80">
        <f>IF(Tabell2[[#This Row],[Reisetid Oslo]]&lt;D$167,D$167,IF(Tabell2[[#This Row],[Reisetid Oslo]]&gt;D$168,D$168,Tabell2[[#This Row],[Reisetid Oslo]]))</f>
        <v>296.17561002799999</v>
      </c>
      <c r="N110" s="80">
        <f>IF(Tabell2[[#This Row],[beftettotal]]&lt;E$167,E$167,IF(Tabell2[[#This Row],[beftettotal]]&gt;E$168,E$168,Tabell2[[#This Row],[beftettotal]]))</f>
        <v>5.2338326635001824</v>
      </c>
      <c r="O110" s="80">
        <f>IF(Tabell2[[#This Row],[Befvekst10]]&lt;F$167,F$167,IF(Tabell2[[#This Row],[Befvekst10]]&gt;F$168,F$168,Tabell2[[#This Row],[Befvekst10]]))</f>
        <v>-0.12545237722432315</v>
      </c>
      <c r="P110" s="80">
        <f>IF(Tabell2[[#This Row],[Kvinneandel]]&lt;G$167,G$167,IF(Tabell2[[#This Row],[Kvinneandel]]&gt;G$168,G$168,Tabell2[[#This Row],[Kvinneandel]]))</f>
        <v>9.1462840383166502E-2</v>
      </c>
      <c r="Q110" s="80">
        <f>IF(Tabell2[[#This Row],[Eldreandel]]&lt;H$167,H$167,IF(Tabell2[[#This Row],[Eldreandel]]&gt;H$168,H$168,Tabell2[[#This Row],[Eldreandel]]))</f>
        <v>0.20387114745465851</v>
      </c>
      <c r="R110" s="80">
        <f>IF(Tabell2[[#This Row],[Syssvekst10]]&lt;I$167,I$167,IF(Tabell2[[#This Row],[Syssvekst10]]&gt;I$168,I$168,Tabell2[[#This Row],[Syssvekst10]]))</f>
        <v>3.8910505836575959E-2</v>
      </c>
      <c r="S110" s="80">
        <f>IF(Tabell2[[#This Row],[Yrkesaktiveandel]]&lt;J$167,J$167,IF(Tabell2[[#This Row],[Yrkesaktiveandel]]&gt;J$168,J$168,Tabell2[[#This Row],[Yrkesaktiveandel]]))</f>
        <v>0.95882761854672227</v>
      </c>
      <c r="T110" s="80">
        <f>IF(Tabell2[[#This Row],[Bruttoinntekt17+]]&lt;K$167,K$167,IF(Tabell2[[#This Row],[Bruttoinntekt17+]]&gt;K$168,K$168,Tabell2[[#This Row],[Bruttoinntekt17+]]))</f>
        <v>294270</v>
      </c>
      <c r="U110" s="60">
        <f>IF(Tabell2[[#This Row],[NIBR11-BA-Utrunk]]&lt;=L$170,100,IF(Tabell2[[#This Row],[NIBR11-BA-Utrunk]]&gt;=L$169,0,100-Tabell2[[#This Row],[NIBR11-BA-Utrunk]]*100/L$171))</f>
        <v>0</v>
      </c>
      <c r="V110" s="60">
        <f>(M$169-Tabell2[[#This Row],[Reisetid Oslo-T]])*100/M$171</f>
        <v>11.796329926819483</v>
      </c>
      <c r="W110" s="60">
        <f>100-(N$169-Tabell2[[#This Row],[beftettotal-T]])*100/N$171</f>
        <v>9.83349511611992</v>
      </c>
      <c r="X110" s="60">
        <f>100-(O$169-Tabell2[[#This Row],[Befvekst10-T]])*100/O$171</f>
        <v>0</v>
      </c>
      <c r="Y110" s="60">
        <f>100-(P$169-Tabell2[[#This Row],[Kvinneandel-T]])*100/P$171</f>
        <v>0</v>
      </c>
      <c r="Z110" s="60">
        <f>(Q$169-Tabell2[[#This Row],[Eldreandel-T]])*100/Q$171</f>
        <v>0</v>
      </c>
      <c r="AA110" s="60">
        <f>100-(R$169-Tabell2[[#This Row],[Syssvekst10-T]])*100/R$171</f>
        <v>52.955726416737889</v>
      </c>
      <c r="AB110" s="60">
        <f>100-(S$169-Tabell2[[#This Row],[Yrkesaktiveandel-T]])*100/S$171</f>
        <v>100</v>
      </c>
      <c r="AC110" s="60">
        <f>100-(T$169-Tabell2[[#This Row],[Bruttoinntekt17+-T]])*100/T$171</f>
        <v>0</v>
      </c>
      <c r="AD110" s="60">
        <f>Tabell2[[#This Row],[NIBR11-BA-I]]*$AD$2</f>
        <v>0</v>
      </c>
      <c r="AE110" s="60">
        <f>Tabell2[[#This Row],[Reisetid Oslo-I]]*$AE$2</f>
        <v>1.1796329926819484</v>
      </c>
      <c r="AF110" s="60">
        <f>Tabell2[[#This Row],[beftettotal-I]]*$AF$2</f>
        <v>0.98334951161199202</v>
      </c>
      <c r="AG110" s="60">
        <f>Tabell2[[#This Row],[Befvekst10-I]]*$AG$2</f>
        <v>0</v>
      </c>
      <c r="AH110" s="60">
        <f>Tabell2[[#This Row],[Kvinneandel-I]]*$AH$2</f>
        <v>0</v>
      </c>
      <c r="AI110" s="60">
        <f>Tabell2[[#This Row],[Eldreandel-I]]*$AI$2</f>
        <v>0</v>
      </c>
      <c r="AJ110" s="60">
        <f>Tabell2[[#This Row],[Syssvekst10-I]]*$AJ$2</f>
        <v>5.2955726416737896</v>
      </c>
      <c r="AK110" s="60">
        <f>Tabell2[[#This Row],[Yrkesaktiveandel-I]]*$AK$2</f>
        <v>10</v>
      </c>
      <c r="AL110" s="60">
        <f>Tabell2[[#This Row],[Bruttoinntekt17+-I]]*$AL$2</f>
        <v>0</v>
      </c>
      <c r="AM110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17.458555145967729</v>
      </c>
    </row>
    <row r="111" spans="1:39">
      <c r="A111" s="63">
        <v>106</v>
      </c>
      <c r="B111" s="8" t="s">
        <v>161</v>
      </c>
      <c r="C111" s="45">
        <f>Råark!L108</f>
        <v>4</v>
      </c>
      <c r="D111" s="80">
        <f>Råark!K108</f>
        <v>195.80237442443513</v>
      </c>
      <c r="E111" s="80">
        <f>Råark!N108</f>
        <v>24.550708689788149</v>
      </c>
      <c r="F111" s="80">
        <f>Råark!O108</f>
        <v>0.11760794396666374</v>
      </c>
      <c r="G111" s="80">
        <f>Råark!P108</f>
        <v>0.13432628614493675</v>
      </c>
      <c r="H111" s="80">
        <f>Råark!Q108</f>
        <v>0.11802387846574908</v>
      </c>
      <c r="I111" s="80">
        <f>Råark!R108</f>
        <v>0.12613815709603005</v>
      </c>
      <c r="J111" s="80">
        <f>Råark!S108</f>
        <v>0.89286650072055551</v>
      </c>
      <c r="K111" s="80">
        <f>Råark!M108</f>
        <v>355497.5435756027</v>
      </c>
      <c r="L111" s="59">
        <f>Tabell2[[#This Row],[NIBR11BA]]</f>
        <v>4</v>
      </c>
      <c r="M111" s="80">
        <f>IF(Tabell2[[#This Row],[Reisetid Oslo]]&lt;D$167,D$167,IF(Tabell2[[#This Row],[Reisetid Oslo]]&gt;D$168,D$168,Tabell2[[#This Row],[Reisetid Oslo]]))</f>
        <v>195.80237442443513</v>
      </c>
      <c r="N111" s="80">
        <f>IF(Tabell2[[#This Row],[beftettotal]]&lt;E$167,E$167,IF(Tabell2[[#This Row],[beftettotal]]&gt;E$168,E$168,Tabell2[[#This Row],[beftettotal]]))</f>
        <v>24.550708689788149</v>
      </c>
      <c r="O111" s="80">
        <f>IF(Tabell2[[#This Row],[Befvekst10]]&lt;F$167,F$167,IF(Tabell2[[#This Row],[Befvekst10]]&gt;F$168,F$168,Tabell2[[#This Row],[Befvekst10]]))</f>
        <v>9.7533233360955388E-2</v>
      </c>
      <c r="P111" s="80">
        <f>IF(Tabell2[[#This Row],[Kvinneandel]]&lt;G$167,G$167,IF(Tabell2[[#This Row],[Kvinneandel]]&gt;G$168,G$168,Tabell2[[#This Row],[Kvinneandel]]))</f>
        <v>0.12281998450468276</v>
      </c>
      <c r="Q111" s="80">
        <f>IF(Tabell2[[#This Row],[Eldreandel]]&lt;H$167,H$167,IF(Tabell2[[#This Row],[Eldreandel]]&gt;H$168,H$168,Tabell2[[#This Row],[Eldreandel]]))</f>
        <v>0.1286969132327325</v>
      </c>
      <c r="R111" s="80">
        <f>IF(Tabell2[[#This Row],[Syssvekst10]]&lt;I$167,I$167,IF(Tabell2[[#This Row],[Syssvekst10]]&gt;I$168,I$168,Tabell2[[#This Row],[Syssvekst10]]))</f>
        <v>0.12613815709603005</v>
      </c>
      <c r="S111" s="80">
        <f>IF(Tabell2[[#This Row],[Yrkesaktiveandel]]&lt;J$167,J$167,IF(Tabell2[[#This Row],[Yrkesaktiveandel]]&gt;J$168,J$168,Tabell2[[#This Row],[Yrkesaktiveandel]]))</f>
        <v>0.89286650072055551</v>
      </c>
      <c r="T111" s="80">
        <f>IF(Tabell2[[#This Row],[Bruttoinntekt17+]]&lt;K$167,K$167,IF(Tabell2[[#This Row],[Bruttoinntekt17+]]&gt;K$168,K$168,Tabell2[[#This Row],[Bruttoinntekt17+]]))</f>
        <v>353972.77512388147</v>
      </c>
      <c r="U111" s="60">
        <f>IF(Tabell2[[#This Row],[NIBR11-BA-Utrunk]]&lt;=L$170,100,IF(Tabell2[[#This Row],[NIBR11-BA-Utrunk]]&gt;=L$169,0,100-Tabell2[[#This Row],[NIBR11-BA-Utrunk]]*100/L$171))</f>
        <v>60</v>
      </c>
      <c r="V111" s="60">
        <f>(M$169-Tabell2[[#This Row],[Reisetid Oslo-T]])*100/M$171</f>
        <v>65.690137454513675</v>
      </c>
      <c r="W111" s="60">
        <f>100-(N$169-Tabell2[[#This Row],[beftettotal-T]])*100/N$171</f>
        <v>54.742863534635234</v>
      </c>
      <c r="X111" s="60">
        <f>100-(O$169-Tabell2[[#This Row],[Befvekst10-T]])*100/O$171</f>
        <v>100</v>
      </c>
      <c r="Y111" s="60">
        <f>100-(P$169-Tabell2[[#This Row],[Kvinneandel-T]])*100/P$171</f>
        <v>100</v>
      </c>
      <c r="Z111" s="60">
        <f>(Q$169-Tabell2[[#This Row],[Eldreandel-T]])*100/Q$171</f>
        <v>100</v>
      </c>
      <c r="AA111" s="60">
        <f>100-(R$169-Tabell2[[#This Row],[Syssvekst10-T]])*100/R$171</f>
        <v>85.874235692364024</v>
      </c>
      <c r="AB111" s="60">
        <f>100-(S$169-Tabell2[[#This Row],[Yrkesaktiveandel-T]])*100/S$171</f>
        <v>50.138925716861941</v>
      </c>
      <c r="AC111" s="60">
        <f>100-(T$169-Tabell2[[#This Row],[Bruttoinntekt17+-T]])*100/T$171</f>
        <v>100</v>
      </c>
      <c r="AD111" s="60">
        <f>Tabell2[[#This Row],[NIBR11-BA-I]]*$AD$2</f>
        <v>12</v>
      </c>
      <c r="AE111" s="60">
        <f>Tabell2[[#This Row],[Reisetid Oslo-I]]*$AE$2</f>
        <v>6.5690137454513682</v>
      </c>
      <c r="AF111" s="60">
        <f>Tabell2[[#This Row],[beftettotal-I]]*$AF$2</f>
        <v>5.4742863534635235</v>
      </c>
      <c r="AG111" s="60">
        <f>Tabell2[[#This Row],[Befvekst10-I]]*$AG$2</f>
        <v>20</v>
      </c>
      <c r="AH111" s="60">
        <f>Tabell2[[#This Row],[Kvinneandel-I]]*$AH$2</f>
        <v>5</v>
      </c>
      <c r="AI111" s="60">
        <f>Tabell2[[#This Row],[Eldreandel-I]]*$AI$2</f>
        <v>5</v>
      </c>
      <c r="AJ111" s="60">
        <f>Tabell2[[#This Row],[Syssvekst10-I]]*$AJ$2</f>
        <v>8.5874235692364032</v>
      </c>
      <c r="AK111" s="60">
        <f>Tabell2[[#This Row],[Yrkesaktiveandel-I]]*$AK$2</f>
        <v>5.0138925716861946</v>
      </c>
      <c r="AL111" s="60">
        <f>Tabell2[[#This Row],[Bruttoinntekt17+-I]]*$AL$2</f>
        <v>10</v>
      </c>
      <c r="AM111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77.64461623983749</v>
      </c>
    </row>
    <row r="112" spans="1:39">
      <c r="A112" s="64">
        <v>107</v>
      </c>
      <c r="B112" s="8" t="s">
        <v>162</v>
      </c>
      <c r="C112" s="45">
        <f>Råark!L109</f>
        <v>5</v>
      </c>
      <c r="D112" s="80">
        <f>Råark!K109</f>
        <v>260.62199083844848</v>
      </c>
      <c r="E112" s="80">
        <f>Råark!N109</f>
        <v>6.8038144219436401</v>
      </c>
      <c r="F112" s="80">
        <f>Råark!O109</f>
        <v>-1.1783014673188097E-2</v>
      </c>
      <c r="G112" s="80">
        <f>Råark!P109</f>
        <v>0.11109111361079865</v>
      </c>
      <c r="H112" s="80">
        <f>Råark!Q109</f>
        <v>0.16202474690663668</v>
      </c>
      <c r="I112" s="80">
        <f>Råark!R109</f>
        <v>5.7437116260645737E-2</v>
      </c>
      <c r="J112" s="80">
        <f>Råark!S109</f>
        <v>0.84208885424785662</v>
      </c>
      <c r="K112" s="80">
        <f>Råark!M109</f>
        <v>329081.12807936687</v>
      </c>
      <c r="L112" s="59">
        <f>Tabell2[[#This Row],[NIBR11BA]]</f>
        <v>5</v>
      </c>
      <c r="M112" s="80">
        <f>IF(Tabell2[[#This Row],[Reisetid Oslo]]&lt;D$167,D$167,IF(Tabell2[[#This Row],[Reisetid Oslo]]&gt;D$168,D$168,Tabell2[[#This Row],[Reisetid Oslo]]))</f>
        <v>260.62199083844848</v>
      </c>
      <c r="N112" s="80">
        <f>IF(Tabell2[[#This Row],[beftettotal]]&lt;E$167,E$167,IF(Tabell2[[#This Row],[beftettotal]]&gt;E$168,E$168,Tabell2[[#This Row],[beftettotal]]))</f>
        <v>6.8038144219436401</v>
      </c>
      <c r="O112" s="80">
        <f>IF(Tabell2[[#This Row],[Befvekst10]]&lt;F$167,F$167,IF(Tabell2[[#This Row],[Befvekst10]]&gt;F$168,F$168,Tabell2[[#This Row],[Befvekst10]]))</f>
        <v>-1.1783014673188097E-2</v>
      </c>
      <c r="P112" s="80">
        <f>IF(Tabell2[[#This Row],[Kvinneandel]]&lt;G$167,G$167,IF(Tabell2[[#This Row],[Kvinneandel]]&gt;G$168,G$168,Tabell2[[#This Row],[Kvinneandel]]))</f>
        <v>0.11109111361079865</v>
      </c>
      <c r="Q112" s="80">
        <f>IF(Tabell2[[#This Row],[Eldreandel]]&lt;H$167,H$167,IF(Tabell2[[#This Row],[Eldreandel]]&gt;H$168,H$168,Tabell2[[#This Row],[Eldreandel]]))</f>
        <v>0.16202474690663668</v>
      </c>
      <c r="R112" s="80">
        <f>IF(Tabell2[[#This Row],[Syssvekst10]]&lt;I$167,I$167,IF(Tabell2[[#This Row],[Syssvekst10]]&gt;I$168,I$168,Tabell2[[#This Row],[Syssvekst10]]))</f>
        <v>5.7437116260645737E-2</v>
      </c>
      <c r="S112" s="80">
        <f>IF(Tabell2[[#This Row],[Yrkesaktiveandel]]&lt;J$167,J$167,IF(Tabell2[[#This Row],[Yrkesaktiveandel]]&gt;J$168,J$168,Tabell2[[#This Row],[Yrkesaktiveandel]]))</f>
        <v>0.84208885424785662</v>
      </c>
      <c r="T112" s="80">
        <f>IF(Tabell2[[#This Row],[Bruttoinntekt17+]]&lt;K$167,K$167,IF(Tabell2[[#This Row],[Bruttoinntekt17+]]&gt;K$168,K$168,Tabell2[[#This Row],[Bruttoinntekt17+]]))</f>
        <v>329081.12807936687</v>
      </c>
      <c r="U112" s="60">
        <f>IF(Tabell2[[#This Row],[NIBR11-BA-Utrunk]]&lt;=L$170,100,IF(Tabell2[[#This Row],[NIBR11-BA-Utrunk]]&gt;=L$169,0,100-Tabell2[[#This Row],[NIBR11-BA-Utrunk]]*100/L$171))</f>
        <v>50</v>
      </c>
      <c r="V112" s="60">
        <f>(M$169-Tabell2[[#This Row],[Reisetid Oslo-T]])*100/M$171</f>
        <v>30.886278537050107</v>
      </c>
      <c r="W112" s="60">
        <f>100-(N$169-Tabell2[[#This Row],[beftettotal-T]])*100/N$171</f>
        <v>13.483510217129748</v>
      </c>
      <c r="X112" s="60">
        <f>100-(O$169-Tabell2[[#This Row],[Befvekst10-T]])*100/O$171</f>
        <v>50.97609762925191</v>
      </c>
      <c r="Y112" s="60">
        <f>100-(P$169-Tabell2[[#This Row],[Kvinneandel-T]])*100/P$171</f>
        <v>62.595857427474925</v>
      </c>
      <c r="Z112" s="60">
        <f>(Q$169-Tabell2[[#This Row],[Eldreandel-T]])*100/Q$171</f>
        <v>55.665882042090061</v>
      </c>
      <c r="AA112" s="60">
        <f>100-(R$169-Tabell2[[#This Row],[Syssvekst10-T]])*100/R$171</f>
        <v>59.947412978108567</v>
      </c>
      <c r="AB112" s="60">
        <f>100-(S$169-Tabell2[[#This Row],[Yrkesaktiveandel-T]])*100/S$171</f>
        <v>11.755282653527019</v>
      </c>
      <c r="AC112" s="60">
        <f>100-(T$169-Tabell2[[#This Row],[Bruttoinntekt17+-T]])*100/T$171</f>
        <v>58.307386896396068</v>
      </c>
      <c r="AD112" s="60">
        <f>Tabell2[[#This Row],[NIBR11-BA-I]]*$AD$2</f>
        <v>10</v>
      </c>
      <c r="AE112" s="60">
        <f>Tabell2[[#This Row],[Reisetid Oslo-I]]*$AE$2</f>
        <v>3.0886278537050109</v>
      </c>
      <c r="AF112" s="60">
        <f>Tabell2[[#This Row],[beftettotal-I]]*$AF$2</f>
        <v>1.3483510217129748</v>
      </c>
      <c r="AG112" s="60">
        <f>Tabell2[[#This Row],[Befvekst10-I]]*$AG$2</f>
        <v>10.195219525850383</v>
      </c>
      <c r="AH112" s="60">
        <f>Tabell2[[#This Row],[Kvinneandel-I]]*$AH$2</f>
        <v>3.1297928713737466</v>
      </c>
      <c r="AI112" s="60">
        <f>Tabell2[[#This Row],[Eldreandel-I]]*$AI$2</f>
        <v>2.7832941021045032</v>
      </c>
      <c r="AJ112" s="60">
        <f>Tabell2[[#This Row],[Syssvekst10-I]]*$AJ$2</f>
        <v>5.9947412978108572</v>
      </c>
      <c r="AK112" s="60">
        <f>Tabell2[[#This Row],[Yrkesaktiveandel-I]]*$AK$2</f>
        <v>1.1755282653527019</v>
      </c>
      <c r="AL112" s="60">
        <f>Tabell2[[#This Row],[Bruttoinntekt17+-I]]*$AL$2</f>
        <v>5.830738689639607</v>
      </c>
      <c r="AM112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43.546293627549787</v>
      </c>
    </row>
    <row r="113" spans="1:39">
      <c r="A113" s="63">
        <v>108</v>
      </c>
      <c r="B113" s="8" t="s">
        <v>163</v>
      </c>
      <c r="C113" s="45">
        <f>Råark!L110</f>
        <v>11</v>
      </c>
      <c r="D113" s="80">
        <f>Råark!K110</f>
        <v>275.81586618590001</v>
      </c>
      <c r="E113" s="80">
        <f>Råark!N110</f>
        <v>1.235290396052132</v>
      </c>
      <c r="F113" s="80">
        <f>Råark!O110</f>
        <v>-0.16336368505623999</v>
      </c>
      <c r="G113" s="80">
        <f>Råark!P110</f>
        <v>8.5147247119078104E-2</v>
      </c>
      <c r="H113" s="80">
        <f>Råark!Q110</f>
        <v>0.21062740076824585</v>
      </c>
      <c r="I113" s="80">
        <f>Råark!R110</f>
        <v>-0.24220963172804533</v>
      </c>
      <c r="J113" s="80">
        <f>Råark!S110</f>
        <v>0.81807372175980975</v>
      </c>
      <c r="K113" s="80">
        <f>Råark!M110</f>
        <v>278400</v>
      </c>
      <c r="L113" s="59">
        <f>Tabell2[[#This Row],[NIBR11BA]]</f>
        <v>11</v>
      </c>
      <c r="M113" s="80">
        <f>IF(Tabell2[[#This Row],[Reisetid Oslo]]&lt;D$167,D$167,IF(Tabell2[[#This Row],[Reisetid Oslo]]&gt;D$168,D$168,Tabell2[[#This Row],[Reisetid Oslo]]))</f>
        <v>275.81586618590001</v>
      </c>
      <c r="N113" s="80">
        <f>IF(Tabell2[[#This Row],[beftettotal]]&lt;E$167,E$167,IF(Tabell2[[#This Row],[beftettotal]]&gt;E$168,E$168,Tabell2[[#This Row],[beftettotal]]))</f>
        <v>1.235290396052132</v>
      </c>
      <c r="O113" s="80">
        <f>IF(Tabell2[[#This Row],[Befvekst10]]&lt;F$167,F$167,IF(Tabell2[[#This Row],[Befvekst10]]&gt;F$168,F$168,Tabell2[[#This Row],[Befvekst10]]))</f>
        <v>-0.12545237722432315</v>
      </c>
      <c r="P113" s="80">
        <f>IF(Tabell2[[#This Row],[Kvinneandel]]&lt;G$167,G$167,IF(Tabell2[[#This Row],[Kvinneandel]]&gt;G$168,G$168,Tabell2[[#This Row],[Kvinneandel]]))</f>
        <v>9.1462840383166502E-2</v>
      </c>
      <c r="Q113" s="80">
        <f>IF(Tabell2[[#This Row],[Eldreandel]]&lt;H$167,H$167,IF(Tabell2[[#This Row],[Eldreandel]]&gt;H$168,H$168,Tabell2[[#This Row],[Eldreandel]]))</f>
        <v>0.20387114745465851</v>
      </c>
      <c r="R113" s="80">
        <f>IF(Tabell2[[#This Row],[Syssvekst10]]&lt;I$167,I$167,IF(Tabell2[[#This Row],[Syssvekst10]]&gt;I$168,I$168,Tabell2[[#This Row],[Syssvekst10]]))</f>
        <v>-0.10141187624317609</v>
      </c>
      <c r="S113" s="80">
        <f>IF(Tabell2[[#This Row],[Yrkesaktiveandel]]&lt;J$167,J$167,IF(Tabell2[[#This Row],[Yrkesaktiveandel]]&gt;J$168,J$168,Tabell2[[#This Row],[Yrkesaktiveandel]]))</f>
        <v>0.82653781377516045</v>
      </c>
      <c r="T113" s="80">
        <f>IF(Tabell2[[#This Row],[Bruttoinntekt17+]]&lt;K$167,K$167,IF(Tabell2[[#This Row],[Bruttoinntekt17+]]&gt;K$168,K$168,Tabell2[[#This Row],[Bruttoinntekt17+]]))</f>
        <v>294270</v>
      </c>
      <c r="U113" s="60">
        <f>IF(Tabell2[[#This Row],[NIBR11-BA-Utrunk]]&lt;=L$170,100,IF(Tabell2[[#This Row],[NIBR11-BA-Utrunk]]&gt;=L$169,0,100-Tabell2[[#This Row],[NIBR11-BA-Utrunk]]*100/L$171))</f>
        <v>0</v>
      </c>
      <c r="V113" s="60">
        <f>(M$169-Tabell2[[#This Row],[Reisetid Oslo-T]])*100/M$171</f>
        <v>22.728169568544885</v>
      </c>
      <c r="W113" s="60">
        <f>100-(N$169-Tabell2[[#This Row],[beftettotal-T]])*100/N$171</f>
        <v>0.53737458496082979</v>
      </c>
      <c r="X113" s="60">
        <f>100-(O$169-Tabell2[[#This Row],[Befvekst10-T]])*100/O$171</f>
        <v>0</v>
      </c>
      <c r="Y113" s="60">
        <f>100-(P$169-Tabell2[[#This Row],[Kvinneandel-T]])*100/P$171</f>
        <v>0</v>
      </c>
      <c r="Z113" s="60">
        <f>(Q$169-Tabell2[[#This Row],[Eldreandel-T]])*100/Q$171</f>
        <v>0</v>
      </c>
      <c r="AA113" s="60">
        <f>100-(R$169-Tabell2[[#This Row],[Syssvekst10-T]])*100/R$171</f>
        <v>0</v>
      </c>
      <c r="AB113" s="60">
        <f>100-(S$169-Tabell2[[#This Row],[Yrkesaktiveandel-T]])*100/S$171</f>
        <v>0</v>
      </c>
      <c r="AC113" s="60">
        <f>100-(T$169-Tabell2[[#This Row],[Bruttoinntekt17+-T]])*100/T$171</f>
        <v>0</v>
      </c>
      <c r="AD113" s="60">
        <f>Tabell2[[#This Row],[NIBR11-BA-I]]*$AD$2</f>
        <v>0</v>
      </c>
      <c r="AE113" s="60">
        <f>Tabell2[[#This Row],[Reisetid Oslo-I]]*$AE$2</f>
        <v>2.2728169568544887</v>
      </c>
      <c r="AF113" s="60">
        <f>Tabell2[[#This Row],[beftettotal-I]]*$AF$2</f>
        <v>5.3737458496082982E-2</v>
      </c>
      <c r="AG113" s="60">
        <f>Tabell2[[#This Row],[Befvekst10-I]]*$AG$2</f>
        <v>0</v>
      </c>
      <c r="AH113" s="60">
        <f>Tabell2[[#This Row],[Kvinneandel-I]]*$AH$2</f>
        <v>0</v>
      </c>
      <c r="AI113" s="60">
        <f>Tabell2[[#This Row],[Eldreandel-I]]*$AI$2</f>
        <v>0</v>
      </c>
      <c r="AJ113" s="60">
        <f>Tabell2[[#This Row],[Syssvekst10-I]]*$AJ$2</f>
        <v>0</v>
      </c>
      <c r="AK113" s="60">
        <f>Tabell2[[#This Row],[Yrkesaktiveandel-I]]*$AK$2</f>
        <v>0</v>
      </c>
      <c r="AL113" s="60">
        <f>Tabell2[[#This Row],[Bruttoinntekt17+-I]]*$AL$2</f>
        <v>0</v>
      </c>
      <c r="AM113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2.3265544153505715</v>
      </c>
    </row>
    <row r="114" spans="1:39">
      <c r="A114" s="64">
        <v>109</v>
      </c>
      <c r="B114" s="8" t="s">
        <v>164</v>
      </c>
      <c r="C114" s="45">
        <f>Råark!L111</f>
        <v>7</v>
      </c>
      <c r="D114" s="80">
        <f>Råark!K111</f>
        <v>212.48893280251252</v>
      </c>
      <c r="E114" s="80">
        <f>Råark!N111</f>
        <v>5.9602649006622519</v>
      </c>
      <c r="F114" s="80">
        <f>Råark!O111</f>
        <v>-7.763975155279379E-4</v>
      </c>
      <c r="G114" s="80">
        <f>Råark!P111</f>
        <v>0.10834844168177502</v>
      </c>
      <c r="H114" s="80">
        <f>Råark!Q111</f>
        <v>0.14996114996114995</v>
      </c>
      <c r="I114" s="80">
        <f>Råark!R111</f>
        <v>0.12129380053908356</v>
      </c>
      <c r="J114" s="80">
        <f>Råark!S111</f>
        <v>0.89020270270270274</v>
      </c>
      <c r="K114" s="80">
        <f>Råark!M111</f>
        <v>312348.34232845029</v>
      </c>
      <c r="L114" s="59">
        <f>Tabell2[[#This Row],[NIBR11BA]]</f>
        <v>7</v>
      </c>
      <c r="M114" s="80">
        <f>IF(Tabell2[[#This Row],[Reisetid Oslo]]&lt;D$167,D$167,IF(Tabell2[[#This Row],[Reisetid Oslo]]&gt;D$168,D$168,Tabell2[[#This Row],[Reisetid Oslo]]))</f>
        <v>212.48893280251252</v>
      </c>
      <c r="N114" s="80">
        <f>IF(Tabell2[[#This Row],[beftettotal]]&lt;E$167,E$167,IF(Tabell2[[#This Row],[beftettotal]]&gt;E$168,E$168,Tabell2[[#This Row],[beftettotal]]))</f>
        <v>5.9602649006622519</v>
      </c>
      <c r="O114" s="80">
        <f>IF(Tabell2[[#This Row],[Befvekst10]]&lt;F$167,F$167,IF(Tabell2[[#This Row],[Befvekst10]]&gt;F$168,F$168,Tabell2[[#This Row],[Befvekst10]]))</f>
        <v>-7.763975155279379E-4</v>
      </c>
      <c r="P114" s="80">
        <f>IF(Tabell2[[#This Row],[Kvinneandel]]&lt;G$167,G$167,IF(Tabell2[[#This Row],[Kvinneandel]]&gt;G$168,G$168,Tabell2[[#This Row],[Kvinneandel]]))</f>
        <v>0.10834844168177502</v>
      </c>
      <c r="Q114" s="80">
        <f>IF(Tabell2[[#This Row],[Eldreandel]]&lt;H$167,H$167,IF(Tabell2[[#This Row],[Eldreandel]]&gt;H$168,H$168,Tabell2[[#This Row],[Eldreandel]]))</f>
        <v>0.14996114996114995</v>
      </c>
      <c r="R114" s="80">
        <f>IF(Tabell2[[#This Row],[Syssvekst10]]&lt;I$167,I$167,IF(Tabell2[[#This Row],[Syssvekst10]]&gt;I$168,I$168,Tabell2[[#This Row],[Syssvekst10]]))</f>
        <v>0.12129380053908356</v>
      </c>
      <c r="S114" s="80">
        <f>IF(Tabell2[[#This Row],[Yrkesaktiveandel]]&lt;J$167,J$167,IF(Tabell2[[#This Row],[Yrkesaktiveandel]]&gt;J$168,J$168,Tabell2[[#This Row],[Yrkesaktiveandel]]))</f>
        <v>0.89020270270270274</v>
      </c>
      <c r="T114" s="80">
        <f>IF(Tabell2[[#This Row],[Bruttoinntekt17+]]&lt;K$167,K$167,IF(Tabell2[[#This Row],[Bruttoinntekt17+]]&gt;K$168,K$168,Tabell2[[#This Row],[Bruttoinntekt17+]]))</f>
        <v>312348.34232845029</v>
      </c>
      <c r="U114" s="60">
        <f>IF(Tabell2[[#This Row],[NIBR11-BA-Utrunk]]&lt;=L$170,100,IF(Tabell2[[#This Row],[NIBR11-BA-Utrunk]]&gt;=L$169,0,100-Tabell2[[#This Row],[NIBR11-BA-Utrunk]]*100/L$171))</f>
        <v>30</v>
      </c>
      <c r="V114" s="60">
        <f>(M$169-Tabell2[[#This Row],[Reisetid Oslo-T]])*100/M$171</f>
        <v>56.730556146607761</v>
      </c>
      <c r="W114" s="60">
        <f>100-(N$169-Tabell2[[#This Row],[beftettotal-T]])*100/N$171</f>
        <v>11.522361003409401</v>
      </c>
      <c r="X114" s="60">
        <f>100-(O$169-Tabell2[[#This Row],[Befvekst10-T]])*100/O$171</f>
        <v>55.912118894826257</v>
      </c>
      <c r="Y114" s="60">
        <f>100-(P$169-Tabell2[[#This Row],[Kvinneandel-T]])*100/P$171</f>
        <v>53.849295819711337</v>
      </c>
      <c r="Z114" s="60">
        <f>(Q$169-Tabell2[[#This Row],[Eldreandel-T]])*100/Q$171</f>
        <v>71.713397617537254</v>
      </c>
      <c r="AA114" s="60">
        <f>100-(R$169-Tabell2[[#This Row],[Syssvekst10-T]])*100/R$171</f>
        <v>84.046042522517567</v>
      </c>
      <c r="AB114" s="60">
        <f>100-(S$169-Tabell2[[#This Row],[Yrkesaktiveandel-T]])*100/S$171</f>
        <v>48.125317772959825</v>
      </c>
      <c r="AC114" s="60">
        <f>100-(T$169-Tabell2[[#This Row],[Bruttoinntekt17+-T]])*100/T$171</f>
        <v>30.280572872765589</v>
      </c>
      <c r="AD114" s="60">
        <f>Tabell2[[#This Row],[NIBR11-BA-I]]*$AD$2</f>
        <v>6</v>
      </c>
      <c r="AE114" s="60">
        <f>Tabell2[[#This Row],[Reisetid Oslo-I]]*$AE$2</f>
        <v>5.6730556146607762</v>
      </c>
      <c r="AF114" s="60">
        <f>Tabell2[[#This Row],[beftettotal-I]]*$AF$2</f>
        <v>1.15223610034094</v>
      </c>
      <c r="AG114" s="60">
        <f>Tabell2[[#This Row],[Befvekst10-I]]*$AG$2</f>
        <v>11.182423778965251</v>
      </c>
      <c r="AH114" s="60">
        <f>Tabell2[[#This Row],[Kvinneandel-I]]*$AH$2</f>
        <v>2.692464790985567</v>
      </c>
      <c r="AI114" s="60">
        <f>Tabell2[[#This Row],[Eldreandel-I]]*$AI$2</f>
        <v>3.5856698808768628</v>
      </c>
      <c r="AJ114" s="60">
        <f>Tabell2[[#This Row],[Syssvekst10-I]]*$AJ$2</f>
        <v>8.4046042522517563</v>
      </c>
      <c r="AK114" s="60">
        <f>Tabell2[[#This Row],[Yrkesaktiveandel-I]]*$AK$2</f>
        <v>4.812531777295983</v>
      </c>
      <c r="AL114" s="60">
        <f>Tabell2[[#This Row],[Bruttoinntekt17+-I]]*$AL$2</f>
        <v>3.028057287276559</v>
      </c>
      <c r="AM114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46.531043482653693</v>
      </c>
    </row>
    <row r="115" spans="1:39">
      <c r="A115" s="63">
        <v>110</v>
      </c>
      <c r="B115" s="8" t="s">
        <v>165</v>
      </c>
      <c r="C115" s="45">
        <f>Råark!L112</f>
        <v>7</v>
      </c>
      <c r="D115" s="80">
        <f>Råark!K112</f>
        <v>249.90690308841567</v>
      </c>
      <c r="E115" s="80">
        <f>Råark!N112</f>
        <v>13.852552565734605</v>
      </c>
      <c r="F115" s="80">
        <f>Råark!O112</f>
        <v>-3.0863723608445248E-2</v>
      </c>
      <c r="G115" s="80">
        <f>Råark!P112</f>
        <v>0.11027489503287649</v>
      </c>
      <c r="H115" s="80">
        <f>Råark!Q112</f>
        <v>0.15146953972906599</v>
      </c>
      <c r="I115" s="80">
        <f>Råark!R112</f>
        <v>2.7825786380919482E-2</v>
      </c>
      <c r="J115" s="80">
        <f>Råark!S112</f>
        <v>0.8569667077681874</v>
      </c>
      <c r="K115" s="80">
        <f>Råark!M112</f>
        <v>315139.5115655713</v>
      </c>
      <c r="L115" s="59">
        <f>Tabell2[[#This Row],[NIBR11BA]]</f>
        <v>7</v>
      </c>
      <c r="M115" s="80">
        <f>IF(Tabell2[[#This Row],[Reisetid Oslo]]&lt;D$167,D$167,IF(Tabell2[[#This Row],[Reisetid Oslo]]&gt;D$168,D$168,Tabell2[[#This Row],[Reisetid Oslo]]))</f>
        <v>249.90690308841567</v>
      </c>
      <c r="N115" s="80">
        <f>IF(Tabell2[[#This Row],[beftettotal]]&lt;E$167,E$167,IF(Tabell2[[#This Row],[beftettotal]]&gt;E$168,E$168,Tabell2[[#This Row],[beftettotal]]))</f>
        <v>13.852552565734605</v>
      </c>
      <c r="O115" s="80">
        <f>IF(Tabell2[[#This Row],[Befvekst10]]&lt;F$167,F$167,IF(Tabell2[[#This Row],[Befvekst10]]&gt;F$168,F$168,Tabell2[[#This Row],[Befvekst10]]))</f>
        <v>-3.0863723608445248E-2</v>
      </c>
      <c r="P115" s="80">
        <f>IF(Tabell2[[#This Row],[Kvinneandel]]&lt;G$167,G$167,IF(Tabell2[[#This Row],[Kvinneandel]]&gt;G$168,G$168,Tabell2[[#This Row],[Kvinneandel]]))</f>
        <v>0.11027489503287649</v>
      </c>
      <c r="Q115" s="80">
        <f>IF(Tabell2[[#This Row],[Eldreandel]]&lt;H$167,H$167,IF(Tabell2[[#This Row],[Eldreandel]]&gt;H$168,H$168,Tabell2[[#This Row],[Eldreandel]]))</f>
        <v>0.15146953972906599</v>
      </c>
      <c r="R115" s="80">
        <f>IF(Tabell2[[#This Row],[Syssvekst10]]&lt;I$167,I$167,IF(Tabell2[[#This Row],[Syssvekst10]]&gt;I$168,I$168,Tabell2[[#This Row],[Syssvekst10]]))</f>
        <v>2.7825786380919482E-2</v>
      </c>
      <c r="S115" s="80">
        <f>IF(Tabell2[[#This Row],[Yrkesaktiveandel]]&lt;J$167,J$167,IF(Tabell2[[#This Row],[Yrkesaktiveandel]]&gt;J$168,J$168,Tabell2[[#This Row],[Yrkesaktiveandel]]))</f>
        <v>0.8569667077681874</v>
      </c>
      <c r="T115" s="80">
        <f>IF(Tabell2[[#This Row],[Bruttoinntekt17+]]&lt;K$167,K$167,IF(Tabell2[[#This Row],[Bruttoinntekt17+]]&gt;K$168,K$168,Tabell2[[#This Row],[Bruttoinntekt17+]]))</f>
        <v>315139.5115655713</v>
      </c>
      <c r="U115" s="60">
        <f>IF(Tabell2[[#This Row],[NIBR11-BA-Utrunk]]&lt;=L$170,100,IF(Tabell2[[#This Row],[NIBR11-BA-Utrunk]]&gt;=L$169,0,100-Tabell2[[#This Row],[NIBR11-BA-Utrunk]]*100/L$171))</f>
        <v>30</v>
      </c>
      <c r="V115" s="60">
        <f>(M$169-Tabell2[[#This Row],[Reisetid Oslo-T]])*100/M$171</f>
        <v>36.63957395858489</v>
      </c>
      <c r="W115" s="60">
        <f>100-(N$169-Tabell2[[#This Row],[beftettotal-T]])*100/N$171</f>
        <v>29.870962191991396</v>
      </c>
      <c r="X115" s="60">
        <f>100-(O$169-Tabell2[[#This Row],[Befvekst10-T]])*100/O$171</f>
        <v>42.419173760857305</v>
      </c>
      <c r="Y115" s="60">
        <f>100-(P$169-Tabell2[[#This Row],[Kvinneandel-T]])*100/P$171</f>
        <v>59.992882568670417</v>
      </c>
      <c r="Z115" s="60">
        <f>(Q$169-Tabell2[[#This Row],[Eldreandel-T]])*100/Q$171</f>
        <v>69.706872664502086</v>
      </c>
      <c r="AA115" s="60">
        <f>100-(R$169-Tabell2[[#This Row],[Syssvekst10-T]])*100/R$171</f>
        <v>48.772506589651321</v>
      </c>
      <c r="AB115" s="60">
        <f>100-(S$169-Tabell2[[#This Row],[Yrkesaktiveandel-T]])*100/S$171</f>
        <v>23.00169241731939</v>
      </c>
      <c r="AC115" s="60">
        <f>100-(T$169-Tabell2[[#This Row],[Bruttoinntekt17+-T]])*100/T$171</f>
        <v>34.955680908077866</v>
      </c>
      <c r="AD115" s="60">
        <f>Tabell2[[#This Row],[NIBR11-BA-I]]*$AD$2</f>
        <v>6</v>
      </c>
      <c r="AE115" s="60">
        <f>Tabell2[[#This Row],[Reisetid Oslo-I]]*$AE$2</f>
        <v>3.663957395858489</v>
      </c>
      <c r="AF115" s="60">
        <f>Tabell2[[#This Row],[beftettotal-I]]*$AF$2</f>
        <v>2.9870962191991399</v>
      </c>
      <c r="AG115" s="60">
        <f>Tabell2[[#This Row],[Befvekst10-I]]*$AG$2</f>
        <v>8.483834752171461</v>
      </c>
      <c r="AH115" s="60">
        <f>Tabell2[[#This Row],[Kvinneandel-I]]*$AH$2</f>
        <v>2.9996441284335211</v>
      </c>
      <c r="AI115" s="60">
        <f>Tabell2[[#This Row],[Eldreandel-I]]*$AI$2</f>
        <v>3.4853436332251047</v>
      </c>
      <c r="AJ115" s="60">
        <f>Tabell2[[#This Row],[Syssvekst10-I]]*$AJ$2</f>
        <v>4.8772506589651323</v>
      </c>
      <c r="AK115" s="60">
        <f>Tabell2[[#This Row],[Yrkesaktiveandel-I]]*$AK$2</f>
        <v>2.3001692417319393</v>
      </c>
      <c r="AL115" s="60">
        <f>Tabell2[[#This Row],[Bruttoinntekt17+-I]]*$AL$2</f>
        <v>3.4955680908077866</v>
      </c>
      <c r="AM115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38.292864120392565</v>
      </c>
    </row>
    <row r="116" spans="1:39">
      <c r="A116" s="64">
        <v>111</v>
      </c>
      <c r="B116" s="8" t="s">
        <v>166</v>
      </c>
      <c r="C116" s="45">
        <f>Råark!L113</f>
        <v>6</v>
      </c>
      <c r="D116" s="80">
        <f>Råark!K113</f>
        <v>238.51638958606998</v>
      </c>
      <c r="E116" s="80">
        <f>Råark!N113</f>
        <v>3.7410339014511034</v>
      </c>
      <c r="F116" s="80">
        <f>Råark!O113</f>
        <v>-2.2586859762173672E-2</v>
      </c>
      <c r="G116" s="80">
        <f>Råark!P113</f>
        <v>0.10650445184530687</v>
      </c>
      <c r="H116" s="80">
        <f>Råark!Q113</f>
        <v>0.16760687827091689</v>
      </c>
      <c r="I116" s="80">
        <f>Råark!R113</f>
        <v>7.509386733416834E-3</v>
      </c>
      <c r="J116" s="80">
        <f>Råark!S113</f>
        <v>0.88601532567049812</v>
      </c>
      <c r="K116" s="80">
        <f>Råark!M113</f>
        <v>318166.1587946504</v>
      </c>
      <c r="L116" s="59">
        <f>Tabell2[[#This Row],[NIBR11BA]]</f>
        <v>6</v>
      </c>
      <c r="M116" s="80">
        <f>IF(Tabell2[[#This Row],[Reisetid Oslo]]&lt;D$167,D$167,IF(Tabell2[[#This Row],[Reisetid Oslo]]&gt;D$168,D$168,Tabell2[[#This Row],[Reisetid Oslo]]))</f>
        <v>238.51638958606998</v>
      </c>
      <c r="N116" s="80">
        <f>IF(Tabell2[[#This Row],[beftettotal]]&lt;E$167,E$167,IF(Tabell2[[#This Row],[beftettotal]]&gt;E$168,E$168,Tabell2[[#This Row],[beftettotal]]))</f>
        <v>3.7410339014511034</v>
      </c>
      <c r="O116" s="80">
        <f>IF(Tabell2[[#This Row],[Befvekst10]]&lt;F$167,F$167,IF(Tabell2[[#This Row],[Befvekst10]]&gt;F$168,F$168,Tabell2[[#This Row],[Befvekst10]]))</f>
        <v>-2.2586859762173672E-2</v>
      </c>
      <c r="P116" s="80">
        <f>IF(Tabell2[[#This Row],[Kvinneandel]]&lt;G$167,G$167,IF(Tabell2[[#This Row],[Kvinneandel]]&gt;G$168,G$168,Tabell2[[#This Row],[Kvinneandel]]))</f>
        <v>0.10650445184530687</v>
      </c>
      <c r="Q116" s="80">
        <f>IF(Tabell2[[#This Row],[Eldreandel]]&lt;H$167,H$167,IF(Tabell2[[#This Row],[Eldreandel]]&gt;H$168,H$168,Tabell2[[#This Row],[Eldreandel]]))</f>
        <v>0.16760687827091689</v>
      </c>
      <c r="R116" s="80">
        <f>IF(Tabell2[[#This Row],[Syssvekst10]]&lt;I$167,I$167,IF(Tabell2[[#This Row],[Syssvekst10]]&gt;I$168,I$168,Tabell2[[#This Row],[Syssvekst10]]))</f>
        <v>7.509386733416834E-3</v>
      </c>
      <c r="S116" s="80">
        <f>IF(Tabell2[[#This Row],[Yrkesaktiveandel]]&lt;J$167,J$167,IF(Tabell2[[#This Row],[Yrkesaktiveandel]]&gt;J$168,J$168,Tabell2[[#This Row],[Yrkesaktiveandel]]))</f>
        <v>0.88601532567049812</v>
      </c>
      <c r="T116" s="80">
        <f>IF(Tabell2[[#This Row],[Bruttoinntekt17+]]&lt;K$167,K$167,IF(Tabell2[[#This Row],[Bruttoinntekt17+]]&gt;K$168,K$168,Tabell2[[#This Row],[Bruttoinntekt17+]]))</f>
        <v>318166.1587946504</v>
      </c>
      <c r="U116" s="60">
        <f>IF(Tabell2[[#This Row],[NIBR11-BA-Utrunk]]&lt;=L$170,100,IF(Tabell2[[#This Row],[NIBR11-BA-Utrunk]]&gt;=L$169,0,100-Tabell2[[#This Row],[NIBR11-BA-Utrunk]]*100/L$171))</f>
        <v>40</v>
      </c>
      <c r="V116" s="60">
        <f>(M$169-Tabell2[[#This Row],[Reisetid Oslo-T]])*100/M$171</f>
        <v>42.755528462249593</v>
      </c>
      <c r="W116" s="60">
        <f>100-(N$169-Tabell2[[#This Row],[beftettotal-T]])*100/N$171</f>
        <v>6.3629210187176568</v>
      </c>
      <c r="X116" s="60">
        <f>100-(O$169-Tabell2[[#This Row],[Befvekst10-T]])*100/O$171</f>
        <v>46.131011410177805</v>
      </c>
      <c r="Y116" s="60">
        <f>100-(P$169-Tabell2[[#This Row],[Kvinneandel-T]])*100/P$171</f>
        <v>47.96869065578997</v>
      </c>
      <c r="Z116" s="60">
        <f>(Q$169-Tabell2[[#This Row],[Eldreandel-T]])*100/Q$171</f>
        <v>48.240290784584339</v>
      </c>
      <c r="AA116" s="60">
        <f>100-(R$169-Tabell2[[#This Row],[Syssvekst10-T]])*100/R$171</f>
        <v>41.105378327142269</v>
      </c>
      <c r="AB116" s="60">
        <f>100-(S$169-Tabell2[[#This Row],[Yrkesaktiveandel-T]])*100/S$171</f>
        <v>44.960011845238952</v>
      </c>
      <c r="AC116" s="60">
        <f>100-(T$169-Tabell2[[#This Row],[Bruttoinntekt17+-T]])*100/T$171</f>
        <v>40.025206106527861</v>
      </c>
      <c r="AD116" s="60">
        <f>Tabell2[[#This Row],[NIBR11-BA-I]]*$AD$2</f>
        <v>8</v>
      </c>
      <c r="AE116" s="60">
        <f>Tabell2[[#This Row],[Reisetid Oslo-I]]*$AE$2</f>
        <v>4.2755528462249597</v>
      </c>
      <c r="AF116" s="60">
        <f>Tabell2[[#This Row],[beftettotal-I]]*$AF$2</f>
        <v>0.63629210187176577</v>
      </c>
      <c r="AG116" s="60">
        <f>Tabell2[[#This Row],[Befvekst10-I]]*$AG$2</f>
        <v>9.2262022820355618</v>
      </c>
      <c r="AH116" s="60">
        <f>Tabell2[[#This Row],[Kvinneandel-I]]*$AH$2</f>
        <v>2.3984345327894987</v>
      </c>
      <c r="AI116" s="60">
        <f>Tabell2[[#This Row],[Eldreandel-I]]*$AI$2</f>
        <v>2.4120145392292169</v>
      </c>
      <c r="AJ116" s="60">
        <f>Tabell2[[#This Row],[Syssvekst10-I]]*$AJ$2</f>
        <v>4.1105378327142272</v>
      </c>
      <c r="AK116" s="60">
        <f>Tabell2[[#This Row],[Yrkesaktiveandel-I]]*$AK$2</f>
        <v>4.4960011845238954</v>
      </c>
      <c r="AL116" s="60">
        <f>Tabell2[[#This Row],[Bruttoinntekt17+-I]]*$AL$2</f>
        <v>4.0025206106527866</v>
      </c>
      <c r="AM116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39.557555930041914</v>
      </c>
    </row>
    <row r="117" spans="1:39">
      <c r="A117" s="63">
        <v>112</v>
      </c>
      <c r="B117" s="8" t="s">
        <v>167</v>
      </c>
      <c r="C117" s="45">
        <f>Råark!L114</f>
        <v>11</v>
      </c>
      <c r="D117" s="80">
        <f>Råark!K114</f>
        <v>286.58460247689999</v>
      </c>
      <c r="E117" s="80">
        <f>Råark!N114</f>
        <v>0.54240925075996893</v>
      </c>
      <c r="F117" s="80">
        <f>Råark!O114</f>
        <v>-9.1703056768558944E-2</v>
      </c>
      <c r="G117" s="80">
        <f>Råark!P114</f>
        <v>9.2719780219780223E-2</v>
      </c>
      <c r="H117" s="80">
        <f>Råark!Q114</f>
        <v>0.19230769230769232</v>
      </c>
      <c r="I117" s="80">
        <f>Råark!R114</f>
        <v>1.5847860538826808E-3</v>
      </c>
      <c r="J117" s="80">
        <f>Råark!S114</f>
        <v>0.92894056847545214</v>
      </c>
      <c r="K117" s="80">
        <f>Råark!M114</f>
        <v>275600</v>
      </c>
      <c r="L117" s="59">
        <f>Tabell2[[#This Row],[NIBR11BA]]</f>
        <v>11</v>
      </c>
      <c r="M117" s="80">
        <f>IF(Tabell2[[#This Row],[Reisetid Oslo]]&lt;D$167,D$167,IF(Tabell2[[#This Row],[Reisetid Oslo]]&gt;D$168,D$168,Tabell2[[#This Row],[Reisetid Oslo]]))</f>
        <v>286.58460247689999</v>
      </c>
      <c r="N117" s="80">
        <f>IF(Tabell2[[#This Row],[beftettotal]]&lt;E$167,E$167,IF(Tabell2[[#This Row],[beftettotal]]&gt;E$168,E$168,Tabell2[[#This Row],[beftettotal]]))</f>
        <v>1.0041493534832273</v>
      </c>
      <c r="O117" s="80">
        <f>IF(Tabell2[[#This Row],[Befvekst10]]&lt;F$167,F$167,IF(Tabell2[[#This Row],[Befvekst10]]&gt;F$168,F$168,Tabell2[[#This Row],[Befvekst10]]))</f>
        <v>-9.1703056768558944E-2</v>
      </c>
      <c r="P117" s="80">
        <f>IF(Tabell2[[#This Row],[Kvinneandel]]&lt;G$167,G$167,IF(Tabell2[[#This Row],[Kvinneandel]]&gt;G$168,G$168,Tabell2[[#This Row],[Kvinneandel]]))</f>
        <v>9.2719780219780223E-2</v>
      </c>
      <c r="Q117" s="80">
        <f>IF(Tabell2[[#This Row],[Eldreandel]]&lt;H$167,H$167,IF(Tabell2[[#This Row],[Eldreandel]]&gt;H$168,H$168,Tabell2[[#This Row],[Eldreandel]]))</f>
        <v>0.19230769230769232</v>
      </c>
      <c r="R117" s="80">
        <f>IF(Tabell2[[#This Row],[Syssvekst10]]&lt;I$167,I$167,IF(Tabell2[[#This Row],[Syssvekst10]]&gt;I$168,I$168,Tabell2[[#This Row],[Syssvekst10]]))</f>
        <v>1.5847860538826808E-3</v>
      </c>
      <c r="S117" s="80">
        <f>IF(Tabell2[[#This Row],[Yrkesaktiveandel]]&lt;J$167,J$167,IF(Tabell2[[#This Row],[Yrkesaktiveandel]]&gt;J$168,J$168,Tabell2[[#This Row],[Yrkesaktiveandel]]))</f>
        <v>0.92894056847545214</v>
      </c>
      <c r="T117" s="80">
        <f>IF(Tabell2[[#This Row],[Bruttoinntekt17+]]&lt;K$167,K$167,IF(Tabell2[[#This Row],[Bruttoinntekt17+]]&gt;K$168,K$168,Tabell2[[#This Row],[Bruttoinntekt17+]]))</f>
        <v>294270</v>
      </c>
      <c r="U117" s="60">
        <f>IF(Tabell2[[#This Row],[NIBR11-BA-Utrunk]]&lt;=L$170,100,IF(Tabell2[[#This Row],[NIBR11-BA-Utrunk]]&gt;=L$169,0,100-Tabell2[[#This Row],[NIBR11-BA-Utrunk]]*100/L$171))</f>
        <v>0</v>
      </c>
      <c r="V117" s="60">
        <f>(M$169-Tabell2[[#This Row],[Reisetid Oslo-T]])*100/M$171</f>
        <v>16.94606841883326</v>
      </c>
      <c r="W117" s="60">
        <f>100-(N$169-Tabell2[[#This Row],[beftettotal-T]])*100/N$171</f>
        <v>0</v>
      </c>
      <c r="X117" s="60">
        <f>100-(O$169-Tabell2[[#This Row],[Befvekst10-T]])*100/O$171</f>
        <v>15.135201041529612</v>
      </c>
      <c r="Y117" s="60">
        <f>100-(P$169-Tabell2[[#This Row],[Kvinneandel-T]])*100/P$171</f>
        <v>4.0084640098051807</v>
      </c>
      <c r="Z117" s="60">
        <f>(Q$169-Tabell2[[#This Row],[Eldreandel-T]])*100/Q$171</f>
        <v>15.382205441333896</v>
      </c>
      <c r="AA117" s="60">
        <f>100-(R$169-Tabell2[[#This Row],[Syssvekst10-T]])*100/R$171</f>
        <v>38.869515964604012</v>
      </c>
      <c r="AB117" s="60">
        <f>100-(S$169-Tabell2[[#This Row],[Yrkesaktiveandel-T]])*100/S$171</f>
        <v>77.407896154296154</v>
      </c>
      <c r="AC117" s="60">
        <f>100-(T$169-Tabell2[[#This Row],[Bruttoinntekt17+-T]])*100/T$171</f>
        <v>0</v>
      </c>
      <c r="AD117" s="60">
        <f>Tabell2[[#This Row],[NIBR11-BA-I]]*$AD$2</f>
        <v>0</v>
      </c>
      <c r="AE117" s="60">
        <f>Tabell2[[#This Row],[Reisetid Oslo-I]]*$AE$2</f>
        <v>1.694606841883326</v>
      </c>
      <c r="AF117" s="60">
        <f>Tabell2[[#This Row],[beftettotal-I]]*$AF$2</f>
        <v>0</v>
      </c>
      <c r="AG117" s="60">
        <f>Tabell2[[#This Row],[Befvekst10-I]]*$AG$2</f>
        <v>3.0270402083059227</v>
      </c>
      <c r="AH117" s="60">
        <f>Tabell2[[#This Row],[Kvinneandel-I]]*$AH$2</f>
        <v>0.20042320049025905</v>
      </c>
      <c r="AI117" s="60">
        <f>Tabell2[[#This Row],[Eldreandel-I]]*$AI$2</f>
        <v>0.76911027206669491</v>
      </c>
      <c r="AJ117" s="60">
        <f>Tabell2[[#This Row],[Syssvekst10-I]]*$AJ$2</f>
        <v>3.8869515964604013</v>
      </c>
      <c r="AK117" s="60">
        <f>Tabell2[[#This Row],[Yrkesaktiveandel-I]]*$AK$2</f>
        <v>7.7407896154296161</v>
      </c>
      <c r="AL117" s="60">
        <f>Tabell2[[#This Row],[Bruttoinntekt17+-I]]*$AL$2</f>
        <v>0</v>
      </c>
      <c r="AM117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17.31892173463622</v>
      </c>
    </row>
    <row r="118" spans="1:39">
      <c r="A118" s="64">
        <v>113</v>
      </c>
      <c r="B118" s="8" t="s">
        <v>168</v>
      </c>
      <c r="C118" s="45">
        <f>Råark!L115</f>
        <v>5</v>
      </c>
      <c r="D118" s="80">
        <f>Råark!K115</f>
        <v>297.9812655298</v>
      </c>
      <c r="E118" s="80">
        <f>Råark!N115</f>
        <v>9.9000709878228577</v>
      </c>
      <c r="F118" s="80">
        <f>Råark!O115</f>
        <v>-2.2641509433962259E-2</v>
      </c>
      <c r="G118" s="80">
        <f>Råark!P115</f>
        <v>0.12134583563154992</v>
      </c>
      <c r="H118" s="80">
        <f>Råark!Q115</f>
        <v>0.15223386651958082</v>
      </c>
      <c r="I118" s="80">
        <f>Råark!R115</f>
        <v>-2.4309392265193353E-2</v>
      </c>
      <c r="J118" s="80">
        <f>Råark!S115</f>
        <v>0.82416502946954817</v>
      </c>
      <c r="K118" s="80">
        <f>Råark!M115</f>
        <v>278000</v>
      </c>
      <c r="L118" s="59">
        <f>Tabell2[[#This Row],[NIBR11BA]]</f>
        <v>5</v>
      </c>
      <c r="M118" s="80">
        <f>IF(Tabell2[[#This Row],[Reisetid Oslo]]&lt;D$167,D$167,IF(Tabell2[[#This Row],[Reisetid Oslo]]&gt;D$168,D$168,Tabell2[[#This Row],[Reisetid Oslo]]))</f>
        <v>297.9812655298</v>
      </c>
      <c r="N118" s="80">
        <f>IF(Tabell2[[#This Row],[beftettotal]]&lt;E$167,E$167,IF(Tabell2[[#This Row],[beftettotal]]&gt;E$168,E$168,Tabell2[[#This Row],[beftettotal]]))</f>
        <v>9.9000709878228577</v>
      </c>
      <c r="O118" s="80">
        <f>IF(Tabell2[[#This Row],[Befvekst10]]&lt;F$167,F$167,IF(Tabell2[[#This Row],[Befvekst10]]&gt;F$168,F$168,Tabell2[[#This Row],[Befvekst10]]))</f>
        <v>-2.2641509433962259E-2</v>
      </c>
      <c r="P118" s="80">
        <f>IF(Tabell2[[#This Row],[Kvinneandel]]&lt;G$167,G$167,IF(Tabell2[[#This Row],[Kvinneandel]]&gt;G$168,G$168,Tabell2[[#This Row],[Kvinneandel]]))</f>
        <v>0.12134583563154992</v>
      </c>
      <c r="Q118" s="80">
        <f>IF(Tabell2[[#This Row],[Eldreandel]]&lt;H$167,H$167,IF(Tabell2[[#This Row],[Eldreandel]]&gt;H$168,H$168,Tabell2[[#This Row],[Eldreandel]]))</f>
        <v>0.15223386651958082</v>
      </c>
      <c r="R118" s="80">
        <f>IF(Tabell2[[#This Row],[Syssvekst10]]&lt;I$167,I$167,IF(Tabell2[[#This Row],[Syssvekst10]]&gt;I$168,I$168,Tabell2[[#This Row],[Syssvekst10]]))</f>
        <v>-2.4309392265193353E-2</v>
      </c>
      <c r="S118" s="80">
        <f>IF(Tabell2[[#This Row],[Yrkesaktiveandel]]&lt;J$167,J$167,IF(Tabell2[[#This Row],[Yrkesaktiveandel]]&gt;J$168,J$168,Tabell2[[#This Row],[Yrkesaktiveandel]]))</f>
        <v>0.82653781377516045</v>
      </c>
      <c r="T118" s="80">
        <f>IF(Tabell2[[#This Row],[Bruttoinntekt17+]]&lt;K$167,K$167,IF(Tabell2[[#This Row],[Bruttoinntekt17+]]&gt;K$168,K$168,Tabell2[[#This Row],[Bruttoinntekt17+]]))</f>
        <v>294270</v>
      </c>
      <c r="U118" s="60">
        <f>IF(Tabell2[[#This Row],[NIBR11-BA-Utrunk]]&lt;=L$170,100,IF(Tabell2[[#This Row],[NIBR11-BA-Utrunk]]&gt;=L$169,0,100-Tabell2[[#This Row],[NIBR11-BA-Utrunk]]*100/L$171))</f>
        <v>50</v>
      </c>
      <c r="V118" s="60">
        <f>(M$169-Tabell2[[#This Row],[Reisetid Oslo-T]])*100/M$171</f>
        <v>10.826812012106817</v>
      </c>
      <c r="W118" s="60">
        <f>100-(N$169-Tabell2[[#This Row],[beftettotal-T]])*100/N$171</f>
        <v>20.681927116740482</v>
      </c>
      <c r="X118" s="60">
        <f>100-(O$169-Tabell2[[#This Row],[Befvekst10-T]])*100/O$171</f>
        <v>46.106503249474002</v>
      </c>
      <c r="Y118" s="60">
        <f>100-(P$169-Tabell2[[#This Row],[Kvinneandel-T]])*100/P$171</f>
        <v>95.298842052005227</v>
      </c>
      <c r="Z118" s="60">
        <f>(Q$169-Tabell2[[#This Row],[Eldreandel-T]])*100/Q$171</f>
        <v>68.690132290056226</v>
      </c>
      <c r="AA118" s="60">
        <f>100-(R$169-Tabell2[[#This Row],[Syssvekst10-T]])*100/R$171</f>
        <v>29.097411169006463</v>
      </c>
      <c r="AB118" s="60">
        <f>100-(S$169-Tabell2[[#This Row],[Yrkesaktiveandel-T]])*100/S$171</f>
        <v>0</v>
      </c>
      <c r="AC118" s="60">
        <f>100-(T$169-Tabell2[[#This Row],[Bruttoinntekt17+-T]])*100/T$171</f>
        <v>0</v>
      </c>
      <c r="AD118" s="60">
        <f>Tabell2[[#This Row],[NIBR11-BA-I]]*$AD$2</f>
        <v>10</v>
      </c>
      <c r="AE118" s="60">
        <f>Tabell2[[#This Row],[Reisetid Oslo-I]]*$AE$2</f>
        <v>1.0826812012106817</v>
      </c>
      <c r="AF118" s="60">
        <f>Tabell2[[#This Row],[beftettotal-I]]*$AF$2</f>
        <v>2.0681927116740484</v>
      </c>
      <c r="AG118" s="60">
        <f>Tabell2[[#This Row],[Befvekst10-I]]*$AG$2</f>
        <v>9.2213006498948005</v>
      </c>
      <c r="AH118" s="60">
        <f>Tabell2[[#This Row],[Kvinneandel-I]]*$AH$2</f>
        <v>4.7649421026002612</v>
      </c>
      <c r="AI118" s="60">
        <f>Tabell2[[#This Row],[Eldreandel-I]]*$AI$2</f>
        <v>3.4345066145028116</v>
      </c>
      <c r="AJ118" s="60">
        <f>Tabell2[[#This Row],[Syssvekst10-I]]*$AJ$2</f>
        <v>2.9097411169006464</v>
      </c>
      <c r="AK118" s="60">
        <f>Tabell2[[#This Row],[Yrkesaktiveandel-I]]*$AK$2</f>
        <v>0</v>
      </c>
      <c r="AL118" s="60">
        <f>Tabell2[[#This Row],[Bruttoinntekt17+-I]]*$AL$2</f>
        <v>0</v>
      </c>
      <c r="AM118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33.481364396783249</v>
      </c>
    </row>
    <row r="119" spans="1:39">
      <c r="A119" s="63">
        <v>114</v>
      </c>
      <c r="B119" s="8" t="s">
        <v>169</v>
      </c>
      <c r="C119" s="45">
        <f>Råark!L116</f>
        <v>5</v>
      </c>
      <c r="D119" s="80">
        <f>Råark!K116</f>
        <v>257.45429444360195</v>
      </c>
      <c r="E119" s="80">
        <f>Råark!N116</f>
        <v>4.9982560571021457</v>
      </c>
      <c r="F119" s="80">
        <f>Råark!O116</f>
        <v>1.0257266956231303E-2</v>
      </c>
      <c r="G119" s="80">
        <f>Råark!P116</f>
        <v>0.11069219830009591</v>
      </c>
      <c r="H119" s="80">
        <f>Råark!Q116</f>
        <v>0.15467804345669214</v>
      </c>
      <c r="I119" s="80">
        <f>Råark!R116</f>
        <v>0.11817210863594751</v>
      </c>
      <c r="J119" s="80">
        <f>Råark!S116</f>
        <v>0.87549453106818709</v>
      </c>
      <c r="K119" s="80">
        <f>Råark!M116</f>
        <v>321025.75446820981</v>
      </c>
      <c r="L119" s="59">
        <f>Tabell2[[#This Row],[NIBR11BA]]</f>
        <v>5</v>
      </c>
      <c r="M119" s="80">
        <f>IF(Tabell2[[#This Row],[Reisetid Oslo]]&lt;D$167,D$167,IF(Tabell2[[#This Row],[Reisetid Oslo]]&gt;D$168,D$168,Tabell2[[#This Row],[Reisetid Oslo]]))</f>
        <v>257.45429444360195</v>
      </c>
      <c r="N119" s="80">
        <f>IF(Tabell2[[#This Row],[beftettotal]]&lt;E$167,E$167,IF(Tabell2[[#This Row],[beftettotal]]&gt;E$168,E$168,Tabell2[[#This Row],[beftettotal]]))</f>
        <v>4.9982560571021457</v>
      </c>
      <c r="O119" s="80">
        <f>IF(Tabell2[[#This Row],[Befvekst10]]&lt;F$167,F$167,IF(Tabell2[[#This Row],[Befvekst10]]&gt;F$168,F$168,Tabell2[[#This Row],[Befvekst10]]))</f>
        <v>1.0257266956231303E-2</v>
      </c>
      <c r="P119" s="80">
        <f>IF(Tabell2[[#This Row],[Kvinneandel]]&lt;G$167,G$167,IF(Tabell2[[#This Row],[Kvinneandel]]&gt;G$168,G$168,Tabell2[[#This Row],[Kvinneandel]]))</f>
        <v>0.11069219830009591</v>
      </c>
      <c r="Q119" s="80">
        <f>IF(Tabell2[[#This Row],[Eldreandel]]&lt;H$167,H$167,IF(Tabell2[[#This Row],[Eldreandel]]&gt;H$168,H$168,Tabell2[[#This Row],[Eldreandel]]))</f>
        <v>0.15467804345669214</v>
      </c>
      <c r="R119" s="80">
        <f>IF(Tabell2[[#This Row],[Syssvekst10]]&lt;I$167,I$167,IF(Tabell2[[#This Row],[Syssvekst10]]&gt;I$168,I$168,Tabell2[[#This Row],[Syssvekst10]]))</f>
        <v>0.11817210863594751</v>
      </c>
      <c r="S119" s="80">
        <f>IF(Tabell2[[#This Row],[Yrkesaktiveandel]]&lt;J$167,J$167,IF(Tabell2[[#This Row],[Yrkesaktiveandel]]&gt;J$168,J$168,Tabell2[[#This Row],[Yrkesaktiveandel]]))</f>
        <v>0.87549453106818709</v>
      </c>
      <c r="T119" s="80">
        <f>IF(Tabell2[[#This Row],[Bruttoinntekt17+]]&lt;K$167,K$167,IF(Tabell2[[#This Row],[Bruttoinntekt17+]]&gt;K$168,K$168,Tabell2[[#This Row],[Bruttoinntekt17+]]))</f>
        <v>321025.75446820981</v>
      </c>
      <c r="U119" s="60">
        <f>IF(Tabell2[[#This Row],[NIBR11-BA-Utrunk]]&lt;=L$170,100,IF(Tabell2[[#This Row],[NIBR11-BA-Utrunk]]&gt;=L$169,0,100-Tabell2[[#This Row],[NIBR11-BA-Utrunk]]*100/L$171))</f>
        <v>50</v>
      </c>
      <c r="V119" s="60">
        <f>(M$169-Tabell2[[#This Row],[Reisetid Oslo-T]])*100/M$171</f>
        <v>32.58712257962241</v>
      </c>
      <c r="W119" s="60">
        <f>100-(N$169-Tabell2[[#This Row],[beftettotal-T]])*100/N$171</f>
        <v>9.2858083890779568</v>
      </c>
      <c r="X119" s="60">
        <f>100-(O$169-Tabell2[[#This Row],[Befvekst10-T]])*100/O$171</f>
        <v>60.860269783486196</v>
      </c>
      <c r="Y119" s="60">
        <f>100-(P$169-Tabell2[[#This Row],[Kvinneandel-T]])*100/P$171</f>
        <v>61.323690200903357</v>
      </c>
      <c r="Z119" s="60">
        <f>(Q$169-Tabell2[[#This Row],[Eldreandel-T]])*100/Q$171</f>
        <v>65.438782991444484</v>
      </c>
      <c r="AA119" s="60">
        <f>100-(R$169-Tabell2[[#This Row],[Syssvekst10-T]])*100/R$171</f>
        <v>82.867959169529271</v>
      </c>
      <c r="AB119" s="60">
        <f>100-(S$169-Tabell2[[#This Row],[Yrkesaktiveandel-T]])*100/S$171</f>
        <v>37.007173287136638</v>
      </c>
      <c r="AC119" s="60">
        <f>100-(T$169-Tabell2[[#This Row],[Bruttoinntekt17+-T]])*100/T$171</f>
        <v>44.81492596063152</v>
      </c>
      <c r="AD119" s="60">
        <f>Tabell2[[#This Row],[NIBR11-BA-I]]*$AD$2</f>
        <v>10</v>
      </c>
      <c r="AE119" s="60">
        <f>Tabell2[[#This Row],[Reisetid Oslo-I]]*$AE$2</f>
        <v>3.258712257962241</v>
      </c>
      <c r="AF119" s="60">
        <f>Tabell2[[#This Row],[beftettotal-I]]*$AF$2</f>
        <v>0.92858083890779575</v>
      </c>
      <c r="AG119" s="60">
        <f>Tabell2[[#This Row],[Befvekst10-I]]*$AG$2</f>
        <v>12.172053956697241</v>
      </c>
      <c r="AH119" s="60">
        <f>Tabell2[[#This Row],[Kvinneandel-I]]*$AH$2</f>
        <v>3.0661845100451681</v>
      </c>
      <c r="AI119" s="60">
        <f>Tabell2[[#This Row],[Eldreandel-I]]*$AI$2</f>
        <v>3.2719391495722245</v>
      </c>
      <c r="AJ119" s="60">
        <f>Tabell2[[#This Row],[Syssvekst10-I]]*$AJ$2</f>
        <v>8.2867959169529275</v>
      </c>
      <c r="AK119" s="60">
        <f>Tabell2[[#This Row],[Yrkesaktiveandel-I]]*$AK$2</f>
        <v>3.7007173287136639</v>
      </c>
      <c r="AL119" s="60">
        <f>Tabell2[[#This Row],[Bruttoinntekt17+-I]]*$AL$2</f>
        <v>4.481492596063152</v>
      </c>
      <c r="AM119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49.166476554914411</v>
      </c>
    </row>
    <row r="120" spans="1:39">
      <c r="A120" s="64">
        <v>115</v>
      </c>
      <c r="B120" s="8" t="s">
        <v>170</v>
      </c>
      <c r="C120" s="45">
        <f>Råark!L117</f>
        <v>11</v>
      </c>
      <c r="D120" s="80">
        <f>Råark!K117</f>
        <v>367.19264821299998</v>
      </c>
      <c r="E120" s="80">
        <f>Råark!N117</f>
        <v>7.3218673218673214</v>
      </c>
      <c r="F120" s="80">
        <f>Råark!O117</f>
        <v>-6.2439496611810252E-2</v>
      </c>
      <c r="G120" s="80">
        <f>Råark!P117</f>
        <v>0.10170366546205473</v>
      </c>
      <c r="H120" s="80">
        <f>Råark!Q117</f>
        <v>0.19359834796076406</v>
      </c>
      <c r="I120" s="80">
        <f>Råark!R117</f>
        <v>4.8463356973995175E-2</v>
      </c>
      <c r="J120" s="80">
        <f>Råark!S117</f>
        <v>0.90926275992438566</v>
      </c>
      <c r="K120" s="80">
        <f>Råark!M117</f>
        <v>319000</v>
      </c>
      <c r="L120" s="59">
        <f>Tabell2[[#This Row],[NIBR11BA]]</f>
        <v>11</v>
      </c>
      <c r="M120" s="80">
        <f>IF(Tabell2[[#This Row],[Reisetid Oslo]]&lt;D$167,D$167,IF(Tabell2[[#This Row],[Reisetid Oslo]]&gt;D$168,D$168,Tabell2[[#This Row],[Reisetid Oslo]]))</f>
        <v>318.14540316969999</v>
      </c>
      <c r="N120" s="80">
        <f>IF(Tabell2[[#This Row],[beftettotal]]&lt;E$167,E$167,IF(Tabell2[[#This Row],[beftettotal]]&gt;E$168,E$168,Tabell2[[#This Row],[beftettotal]]))</f>
        <v>7.3218673218673214</v>
      </c>
      <c r="O120" s="80">
        <f>IF(Tabell2[[#This Row],[Befvekst10]]&lt;F$167,F$167,IF(Tabell2[[#This Row],[Befvekst10]]&gt;F$168,F$168,Tabell2[[#This Row],[Befvekst10]]))</f>
        <v>-6.2439496611810252E-2</v>
      </c>
      <c r="P120" s="80">
        <f>IF(Tabell2[[#This Row],[Kvinneandel]]&lt;G$167,G$167,IF(Tabell2[[#This Row],[Kvinneandel]]&gt;G$168,G$168,Tabell2[[#This Row],[Kvinneandel]]))</f>
        <v>0.10170366546205473</v>
      </c>
      <c r="Q120" s="80">
        <f>IF(Tabell2[[#This Row],[Eldreandel]]&lt;H$167,H$167,IF(Tabell2[[#This Row],[Eldreandel]]&gt;H$168,H$168,Tabell2[[#This Row],[Eldreandel]]))</f>
        <v>0.19359834796076406</v>
      </c>
      <c r="R120" s="80">
        <f>IF(Tabell2[[#This Row],[Syssvekst10]]&lt;I$167,I$167,IF(Tabell2[[#This Row],[Syssvekst10]]&gt;I$168,I$168,Tabell2[[#This Row],[Syssvekst10]]))</f>
        <v>4.8463356973995175E-2</v>
      </c>
      <c r="S120" s="80">
        <f>IF(Tabell2[[#This Row],[Yrkesaktiveandel]]&lt;J$167,J$167,IF(Tabell2[[#This Row],[Yrkesaktiveandel]]&gt;J$168,J$168,Tabell2[[#This Row],[Yrkesaktiveandel]]))</f>
        <v>0.90926275992438566</v>
      </c>
      <c r="T120" s="80">
        <f>IF(Tabell2[[#This Row],[Bruttoinntekt17+]]&lt;K$167,K$167,IF(Tabell2[[#This Row],[Bruttoinntekt17+]]&gt;K$168,K$168,Tabell2[[#This Row],[Bruttoinntekt17+]]))</f>
        <v>319000</v>
      </c>
      <c r="U120" s="60">
        <f>IF(Tabell2[[#This Row],[NIBR11-BA-Utrunk]]&lt;=L$170,100,IF(Tabell2[[#This Row],[NIBR11-BA-Utrunk]]&gt;=L$169,0,100-Tabell2[[#This Row],[NIBR11-BA-Utrunk]]*100/L$171))</f>
        <v>0</v>
      </c>
      <c r="V120" s="60">
        <f>(M$169-Tabell2[[#This Row],[Reisetid Oslo-T]])*100/M$171</f>
        <v>0</v>
      </c>
      <c r="W120" s="60">
        <f>100-(N$169-Tabell2[[#This Row],[beftettotal-T]])*100/N$171</f>
        <v>14.687919693656454</v>
      </c>
      <c r="X120" s="60">
        <f>100-(O$169-Tabell2[[#This Row],[Befvekst10-T]])*100/O$171</f>
        <v>28.258720572650716</v>
      </c>
      <c r="Y120" s="60">
        <f>100-(P$169-Tabell2[[#This Row],[Kvinneandel-T]])*100/P$171</f>
        <v>32.658666360694824</v>
      </c>
      <c r="Z120" s="60">
        <f>(Q$169-Tabell2[[#This Row],[Eldreandel-T]])*100/Q$171</f>
        <v>13.66531977375061</v>
      </c>
      <c r="AA120" s="60">
        <f>100-(R$169-Tabell2[[#This Row],[Syssvekst10-T]])*100/R$171</f>
        <v>56.560840325404868</v>
      </c>
      <c r="AB120" s="60">
        <f>100-(S$169-Tabell2[[#This Row],[Yrkesaktiveandel-T]])*100/S$171</f>
        <v>62.533122860128742</v>
      </c>
      <c r="AC120" s="60">
        <f>100-(T$169-Tabell2[[#This Row],[Bruttoinntekt17+-T]])*100/T$171</f>
        <v>41.421860120716325</v>
      </c>
      <c r="AD120" s="60">
        <f>Tabell2[[#This Row],[NIBR11-BA-I]]*$AD$2</f>
        <v>0</v>
      </c>
      <c r="AE120" s="60">
        <f>Tabell2[[#This Row],[Reisetid Oslo-I]]*$AE$2</f>
        <v>0</v>
      </c>
      <c r="AF120" s="60">
        <f>Tabell2[[#This Row],[beftettotal-I]]*$AF$2</f>
        <v>1.4687919693656455</v>
      </c>
      <c r="AG120" s="60">
        <f>Tabell2[[#This Row],[Befvekst10-I]]*$AG$2</f>
        <v>5.6517441145301435</v>
      </c>
      <c r="AH120" s="60">
        <f>Tabell2[[#This Row],[Kvinneandel-I]]*$AH$2</f>
        <v>1.6329333180347412</v>
      </c>
      <c r="AI120" s="60">
        <f>Tabell2[[#This Row],[Eldreandel-I]]*$AI$2</f>
        <v>0.68326598868753052</v>
      </c>
      <c r="AJ120" s="60">
        <f>Tabell2[[#This Row],[Syssvekst10-I]]*$AJ$2</f>
        <v>5.6560840325404875</v>
      </c>
      <c r="AK120" s="60">
        <f>Tabell2[[#This Row],[Yrkesaktiveandel-I]]*$AK$2</f>
        <v>6.2533122860128749</v>
      </c>
      <c r="AL120" s="60">
        <f>Tabell2[[#This Row],[Bruttoinntekt17+-I]]*$AL$2</f>
        <v>4.1421860120716323</v>
      </c>
      <c r="AM120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25.488317721243057</v>
      </c>
    </row>
    <row r="121" spans="1:39">
      <c r="A121" s="63">
        <v>116</v>
      </c>
      <c r="B121" s="8" t="s">
        <v>171</v>
      </c>
      <c r="C121" s="45">
        <f>Råark!L118</f>
        <v>11</v>
      </c>
      <c r="D121" s="80">
        <f>Råark!K118</f>
        <v>399</v>
      </c>
      <c r="E121" s="80">
        <f>Råark!N118</f>
        <v>30.453431372549019</v>
      </c>
      <c r="F121" s="80">
        <f>Råark!O118</f>
        <v>4.8523206751054815E-2</v>
      </c>
      <c r="G121" s="80">
        <f>Råark!P118</f>
        <v>0.1227364185110664</v>
      </c>
      <c r="H121" s="80">
        <f>Råark!Q118</f>
        <v>0.15090543259557343</v>
      </c>
      <c r="I121" s="80">
        <f>Råark!R118</f>
        <v>0.17194570135746612</v>
      </c>
      <c r="J121" s="80">
        <f>Råark!S118</f>
        <v>0.92086330935251803</v>
      </c>
      <c r="K121" s="80">
        <f>Råark!M118</f>
        <v>300100</v>
      </c>
      <c r="L121" s="59">
        <f>Tabell2[[#This Row],[NIBR11BA]]</f>
        <v>11</v>
      </c>
      <c r="M121" s="80">
        <f>IF(Tabell2[[#This Row],[Reisetid Oslo]]&lt;D$167,D$167,IF(Tabell2[[#This Row],[Reisetid Oslo]]&gt;D$168,D$168,Tabell2[[#This Row],[Reisetid Oslo]]))</f>
        <v>318.14540316969999</v>
      </c>
      <c r="N121" s="80">
        <f>IF(Tabell2[[#This Row],[beftettotal]]&lt;E$167,E$167,IF(Tabell2[[#This Row],[beftettotal]]&gt;E$168,E$168,Tabell2[[#This Row],[beftettotal]]))</f>
        <v>30.453431372549019</v>
      </c>
      <c r="O121" s="80">
        <f>IF(Tabell2[[#This Row],[Befvekst10]]&lt;F$167,F$167,IF(Tabell2[[#This Row],[Befvekst10]]&gt;F$168,F$168,Tabell2[[#This Row],[Befvekst10]]))</f>
        <v>4.8523206751054815E-2</v>
      </c>
      <c r="P121" s="80">
        <f>IF(Tabell2[[#This Row],[Kvinneandel]]&lt;G$167,G$167,IF(Tabell2[[#This Row],[Kvinneandel]]&gt;G$168,G$168,Tabell2[[#This Row],[Kvinneandel]]))</f>
        <v>0.1227364185110664</v>
      </c>
      <c r="Q121" s="80">
        <f>IF(Tabell2[[#This Row],[Eldreandel]]&lt;H$167,H$167,IF(Tabell2[[#This Row],[Eldreandel]]&gt;H$168,H$168,Tabell2[[#This Row],[Eldreandel]]))</f>
        <v>0.15090543259557343</v>
      </c>
      <c r="R121" s="80">
        <f>IF(Tabell2[[#This Row],[Syssvekst10]]&lt;I$167,I$167,IF(Tabell2[[#This Row],[Syssvekst10]]&gt;I$168,I$168,Tabell2[[#This Row],[Syssvekst10]]))</f>
        <v>0.1635686869077807</v>
      </c>
      <c r="S121" s="80">
        <f>IF(Tabell2[[#This Row],[Yrkesaktiveandel]]&lt;J$167,J$167,IF(Tabell2[[#This Row],[Yrkesaktiveandel]]&gt;J$168,J$168,Tabell2[[#This Row],[Yrkesaktiveandel]]))</f>
        <v>0.92086330935251803</v>
      </c>
      <c r="T121" s="80">
        <f>IF(Tabell2[[#This Row],[Bruttoinntekt17+]]&lt;K$167,K$167,IF(Tabell2[[#This Row],[Bruttoinntekt17+]]&gt;K$168,K$168,Tabell2[[#This Row],[Bruttoinntekt17+]]))</f>
        <v>300100</v>
      </c>
      <c r="U121" s="60">
        <f>IF(Tabell2[[#This Row],[NIBR11-BA-Utrunk]]&lt;=L$170,100,IF(Tabell2[[#This Row],[NIBR11-BA-Utrunk]]&gt;=L$169,0,100-Tabell2[[#This Row],[NIBR11-BA-Utrunk]]*100/L$171))</f>
        <v>0</v>
      </c>
      <c r="V121" s="60">
        <f>(M$169-Tabell2[[#This Row],[Reisetid Oslo-T]])*100/M$171</f>
        <v>0</v>
      </c>
      <c r="W121" s="60">
        <f>100-(N$169-Tabell2[[#This Row],[beftettotal-T]])*100/N$171</f>
        <v>68.465970069650652</v>
      </c>
      <c r="X121" s="60">
        <f>100-(O$169-Tabell2[[#This Row],[Befvekst10-T]])*100/O$171</f>
        <v>78.020991362957389</v>
      </c>
      <c r="Y121" s="60">
        <f>100-(P$169-Tabell2[[#This Row],[Kvinneandel-T]])*100/P$171</f>
        <v>99.733502536798227</v>
      </c>
      <c r="Z121" s="60">
        <f>(Q$169-Tabell2[[#This Row],[Eldreandel-T]])*100/Q$171</f>
        <v>70.457272238679636</v>
      </c>
      <c r="AA121" s="60">
        <f>100-(R$169-Tabell2[[#This Row],[Syssvekst10-T]])*100/R$171</f>
        <v>100</v>
      </c>
      <c r="AB121" s="60">
        <f>100-(S$169-Tabell2[[#This Row],[Yrkesaktiveandel-T]])*100/S$171</f>
        <v>71.302165529867523</v>
      </c>
      <c r="AC121" s="60">
        <f>100-(T$169-Tabell2[[#This Row],[Bruttoinntekt17+-T]])*100/T$171</f>
        <v>9.765040214467291</v>
      </c>
      <c r="AD121" s="60">
        <f>Tabell2[[#This Row],[NIBR11-BA-I]]*$AD$2</f>
        <v>0</v>
      </c>
      <c r="AE121" s="60">
        <f>Tabell2[[#This Row],[Reisetid Oslo-I]]*$AE$2</f>
        <v>0</v>
      </c>
      <c r="AF121" s="60">
        <f>Tabell2[[#This Row],[beftettotal-I]]*$AF$2</f>
        <v>6.8465970069650659</v>
      </c>
      <c r="AG121" s="60">
        <f>Tabell2[[#This Row],[Befvekst10-I]]*$AG$2</f>
        <v>15.604198272591479</v>
      </c>
      <c r="AH121" s="60">
        <f>Tabell2[[#This Row],[Kvinneandel-I]]*$AH$2</f>
        <v>4.9866751268399119</v>
      </c>
      <c r="AI121" s="60">
        <f>Tabell2[[#This Row],[Eldreandel-I]]*$AI$2</f>
        <v>3.5228636119339818</v>
      </c>
      <c r="AJ121" s="60">
        <f>Tabell2[[#This Row],[Syssvekst10-I]]*$AJ$2</f>
        <v>10</v>
      </c>
      <c r="AK121" s="60">
        <f>Tabell2[[#This Row],[Yrkesaktiveandel-I]]*$AK$2</f>
        <v>7.1302165529867523</v>
      </c>
      <c r="AL121" s="60">
        <f>Tabell2[[#This Row],[Bruttoinntekt17+-I]]*$AL$2</f>
        <v>0.9765040214467291</v>
      </c>
      <c r="AM121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49.067054592763924</v>
      </c>
    </row>
    <row r="122" spans="1:39">
      <c r="A122" s="64">
        <v>117</v>
      </c>
      <c r="B122" s="8" t="s">
        <v>172</v>
      </c>
      <c r="C122" s="45">
        <f>Råark!L119</f>
        <v>11</v>
      </c>
      <c r="D122" s="80">
        <f>Råark!K119</f>
        <v>356.49084885899998</v>
      </c>
      <c r="E122" s="80">
        <f>Råark!N119</f>
        <v>1.8558353367919356</v>
      </c>
      <c r="F122" s="80">
        <f>Råark!O119</f>
        <v>-0.12524850894632211</v>
      </c>
      <c r="G122" s="80">
        <f>Råark!P119</f>
        <v>0.1</v>
      </c>
      <c r="H122" s="80">
        <f>Råark!Q119</f>
        <v>0.16515151515151516</v>
      </c>
      <c r="I122" s="80">
        <f>Råark!R119</f>
        <v>-1.5544041450777257E-2</v>
      </c>
      <c r="J122" s="80">
        <f>Råark!S119</f>
        <v>0.94555873925501432</v>
      </c>
      <c r="K122" s="80">
        <f>Råark!M119</f>
        <v>297000</v>
      </c>
      <c r="L122" s="59">
        <f>Tabell2[[#This Row],[NIBR11BA]]</f>
        <v>11</v>
      </c>
      <c r="M122" s="80">
        <f>IF(Tabell2[[#This Row],[Reisetid Oslo]]&lt;D$167,D$167,IF(Tabell2[[#This Row],[Reisetid Oslo]]&gt;D$168,D$168,Tabell2[[#This Row],[Reisetid Oslo]]))</f>
        <v>318.14540316969999</v>
      </c>
      <c r="N122" s="80">
        <f>IF(Tabell2[[#This Row],[beftettotal]]&lt;E$167,E$167,IF(Tabell2[[#This Row],[beftettotal]]&gt;E$168,E$168,Tabell2[[#This Row],[beftettotal]]))</f>
        <v>1.8558353367919356</v>
      </c>
      <c r="O122" s="80">
        <f>IF(Tabell2[[#This Row],[Befvekst10]]&lt;F$167,F$167,IF(Tabell2[[#This Row],[Befvekst10]]&gt;F$168,F$168,Tabell2[[#This Row],[Befvekst10]]))</f>
        <v>-0.12524850894632211</v>
      </c>
      <c r="P122" s="80">
        <f>IF(Tabell2[[#This Row],[Kvinneandel]]&lt;G$167,G$167,IF(Tabell2[[#This Row],[Kvinneandel]]&gt;G$168,G$168,Tabell2[[#This Row],[Kvinneandel]]))</f>
        <v>0.1</v>
      </c>
      <c r="Q122" s="80">
        <f>IF(Tabell2[[#This Row],[Eldreandel]]&lt;H$167,H$167,IF(Tabell2[[#This Row],[Eldreandel]]&gt;H$168,H$168,Tabell2[[#This Row],[Eldreandel]]))</f>
        <v>0.16515151515151516</v>
      </c>
      <c r="R122" s="80">
        <f>IF(Tabell2[[#This Row],[Syssvekst10]]&lt;I$167,I$167,IF(Tabell2[[#This Row],[Syssvekst10]]&gt;I$168,I$168,Tabell2[[#This Row],[Syssvekst10]]))</f>
        <v>-1.5544041450777257E-2</v>
      </c>
      <c r="S122" s="80">
        <f>IF(Tabell2[[#This Row],[Yrkesaktiveandel]]&lt;J$167,J$167,IF(Tabell2[[#This Row],[Yrkesaktiveandel]]&gt;J$168,J$168,Tabell2[[#This Row],[Yrkesaktiveandel]]))</f>
        <v>0.94555873925501432</v>
      </c>
      <c r="T122" s="80">
        <f>IF(Tabell2[[#This Row],[Bruttoinntekt17+]]&lt;K$167,K$167,IF(Tabell2[[#This Row],[Bruttoinntekt17+]]&gt;K$168,K$168,Tabell2[[#This Row],[Bruttoinntekt17+]]))</f>
        <v>297000</v>
      </c>
      <c r="U122" s="60">
        <f>IF(Tabell2[[#This Row],[NIBR11-BA-Utrunk]]&lt;=L$170,100,IF(Tabell2[[#This Row],[NIBR11-BA-Utrunk]]&gt;=L$169,0,100-Tabell2[[#This Row],[NIBR11-BA-Utrunk]]*100/L$171))</f>
        <v>0</v>
      </c>
      <c r="V122" s="60">
        <f>(M$169-Tabell2[[#This Row],[Reisetid Oslo-T]])*100/M$171</f>
        <v>0</v>
      </c>
      <c r="W122" s="60">
        <f>100-(N$169-Tabell2[[#This Row],[beftettotal-T]])*100/N$171</f>
        <v>1.980065490364197</v>
      </c>
      <c r="X122" s="60">
        <f>100-(O$169-Tabell2[[#This Row],[Befvekst10-T]])*100/O$171</f>
        <v>9.1426651910836654E-2</v>
      </c>
      <c r="Y122" s="60">
        <f>100-(P$169-Tabell2[[#This Row],[Kvinneandel-T]])*100/P$171</f>
        <v>27.225564878453255</v>
      </c>
      <c r="Z122" s="60">
        <f>(Q$169-Tabell2[[#This Row],[Eldreandel-T]])*100/Q$171</f>
        <v>51.506520424055111</v>
      </c>
      <c r="AA122" s="60">
        <f>100-(R$169-Tabell2[[#This Row],[Syssvekst10-T]])*100/R$171</f>
        <v>32.405333346461632</v>
      </c>
      <c r="AB122" s="60">
        <f>100-(S$169-Tabell2[[#This Row],[Yrkesaktiveandel-T]])*100/S$171</f>
        <v>89.969839841686465</v>
      </c>
      <c r="AC122" s="60">
        <f>100-(T$169-Tabell2[[#This Row],[Bruttoinntekt17+-T]])*100/T$171</f>
        <v>4.572651764235971</v>
      </c>
      <c r="AD122" s="60">
        <f>Tabell2[[#This Row],[NIBR11-BA-I]]*$AD$2</f>
        <v>0</v>
      </c>
      <c r="AE122" s="60">
        <f>Tabell2[[#This Row],[Reisetid Oslo-I]]*$AE$2</f>
        <v>0</v>
      </c>
      <c r="AF122" s="60">
        <f>Tabell2[[#This Row],[beftettotal-I]]*$AF$2</f>
        <v>0.1980065490364197</v>
      </c>
      <c r="AG122" s="60">
        <f>Tabell2[[#This Row],[Befvekst10-I]]*$AG$2</f>
        <v>1.8285330382167331E-2</v>
      </c>
      <c r="AH122" s="60">
        <f>Tabell2[[#This Row],[Kvinneandel-I]]*$AH$2</f>
        <v>1.3612782439226629</v>
      </c>
      <c r="AI122" s="60">
        <f>Tabell2[[#This Row],[Eldreandel-I]]*$AI$2</f>
        <v>2.5753260212027556</v>
      </c>
      <c r="AJ122" s="60">
        <f>Tabell2[[#This Row],[Syssvekst10-I]]*$AJ$2</f>
        <v>3.2405333346461633</v>
      </c>
      <c r="AK122" s="60">
        <f>Tabell2[[#This Row],[Yrkesaktiveandel-I]]*$AK$2</f>
        <v>8.9969839841686472</v>
      </c>
      <c r="AL122" s="60">
        <f>Tabell2[[#This Row],[Bruttoinntekt17+-I]]*$AL$2</f>
        <v>0.4572651764235971</v>
      </c>
      <c r="AM122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16.847678639782412</v>
      </c>
    </row>
    <row r="123" spans="1:39">
      <c r="A123" s="63">
        <v>118</v>
      </c>
      <c r="B123" s="8" t="s">
        <v>173</v>
      </c>
      <c r="C123" s="45">
        <f>Råark!L120</f>
        <v>10</v>
      </c>
      <c r="D123" s="80">
        <f>Råark!K120</f>
        <v>289.23257691110001</v>
      </c>
      <c r="E123" s="80">
        <f>Råark!N120</f>
        <v>7.6176635503324208</v>
      </c>
      <c r="F123" s="80">
        <f>Råark!O120</f>
        <v>-2.5329428989751102E-2</v>
      </c>
      <c r="G123" s="80">
        <f>Råark!P120</f>
        <v>0.10785639176806369</v>
      </c>
      <c r="H123" s="80">
        <f>Råark!Q120</f>
        <v>0.16238545891542738</v>
      </c>
      <c r="I123" s="80">
        <f>Råark!R120</f>
        <v>9.122562674094703E-2</v>
      </c>
      <c r="J123" s="80">
        <f>Råark!S120</f>
        <v>0.87230603448275867</v>
      </c>
      <c r="K123" s="80">
        <f>Råark!M120</f>
        <v>347400</v>
      </c>
      <c r="L123" s="59">
        <f>Tabell2[[#This Row],[NIBR11BA]]</f>
        <v>10</v>
      </c>
      <c r="M123" s="80">
        <f>IF(Tabell2[[#This Row],[Reisetid Oslo]]&lt;D$167,D$167,IF(Tabell2[[#This Row],[Reisetid Oslo]]&gt;D$168,D$168,Tabell2[[#This Row],[Reisetid Oslo]]))</f>
        <v>289.23257691110001</v>
      </c>
      <c r="N123" s="80">
        <f>IF(Tabell2[[#This Row],[beftettotal]]&lt;E$167,E$167,IF(Tabell2[[#This Row],[beftettotal]]&gt;E$168,E$168,Tabell2[[#This Row],[beftettotal]]))</f>
        <v>7.6176635503324208</v>
      </c>
      <c r="O123" s="80">
        <f>IF(Tabell2[[#This Row],[Befvekst10]]&lt;F$167,F$167,IF(Tabell2[[#This Row],[Befvekst10]]&gt;F$168,F$168,Tabell2[[#This Row],[Befvekst10]]))</f>
        <v>-2.5329428989751102E-2</v>
      </c>
      <c r="P123" s="80">
        <f>IF(Tabell2[[#This Row],[Kvinneandel]]&lt;G$167,G$167,IF(Tabell2[[#This Row],[Kvinneandel]]&gt;G$168,G$168,Tabell2[[#This Row],[Kvinneandel]]))</f>
        <v>0.10785639176806369</v>
      </c>
      <c r="Q123" s="80">
        <f>IF(Tabell2[[#This Row],[Eldreandel]]&lt;H$167,H$167,IF(Tabell2[[#This Row],[Eldreandel]]&gt;H$168,H$168,Tabell2[[#This Row],[Eldreandel]]))</f>
        <v>0.16238545891542738</v>
      </c>
      <c r="R123" s="80">
        <f>IF(Tabell2[[#This Row],[Syssvekst10]]&lt;I$167,I$167,IF(Tabell2[[#This Row],[Syssvekst10]]&gt;I$168,I$168,Tabell2[[#This Row],[Syssvekst10]]))</f>
        <v>9.122562674094703E-2</v>
      </c>
      <c r="S123" s="80">
        <f>IF(Tabell2[[#This Row],[Yrkesaktiveandel]]&lt;J$167,J$167,IF(Tabell2[[#This Row],[Yrkesaktiveandel]]&gt;J$168,J$168,Tabell2[[#This Row],[Yrkesaktiveandel]]))</f>
        <v>0.87230603448275867</v>
      </c>
      <c r="T123" s="80">
        <f>IF(Tabell2[[#This Row],[Bruttoinntekt17+]]&lt;K$167,K$167,IF(Tabell2[[#This Row],[Bruttoinntekt17+]]&gt;K$168,K$168,Tabell2[[#This Row],[Bruttoinntekt17+]]))</f>
        <v>347400</v>
      </c>
      <c r="U123" s="60">
        <f>IF(Tabell2[[#This Row],[NIBR11-BA-Utrunk]]&lt;=L$170,100,IF(Tabell2[[#This Row],[NIBR11-BA-Utrunk]]&gt;=L$169,0,100-Tabell2[[#This Row],[NIBR11-BA-Utrunk]]*100/L$171))</f>
        <v>0</v>
      </c>
      <c r="V123" s="60">
        <f>(M$169-Tabell2[[#This Row],[Reisetid Oslo-T]])*100/M$171</f>
        <v>15.524280791515181</v>
      </c>
      <c r="W123" s="60">
        <f>100-(N$169-Tabell2[[#This Row],[beftettotal-T]])*100/N$171</f>
        <v>15.375609658786871</v>
      </c>
      <c r="X123" s="60">
        <f>100-(O$169-Tabell2[[#This Row],[Befvekst10-T]])*100/O$171</f>
        <v>44.901080375444707</v>
      </c>
      <c r="Y123" s="60">
        <f>100-(P$169-Tabell2[[#This Row],[Kvinneandel-T]])*100/P$171</f>
        <v>52.280116203721704</v>
      </c>
      <c r="Z123" s="60">
        <f>(Q$169-Tabell2[[#This Row],[Eldreandel-T]])*100/Q$171</f>
        <v>55.186047411881752</v>
      </c>
      <c r="AA123" s="60">
        <f>100-(R$169-Tabell2[[#This Row],[Syssvekst10-T]])*100/R$171</f>
        <v>72.698729557148482</v>
      </c>
      <c r="AB123" s="60">
        <f>100-(S$169-Tabell2[[#This Row],[Yrkesaktiveandel-T]])*100/S$171</f>
        <v>34.596937221754033</v>
      </c>
      <c r="AC123" s="60">
        <f>100-(T$169-Tabell2[[#This Row],[Bruttoinntekt17+-T]])*100/T$171</f>
        <v>88.990838180900042</v>
      </c>
      <c r="AD123" s="60">
        <f>Tabell2[[#This Row],[NIBR11-BA-I]]*$AD$2</f>
        <v>0</v>
      </c>
      <c r="AE123" s="60">
        <f>Tabell2[[#This Row],[Reisetid Oslo-I]]*$AE$2</f>
        <v>1.5524280791515181</v>
      </c>
      <c r="AF123" s="60">
        <f>Tabell2[[#This Row],[beftettotal-I]]*$AF$2</f>
        <v>1.5375609658786873</v>
      </c>
      <c r="AG123" s="60">
        <f>Tabell2[[#This Row],[Befvekst10-I]]*$AG$2</f>
        <v>8.9802160750889417</v>
      </c>
      <c r="AH123" s="60">
        <f>Tabell2[[#This Row],[Kvinneandel-I]]*$AH$2</f>
        <v>2.6140058101860855</v>
      </c>
      <c r="AI123" s="60">
        <f>Tabell2[[#This Row],[Eldreandel-I]]*$AI$2</f>
        <v>2.7593023705940878</v>
      </c>
      <c r="AJ123" s="60">
        <f>Tabell2[[#This Row],[Syssvekst10-I]]*$AJ$2</f>
        <v>7.2698729557148489</v>
      </c>
      <c r="AK123" s="60">
        <f>Tabell2[[#This Row],[Yrkesaktiveandel-I]]*$AK$2</f>
        <v>3.4596937221754036</v>
      </c>
      <c r="AL123" s="60">
        <f>Tabell2[[#This Row],[Bruttoinntekt17+-I]]*$AL$2</f>
        <v>8.8990838180900038</v>
      </c>
      <c r="AM123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37.072163796879579</v>
      </c>
    </row>
    <row r="124" spans="1:39">
      <c r="A124" s="64">
        <v>119</v>
      </c>
      <c r="B124" s="8" t="s">
        <v>174</v>
      </c>
      <c r="C124" s="45">
        <f>Råark!L121</f>
        <v>11</v>
      </c>
      <c r="D124" s="80">
        <f>Råark!K121</f>
        <v>280.86956907180002</v>
      </c>
      <c r="E124" s="80">
        <f>Råark!N121</f>
        <v>0.89759115009491408</v>
      </c>
      <c r="F124" s="80">
        <f>Råark!O121</f>
        <v>-0.12728719172633252</v>
      </c>
      <c r="G124" s="80">
        <f>Råark!P121</f>
        <v>8.0218778486782133E-2</v>
      </c>
      <c r="H124" s="80">
        <f>Råark!Q121</f>
        <v>0.23154056517775751</v>
      </c>
      <c r="I124" s="80">
        <f>Råark!R121</f>
        <v>0.13493975903614452</v>
      </c>
      <c r="J124" s="80">
        <f>Råark!S121</f>
        <v>0.89816360601001666</v>
      </c>
      <c r="K124" s="80">
        <f>Råark!M121</f>
        <v>278300</v>
      </c>
      <c r="L124" s="59">
        <f>Tabell2[[#This Row],[NIBR11BA]]</f>
        <v>11</v>
      </c>
      <c r="M124" s="80">
        <f>IF(Tabell2[[#This Row],[Reisetid Oslo]]&lt;D$167,D$167,IF(Tabell2[[#This Row],[Reisetid Oslo]]&gt;D$168,D$168,Tabell2[[#This Row],[Reisetid Oslo]]))</f>
        <v>280.86956907180002</v>
      </c>
      <c r="N124" s="80">
        <f>IF(Tabell2[[#This Row],[beftettotal]]&lt;E$167,E$167,IF(Tabell2[[#This Row],[beftettotal]]&gt;E$168,E$168,Tabell2[[#This Row],[beftettotal]]))</f>
        <v>1.0041493534832273</v>
      </c>
      <c r="O124" s="80">
        <f>IF(Tabell2[[#This Row],[Befvekst10]]&lt;F$167,F$167,IF(Tabell2[[#This Row],[Befvekst10]]&gt;F$168,F$168,Tabell2[[#This Row],[Befvekst10]]))</f>
        <v>-0.12545237722432315</v>
      </c>
      <c r="P124" s="80">
        <f>IF(Tabell2[[#This Row],[Kvinneandel]]&lt;G$167,G$167,IF(Tabell2[[#This Row],[Kvinneandel]]&gt;G$168,G$168,Tabell2[[#This Row],[Kvinneandel]]))</f>
        <v>9.1462840383166502E-2</v>
      </c>
      <c r="Q124" s="80">
        <f>IF(Tabell2[[#This Row],[Eldreandel]]&lt;H$167,H$167,IF(Tabell2[[#This Row],[Eldreandel]]&gt;H$168,H$168,Tabell2[[#This Row],[Eldreandel]]))</f>
        <v>0.20387114745465851</v>
      </c>
      <c r="R124" s="80">
        <f>IF(Tabell2[[#This Row],[Syssvekst10]]&lt;I$167,I$167,IF(Tabell2[[#This Row],[Syssvekst10]]&gt;I$168,I$168,Tabell2[[#This Row],[Syssvekst10]]))</f>
        <v>0.13493975903614452</v>
      </c>
      <c r="S124" s="80">
        <f>IF(Tabell2[[#This Row],[Yrkesaktiveandel]]&lt;J$167,J$167,IF(Tabell2[[#This Row],[Yrkesaktiveandel]]&gt;J$168,J$168,Tabell2[[#This Row],[Yrkesaktiveandel]]))</f>
        <v>0.89816360601001666</v>
      </c>
      <c r="T124" s="80">
        <f>IF(Tabell2[[#This Row],[Bruttoinntekt17+]]&lt;K$167,K$167,IF(Tabell2[[#This Row],[Bruttoinntekt17+]]&gt;K$168,K$168,Tabell2[[#This Row],[Bruttoinntekt17+]]))</f>
        <v>294270</v>
      </c>
      <c r="U124" s="60">
        <f>IF(Tabell2[[#This Row],[NIBR11-BA-Utrunk]]&lt;=L$170,100,IF(Tabell2[[#This Row],[NIBR11-BA-Utrunk]]&gt;=L$169,0,100-Tabell2[[#This Row],[NIBR11-BA-Utrunk]]*100/L$171))</f>
        <v>0</v>
      </c>
      <c r="V124" s="60">
        <f>(M$169-Tabell2[[#This Row],[Reisetid Oslo-T]])*100/M$171</f>
        <v>20.014664429479961</v>
      </c>
      <c r="W124" s="60">
        <f>100-(N$169-Tabell2[[#This Row],[beftettotal-T]])*100/N$171</f>
        <v>0</v>
      </c>
      <c r="X124" s="60">
        <f>100-(O$169-Tabell2[[#This Row],[Befvekst10-T]])*100/O$171</f>
        <v>0</v>
      </c>
      <c r="Y124" s="60">
        <f>100-(P$169-Tabell2[[#This Row],[Kvinneandel-T]])*100/P$171</f>
        <v>0</v>
      </c>
      <c r="Z124" s="60">
        <f>(Q$169-Tabell2[[#This Row],[Eldreandel-T]])*100/Q$171</f>
        <v>0</v>
      </c>
      <c r="AA124" s="60">
        <f>100-(R$169-Tabell2[[#This Row],[Syssvekst10-T]])*100/R$171</f>
        <v>89.195838543324939</v>
      </c>
      <c r="AB124" s="60">
        <f>100-(S$169-Tabell2[[#This Row],[Yrkesaktiveandel-T]])*100/S$171</f>
        <v>54.143093157133094</v>
      </c>
      <c r="AC124" s="60">
        <f>100-(T$169-Tabell2[[#This Row],[Bruttoinntekt17+-T]])*100/T$171</f>
        <v>0</v>
      </c>
      <c r="AD124" s="60">
        <f>Tabell2[[#This Row],[NIBR11-BA-I]]*$AD$2</f>
        <v>0</v>
      </c>
      <c r="AE124" s="60">
        <f>Tabell2[[#This Row],[Reisetid Oslo-I]]*$AE$2</f>
        <v>2.0014664429479962</v>
      </c>
      <c r="AF124" s="60">
        <f>Tabell2[[#This Row],[beftettotal-I]]*$AF$2</f>
        <v>0</v>
      </c>
      <c r="AG124" s="60">
        <f>Tabell2[[#This Row],[Befvekst10-I]]*$AG$2</f>
        <v>0</v>
      </c>
      <c r="AH124" s="60">
        <f>Tabell2[[#This Row],[Kvinneandel-I]]*$AH$2</f>
        <v>0</v>
      </c>
      <c r="AI124" s="60">
        <f>Tabell2[[#This Row],[Eldreandel-I]]*$AI$2</f>
        <v>0</v>
      </c>
      <c r="AJ124" s="60">
        <f>Tabell2[[#This Row],[Syssvekst10-I]]*$AJ$2</f>
        <v>8.9195838543324939</v>
      </c>
      <c r="AK124" s="60">
        <f>Tabell2[[#This Row],[Yrkesaktiveandel-I]]*$AK$2</f>
        <v>5.41430931571331</v>
      </c>
      <c r="AL124" s="60">
        <f>Tabell2[[#This Row],[Bruttoinntekt17+-I]]*$AL$2</f>
        <v>0</v>
      </c>
      <c r="AM124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16.335359612993802</v>
      </c>
    </row>
    <row r="125" spans="1:39">
      <c r="A125" s="63">
        <v>120</v>
      </c>
      <c r="B125" s="8" t="s">
        <v>175</v>
      </c>
      <c r="C125" s="45">
        <f>Råark!L122</f>
        <v>5</v>
      </c>
      <c r="D125" s="80">
        <f>Råark!K122</f>
        <v>248.42805992911073</v>
      </c>
      <c r="E125" s="80">
        <f>Råark!N122</f>
        <v>3.2051674584440342</v>
      </c>
      <c r="F125" s="80">
        <f>Råark!O122</f>
        <v>-3.2323473282442783E-2</v>
      </c>
      <c r="G125" s="80">
        <f>Råark!P122</f>
        <v>0.10526315789473684</v>
      </c>
      <c r="H125" s="80">
        <f>Råark!Q122</f>
        <v>0.16504375693331691</v>
      </c>
      <c r="I125" s="80">
        <f>Råark!R122</f>
        <v>4.2715827338129397E-2</v>
      </c>
      <c r="J125" s="80">
        <f>Råark!S122</f>
        <v>0.86123110151187909</v>
      </c>
      <c r="K125" s="80">
        <f>Råark!M122</f>
        <v>312329.99006951338</v>
      </c>
      <c r="L125" s="59">
        <f>Tabell2[[#This Row],[NIBR11BA]]</f>
        <v>5</v>
      </c>
      <c r="M125" s="80">
        <f>IF(Tabell2[[#This Row],[Reisetid Oslo]]&lt;D$167,D$167,IF(Tabell2[[#This Row],[Reisetid Oslo]]&gt;D$168,D$168,Tabell2[[#This Row],[Reisetid Oslo]]))</f>
        <v>248.42805992911073</v>
      </c>
      <c r="N125" s="80">
        <f>IF(Tabell2[[#This Row],[beftettotal]]&lt;E$167,E$167,IF(Tabell2[[#This Row],[beftettotal]]&gt;E$168,E$168,Tabell2[[#This Row],[beftettotal]]))</f>
        <v>3.2051674584440342</v>
      </c>
      <c r="O125" s="80">
        <f>IF(Tabell2[[#This Row],[Befvekst10]]&lt;F$167,F$167,IF(Tabell2[[#This Row],[Befvekst10]]&gt;F$168,F$168,Tabell2[[#This Row],[Befvekst10]]))</f>
        <v>-3.2323473282442783E-2</v>
      </c>
      <c r="P125" s="80">
        <f>IF(Tabell2[[#This Row],[Kvinneandel]]&lt;G$167,G$167,IF(Tabell2[[#This Row],[Kvinneandel]]&gt;G$168,G$168,Tabell2[[#This Row],[Kvinneandel]]))</f>
        <v>0.10526315789473684</v>
      </c>
      <c r="Q125" s="80">
        <f>IF(Tabell2[[#This Row],[Eldreandel]]&lt;H$167,H$167,IF(Tabell2[[#This Row],[Eldreandel]]&gt;H$168,H$168,Tabell2[[#This Row],[Eldreandel]]))</f>
        <v>0.16504375693331691</v>
      </c>
      <c r="R125" s="80">
        <f>IF(Tabell2[[#This Row],[Syssvekst10]]&lt;I$167,I$167,IF(Tabell2[[#This Row],[Syssvekst10]]&gt;I$168,I$168,Tabell2[[#This Row],[Syssvekst10]]))</f>
        <v>4.2715827338129397E-2</v>
      </c>
      <c r="S125" s="80">
        <f>IF(Tabell2[[#This Row],[Yrkesaktiveandel]]&lt;J$167,J$167,IF(Tabell2[[#This Row],[Yrkesaktiveandel]]&gt;J$168,J$168,Tabell2[[#This Row],[Yrkesaktiveandel]]))</f>
        <v>0.86123110151187909</v>
      </c>
      <c r="T125" s="80">
        <f>IF(Tabell2[[#This Row],[Bruttoinntekt17+]]&lt;K$167,K$167,IF(Tabell2[[#This Row],[Bruttoinntekt17+]]&gt;K$168,K$168,Tabell2[[#This Row],[Bruttoinntekt17+]]))</f>
        <v>312329.99006951338</v>
      </c>
      <c r="U125" s="60">
        <f>IF(Tabell2[[#This Row],[NIBR11-BA-Utrunk]]&lt;=L$170,100,IF(Tabell2[[#This Row],[NIBR11-BA-Utrunk]]&gt;=L$169,0,100-Tabell2[[#This Row],[NIBR11-BA-Utrunk]]*100/L$171))</f>
        <v>50</v>
      </c>
      <c r="V125" s="60">
        <f>(M$169-Tabell2[[#This Row],[Reisetid Oslo-T]])*100/M$171</f>
        <v>37.433615199877678</v>
      </c>
      <c r="W125" s="60">
        <f>100-(N$169-Tabell2[[#This Row],[beftettotal-T]])*100/N$171</f>
        <v>5.1170972385487659</v>
      </c>
      <c r="X125" s="60">
        <f>100-(O$169-Tabell2[[#This Row],[Befvekst10-T]])*100/O$171</f>
        <v>41.764535252943688</v>
      </c>
      <c r="Y125" s="60">
        <f>100-(P$169-Tabell2[[#This Row],[Kvinneandel-T]])*100/P$171</f>
        <v>44.010122408121347</v>
      </c>
      <c r="Z125" s="60">
        <f>(Q$169-Tabell2[[#This Row],[Eldreandel-T]])*100/Q$171</f>
        <v>51.649865041148431</v>
      </c>
      <c r="AA125" s="60">
        <f>100-(R$169-Tabell2[[#This Row],[Syssvekst10-T]])*100/R$171</f>
        <v>54.391802125953433</v>
      </c>
      <c r="AB125" s="60">
        <f>100-(S$169-Tabell2[[#This Row],[Yrkesaktiveandel-T]])*100/S$171</f>
        <v>26.22521652112728</v>
      </c>
      <c r="AC125" s="60">
        <f>100-(T$169-Tabell2[[#This Row],[Bruttoinntekt17+-T]])*100/T$171</f>
        <v>30.24983349943021</v>
      </c>
      <c r="AD125" s="60">
        <f>Tabell2[[#This Row],[NIBR11-BA-I]]*$AD$2</f>
        <v>10</v>
      </c>
      <c r="AE125" s="60">
        <f>Tabell2[[#This Row],[Reisetid Oslo-I]]*$AE$2</f>
        <v>3.7433615199877681</v>
      </c>
      <c r="AF125" s="60">
        <f>Tabell2[[#This Row],[beftettotal-I]]*$AF$2</f>
        <v>0.51170972385487656</v>
      </c>
      <c r="AG125" s="60">
        <f>Tabell2[[#This Row],[Befvekst10-I]]*$AG$2</f>
        <v>8.3529070505887386</v>
      </c>
      <c r="AH125" s="60">
        <f>Tabell2[[#This Row],[Kvinneandel-I]]*$AH$2</f>
        <v>2.2005061204060676</v>
      </c>
      <c r="AI125" s="60">
        <f>Tabell2[[#This Row],[Eldreandel-I]]*$AI$2</f>
        <v>2.5824932520574215</v>
      </c>
      <c r="AJ125" s="60">
        <f>Tabell2[[#This Row],[Syssvekst10-I]]*$AJ$2</f>
        <v>5.4391802125953435</v>
      </c>
      <c r="AK125" s="60">
        <f>Tabell2[[#This Row],[Yrkesaktiveandel-I]]*$AK$2</f>
        <v>2.6225216521127281</v>
      </c>
      <c r="AL125" s="60">
        <f>Tabell2[[#This Row],[Bruttoinntekt17+-I]]*$AL$2</f>
        <v>3.024983349943021</v>
      </c>
      <c r="AM125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38.477662881545967</v>
      </c>
    </row>
    <row r="126" spans="1:39">
      <c r="A126" s="64">
        <v>121</v>
      </c>
      <c r="B126" s="8" t="s">
        <v>176</v>
      </c>
      <c r="C126" s="45">
        <f>Råark!L123</f>
        <v>11</v>
      </c>
      <c r="D126" s="80">
        <f>Råark!K123</f>
        <v>361.76036978000002</v>
      </c>
      <c r="E126" s="80">
        <f>Råark!N123</f>
        <v>2.5886531859583672</v>
      </c>
      <c r="F126" s="80">
        <f>Råark!O123</f>
        <v>-9.6919349255797815E-2</v>
      </c>
      <c r="G126" s="80">
        <f>Råark!P123</f>
        <v>9.6972019931008055E-2</v>
      </c>
      <c r="H126" s="80">
        <f>Råark!Q123</f>
        <v>0.19087773093139135</v>
      </c>
      <c r="I126" s="80">
        <f>Råark!R123</f>
        <v>-9.9009900990099098E-3</v>
      </c>
      <c r="J126" s="80">
        <f>Råark!S123</f>
        <v>0.87692307692307692</v>
      </c>
      <c r="K126" s="80">
        <f>Råark!M123</f>
        <v>294600</v>
      </c>
      <c r="L126" s="59">
        <f>Tabell2[[#This Row],[NIBR11BA]]</f>
        <v>11</v>
      </c>
      <c r="M126" s="80">
        <f>IF(Tabell2[[#This Row],[Reisetid Oslo]]&lt;D$167,D$167,IF(Tabell2[[#This Row],[Reisetid Oslo]]&gt;D$168,D$168,Tabell2[[#This Row],[Reisetid Oslo]]))</f>
        <v>318.14540316969999</v>
      </c>
      <c r="N126" s="80">
        <f>IF(Tabell2[[#This Row],[beftettotal]]&lt;E$167,E$167,IF(Tabell2[[#This Row],[beftettotal]]&gt;E$168,E$168,Tabell2[[#This Row],[beftettotal]]))</f>
        <v>2.5886531859583672</v>
      </c>
      <c r="O126" s="80">
        <f>IF(Tabell2[[#This Row],[Befvekst10]]&lt;F$167,F$167,IF(Tabell2[[#This Row],[Befvekst10]]&gt;F$168,F$168,Tabell2[[#This Row],[Befvekst10]]))</f>
        <v>-9.6919349255797815E-2</v>
      </c>
      <c r="P126" s="80">
        <f>IF(Tabell2[[#This Row],[Kvinneandel]]&lt;G$167,G$167,IF(Tabell2[[#This Row],[Kvinneandel]]&gt;G$168,G$168,Tabell2[[#This Row],[Kvinneandel]]))</f>
        <v>9.6972019931008055E-2</v>
      </c>
      <c r="Q126" s="80">
        <f>IF(Tabell2[[#This Row],[Eldreandel]]&lt;H$167,H$167,IF(Tabell2[[#This Row],[Eldreandel]]&gt;H$168,H$168,Tabell2[[#This Row],[Eldreandel]]))</f>
        <v>0.19087773093139135</v>
      </c>
      <c r="R126" s="80">
        <f>IF(Tabell2[[#This Row],[Syssvekst10]]&lt;I$167,I$167,IF(Tabell2[[#This Row],[Syssvekst10]]&gt;I$168,I$168,Tabell2[[#This Row],[Syssvekst10]]))</f>
        <v>-9.9009900990099098E-3</v>
      </c>
      <c r="S126" s="80">
        <f>IF(Tabell2[[#This Row],[Yrkesaktiveandel]]&lt;J$167,J$167,IF(Tabell2[[#This Row],[Yrkesaktiveandel]]&gt;J$168,J$168,Tabell2[[#This Row],[Yrkesaktiveandel]]))</f>
        <v>0.87692307692307692</v>
      </c>
      <c r="T126" s="80">
        <f>IF(Tabell2[[#This Row],[Bruttoinntekt17+]]&lt;K$167,K$167,IF(Tabell2[[#This Row],[Bruttoinntekt17+]]&gt;K$168,K$168,Tabell2[[#This Row],[Bruttoinntekt17+]]))</f>
        <v>294600</v>
      </c>
      <c r="U126" s="60">
        <f>IF(Tabell2[[#This Row],[NIBR11-BA-Utrunk]]&lt;=L$170,100,IF(Tabell2[[#This Row],[NIBR11-BA-Utrunk]]&gt;=L$169,0,100-Tabell2[[#This Row],[NIBR11-BA-Utrunk]]*100/L$171))</f>
        <v>0</v>
      </c>
      <c r="V126" s="60">
        <f>(M$169-Tabell2[[#This Row],[Reisetid Oslo-T]])*100/M$171</f>
        <v>0</v>
      </c>
      <c r="W126" s="60">
        <f>100-(N$169-Tabell2[[#This Row],[beftettotal-T]])*100/N$171</f>
        <v>3.6837771426568366</v>
      </c>
      <c r="X126" s="60">
        <f>100-(O$169-Tabell2[[#This Row],[Befvekst10-T]])*100/O$171</f>
        <v>12.79590548180829</v>
      </c>
      <c r="Y126" s="60">
        <f>100-(P$169-Tabell2[[#This Row],[Kvinneandel-T]])*100/P$171</f>
        <v>17.569136801783344</v>
      </c>
      <c r="Z126" s="60">
        <f>(Q$169-Tabell2[[#This Row],[Eldreandel-T]])*100/Q$171</f>
        <v>17.284401574226315</v>
      </c>
      <c r="AA126" s="60">
        <f>100-(R$169-Tabell2[[#This Row],[Syssvekst10-T]])*100/R$171</f>
        <v>34.534942886370629</v>
      </c>
      <c r="AB126" s="60">
        <f>100-(S$169-Tabell2[[#This Row],[Yrkesaktiveandel-T]])*100/S$171</f>
        <v>38.087034170865849</v>
      </c>
      <c r="AC126" s="60">
        <f>100-(T$169-Tabell2[[#This Row],[Bruttoinntekt17+-T]])*100/T$171</f>
        <v>0.55273812534720435</v>
      </c>
      <c r="AD126" s="60">
        <f>Tabell2[[#This Row],[NIBR11-BA-I]]*$AD$2</f>
        <v>0</v>
      </c>
      <c r="AE126" s="60">
        <f>Tabell2[[#This Row],[Reisetid Oslo-I]]*$AE$2</f>
        <v>0</v>
      </c>
      <c r="AF126" s="60">
        <f>Tabell2[[#This Row],[beftettotal-I]]*$AF$2</f>
        <v>0.36837771426568366</v>
      </c>
      <c r="AG126" s="60">
        <f>Tabell2[[#This Row],[Befvekst10-I]]*$AG$2</f>
        <v>2.5591810963616584</v>
      </c>
      <c r="AH126" s="60">
        <f>Tabell2[[#This Row],[Kvinneandel-I]]*$AH$2</f>
        <v>0.87845684008916725</v>
      </c>
      <c r="AI126" s="60">
        <f>Tabell2[[#This Row],[Eldreandel-I]]*$AI$2</f>
        <v>0.86422007871131579</v>
      </c>
      <c r="AJ126" s="60">
        <f>Tabell2[[#This Row],[Syssvekst10-I]]*$AJ$2</f>
        <v>3.4534942886370632</v>
      </c>
      <c r="AK126" s="60">
        <f>Tabell2[[#This Row],[Yrkesaktiveandel-I]]*$AK$2</f>
        <v>3.8087034170865852</v>
      </c>
      <c r="AL126" s="60">
        <f>Tabell2[[#This Row],[Bruttoinntekt17+-I]]*$AL$2</f>
        <v>5.527381253472044E-2</v>
      </c>
      <c r="AM126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11.987707247686194</v>
      </c>
    </row>
    <row r="127" spans="1:39">
      <c r="A127" s="63">
        <v>122</v>
      </c>
      <c r="B127" s="8" t="s">
        <v>177</v>
      </c>
      <c r="C127" s="45">
        <f>Råark!L124</f>
        <v>11</v>
      </c>
      <c r="D127" s="80">
        <f>Råark!K124</f>
        <v>362.16962157699999</v>
      </c>
      <c r="E127" s="80">
        <f>Råark!N124</f>
        <v>1.7311519976697898</v>
      </c>
      <c r="F127" s="80">
        <f>Råark!O124</f>
        <v>-7.7122153209109756E-2</v>
      </c>
      <c r="G127" s="80">
        <f>Råark!P124</f>
        <v>9.2540661805945043E-2</v>
      </c>
      <c r="H127" s="80">
        <f>Råark!Q124</f>
        <v>0.19349411104879416</v>
      </c>
      <c r="I127" s="80">
        <f>Råark!R124</f>
        <v>0.10416666666666674</v>
      </c>
      <c r="J127" s="80">
        <f>Råark!S124</f>
        <v>0.90466531440162268</v>
      </c>
      <c r="K127" s="80">
        <f>Råark!M124</f>
        <v>309900</v>
      </c>
      <c r="L127" s="59">
        <f>Tabell2[[#This Row],[NIBR11BA]]</f>
        <v>11</v>
      </c>
      <c r="M127" s="80">
        <f>IF(Tabell2[[#This Row],[Reisetid Oslo]]&lt;D$167,D$167,IF(Tabell2[[#This Row],[Reisetid Oslo]]&gt;D$168,D$168,Tabell2[[#This Row],[Reisetid Oslo]]))</f>
        <v>318.14540316969999</v>
      </c>
      <c r="N127" s="80">
        <f>IF(Tabell2[[#This Row],[beftettotal]]&lt;E$167,E$167,IF(Tabell2[[#This Row],[beftettotal]]&gt;E$168,E$168,Tabell2[[#This Row],[beftettotal]]))</f>
        <v>1.7311519976697898</v>
      </c>
      <c r="O127" s="80">
        <f>IF(Tabell2[[#This Row],[Befvekst10]]&lt;F$167,F$167,IF(Tabell2[[#This Row],[Befvekst10]]&gt;F$168,F$168,Tabell2[[#This Row],[Befvekst10]]))</f>
        <v>-7.7122153209109756E-2</v>
      </c>
      <c r="P127" s="80">
        <f>IF(Tabell2[[#This Row],[Kvinneandel]]&lt;G$167,G$167,IF(Tabell2[[#This Row],[Kvinneandel]]&gt;G$168,G$168,Tabell2[[#This Row],[Kvinneandel]]))</f>
        <v>9.2540661805945043E-2</v>
      </c>
      <c r="Q127" s="80">
        <f>IF(Tabell2[[#This Row],[Eldreandel]]&lt;H$167,H$167,IF(Tabell2[[#This Row],[Eldreandel]]&gt;H$168,H$168,Tabell2[[#This Row],[Eldreandel]]))</f>
        <v>0.19349411104879416</v>
      </c>
      <c r="R127" s="80">
        <f>IF(Tabell2[[#This Row],[Syssvekst10]]&lt;I$167,I$167,IF(Tabell2[[#This Row],[Syssvekst10]]&gt;I$168,I$168,Tabell2[[#This Row],[Syssvekst10]]))</f>
        <v>0.10416666666666674</v>
      </c>
      <c r="S127" s="80">
        <f>IF(Tabell2[[#This Row],[Yrkesaktiveandel]]&lt;J$167,J$167,IF(Tabell2[[#This Row],[Yrkesaktiveandel]]&gt;J$168,J$168,Tabell2[[#This Row],[Yrkesaktiveandel]]))</f>
        <v>0.90466531440162268</v>
      </c>
      <c r="T127" s="80">
        <f>IF(Tabell2[[#This Row],[Bruttoinntekt17+]]&lt;K$167,K$167,IF(Tabell2[[#This Row],[Bruttoinntekt17+]]&gt;K$168,K$168,Tabell2[[#This Row],[Bruttoinntekt17+]]))</f>
        <v>309900</v>
      </c>
      <c r="U127" s="60">
        <f>IF(Tabell2[[#This Row],[NIBR11-BA-Utrunk]]&lt;=L$170,100,IF(Tabell2[[#This Row],[NIBR11-BA-Utrunk]]&gt;=L$169,0,100-Tabell2[[#This Row],[NIBR11-BA-Utrunk]]*100/L$171))</f>
        <v>0</v>
      </c>
      <c r="V127" s="60">
        <f>(M$169-Tabell2[[#This Row],[Reisetid Oslo-T]])*100/M$171</f>
        <v>0</v>
      </c>
      <c r="W127" s="60">
        <f>100-(N$169-Tabell2[[#This Row],[beftettotal-T]])*100/N$171</f>
        <v>1.6901920136867545</v>
      </c>
      <c r="X127" s="60">
        <f>100-(O$169-Tabell2[[#This Row],[Befvekst10-T]])*100/O$171</f>
        <v>21.674144752371831</v>
      </c>
      <c r="Y127" s="60">
        <f>100-(P$169-Tabell2[[#This Row],[Kvinneandel-T]])*100/P$171</f>
        <v>3.4372435786936819</v>
      </c>
      <c r="Z127" s="60">
        <f>(Q$169-Tabell2[[#This Row],[Eldreandel-T]])*100/Q$171</f>
        <v>13.803980197829119</v>
      </c>
      <c r="AA127" s="60">
        <f>100-(R$169-Tabell2[[#This Row],[Syssvekst10-T]])*100/R$171</f>
        <v>77.582499057761751</v>
      </c>
      <c r="AB127" s="60">
        <f>100-(S$169-Tabell2[[#This Row],[Yrkesaktiveandel-T]])*100/S$171</f>
        <v>59.057839537500932</v>
      </c>
      <c r="AC127" s="60">
        <f>100-(T$169-Tabell2[[#This Row],[Bruttoinntekt17+-T]])*100/T$171</f>
        <v>26.179687573263081</v>
      </c>
      <c r="AD127" s="60">
        <f>Tabell2[[#This Row],[NIBR11-BA-I]]*$AD$2</f>
        <v>0</v>
      </c>
      <c r="AE127" s="60">
        <f>Tabell2[[#This Row],[Reisetid Oslo-I]]*$AE$2</f>
        <v>0</v>
      </c>
      <c r="AF127" s="60">
        <f>Tabell2[[#This Row],[beftettotal-I]]*$AF$2</f>
        <v>0.16901920136867546</v>
      </c>
      <c r="AG127" s="60">
        <f>Tabell2[[#This Row],[Befvekst10-I]]*$AG$2</f>
        <v>4.3348289504743667</v>
      </c>
      <c r="AH127" s="60">
        <f>Tabell2[[#This Row],[Kvinneandel-I]]*$AH$2</f>
        <v>0.17186217893468411</v>
      </c>
      <c r="AI127" s="60">
        <f>Tabell2[[#This Row],[Eldreandel-I]]*$AI$2</f>
        <v>0.69019900989145599</v>
      </c>
      <c r="AJ127" s="60">
        <f>Tabell2[[#This Row],[Syssvekst10-I]]*$AJ$2</f>
        <v>7.7582499057761751</v>
      </c>
      <c r="AK127" s="60">
        <f>Tabell2[[#This Row],[Yrkesaktiveandel-I]]*$AK$2</f>
        <v>5.9057839537500936</v>
      </c>
      <c r="AL127" s="60">
        <f>Tabell2[[#This Row],[Bruttoinntekt17+-I]]*$AL$2</f>
        <v>2.6179687573263082</v>
      </c>
      <c r="AM127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21.64791195752176</v>
      </c>
    </row>
    <row r="128" spans="1:39">
      <c r="A128" s="64">
        <v>123</v>
      </c>
      <c r="B128" s="8" t="s">
        <v>178</v>
      </c>
      <c r="C128" s="45">
        <f>Råark!L125</f>
        <v>11</v>
      </c>
      <c r="D128" s="80">
        <f>Råark!K125</f>
        <v>333.8756979186</v>
      </c>
      <c r="E128" s="80">
        <f>Råark!N125</f>
        <v>1.3360381959386076</v>
      </c>
      <c r="F128" s="80">
        <f>Råark!O125</f>
        <v>-0.14323258869908018</v>
      </c>
      <c r="G128" s="80">
        <f>Råark!P125</f>
        <v>9.1513292433537827E-2</v>
      </c>
      <c r="H128" s="80">
        <f>Råark!Q125</f>
        <v>0.18865030674846625</v>
      </c>
      <c r="I128" s="80">
        <f>Råark!R125</f>
        <v>-3.0963302752293531E-2</v>
      </c>
      <c r="J128" s="80">
        <f>Råark!S125</f>
        <v>0.78442028985507251</v>
      </c>
      <c r="K128" s="80">
        <f>Råark!M125</f>
        <v>293100</v>
      </c>
      <c r="L128" s="59">
        <f>Tabell2[[#This Row],[NIBR11BA]]</f>
        <v>11</v>
      </c>
      <c r="M128" s="80">
        <f>IF(Tabell2[[#This Row],[Reisetid Oslo]]&lt;D$167,D$167,IF(Tabell2[[#This Row],[Reisetid Oslo]]&gt;D$168,D$168,Tabell2[[#This Row],[Reisetid Oslo]]))</f>
        <v>318.14540316969999</v>
      </c>
      <c r="N128" s="80">
        <f>IF(Tabell2[[#This Row],[beftettotal]]&lt;E$167,E$167,IF(Tabell2[[#This Row],[beftettotal]]&gt;E$168,E$168,Tabell2[[#This Row],[beftettotal]]))</f>
        <v>1.3360381959386076</v>
      </c>
      <c r="O128" s="80">
        <f>IF(Tabell2[[#This Row],[Befvekst10]]&lt;F$167,F$167,IF(Tabell2[[#This Row],[Befvekst10]]&gt;F$168,F$168,Tabell2[[#This Row],[Befvekst10]]))</f>
        <v>-0.12545237722432315</v>
      </c>
      <c r="P128" s="80">
        <f>IF(Tabell2[[#This Row],[Kvinneandel]]&lt;G$167,G$167,IF(Tabell2[[#This Row],[Kvinneandel]]&gt;G$168,G$168,Tabell2[[#This Row],[Kvinneandel]]))</f>
        <v>9.1513292433537827E-2</v>
      </c>
      <c r="Q128" s="80">
        <f>IF(Tabell2[[#This Row],[Eldreandel]]&lt;H$167,H$167,IF(Tabell2[[#This Row],[Eldreandel]]&gt;H$168,H$168,Tabell2[[#This Row],[Eldreandel]]))</f>
        <v>0.18865030674846625</v>
      </c>
      <c r="R128" s="80">
        <f>IF(Tabell2[[#This Row],[Syssvekst10]]&lt;I$167,I$167,IF(Tabell2[[#This Row],[Syssvekst10]]&gt;I$168,I$168,Tabell2[[#This Row],[Syssvekst10]]))</f>
        <v>-3.0963302752293531E-2</v>
      </c>
      <c r="S128" s="80">
        <f>IF(Tabell2[[#This Row],[Yrkesaktiveandel]]&lt;J$167,J$167,IF(Tabell2[[#This Row],[Yrkesaktiveandel]]&gt;J$168,J$168,Tabell2[[#This Row],[Yrkesaktiveandel]]))</f>
        <v>0.82653781377516045</v>
      </c>
      <c r="T128" s="80">
        <f>IF(Tabell2[[#This Row],[Bruttoinntekt17+]]&lt;K$167,K$167,IF(Tabell2[[#This Row],[Bruttoinntekt17+]]&gt;K$168,K$168,Tabell2[[#This Row],[Bruttoinntekt17+]]))</f>
        <v>294270</v>
      </c>
      <c r="U128" s="60">
        <f>IF(Tabell2[[#This Row],[NIBR11-BA-Utrunk]]&lt;=L$170,100,IF(Tabell2[[#This Row],[NIBR11-BA-Utrunk]]&gt;=L$169,0,100-Tabell2[[#This Row],[NIBR11-BA-Utrunk]]*100/L$171))</f>
        <v>0</v>
      </c>
      <c r="V128" s="60">
        <f>(M$169-Tabell2[[#This Row],[Reisetid Oslo-T]])*100/M$171</f>
        <v>0</v>
      </c>
      <c r="W128" s="60">
        <f>100-(N$169-Tabell2[[#This Row],[beftettotal-T]])*100/N$171</f>
        <v>0.77160086752844848</v>
      </c>
      <c r="X128" s="60">
        <f>100-(O$169-Tabell2[[#This Row],[Befvekst10-T]])*100/O$171</f>
        <v>0</v>
      </c>
      <c r="Y128" s="60">
        <f>100-(P$169-Tabell2[[#This Row],[Kvinneandel-T]])*100/P$171</f>
        <v>0.16089491496997255</v>
      </c>
      <c r="Z128" s="60">
        <f>(Q$169-Tabell2[[#This Row],[Eldreandel-T]])*100/Q$171</f>
        <v>20.247417035547006</v>
      </c>
      <c r="AA128" s="60">
        <f>100-(R$169-Tabell2[[#This Row],[Syssvekst10-T]])*100/R$171</f>
        <v>26.586317371040039</v>
      </c>
      <c r="AB128" s="60">
        <f>100-(S$169-Tabell2[[#This Row],[Yrkesaktiveandel-T]])*100/S$171</f>
        <v>0</v>
      </c>
      <c r="AC128" s="60">
        <f>100-(T$169-Tabell2[[#This Row],[Bruttoinntekt17+-T]])*100/T$171</f>
        <v>0</v>
      </c>
      <c r="AD128" s="60">
        <f>Tabell2[[#This Row],[NIBR11-BA-I]]*$AD$2</f>
        <v>0</v>
      </c>
      <c r="AE128" s="60">
        <f>Tabell2[[#This Row],[Reisetid Oslo-I]]*$AE$2</f>
        <v>0</v>
      </c>
      <c r="AF128" s="60">
        <f>Tabell2[[#This Row],[beftettotal-I]]*$AF$2</f>
        <v>7.7160086752844859E-2</v>
      </c>
      <c r="AG128" s="60">
        <f>Tabell2[[#This Row],[Befvekst10-I]]*$AG$2</f>
        <v>0</v>
      </c>
      <c r="AH128" s="60">
        <f>Tabell2[[#This Row],[Kvinneandel-I]]*$AH$2</f>
        <v>8.0447457484986284E-3</v>
      </c>
      <c r="AI128" s="60">
        <f>Tabell2[[#This Row],[Eldreandel-I]]*$AI$2</f>
        <v>1.0123708517773504</v>
      </c>
      <c r="AJ128" s="60">
        <f>Tabell2[[#This Row],[Syssvekst10-I]]*$AJ$2</f>
        <v>2.6586317371040042</v>
      </c>
      <c r="AK128" s="60">
        <f>Tabell2[[#This Row],[Yrkesaktiveandel-I]]*$AK$2</f>
        <v>0</v>
      </c>
      <c r="AL128" s="60">
        <f>Tabell2[[#This Row],[Bruttoinntekt17+-I]]*$AL$2</f>
        <v>0</v>
      </c>
      <c r="AM128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3.7562074213826984</v>
      </c>
    </row>
    <row r="129" spans="1:39">
      <c r="A129" s="63">
        <v>124</v>
      </c>
      <c r="B129" s="8" t="s">
        <v>179</v>
      </c>
      <c r="C129" s="45">
        <f>Råark!L126</f>
        <v>11</v>
      </c>
      <c r="D129" s="80">
        <f>Råark!K126</f>
        <v>258.49374085709997</v>
      </c>
      <c r="E129" s="80">
        <f>Råark!N126</f>
        <v>4.1543535871575372</v>
      </c>
      <c r="F129" s="80">
        <f>Råark!O126</f>
        <v>-7.5911789652247652E-2</v>
      </c>
      <c r="G129" s="80">
        <f>Råark!P126</f>
        <v>9.1785222579164757E-2</v>
      </c>
      <c r="H129" s="80">
        <f>Råark!Q126</f>
        <v>0.21798990362551629</v>
      </c>
      <c r="I129" s="80">
        <f>Råark!R126</f>
        <v>-4.0609137055837019E-3</v>
      </c>
      <c r="J129" s="80">
        <f>Råark!S126</f>
        <v>0.84556962025316451</v>
      </c>
      <c r="K129" s="80">
        <f>Råark!M126</f>
        <v>314600</v>
      </c>
      <c r="L129" s="59">
        <f>Tabell2[[#This Row],[NIBR11BA]]</f>
        <v>11</v>
      </c>
      <c r="M129" s="80">
        <f>IF(Tabell2[[#This Row],[Reisetid Oslo]]&lt;D$167,D$167,IF(Tabell2[[#This Row],[Reisetid Oslo]]&gt;D$168,D$168,Tabell2[[#This Row],[Reisetid Oslo]]))</f>
        <v>258.49374085709997</v>
      </c>
      <c r="N129" s="80">
        <f>IF(Tabell2[[#This Row],[beftettotal]]&lt;E$167,E$167,IF(Tabell2[[#This Row],[beftettotal]]&gt;E$168,E$168,Tabell2[[#This Row],[beftettotal]]))</f>
        <v>4.1543535871575372</v>
      </c>
      <c r="O129" s="80">
        <f>IF(Tabell2[[#This Row],[Befvekst10]]&lt;F$167,F$167,IF(Tabell2[[#This Row],[Befvekst10]]&gt;F$168,F$168,Tabell2[[#This Row],[Befvekst10]]))</f>
        <v>-7.5911789652247652E-2</v>
      </c>
      <c r="P129" s="80">
        <f>IF(Tabell2[[#This Row],[Kvinneandel]]&lt;G$167,G$167,IF(Tabell2[[#This Row],[Kvinneandel]]&gt;G$168,G$168,Tabell2[[#This Row],[Kvinneandel]]))</f>
        <v>9.1785222579164757E-2</v>
      </c>
      <c r="Q129" s="80">
        <f>IF(Tabell2[[#This Row],[Eldreandel]]&lt;H$167,H$167,IF(Tabell2[[#This Row],[Eldreandel]]&gt;H$168,H$168,Tabell2[[#This Row],[Eldreandel]]))</f>
        <v>0.20387114745465851</v>
      </c>
      <c r="R129" s="80">
        <f>IF(Tabell2[[#This Row],[Syssvekst10]]&lt;I$167,I$167,IF(Tabell2[[#This Row],[Syssvekst10]]&gt;I$168,I$168,Tabell2[[#This Row],[Syssvekst10]]))</f>
        <v>-4.0609137055837019E-3</v>
      </c>
      <c r="S129" s="80">
        <f>IF(Tabell2[[#This Row],[Yrkesaktiveandel]]&lt;J$167,J$167,IF(Tabell2[[#This Row],[Yrkesaktiveandel]]&gt;J$168,J$168,Tabell2[[#This Row],[Yrkesaktiveandel]]))</f>
        <v>0.84556962025316451</v>
      </c>
      <c r="T129" s="80">
        <f>IF(Tabell2[[#This Row],[Bruttoinntekt17+]]&lt;K$167,K$167,IF(Tabell2[[#This Row],[Bruttoinntekt17+]]&gt;K$168,K$168,Tabell2[[#This Row],[Bruttoinntekt17+]]))</f>
        <v>314600</v>
      </c>
      <c r="U129" s="60">
        <f>IF(Tabell2[[#This Row],[NIBR11-BA-Utrunk]]&lt;=L$170,100,IF(Tabell2[[#This Row],[NIBR11-BA-Utrunk]]&gt;=L$169,0,100-Tabell2[[#This Row],[NIBR11-BA-Utrunk]]*100/L$171))</f>
        <v>0</v>
      </c>
      <c r="V129" s="60">
        <f>(M$169-Tabell2[[#This Row],[Reisetid Oslo-T]])*100/M$171</f>
        <v>32.029008410964238</v>
      </c>
      <c r="W129" s="60">
        <f>100-(N$169-Tabell2[[#This Row],[beftettotal-T]])*100/N$171</f>
        <v>7.3238386129888369</v>
      </c>
      <c r="X129" s="60">
        <f>100-(O$169-Tabell2[[#This Row],[Befvekst10-T]])*100/O$171</f>
        <v>22.216943704145081</v>
      </c>
      <c r="Y129" s="60">
        <f>100-(P$169-Tabell2[[#This Row],[Kvinneandel-T]])*100/P$171</f>
        <v>1.0280980779019586</v>
      </c>
      <c r="Z129" s="60">
        <f>(Q$169-Tabell2[[#This Row],[Eldreandel-T]])*100/Q$171</f>
        <v>0</v>
      </c>
      <c r="AA129" s="60">
        <f>100-(R$169-Tabell2[[#This Row],[Syssvekst10-T]])*100/R$171</f>
        <v>36.738906952255412</v>
      </c>
      <c r="AB129" s="60">
        <f>100-(S$169-Tabell2[[#This Row],[Yrkesaktiveandel-T]])*100/S$171</f>
        <v>14.38644989375274</v>
      </c>
      <c r="AC129" s="60">
        <f>100-(T$169-Tabell2[[#This Row],[Bruttoinntekt17+-T]])*100/T$171</f>
        <v>34.05201844942026</v>
      </c>
      <c r="AD129" s="60">
        <f>Tabell2[[#This Row],[NIBR11-BA-I]]*$AD$2</f>
        <v>0</v>
      </c>
      <c r="AE129" s="60">
        <f>Tabell2[[#This Row],[Reisetid Oslo-I]]*$AE$2</f>
        <v>3.2029008410964241</v>
      </c>
      <c r="AF129" s="60">
        <f>Tabell2[[#This Row],[beftettotal-I]]*$AF$2</f>
        <v>0.73238386129888378</v>
      </c>
      <c r="AG129" s="60">
        <f>Tabell2[[#This Row],[Befvekst10-I]]*$AG$2</f>
        <v>4.4433887408290165</v>
      </c>
      <c r="AH129" s="60">
        <f>Tabell2[[#This Row],[Kvinneandel-I]]*$AH$2</f>
        <v>5.1404903895097935E-2</v>
      </c>
      <c r="AI129" s="60">
        <f>Tabell2[[#This Row],[Eldreandel-I]]*$AI$2</f>
        <v>0</v>
      </c>
      <c r="AJ129" s="60">
        <f>Tabell2[[#This Row],[Syssvekst10-I]]*$AJ$2</f>
        <v>3.6738906952255412</v>
      </c>
      <c r="AK129" s="60">
        <f>Tabell2[[#This Row],[Yrkesaktiveandel-I]]*$AK$2</f>
        <v>1.4386449893752742</v>
      </c>
      <c r="AL129" s="60">
        <f>Tabell2[[#This Row],[Bruttoinntekt17+-I]]*$AL$2</f>
        <v>3.405201844942026</v>
      </c>
      <c r="AM129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16.947815876662265</v>
      </c>
    </row>
    <row r="130" spans="1:39">
      <c r="A130" s="64">
        <v>125</v>
      </c>
      <c r="B130" s="8" t="s">
        <v>180</v>
      </c>
      <c r="C130" s="45">
        <f>Råark!L127</f>
        <v>11</v>
      </c>
      <c r="D130" s="80">
        <f>Råark!K127</f>
        <v>241.53038907685001</v>
      </c>
      <c r="E130" s="80">
        <f>Råark!N127</f>
        <v>56.883365200764814</v>
      </c>
      <c r="F130" s="80">
        <f>Råark!O127</f>
        <v>-8.3204930662557741E-2</v>
      </c>
      <c r="G130" s="80">
        <f>Råark!P127</f>
        <v>0.11764705882352941</v>
      </c>
      <c r="H130" s="80">
        <f>Råark!Q127</f>
        <v>0.14621848739495799</v>
      </c>
      <c r="I130" s="80">
        <f>Råark!R127</f>
        <v>-6.4516129032258118E-2</v>
      </c>
      <c r="J130" s="80">
        <f>Råark!S127</f>
        <v>0.87068965517241381</v>
      </c>
      <c r="K130" s="80">
        <f>Råark!M127</f>
        <v>313900</v>
      </c>
      <c r="L130" s="59">
        <f>Tabell2[[#This Row],[NIBR11BA]]</f>
        <v>11</v>
      </c>
      <c r="M130" s="80">
        <f>IF(Tabell2[[#This Row],[Reisetid Oslo]]&lt;D$167,D$167,IF(Tabell2[[#This Row],[Reisetid Oslo]]&gt;D$168,D$168,Tabell2[[#This Row],[Reisetid Oslo]]))</f>
        <v>241.53038907685001</v>
      </c>
      <c r="N130" s="80">
        <f>IF(Tabell2[[#This Row],[beftettotal]]&lt;E$167,E$167,IF(Tabell2[[#This Row],[beftettotal]]&gt;E$168,E$168,Tabell2[[#This Row],[beftettotal]]))</f>
        <v>44.017170258769376</v>
      </c>
      <c r="O130" s="80">
        <f>IF(Tabell2[[#This Row],[Befvekst10]]&lt;F$167,F$167,IF(Tabell2[[#This Row],[Befvekst10]]&gt;F$168,F$168,Tabell2[[#This Row],[Befvekst10]]))</f>
        <v>-8.3204930662557741E-2</v>
      </c>
      <c r="P130" s="80">
        <f>IF(Tabell2[[#This Row],[Kvinneandel]]&lt;G$167,G$167,IF(Tabell2[[#This Row],[Kvinneandel]]&gt;G$168,G$168,Tabell2[[#This Row],[Kvinneandel]]))</f>
        <v>0.11764705882352941</v>
      </c>
      <c r="Q130" s="80">
        <f>IF(Tabell2[[#This Row],[Eldreandel]]&lt;H$167,H$167,IF(Tabell2[[#This Row],[Eldreandel]]&gt;H$168,H$168,Tabell2[[#This Row],[Eldreandel]]))</f>
        <v>0.14621848739495799</v>
      </c>
      <c r="R130" s="80">
        <f>IF(Tabell2[[#This Row],[Syssvekst10]]&lt;I$167,I$167,IF(Tabell2[[#This Row],[Syssvekst10]]&gt;I$168,I$168,Tabell2[[#This Row],[Syssvekst10]]))</f>
        <v>-6.4516129032258118E-2</v>
      </c>
      <c r="S130" s="80">
        <f>IF(Tabell2[[#This Row],[Yrkesaktiveandel]]&lt;J$167,J$167,IF(Tabell2[[#This Row],[Yrkesaktiveandel]]&gt;J$168,J$168,Tabell2[[#This Row],[Yrkesaktiveandel]]))</f>
        <v>0.87068965517241381</v>
      </c>
      <c r="T130" s="80">
        <f>IF(Tabell2[[#This Row],[Bruttoinntekt17+]]&lt;K$167,K$167,IF(Tabell2[[#This Row],[Bruttoinntekt17+]]&gt;K$168,K$168,Tabell2[[#This Row],[Bruttoinntekt17+]]))</f>
        <v>313900</v>
      </c>
      <c r="U130" s="60">
        <f>IF(Tabell2[[#This Row],[NIBR11-BA-Utrunk]]&lt;=L$170,100,IF(Tabell2[[#This Row],[NIBR11-BA-Utrunk]]&gt;=L$169,0,100-Tabell2[[#This Row],[NIBR11-BA-Utrunk]]*100/L$171))</f>
        <v>0</v>
      </c>
      <c r="V130" s="60">
        <f>(M$169-Tabell2[[#This Row],[Reisetid Oslo-T]])*100/M$171</f>
        <v>41.137209520273608</v>
      </c>
      <c r="W130" s="60">
        <f>100-(N$169-Tabell2[[#This Row],[beftettotal-T]])*100/N$171</f>
        <v>100</v>
      </c>
      <c r="X130" s="60">
        <f>100-(O$169-Tabell2[[#This Row],[Befvekst10-T]])*100/O$171</f>
        <v>18.94626583790631</v>
      </c>
      <c r="Y130" s="60">
        <f>100-(P$169-Tabell2[[#This Row],[Kvinneandel-T]])*100/P$171</f>
        <v>83.503198948516939</v>
      </c>
      <c r="Z130" s="60">
        <f>(Q$169-Tabell2[[#This Row],[Eldreandel-T]])*100/Q$171</f>
        <v>76.692048354627616</v>
      </c>
      <c r="AA130" s="60">
        <f>100-(R$169-Tabell2[[#This Row],[Syssvekst10-T]])*100/R$171</f>
        <v>13.923944749826362</v>
      </c>
      <c r="AB130" s="60">
        <f>100-(S$169-Tabell2[[#This Row],[Yrkesaktiveandel-T]])*100/S$171</f>
        <v>33.375089995404267</v>
      </c>
      <c r="AC130" s="60">
        <f>100-(T$169-Tabell2[[#This Row],[Bruttoinntekt17+-T]])*100/T$171</f>
        <v>32.879543638077692</v>
      </c>
      <c r="AD130" s="60">
        <f>Tabell2[[#This Row],[NIBR11-BA-I]]*$AD$2</f>
        <v>0</v>
      </c>
      <c r="AE130" s="60">
        <f>Tabell2[[#This Row],[Reisetid Oslo-I]]*$AE$2</f>
        <v>4.1137209520273608</v>
      </c>
      <c r="AF130" s="60">
        <f>Tabell2[[#This Row],[beftettotal-I]]*$AF$2</f>
        <v>10</v>
      </c>
      <c r="AG130" s="60">
        <f>Tabell2[[#This Row],[Befvekst10-I]]*$AG$2</f>
        <v>3.7892531675812622</v>
      </c>
      <c r="AH130" s="60">
        <f>Tabell2[[#This Row],[Kvinneandel-I]]*$AH$2</f>
        <v>4.175159947425847</v>
      </c>
      <c r="AI130" s="60">
        <f>Tabell2[[#This Row],[Eldreandel-I]]*$AI$2</f>
        <v>3.8346024177313809</v>
      </c>
      <c r="AJ130" s="60">
        <f>Tabell2[[#This Row],[Syssvekst10-I]]*$AJ$2</f>
        <v>1.3923944749826362</v>
      </c>
      <c r="AK130" s="60">
        <f>Tabell2[[#This Row],[Yrkesaktiveandel-I]]*$AK$2</f>
        <v>3.337508999540427</v>
      </c>
      <c r="AL130" s="60">
        <f>Tabell2[[#This Row],[Bruttoinntekt17+-I]]*$AL$2</f>
        <v>3.2879543638077693</v>
      </c>
      <c r="AM130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33.930594323096685</v>
      </c>
    </row>
    <row r="131" spans="1:39">
      <c r="A131" s="63">
        <v>126</v>
      </c>
      <c r="B131" s="8" t="s">
        <v>181</v>
      </c>
      <c r="C131" s="45">
        <f>Råark!L128</f>
        <v>11</v>
      </c>
      <c r="D131" s="80">
        <f>Råark!K128</f>
        <v>248.39309006892</v>
      </c>
      <c r="E131" s="80">
        <f>Råark!N128</f>
        <v>40.528872099298439</v>
      </c>
      <c r="F131" s="80">
        <f>Råark!O128</f>
        <v>-2.4675324675324628E-2</v>
      </c>
      <c r="G131" s="80">
        <f>Råark!P128</f>
        <v>0.118508655126498</v>
      </c>
      <c r="H131" s="80">
        <f>Råark!Q128</f>
        <v>0.16910785619174434</v>
      </c>
      <c r="I131" s="80">
        <f>Råark!R128</f>
        <v>-3.8659793814432963E-2</v>
      </c>
      <c r="J131" s="80">
        <f>Råark!S128</f>
        <v>0.88317757009345799</v>
      </c>
      <c r="K131" s="80">
        <f>Råark!M128</f>
        <v>325000</v>
      </c>
      <c r="L131" s="59">
        <f>Tabell2[[#This Row],[NIBR11BA]]</f>
        <v>11</v>
      </c>
      <c r="M131" s="80">
        <f>IF(Tabell2[[#This Row],[Reisetid Oslo]]&lt;D$167,D$167,IF(Tabell2[[#This Row],[Reisetid Oslo]]&gt;D$168,D$168,Tabell2[[#This Row],[Reisetid Oslo]]))</f>
        <v>248.39309006892</v>
      </c>
      <c r="N131" s="80">
        <f>IF(Tabell2[[#This Row],[beftettotal]]&lt;E$167,E$167,IF(Tabell2[[#This Row],[beftettotal]]&gt;E$168,E$168,Tabell2[[#This Row],[beftettotal]]))</f>
        <v>40.528872099298439</v>
      </c>
      <c r="O131" s="80">
        <f>IF(Tabell2[[#This Row],[Befvekst10]]&lt;F$167,F$167,IF(Tabell2[[#This Row],[Befvekst10]]&gt;F$168,F$168,Tabell2[[#This Row],[Befvekst10]]))</f>
        <v>-2.4675324675324628E-2</v>
      </c>
      <c r="P131" s="80">
        <f>IF(Tabell2[[#This Row],[Kvinneandel]]&lt;G$167,G$167,IF(Tabell2[[#This Row],[Kvinneandel]]&gt;G$168,G$168,Tabell2[[#This Row],[Kvinneandel]]))</f>
        <v>0.118508655126498</v>
      </c>
      <c r="Q131" s="80">
        <f>IF(Tabell2[[#This Row],[Eldreandel]]&lt;H$167,H$167,IF(Tabell2[[#This Row],[Eldreandel]]&gt;H$168,H$168,Tabell2[[#This Row],[Eldreandel]]))</f>
        <v>0.16910785619174434</v>
      </c>
      <c r="R131" s="80">
        <f>IF(Tabell2[[#This Row],[Syssvekst10]]&lt;I$167,I$167,IF(Tabell2[[#This Row],[Syssvekst10]]&gt;I$168,I$168,Tabell2[[#This Row],[Syssvekst10]]))</f>
        <v>-3.8659793814432963E-2</v>
      </c>
      <c r="S131" s="80">
        <f>IF(Tabell2[[#This Row],[Yrkesaktiveandel]]&lt;J$167,J$167,IF(Tabell2[[#This Row],[Yrkesaktiveandel]]&gt;J$168,J$168,Tabell2[[#This Row],[Yrkesaktiveandel]]))</f>
        <v>0.88317757009345799</v>
      </c>
      <c r="T131" s="80">
        <f>IF(Tabell2[[#This Row],[Bruttoinntekt17+]]&lt;K$167,K$167,IF(Tabell2[[#This Row],[Bruttoinntekt17+]]&gt;K$168,K$168,Tabell2[[#This Row],[Bruttoinntekt17+]]))</f>
        <v>325000</v>
      </c>
      <c r="U131" s="60">
        <f>IF(Tabell2[[#This Row],[NIBR11-BA-Utrunk]]&lt;=L$170,100,IF(Tabell2[[#This Row],[NIBR11-BA-Utrunk]]&gt;=L$169,0,100-Tabell2[[#This Row],[NIBR11-BA-Utrunk]]*100/L$171))</f>
        <v>0</v>
      </c>
      <c r="V131" s="60">
        <f>(M$169-Tabell2[[#This Row],[Reisetid Oslo-T]])*100/M$171</f>
        <v>37.45239170840663</v>
      </c>
      <c r="W131" s="60">
        <f>100-(N$169-Tabell2[[#This Row],[beftettotal-T]])*100/N$171</f>
        <v>91.890134461487605</v>
      </c>
      <c r="X131" s="60">
        <f>100-(O$169-Tabell2[[#This Row],[Befvekst10-T]])*100/O$171</f>
        <v>45.194419623977211</v>
      </c>
      <c r="Y131" s="60">
        <f>100-(P$169-Tabell2[[#This Row],[Kvinneandel-T]])*100/P$171</f>
        <v>86.250886364276809</v>
      </c>
      <c r="Z131" s="60">
        <f>(Q$169-Tabell2[[#This Row],[Eldreandel-T]])*100/Q$171</f>
        <v>46.243625389368823</v>
      </c>
      <c r="AA131" s="60">
        <f>100-(R$169-Tabell2[[#This Row],[Syssvekst10-T]])*100/R$171</f>
        <v>23.681768082360776</v>
      </c>
      <c r="AB131" s="60">
        <f>100-(S$169-Tabell2[[#This Row],[Yrkesaktiveandel-T]])*100/S$171</f>
        <v>42.81490657281045</v>
      </c>
      <c r="AC131" s="60">
        <f>100-(T$169-Tabell2[[#This Row],[Bruttoinntekt17+-T]])*100/T$171</f>
        <v>51.471644217938234</v>
      </c>
      <c r="AD131" s="60">
        <f>Tabell2[[#This Row],[NIBR11-BA-I]]*$AD$2</f>
        <v>0</v>
      </c>
      <c r="AE131" s="60">
        <f>Tabell2[[#This Row],[Reisetid Oslo-I]]*$AE$2</f>
        <v>3.7452391708406632</v>
      </c>
      <c r="AF131" s="60">
        <f>Tabell2[[#This Row],[beftettotal-I]]*$AF$2</f>
        <v>9.1890134461487616</v>
      </c>
      <c r="AG131" s="60">
        <f>Tabell2[[#This Row],[Befvekst10-I]]*$AG$2</f>
        <v>9.0388839247954422</v>
      </c>
      <c r="AH131" s="60">
        <f>Tabell2[[#This Row],[Kvinneandel-I]]*$AH$2</f>
        <v>4.312544318213841</v>
      </c>
      <c r="AI131" s="60">
        <f>Tabell2[[#This Row],[Eldreandel-I]]*$AI$2</f>
        <v>2.3121812694684412</v>
      </c>
      <c r="AJ131" s="60">
        <f>Tabell2[[#This Row],[Syssvekst10-I]]*$AJ$2</f>
        <v>2.3681768082360777</v>
      </c>
      <c r="AK131" s="60">
        <f>Tabell2[[#This Row],[Yrkesaktiveandel-I]]*$AK$2</f>
        <v>4.2814906572810454</v>
      </c>
      <c r="AL131" s="60">
        <f>Tabell2[[#This Row],[Bruttoinntekt17+-I]]*$AL$2</f>
        <v>5.1471644217938239</v>
      </c>
      <c r="AM131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40.394694016778104</v>
      </c>
    </row>
    <row r="132" spans="1:39">
      <c r="A132" s="64">
        <v>127</v>
      </c>
      <c r="B132" s="8" t="s">
        <v>182</v>
      </c>
      <c r="C132" s="45">
        <f>Råark!L129</f>
        <v>9</v>
      </c>
      <c r="D132" s="80">
        <f>Råark!K129</f>
        <v>244.45159144428914</v>
      </c>
      <c r="E132" s="80">
        <f>Råark!N129</f>
        <v>20.334164588528679</v>
      </c>
      <c r="F132" s="80">
        <f>Råark!O129</f>
        <v>1.8840104849278116E-3</v>
      </c>
      <c r="G132" s="80">
        <f>Råark!P129</f>
        <v>0.10530618919139891</v>
      </c>
      <c r="H132" s="80">
        <f>Råark!Q129</f>
        <v>0.15926743520562506</v>
      </c>
      <c r="I132" s="80">
        <f>Råark!R129</f>
        <v>0.13993241900218645</v>
      </c>
      <c r="J132" s="80">
        <f>Råark!S129</f>
        <v>0.88930329703118005</v>
      </c>
      <c r="K132" s="80">
        <f>Råark!M129</f>
        <v>309136.90152623877</v>
      </c>
      <c r="L132" s="59">
        <f>Tabell2[[#This Row],[NIBR11BA]]</f>
        <v>9</v>
      </c>
      <c r="M132" s="80">
        <f>IF(Tabell2[[#This Row],[Reisetid Oslo]]&lt;D$167,D$167,IF(Tabell2[[#This Row],[Reisetid Oslo]]&gt;D$168,D$168,Tabell2[[#This Row],[Reisetid Oslo]]))</f>
        <v>244.45159144428914</v>
      </c>
      <c r="N132" s="80">
        <f>IF(Tabell2[[#This Row],[beftettotal]]&lt;E$167,E$167,IF(Tabell2[[#This Row],[beftettotal]]&gt;E$168,E$168,Tabell2[[#This Row],[beftettotal]]))</f>
        <v>20.334164588528679</v>
      </c>
      <c r="O132" s="80">
        <f>IF(Tabell2[[#This Row],[Befvekst10]]&lt;F$167,F$167,IF(Tabell2[[#This Row],[Befvekst10]]&gt;F$168,F$168,Tabell2[[#This Row],[Befvekst10]]))</f>
        <v>1.8840104849278116E-3</v>
      </c>
      <c r="P132" s="80">
        <f>IF(Tabell2[[#This Row],[Kvinneandel]]&lt;G$167,G$167,IF(Tabell2[[#This Row],[Kvinneandel]]&gt;G$168,G$168,Tabell2[[#This Row],[Kvinneandel]]))</f>
        <v>0.10530618919139891</v>
      </c>
      <c r="Q132" s="80">
        <f>IF(Tabell2[[#This Row],[Eldreandel]]&lt;H$167,H$167,IF(Tabell2[[#This Row],[Eldreandel]]&gt;H$168,H$168,Tabell2[[#This Row],[Eldreandel]]))</f>
        <v>0.15926743520562506</v>
      </c>
      <c r="R132" s="80">
        <f>IF(Tabell2[[#This Row],[Syssvekst10]]&lt;I$167,I$167,IF(Tabell2[[#This Row],[Syssvekst10]]&gt;I$168,I$168,Tabell2[[#This Row],[Syssvekst10]]))</f>
        <v>0.13993241900218645</v>
      </c>
      <c r="S132" s="80">
        <f>IF(Tabell2[[#This Row],[Yrkesaktiveandel]]&lt;J$167,J$167,IF(Tabell2[[#This Row],[Yrkesaktiveandel]]&gt;J$168,J$168,Tabell2[[#This Row],[Yrkesaktiveandel]]))</f>
        <v>0.88930329703118005</v>
      </c>
      <c r="T132" s="80">
        <f>IF(Tabell2[[#This Row],[Bruttoinntekt17+]]&lt;K$167,K$167,IF(Tabell2[[#This Row],[Bruttoinntekt17+]]&gt;K$168,K$168,Tabell2[[#This Row],[Bruttoinntekt17+]]))</f>
        <v>309136.90152623877</v>
      </c>
      <c r="U132" s="60">
        <f>IF(Tabell2[[#This Row],[NIBR11-BA-Utrunk]]&lt;=L$170,100,IF(Tabell2[[#This Row],[NIBR11-BA-Utrunk]]&gt;=L$169,0,100-Tabell2[[#This Row],[NIBR11-BA-Utrunk]]*100/L$171))</f>
        <v>10</v>
      </c>
      <c r="V132" s="60">
        <f>(M$169-Tabell2[[#This Row],[Reisetid Oslo-T]])*100/M$171</f>
        <v>39.568716513213289</v>
      </c>
      <c r="W132" s="60">
        <f>100-(N$169-Tabell2[[#This Row],[beftettotal-T]])*100/N$171</f>
        <v>44.939915467945802</v>
      </c>
      <c r="X132" s="60">
        <f>100-(O$169-Tabell2[[#This Row],[Befvekst10-T]])*100/O$171</f>
        <v>57.105203952410413</v>
      </c>
      <c r="Y132" s="60">
        <f>100-(P$169-Tabell2[[#This Row],[Kvinneandel-T]])*100/P$171</f>
        <v>44.147352050257489</v>
      </c>
      <c r="Z132" s="60">
        <f>(Q$169-Tabell2[[#This Row],[Eldreandel-T]])*100/Q$171</f>
        <v>59.333776673210089</v>
      </c>
      <c r="AA132" s="60">
        <f>100-(R$169-Tabell2[[#This Row],[Syssvekst10-T]])*100/R$171</f>
        <v>91.079999368810718</v>
      </c>
      <c r="AB132" s="60">
        <f>100-(S$169-Tabell2[[#This Row],[Yrkesaktiveandel-T]])*100/S$171</f>
        <v>47.445442499823109</v>
      </c>
      <c r="AC132" s="60">
        <f>100-(T$169-Tabell2[[#This Row],[Bruttoinntekt17+-T]])*100/T$171</f>
        <v>24.901525088893095</v>
      </c>
      <c r="AD132" s="60">
        <f>Tabell2[[#This Row],[NIBR11-BA-I]]*$AD$2</f>
        <v>2</v>
      </c>
      <c r="AE132" s="60">
        <f>Tabell2[[#This Row],[Reisetid Oslo-I]]*$AE$2</f>
        <v>3.9568716513213289</v>
      </c>
      <c r="AF132" s="60">
        <f>Tabell2[[#This Row],[beftettotal-I]]*$AF$2</f>
        <v>4.4939915467945806</v>
      </c>
      <c r="AG132" s="60">
        <f>Tabell2[[#This Row],[Befvekst10-I]]*$AG$2</f>
        <v>11.421040790482083</v>
      </c>
      <c r="AH132" s="60">
        <f>Tabell2[[#This Row],[Kvinneandel-I]]*$AH$2</f>
        <v>2.2073676025128743</v>
      </c>
      <c r="AI132" s="60">
        <f>Tabell2[[#This Row],[Eldreandel-I]]*$AI$2</f>
        <v>2.9666888336605046</v>
      </c>
      <c r="AJ132" s="60">
        <f>Tabell2[[#This Row],[Syssvekst10-I]]*$AJ$2</f>
        <v>9.1079999368810718</v>
      </c>
      <c r="AK132" s="60">
        <f>Tabell2[[#This Row],[Yrkesaktiveandel-I]]*$AK$2</f>
        <v>4.7445442499823107</v>
      </c>
      <c r="AL132" s="60">
        <f>Tabell2[[#This Row],[Bruttoinntekt17+-I]]*$AL$2</f>
        <v>2.4901525088893095</v>
      </c>
      <c r="AM132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43.388657120524066</v>
      </c>
    </row>
    <row r="133" spans="1:39">
      <c r="A133" s="63">
        <v>128</v>
      </c>
      <c r="B133" s="8" t="s">
        <v>183</v>
      </c>
      <c r="C133" s="45">
        <f>Råark!L130</f>
        <v>7</v>
      </c>
      <c r="D133" s="80">
        <f>Råark!K130</f>
        <v>245.31326180873998</v>
      </c>
      <c r="E133" s="80">
        <f>Råark!N130</f>
        <v>19.019907475246487</v>
      </c>
      <c r="F133" s="80">
        <f>Råark!O130</f>
        <v>-8.7970090169342541E-4</v>
      </c>
      <c r="G133" s="80">
        <f>Råark!P130</f>
        <v>0.11336121505613031</v>
      </c>
      <c r="H133" s="80">
        <f>Råark!Q130</f>
        <v>0.15100154083204931</v>
      </c>
      <c r="I133" s="80">
        <f>Råark!R130</f>
        <v>7.1034317254619728E-2</v>
      </c>
      <c r="J133" s="80">
        <f>Råark!S130</f>
        <v>0.8695156695156695</v>
      </c>
      <c r="K133" s="80">
        <f>Råark!M130</f>
        <v>316700</v>
      </c>
      <c r="L133" s="59">
        <f>Tabell2[[#This Row],[NIBR11BA]]</f>
        <v>7</v>
      </c>
      <c r="M133" s="80">
        <f>IF(Tabell2[[#This Row],[Reisetid Oslo]]&lt;D$167,D$167,IF(Tabell2[[#This Row],[Reisetid Oslo]]&gt;D$168,D$168,Tabell2[[#This Row],[Reisetid Oslo]]))</f>
        <v>245.31326180873998</v>
      </c>
      <c r="N133" s="80">
        <f>IF(Tabell2[[#This Row],[beftettotal]]&lt;E$167,E$167,IF(Tabell2[[#This Row],[beftettotal]]&gt;E$168,E$168,Tabell2[[#This Row],[beftettotal]]))</f>
        <v>19.019907475246487</v>
      </c>
      <c r="O133" s="80">
        <f>IF(Tabell2[[#This Row],[Befvekst10]]&lt;F$167,F$167,IF(Tabell2[[#This Row],[Befvekst10]]&gt;F$168,F$168,Tabell2[[#This Row],[Befvekst10]]))</f>
        <v>-8.7970090169342541E-4</v>
      </c>
      <c r="P133" s="80">
        <f>IF(Tabell2[[#This Row],[Kvinneandel]]&lt;G$167,G$167,IF(Tabell2[[#This Row],[Kvinneandel]]&gt;G$168,G$168,Tabell2[[#This Row],[Kvinneandel]]))</f>
        <v>0.11336121505613031</v>
      </c>
      <c r="Q133" s="80">
        <f>IF(Tabell2[[#This Row],[Eldreandel]]&lt;H$167,H$167,IF(Tabell2[[#This Row],[Eldreandel]]&gt;H$168,H$168,Tabell2[[#This Row],[Eldreandel]]))</f>
        <v>0.15100154083204931</v>
      </c>
      <c r="R133" s="80">
        <f>IF(Tabell2[[#This Row],[Syssvekst10]]&lt;I$167,I$167,IF(Tabell2[[#This Row],[Syssvekst10]]&gt;I$168,I$168,Tabell2[[#This Row],[Syssvekst10]]))</f>
        <v>7.1034317254619728E-2</v>
      </c>
      <c r="S133" s="80">
        <f>IF(Tabell2[[#This Row],[Yrkesaktiveandel]]&lt;J$167,J$167,IF(Tabell2[[#This Row],[Yrkesaktiveandel]]&gt;J$168,J$168,Tabell2[[#This Row],[Yrkesaktiveandel]]))</f>
        <v>0.8695156695156695</v>
      </c>
      <c r="T133" s="80">
        <f>IF(Tabell2[[#This Row],[Bruttoinntekt17+]]&lt;K$167,K$167,IF(Tabell2[[#This Row],[Bruttoinntekt17+]]&gt;K$168,K$168,Tabell2[[#This Row],[Bruttoinntekt17+]]))</f>
        <v>316700</v>
      </c>
      <c r="U133" s="60">
        <f>IF(Tabell2[[#This Row],[NIBR11-BA-Utrunk]]&lt;=L$170,100,IF(Tabell2[[#This Row],[NIBR11-BA-Utrunk]]&gt;=L$169,0,100-Tabell2[[#This Row],[NIBR11-BA-Utrunk]]*100/L$171))</f>
        <v>30</v>
      </c>
      <c r="V133" s="60">
        <f>(M$169-Tabell2[[#This Row],[Reisetid Oslo-T]])*100/M$171</f>
        <v>39.106056357896129</v>
      </c>
      <c r="W133" s="60">
        <f>100-(N$169-Tabell2[[#This Row],[beftettotal-T]])*100/N$171</f>
        <v>41.884428813855266</v>
      </c>
      <c r="X133" s="60">
        <f>100-(O$169-Tabell2[[#This Row],[Befvekst10-T]])*100/O$171</f>
        <v>55.865791517066612</v>
      </c>
      <c r="Y133" s="60">
        <f>100-(P$169-Tabell2[[#This Row],[Kvinneandel-T]])*100/P$171</f>
        <v>69.835360605871784</v>
      </c>
      <c r="Z133" s="60">
        <f>(Q$169-Tabell2[[#This Row],[Eldreandel-T]])*100/Q$171</f>
        <v>70.329424928400229</v>
      </c>
      <c r="AA133" s="60">
        <f>100-(R$169-Tabell2[[#This Row],[Syssvekst10-T]])*100/R$171</f>
        <v>65.078808591539953</v>
      </c>
      <c r="AB133" s="60">
        <f>100-(S$169-Tabell2[[#This Row],[Yrkesaktiveandel-T]])*100/S$171</f>
        <v>32.48765527677908</v>
      </c>
      <c r="AC133" s="60">
        <f>100-(T$169-Tabell2[[#This Row],[Bruttoinntekt17+-T]])*100/T$171</f>
        <v>37.56944288344792</v>
      </c>
      <c r="AD133" s="60">
        <f>Tabell2[[#This Row],[NIBR11-BA-I]]*$AD$2</f>
        <v>6</v>
      </c>
      <c r="AE133" s="60">
        <f>Tabell2[[#This Row],[Reisetid Oslo-I]]*$AE$2</f>
        <v>3.9106056357896133</v>
      </c>
      <c r="AF133" s="60">
        <f>Tabell2[[#This Row],[beftettotal-I]]*$AF$2</f>
        <v>4.1884428813855266</v>
      </c>
      <c r="AG133" s="60">
        <f>Tabell2[[#This Row],[Befvekst10-I]]*$AG$2</f>
        <v>11.173158303413324</v>
      </c>
      <c r="AH133" s="60">
        <f>Tabell2[[#This Row],[Kvinneandel-I]]*$AH$2</f>
        <v>3.4917680302935894</v>
      </c>
      <c r="AI133" s="60">
        <f>Tabell2[[#This Row],[Eldreandel-I]]*$AI$2</f>
        <v>3.5164712464200116</v>
      </c>
      <c r="AJ133" s="60">
        <f>Tabell2[[#This Row],[Syssvekst10-I]]*$AJ$2</f>
        <v>6.5078808591539961</v>
      </c>
      <c r="AK133" s="60">
        <f>Tabell2[[#This Row],[Yrkesaktiveandel-I]]*$AK$2</f>
        <v>3.2487655276779082</v>
      </c>
      <c r="AL133" s="60">
        <f>Tabell2[[#This Row],[Bruttoinntekt17+-I]]*$AL$2</f>
        <v>3.7569442883447923</v>
      </c>
      <c r="AM133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45.794036772478762</v>
      </c>
    </row>
    <row r="134" spans="1:39">
      <c r="A134" s="64">
        <v>129</v>
      </c>
      <c r="B134" s="8" t="s">
        <v>184</v>
      </c>
      <c r="C134" s="45">
        <f>Råark!L131</f>
        <v>8</v>
      </c>
      <c r="D134" s="80">
        <f>Råark!K131</f>
        <v>273.49632521846485</v>
      </c>
      <c r="E134" s="80">
        <f>Råark!N131</f>
        <v>13.533603570581514</v>
      </c>
      <c r="F134" s="80">
        <f>Råark!O131</f>
        <v>-1.0951349221981488E-2</v>
      </c>
      <c r="G134" s="80">
        <f>Råark!P131</f>
        <v>0.10781853666308201</v>
      </c>
      <c r="H134" s="80">
        <f>Råark!Q131</f>
        <v>0.15740630103158482</v>
      </c>
      <c r="I134" s="80">
        <f>Råark!R131</f>
        <v>2.5277970813064599E-2</v>
      </c>
      <c r="J134" s="80">
        <f>Råark!S131</f>
        <v>0.86551894447188316</v>
      </c>
      <c r="K134" s="80">
        <f>Råark!M131</f>
        <v>317554.71849731304</v>
      </c>
      <c r="L134" s="59">
        <f>Tabell2[[#This Row],[NIBR11BA]]</f>
        <v>8</v>
      </c>
      <c r="M134" s="80">
        <f>IF(Tabell2[[#This Row],[Reisetid Oslo]]&lt;D$167,D$167,IF(Tabell2[[#This Row],[Reisetid Oslo]]&gt;D$168,D$168,Tabell2[[#This Row],[Reisetid Oslo]]))</f>
        <v>273.49632521846485</v>
      </c>
      <c r="N134" s="80">
        <f>IF(Tabell2[[#This Row],[beftettotal]]&lt;E$167,E$167,IF(Tabell2[[#This Row],[beftettotal]]&gt;E$168,E$168,Tabell2[[#This Row],[beftettotal]]))</f>
        <v>13.533603570581514</v>
      </c>
      <c r="O134" s="80">
        <f>IF(Tabell2[[#This Row],[Befvekst10]]&lt;F$167,F$167,IF(Tabell2[[#This Row],[Befvekst10]]&gt;F$168,F$168,Tabell2[[#This Row],[Befvekst10]]))</f>
        <v>-1.0951349221981488E-2</v>
      </c>
      <c r="P134" s="80">
        <f>IF(Tabell2[[#This Row],[Kvinneandel]]&lt;G$167,G$167,IF(Tabell2[[#This Row],[Kvinneandel]]&gt;G$168,G$168,Tabell2[[#This Row],[Kvinneandel]]))</f>
        <v>0.10781853666308201</v>
      </c>
      <c r="Q134" s="80">
        <f>IF(Tabell2[[#This Row],[Eldreandel]]&lt;H$167,H$167,IF(Tabell2[[#This Row],[Eldreandel]]&gt;H$168,H$168,Tabell2[[#This Row],[Eldreandel]]))</f>
        <v>0.15740630103158482</v>
      </c>
      <c r="R134" s="80">
        <f>IF(Tabell2[[#This Row],[Syssvekst10]]&lt;I$167,I$167,IF(Tabell2[[#This Row],[Syssvekst10]]&gt;I$168,I$168,Tabell2[[#This Row],[Syssvekst10]]))</f>
        <v>2.5277970813064599E-2</v>
      </c>
      <c r="S134" s="80">
        <f>IF(Tabell2[[#This Row],[Yrkesaktiveandel]]&lt;J$167,J$167,IF(Tabell2[[#This Row],[Yrkesaktiveandel]]&gt;J$168,J$168,Tabell2[[#This Row],[Yrkesaktiveandel]]))</f>
        <v>0.86551894447188316</v>
      </c>
      <c r="T134" s="80">
        <f>IF(Tabell2[[#This Row],[Bruttoinntekt17+]]&lt;K$167,K$167,IF(Tabell2[[#This Row],[Bruttoinntekt17+]]&gt;K$168,K$168,Tabell2[[#This Row],[Bruttoinntekt17+]]))</f>
        <v>317554.71849731304</v>
      </c>
      <c r="U134" s="60">
        <f>IF(Tabell2[[#This Row],[NIBR11-BA-Utrunk]]&lt;=L$170,100,IF(Tabell2[[#This Row],[NIBR11-BA-Utrunk]]&gt;=L$169,0,100-Tabell2[[#This Row],[NIBR11-BA-Utrunk]]*100/L$171))</f>
        <v>20</v>
      </c>
      <c r="V134" s="60">
        <f>(M$169-Tabell2[[#This Row],[Reisetid Oslo-T]])*100/M$171</f>
        <v>23.973610085629424</v>
      </c>
      <c r="W134" s="60">
        <f>100-(N$169-Tabell2[[#This Row],[beftettotal-T]])*100/N$171</f>
        <v>29.129444882952768</v>
      </c>
      <c r="X134" s="60">
        <f>100-(O$169-Tabell2[[#This Row],[Befvekst10-T]])*100/O$171</f>
        <v>51.349065844117298</v>
      </c>
      <c r="Y134" s="60">
        <f>100-(P$169-Tabell2[[#This Row],[Kvinneandel-T]])*100/P$171</f>
        <v>52.159393778123949</v>
      </c>
      <c r="Z134" s="60">
        <f>(Q$169-Tabell2[[#This Row],[Eldreandel-T]])*100/Q$171</f>
        <v>61.809537408658201</v>
      </c>
      <c r="AA134" s="60">
        <f>100-(R$169-Tabell2[[#This Row],[Syssvekst10-T]])*100/R$171</f>
        <v>47.810996229208989</v>
      </c>
      <c r="AB134" s="60">
        <f>100-(S$169-Tabell2[[#This Row],[Yrkesaktiveandel-T]])*100/S$171</f>
        <v>29.466466266266977</v>
      </c>
      <c r="AC134" s="60">
        <f>100-(T$169-Tabell2[[#This Row],[Bruttoinntekt17+-T]])*100/T$171</f>
        <v>39.001065610430913</v>
      </c>
      <c r="AD134" s="60">
        <f>Tabell2[[#This Row],[NIBR11-BA-I]]*$AD$2</f>
        <v>4</v>
      </c>
      <c r="AE134" s="60">
        <f>Tabell2[[#This Row],[Reisetid Oslo-I]]*$AE$2</f>
        <v>2.3973610085629424</v>
      </c>
      <c r="AF134" s="60">
        <f>Tabell2[[#This Row],[beftettotal-I]]*$AF$2</f>
        <v>2.9129444882952771</v>
      </c>
      <c r="AG134" s="60">
        <f>Tabell2[[#This Row],[Befvekst10-I]]*$AG$2</f>
        <v>10.269813168823461</v>
      </c>
      <c r="AH134" s="60">
        <f>Tabell2[[#This Row],[Kvinneandel-I]]*$AH$2</f>
        <v>2.6079696889061976</v>
      </c>
      <c r="AI134" s="60">
        <f>Tabell2[[#This Row],[Eldreandel-I]]*$AI$2</f>
        <v>3.0904768704329104</v>
      </c>
      <c r="AJ134" s="60">
        <f>Tabell2[[#This Row],[Syssvekst10-I]]*$AJ$2</f>
        <v>4.7810996229208991</v>
      </c>
      <c r="AK134" s="60">
        <f>Tabell2[[#This Row],[Yrkesaktiveandel-I]]*$AK$2</f>
        <v>2.946646626626698</v>
      </c>
      <c r="AL134" s="60">
        <f>Tabell2[[#This Row],[Bruttoinntekt17+-I]]*$AL$2</f>
        <v>3.9001065610430916</v>
      </c>
      <c r="AM134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36.906418035611473</v>
      </c>
    </row>
    <row r="135" spans="1:39">
      <c r="A135" s="63">
        <v>130</v>
      </c>
      <c r="B135" s="8" t="s">
        <v>185</v>
      </c>
      <c r="C135" s="45">
        <f>Råark!L132</f>
        <v>9</v>
      </c>
      <c r="D135" s="80">
        <f>Råark!K132</f>
        <v>251.44344475393004</v>
      </c>
      <c r="E135" s="80">
        <f>Råark!N132</f>
        <v>7.6743583095670216</v>
      </c>
      <c r="F135" s="80">
        <f>Råark!O132</f>
        <v>-9.316994052982519E-2</v>
      </c>
      <c r="G135" s="80">
        <f>Råark!P132</f>
        <v>9.3998410174880767E-2</v>
      </c>
      <c r="H135" s="80">
        <f>Råark!Q132</f>
        <v>0.18720190779014309</v>
      </c>
      <c r="I135" s="80">
        <f>Råark!R132</f>
        <v>-3.4042553191489411E-2</v>
      </c>
      <c r="J135" s="80">
        <f>Råark!S132</f>
        <v>0.85771470160116448</v>
      </c>
      <c r="K135" s="80">
        <f>Råark!M132</f>
        <v>318900</v>
      </c>
      <c r="L135" s="59">
        <f>Tabell2[[#This Row],[NIBR11BA]]</f>
        <v>9</v>
      </c>
      <c r="M135" s="80">
        <f>IF(Tabell2[[#This Row],[Reisetid Oslo]]&lt;D$167,D$167,IF(Tabell2[[#This Row],[Reisetid Oslo]]&gt;D$168,D$168,Tabell2[[#This Row],[Reisetid Oslo]]))</f>
        <v>251.44344475393004</v>
      </c>
      <c r="N135" s="80">
        <f>IF(Tabell2[[#This Row],[beftettotal]]&lt;E$167,E$167,IF(Tabell2[[#This Row],[beftettotal]]&gt;E$168,E$168,Tabell2[[#This Row],[beftettotal]]))</f>
        <v>7.6743583095670216</v>
      </c>
      <c r="O135" s="80">
        <f>IF(Tabell2[[#This Row],[Befvekst10]]&lt;F$167,F$167,IF(Tabell2[[#This Row],[Befvekst10]]&gt;F$168,F$168,Tabell2[[#This Row],[Befvekst10]]))</f>
        <v>-9.316994052982519E-2</v>
      </c>
      <c r="P135" s="80">
        <f>IF(Tabell2[[#This Row],[Kvinneandel]]&lt;G$167,G$167,IF(Tabell2[[#This Row],[Kvinneandel]]&gt;G$168,G$168,Tabell2[[#This Row],[Kvinneandel]]))</f>
        <v>9.3998410174880767E-2</v>
      </c>
      <c r="Q135" s="80">
        <f>IF(Tabell2[[#This Row],[Eldreandel]]&lt;H$167,H$167,IF(Tabell2[[#This Row],[Eldreandel]]&gt;H$168,H$168,Tabell2[[#This Row],[Eldreandel]]))</f>
        <v>0.18720190779014309</v>
      </c>
      <c r="R135" s="80">
        <f>IF(Tabell2[[#This Row],[Syssvekst10]]&lt;I$167,I$167,IF(Tabell2[[#This Row],[Syssvekst10]]&gt;I$168,I$168,Tabell2[[#This Row],[Syssvekst10]]))</f>
        <v>-3.4042553191489411E-2</v>
      </c>
      <c r="S135" s="80">
        <f>IF(Tabell2[[#This Row],[Yrkesaktiveandel]]&lt;J$167,J$167,IF(Tabell2[[#This Row],[Yrkesaktiveandel]]&gt;J$168,J$168,Tabell2[[#This Row],[Yrkesaktiveandel]]))</f>
        <v>0.85771470160116448</v>
      </c>
      <c r="T135" s="80">
        <f>IF(Tabell2[[#This Row],[Bruttoinntekt17+]]&lt;K$167,K$167,IF(Tabell2[[#This Row],[Bruttoinntekt17+]]&gt;K$168,K$168,Tabell2[[#This Row],[Bruttoinntekt17+]]))</f>
        <v>318900</v>
      </c>
      <c r="U135" s="60">
        <f>IF(Tabell2[[#This Row],[NIBR11-BA-Utrunk]]&lt;=L$170,100,IF(Tabell2[[#This Row],[NIBR11-BA-Utrunk]]&gt;=L$169,0,100-Tabell2[[#This Row],[NIBR11-BA-Utrunk]]*100/L$171))</f>
        <v>10</v>
      </c>
      <c r="V135" s="60">
        <f>(M$169-Tabell2[[#This Row],[Reisetid Oslo-T]])*100/M$171</f>
        <v>35.814552424890579</v>
      </c>
      <c r="W135" s="60">
        <f>100-(N$169-Tabell2[[#This Row],[beftettotal-T]])*100/N$171</f>
        <v>15.507418022955108</v>
      </c>
      <c r="X135" s="60">
        <f>100-(O$169-Tabell2[[#This Row],[Befvekst10-T]])*100/O$171</f>
        <v>14.47736318490017</v>
      </c>
      <c r="Y135" s="60">
        <f>100-(P$169-Tabell2[[#This Row],[Kvinneandel-T]])*100/P$171</f>
        <v>8.0860992375081651</v>
      </c>
      <c r="Z135" s="60">
        <f>(Q$169-Tabell2[[#This Row],[Eldreandel-T]])*100/Q$171</f>
        <v>22.174139633142431</v>
      </c>
      <c r="AA135" s="60">
        <f>100-(R$169-Tabell2[[#This Row],[Syssvekst10-T]])*100/R$171</f>
        <v>25.424250839601029</v>
      </c>
      <c r="AB135" s="60">
        <f>100-(S$169-Tabell2[[#This Row],[Yrkesaktiveandel-T]])*100/S$171</f>
        <v>23.567113036292028</v>
      </c>
      <c r="AC135" s="60">
        <f>100-(T$169-Tabell2[[#This Row],[Bruttoinntekt17+-T]])*100/T$171</f>
        <v>41.254363719095956</v>
      </c>
      <c r="AD135" s="60">
        <f>Tabell2[[#This Row],[NIBR11-BA-I]]*$AD$2</f>
        <v>2</v>
      </c>
      <c r="AE135" s="60">
        <f>Tabell2[[#This Row],[Reisetid Oslo-I]]*$AE$2</f>
        <v>3.5814552424890582</v>
      </c>
      <c r="AF135" s="60">
        <f>Tabell2[[#This Row],[beftettotal-I]]*$AF$2</f>
        <v>1.5507418022955108</v>
      </c>
      <c r="AG135" s="60">
        <f>Tabell2[[#This Row],[Befvekst10-I]]*$AG$2</f>
        <v>2.8954726369800343</v>
      </c>
      <c r="AH135" s="60">
        <f>Tabell2[[#This Row],[Kvinneandel-I]]*$AH$2</f>
        <v>0.40430496187540826</v>
      </c>
      <c r="AI135" s="60">
        <f>Tabell2[[#This Row],[Eldreandel-I]]*$AI$2</f>
        <v>1.1087069816571216</v>
      </c>
      <c r="AJ135" s="60">
        <f>Tabell2[[#This Row],[Syssvekst10-I]]*$AJ$2</f>
        <v>2.542425083960103</v>
      </c>
      <c r="AK135" s="60">
        <f>Tabell2[[#This Row],[Yrkesaktiveandel-I]]*$AK$2</f>
        <v>2.3567113036292029</v>
      </c>
      <c r="AL135" s="60">
        <f>Tabell2[[#This Row],[Bruttoinntekt17+-I]]*$AL$2</f>
        <v>4.1254363719095961</v>
      </c>
      <c r="AM135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20.565254384796035</v>
      </c>
    </row>
    <row r="136" spans="1:39">
      <c r="A136" s="64">
        <v>131</v>
      </c>
      <c r="B136" s="8" t="s">
        <v>186</v>
      </c>
      <c r="C136" s="45">
        <f>Råark!L133</f>
        <v>11</v>
      </c>
      <c r="D136" s="80">
        <f>Råark!K133</f>
        <v>290.22977776059997</v>
      </c>
      <c r="E136" s="80">
        <f>Råark!N133</f>
        <v>9.4113678529262934</v>
      </c>
      <c r="F136" s="80">
        <f>Råark!O133</f>
        <v>-0.1294851794071763</v>
      </c>
      <c r="G136" s="80">
        <f>Råark!P133</f>
        <v>9.9462365591397844E-2</v>
      </c>
      <c r="H136" s="80">
        <f>Råark!Q133</f>
        <v>0.21863799283154123</v>
      </c>
      <c r="I136" s="80">
        <f>Råark!R133</f>
        <v>-8.206106870229013E-2</v>
      </c>
      <c r="J136" s="80">
        <f>Råark!S133</f>
        <v>0.89049919484702089</v>
      </c>
      <c r="K136" s="80">
        <f>Råark!M133</f>
        <v>311700</v>
      </c>
      <c r="L136" s="59">
        <f>Tabell2[[#This Row],[NIBR11BA]]</f>
        <v>11</v>
      </c>
      <c r="M136" s="80">
        <f>IF(Tabell2[[#This Row],[Reisetid Oslo]]&lt;D$167,D$167,IF(Tabell2[[#This Row],[Reisetid Oslo]]&gt;D$168,D$168,Tabell2[[#This Row],[Reisetid Oslo]]))</f>
        <v>290.22977776059997</v>
      </c>
      <c r="N136" s="80">
        <f>IF(Tabell2[[#This Row],[beftettotal]]&lt;E$167,E$167,IF(Tabell2[[#This Row],[beftettotal]]&gt;E$168,E$168,Tabell2[[#This Row],[beftettotal]]))</f>
        <v>9.4113678529262934</v>
      </c>
      <c r="O136" s="80">
        <f>IF(Tabell2[[#This Row],[Befvekst10]]&lt;F$167,F$167,IF(Tabell2[[#This Row],[Befvekst10]]&gt;F$168,F$168,Tabell2[[#This Row],[Befvekst10]]))</f>
        <v>-0.12545237722432315</v>
      </c>
      <c r="P136" s="80">
        <f>IF(Tabell2[[#This Row],[Kvinneandel]]&lt;G$167,G$167,IF(Tabell2[[#This Row],[Kvinneandel]]&gt;G$168,G$168,Tabell2[[#This Row],[Kvinneandel]]))</f>
        <v>9.9462365591397844E-2</v>
      </c>
      <c r="Q136" s="80">
        <f>IF(Tabell2[[#This Row],[Eldreandel]]&lt;H$167,H$167,IF(Tabell2[[#This Row],[Eldreandel]]&gt;H$168,H$168,Tabell2[[#This Row],[Eldreandel]]))</f>
        <v>0.20387114745465851</v>
      </c>
      <c r="R136" s="80">
        <f>IF(Tabell2[[#This Row],[Syssvekst10]]&lt;I$167,I$167,IF(Tabell2[[#This Row],[Syssvekst10]]&gt;I$168,I$168,Tabell2[[#This Row],[Syssvekst10]]))</f>
        <v>-8.206106870229013E-2</v>
      </c>
      <c r="S136" s="80">
        <f>IF(Tabell2[[#This Row],[Yrkesaktiveandel]]&lt;J$167,J$167,IF(Tabell2[[#This Row],[Yrkesaktiveandel]]&gt;J$168,J$168,Tabell2[[#This Row],[Yrkesaktiveandel]]))</f>
        <v>0.89049919484702089</v>
      </c>
      <c r="T136" s="80">
        <f>IF(Tabell2[[#This Row],[Bruttoinntekt17+]]&lt;K$167,K$167,IF(Tabell2[[#This Row],[Bruttoinntekt17+]]&gt;K$168,K$168,Tabell2[[#This Row],[Bruttoinntekt17+]]))</f>
        <v>311700</v>
      </c>
      <c r="U136" s="60">
        <f>IF(Tabell2[[#This Row],[NIBR11-BA-Utrunk]]&lt;=L$170,100,IF(Tabell2[[#This Row],[NIBR11-BA-Utrunk]]&gt;=L$169,0,100-Tabell2[[#This Row],[NIBR11-BA-Utrunk]]*100/L$171))</f>
        <v>0</v>
      </c>
      <c r="V136" s="60">
        <f>(M$169-Tabell2[[#This Row],[Reisetid Oslo-T]])*100/M$171</f>
        <v>14.988849704470544</v>
      </c>
      <c r="W136" s="60">
        <f>100-(N$169-Tabell2[[#This Row],[beftettotal-T]])*100/N$171</f>
        <v>19.545752245478425</v>
      </c>
      <c r="X136" s="60">
        <f>100-(O$169-Tabell2[[#This Row],[Befvekst10-T]])*100/O$171</f>
        <v>0</v>
      </c>
      <c r="Y136" s="60">
        <f>100-(P$169-Tabell2[[#This Row],[Kvinneandel-T]])*100/P$171</f>
        <v>25.511013302841974</v>
      </c>
      <c r="Z136" s="60">
        <f>(Q$169-Tabell2[[#This Row],[Eldreandel-T]])*100/Q$171</f>
        <v>0</v>
      </c>
      <c r="AA136" s="60">
        <f>100-(R$169-Tabell2[[#This Row],[Syssvekst10-T]])*100/R$171</f>
        <v>7.3027271550713806</v>
      </c>
      <c r="AB136" s="60">
        <f>100-(S$169-Tabell2[[#This Row],[Yrkesaktiveandel-T]])*100/S$171</f>
        <v>48.349440973406097</v>
      </c>
      <c r="AC136" s="60">
        <f>100-(T$169-Tabell2[[#This Row],[Bruttoinntekt17+-T]])*100/T$171</f>
        <v>29.194622802429663</v>
      </c>
      <c r="AD136" s="60">
        <f>Tabell2[[#This Row],[NIBR11-BA-I]]*$AD$2</f>
        <v>0</v>
      </c>
      <c r="AE136" s="60">
        <f>Tabell2[[#This Row],[Reisetid Oslo-I]]*$AE$2</f>
        <v>1.4988849704470546</v>
      </c>
      <c r="AF136" s="60">
        <f>Tabell2[[#This Row],[beftettotal-I]]*$AF$2</f>
        <v>1.9545752245478427</v>
      </c>
      <c r="AG136" s="60">
        <f>Tabell2[[#This Row],[Befvekst10-I]]*$AG$2</f>
        <v>0</v>
      </c>
      <c r="AH136" s="60">
        <f>Tabell2[[#This Row],[Kvinneandel-I]]*$AH$2</f>
        <v>1.2755506651420987</v>
      </c>
      <c r="AI136" s="60">
        <f>Tabell2[[#This Row],[Eldreandel-I]]*$AI$2</f>
        <v>0</v>
      </c>
      <c r="AJ136" s="60">
        <f>Tabell2[[#This Row],[Syssvekst10-I]]*$AJ$2</f>
        <v>0.73027271550713813</v>
      </c>
      <c r="AK136" s="60">
        <f>Tabell2[[#This Row],[Yrkesaktiveandel-I]]*$AK$2</f>
        <v>4.8349440973406104</v>
      </c>
      <c r="AL136" s="60">
        <f>Tabell2[[#This Row],[Bruttoinntekt17+-I]]*$AL$2</f>
        <v>2.9194622802429664</v>
      </c>
      <c r="AM136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13.213689953227711</v>
      </c>
    </row>
    <row r="137" spans="1:39">
      <c r="A137" s="63">
        <v>132</v>
      </c>
      <c r="B137" s="8" t="s">
        <v>187</v>
      </c>
      <c r="C137" s="45">
        <f>Råark!L134</f>
        <v>4</v>
      </c>
      <c r="D137" s="80">
        <f>Råark!K134</f>
        <v>217.81742266860147</v>
      </c>
      <c r="E137" s="80">
        <f>Råark!N134</f>
        <v>19.797238341897149</v>
      </c>
      <c r="F137" s="80">
        <f>Råark!O134</f>
        <v>0.13467644630723319</v>
      </c>
      <c r="G137" s="80">
        <f>Råark!P134</f>
        <v>0.1451217976521946</v>
      </c>
      <c r="H137" s="80">
        <f>Råark!Q134</f>
        <v>9.7522071889297762E-2</v>
      </c>
      <c r="I137" s="80">
        <f>Råark!R134</f>
        <v>0.12190071235297362</v>
      </c>
      <c r="J137" s="80">
        <f>Råark!S134</f>
        <v>0.86913431772120886</v>
      </c>
      <c r="K137" s="80">
        <f>Råark!M134</f>
        <v>353925.30569320166</v>
      </c>
      <c r="L137" s="59">
        <f>Tabell2[[#This Row],[NIBR11BA]]</f>
        <v>4</v>
      </c>
      <c r="M137" s="80">
        <f>IF(Tabell2[[#This Row],[Reisetid Oslo]]&lt;D$167,D$167,IF(Tabell2[[#This Row],[Reisetid Oslo]]&gt;D$168,D$168,Tabell2[[#This Row],[Reisetid Oslo]]))</f>
        <v>217.81742266860147</v>
      </c>
      <c r="N137" s="80">
        <f>IF(Tabell2[[#This Row],[beftettotal]]&lt;E$167,E$167,IF(Tabell2[[#This Row],[beftettotal]]&gt;E$168,E$168,Tabell2[[#This Row],[beftettotal]]))</f>
        <v>19.797238341897149</v>
      </c>
      <c r="O137" s="80">
        <f>IF(Tabell2[[#This Row],[Befvekst10]]&lt;F$167,F$167,IF(Tabell2[[#This Row],[Befvekst10]]&gt;F$168,F$168,Tabell2[[#This Row],[Befvekst10]]))</f>
        <v>9.7533233360955388E-2</v>
      </c>
      <c r="P137" s="80">
        <f>IF(Tabell2[[#This Row],[Kvinneandel]]&lt;G$167,G$167,IF(Tabell2[[#This Row],[Kvinneandel]]&gt;G$168,G$168,Tabell2[[#This Row],[Kvinneandel]]))</f>
        <v>0.12281998450468276</v>
      </c>
      <c r="Q137" s="80">
        <f>IF(Tabell2[[#This Row],[Eldreandel]]&lt;H$167,H$167,IF(Tabell2[[#This Row],[Eldreandel]]&gt;H$168,H$168,Tabell2[[#This Row],[Eldreandel]]))</f>
        <v>0.1286969132327325</v>
      </c>
      <c r="R137" s="80">
        <f>IF(Tabell2[[#This Row],[Syssvekst10]]&lt;I$167,I$167,IF(Tabell2[[#This Row],[Syssvekst10]]&gt;I$168,I$168,Tabell2[[#This Row],[Syssvekst10]]))</f>
        <v>0.12190071235297362</v>
      </c>
      <c r="S137" s="80">
        <f>IF(Tabell2[[#This Row],[Yrkesaktiveandel]]&lt;J$167,J$167,IF(Tabell2[[#This Row],[Yrkesaktiveandel]]&gt;J$168,J$168,Tabell2[[#This Row],[Yrkesaktiveandel]]))</f>
        <v>0.86913431772120886</v>
      </c>
      <c r="T137" s="80">
        <f>IF(Tabell2[[#This Row],[Bruttoinntekt17+]]&lt;K$167,K$167,IF(Tabell2[[#This Row],[Bruttoinntekt17+]]&gt;K$168,K$168,Tabell2[[#This Row],[Bruttoinntekt17+]]))</f>
        <v>353925.30569320166</v>
      </c>
      <c r="U137" s="60">
        <f>IF(Tabell2[[#This Row],[NIBR11-BA-Utrunk]]&lt;=L$170,100,IF(Tabell2[[#This Row],[NIBR11-BA-Utrunk]]&gt;=L$169,0,100-Tabell2[[#This Row],[NIBR11-BA-Utrunk]]*100/L$171))</f>
        <v>60</v>
      </c>
      <c r="V137" s="60">
        <f>(M$169-Tabell2[[#This Row],[Reisetid Oslo-T]])*100/M$171</f>
        <v>53.869508522413533</v>
      </c>
      <c r="W137" s="60">
        <f>100-(N$169-Tabell2[[#This Row],[beftettotal-T]])*100/N$171</f>
        <v>43.691627774287099</v>
      </c>
      <c r="X137" s="60">
        <f>100-(O$169-Tabell2[[#This Row],[Befvekst10-T]])*100/O$171</f>
        <v>100</v>
      </c>
      <c r="Y137" s="60">
        <f>100-(P$169-Tabell2[[#This Row],[Kvinneandel-T]])*100/P$171</f>
        <v>100</v>
      </c>
      <c r="Z137" s="60">
        <f>(Q$169-Tabell2[[#This Row],[Eldreandel-T]])*100/Q$171</f>
        <v>100</v>
      </c>
      <c r="AA137" s="60">
        <f>100-(R$169-Tabell2[[#This Row],[Syssvekst10-T]])*100/R$171</f>
        <v>84.275082647828299</v>
      </c>
      <c r="AB137" s="60">
        <f>100-(S$169-Tabell2[[#This Row],[Yrkesaktiveandel-T]])*100/S$171</f>
        <v>32.1993852962472</v>
      </c>
      <c r="AC137" s="60">
        <f>100-(T$169-Tabell2[[#This Row],[Bruttoinntekt17+-T]])*100/T$171</f>
        <v>99.920490411741653</v>
      </c>
      <c r="AD137" s="60">
        <f>Tabell2[[#This Row],[NIBR11-BA-I]]*$AD$2</f>
        <v>12</v>
      </c>
      <c r="AE137" s="60">
        <f>Tabell2[[#This Row],[Reisetid Oslo-I]]*$AE$2</f>
        <v>5.3869508522413536</v>
      </c>
      <c r="AF137" s="60">
        <f>Tabell2[[#This Row],[beftettotal-I]]*$AF$2</f>
        <v>4.3691627774287101</v>
      </c>
      <c r="AG137" s="60">
        <f>Tabell2[[#This Row],[Befvekst10-I]]*$AG$2</f>
        <v>20</v>
      </c>
      <c r="AH137" s="60">
        <f>Tabell2[[#This Row],[Kvinneandel-I]]*$AH$2</f>
        <v>5</v>
      </c>
      <c r="AI137" s="60">
        <f>Tabell2[[#This Row],[Eldreandel-I]]*$AI$2</f>
        <v>5</v>
      </c>
      <c r="AJ137" s="60">
        <f>Tabell2[[#This Row],[Syssvekst10-I]]*$AJ$2</f>
        <v>8.4275082647828299</v>
      </c>
      <c r="AK137" s="60">
        <f>Tabell2[[#This Row],[Yrkesaktiveandel-I]]*$AK$2</f>
        <v>3.21993852962472</v>
      </c>
      <c r="AL137" s="60">
        <f>Tabell2[[#This Row],[Bruttoinntekt17+-I]]*$AL$2</f>
        <v>9.992049041174166</v>
      </c>
      <c r="AM137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73.395609465251781</v>
      </c>
    </row>
    <row r="138" spans="1:39">
      <c r="A138" s="64">
        <v>133</v>
      </c>
      <c r="B138" s="8" t="s">
        <v>188</v>
      </c>
      <c r="C138" s="45">
        <f>Råark!L135</f>
        <v>5</v>
      </c>
      <c r="D138" s="80">
        <f>Råark!K135</f>
        <v>233.05093196059295</v>
      </c>
      <c r="E138" s="80">
        <f>Råark!N135</f>
        <v>16.172140542249625</v>
      </c>
      <c r="F138" s="80">
        <f>Råark!O135</f>
        <v>-3.3794069293064943E-3</v>
      </c>
      <c r="G138" s="80">
        <f>Råark!P135</f>
        <v>0.11596150908813196</v>
      </c>
      <c r="H138" s="80">
        <f>Råark!Q135</f>
        <v>0.14987016954330229</v>
      </c>
      <c r="I138" s="80">
        <f>Råark!R135</f>
        <v>4.0501126872597215E-2</v>
      </c>
      <c r="J138" s="80">
        <f>Råark!S135</f>
        <v>0.86045899568375617</v>
      </c>
      <c r="K138" s="80">
        <f>Råark!M135</f>
        <v>327228.38936162094</v>
      </c>
      <c r="L138" s="59">
        <f>Tabell2[[#This Row],[NIBR11BA]]</f>
        <v>5</v>
      </c>
      <c r="M138" s="80">
        <f>IF(Tabell2[[#This Row],[Reisetid Oslo]]&lt;D$167,D$167,IF(Tabell2[[#This Row],[Reisetid Oslo]]&gt;D$168,D$168,Tabell2[[#This Row],[Reisetid Oslo]]))</f>
        <v>233.05093196059295</v>
      </c>
      <c r="N138" s="80">
        <f>IF(Tabell2[[#This Row],[beftettotal]]&lt;E$167,E$167,IF(Tabell2[[#This Row],[beftettotal]]&gt;E$168,E$168,Tabell2[[#This Row],[beftettotal]]))</f>
        <v>16.172140542249625</v>
      </c>
      <c r="O138" s="80">
        <f>IF(Tabell2[[#This Row],[Befvekst10]]&lt;F$167,F$167,IF(Tabell2[[#This Row],[Befvekst10]]&gt;F$168,F$168,Tabell2[[#This Row],[Befvekst10]]))</f>
        <v>-3.3794069293064943E-3</v>
      </c>
      <c r="P138" s="80">
        <f>IF(Tabell2[[#This Row],[Kvinneandel]]&lt;G$167,G$167,IF(Tabell2[[#This Row],[Kvinneandel]]&gt;G$168,G$168,Tabell2[[#This Row],[Kvinneandel]]))</f>
        <v>0.11596150908813196</v>
      </c>
      <c r="Q138" s="80">
        <f>IF(Tabell2[[#This Row],[Eldreandel]]&lt;H$167,H$167,IF(Tabell2[[#This Row],[Eldreandel]]&gt;H$168,H$168,Tabell2[[#This Row],[Eldreandel]]))</f>
        <v>0.14987016954330229</v>
      </c>
      <c r="R138" s="80">
        <f>IF(Tabell2[[#This Row],[Syssvekst10]]&lt;I$167,I$167,IF(Tabell2[[#This Row],[Syssvekst10]]&gt;I$168,I$168,Tabell2[[#This Row],[Syssvekst10]]))</f>
        <v>4.0501126872597215E-2</v>
      </c>
      <c r="S138" s="80">
        <f>IF(Tabell2[[#This Row],[Yrkesaktiveandel]]&lt;J$167,J$167,IF(Tabell2[[#This Row],[Yrkesaktiveandel]]&gt;J$168,J$168,Tabell2[[#This Row],[Yrkesaktiveandel]]))</f>
        <v>0.86045899568375617</v>
      </c>
      <c r="T138" s="80">
        <f>IF(Tabell2[[#This Row],[Bruttoinntekt17+]]&lt;K$167,K$167,IF(Tabell2[[#This Row],[Bruttoinntekt17+]]&gt;K$168,K$168,Tabell2[[#This Row],[Bruttoinntekt17+]]))</f>
        <v>327228.38936162094</v>
      </c>
      <c r="U138" s="60">
        <f>IF(Tabell2[[#This Row],[NIBR11-BA-Utrunk]]&lt;=L$170,100,IF(Tabell2[[#This Row],[NIBR11-BA-Utrunk]]&gt;=L$169,0,100-Tabell2[[#This Row],[NIBR11-BA-Utrunk]]*100/L$171))</f>
        <v>50</v>
      </c>
      <c r="V138" s="60">
        <f>(M$169-Tabell2[[#This Row],[Reisetid Oslo-T]])*100/M$171</f>
        <v>45.690118739697674</v>
      </c>
      <c r="W138" s="60">
        <f>100-(N$169-Tabell2[[#This Row],[beftettotal-T]])*100/N$171</f>
        <v>35.263719844662901</v>
      </c>
      <c r="X138" s="60">
        <f>100-(O$169-Tabell2[[#This Row],[Befvekst10-T]])*100/O$171</f>
        <v>54.744774774752166</v>
      </c>
      <c r="Y138" s="60">
        <f>100-(P$169-Tabell2[[#This Row],[Kvinneandel-T]])*100/P$171</f>
        <v>78.127869712966842</v>
      </c>
      <c r="Z138" s="60">
        <f>(Q$169-Tabell2[[#This Row],[Eldreandel-T]])*100/Q$171</f>
        <v>71.834423682903036</v>
      </c>
      <c r="AA138" s="60">
        <f>100-(R$169-Tabell2[[#This Row],[Syssvekst10-T]])*100/R$171</f>
        <v>53.556004798331905</v>
      </c>
      <c r="AB138" s="60">
        <f>100-(S$169-Tabell2[[#This Row],[Yrkesaktiveandel-T]])*100/S$171</f>
        <v>25.641569255598228</v>
      </c>
      <c r="AC138" s="60">
        <f>100-(T$169-Tabell2[[#This Row],[Bruttoinntekt17+-T]])*100/T$171</f>
        <v>55.204116212744331</v>
      </c>
      <c r="AD138" s="60">
        <f>Tabell2[[#This Row],[NIBR11-BA-I]]*$AD$2</f>
        <v>10</v>
      </c>
      <c r="AE138" s="60">
        <f>Tabell2[[#This Row],[Reisetid Oslo-I]]*$AE$2</f>
        <v>4.5690118739697674</v>
      </c>
      <c r="AF138" s="60">
        <f>Tabell2[[#This Row],[beftettotal-I]]*$AF$2</f>
        <v>3.5263719844662904</v>
      </c>
      <c r="AG138" s="60">
        <f>Tabell2[[#This Row],[Befvekst10-I]]*$AG$2</f>
        <v>10.948954954950434</v>
      </c>
      <c r="AH138" s="60">
        <f>Tabell2[[#This Row],[Kvinneandel-I]]*$AH$2</f>
        <v>3.9063934856483424</v>
      </c>
      <c r="AI138" s="60">
        <f>Tabell2[[#This Row],[Eldreandel-I]]*$AI$2</f>
        <v>3.5917211841451522</v>
      </c>
      <c r="AJ138" s="60">
        <f>Tabell2[[#This Row],[Syssvekst10-I]]*$AJ$2</f>
        <v>5.3556004798331909</v>
      </c>
      <c r="AK138" s="60">
        <f>Tabell2[[#This Row],[Yrkesaktiveandel-I]]*$AK$2</f>
        <v>2.5641569255598231</v>
      </c>
      <c r="AL138" s="60">
        <f>Tabell2[[#This Row],[Bruttoinntekt17+-I]]*$AL$2</f>
        <v>5.5204116212744339</v>
      </c>
      <c r="AM138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49.982622509847431</v>
      </c>
    </row>
    <row r="139" spans="1:39">
      <c r="A139" s="63">
        <v>134</v>
      </c>
      <c r="B139" s="8" t="s">
        <v>189</v>
      </c>
      <c r="C139" s="45">
        <f>Råark!L136</f>
        <v>11</v>
      </c>
      <c r="D139" s="80">
        <f>Råark!K136</f>
        <v>289.06791315190003</v>
      </c>
      <c r="E139" s="80">
        <f>Råark!N136</f>
        <v>5.8440751025821687</v>
      </c>
      <c r="F139" s="80">
        <f>Råark!O136</f>
        <v>-0.17784256559766765</v>
      </c>
      <c r="G139" s="80">
        <f>Råark!P136</f>
        <v>7.2340425531914887E-2</v>
      </c>
      <c r="H139" s="80">
        <f>Råark!Q136</f>
        <v>0.25673758865248225</v>
      </c>
      <c r="I139" s="80">
        <f>Råark!R136</f>
        <v>-0.12923076923076926</v>
      </c>
      <c r="J139" s="80">
        <f>Råark!S136</f>
        <v>0.87414500683994523</v>
      </c>
      <c r="K139" s="80">
        <f>Råark!M136</f>
        <v>279300</v>
      </c>
      <c r="L139" s="59">
        <f>Tabell2[[#This Row],[NIBR11BA]]</f>
        <v>11</v>
      </c>
      <c r="M139" s="80">
        <f>IF(Tabell2[[#This Row],[Reisetid Oslo]]&lt;D$167,D$167,IF(Tabell2[[#This Row],[Reisetid Oslo]]&gt;D$168,D$168,Tabell2[[#This Row],[Reisetid Oslo]]))</f>
        <v>289.06791315190003</v>
      </c>
      <c r="N139" s="80">
        <f>IF(Tabell2[[#This Row],[beftettotal]]&lt;E$167,E$167,IF(Tabell2[[#This Row],[beftettotal]]&gt;E$168,E$168,Tabell2[[#This Row],[beftettotal]]))</f>
        <v>5.8440751025821687</v>
      </c>
      <c r="O139" s="80">
        <f>IF(Tabell2[[#This Row],[Befvekst10]]&lt;F$167,F$167,IF(Tabell2[[#This Row],[Befvekst10]]&gt;F$168,F$168,Tabell2[[#This Row],[Befvekst10]]))</f>
        <v>-0.12545237722432315</v>
      </c>
      <c r="P139" s="80">
        <f>IF(Tabell2[[#This Row],[Kvinneandel]]&lt;G$167,G$167,IF(Tabell2[[#This Row],[Kvinneandel]]&gt;G$168,G$168,Tabell2[[#This Row],[Kvinneandel]]))</f>
        <v>9.1462840383166502E-2</v>
      </c>
      <c r="Q139" s="80">
        <f>IF(Tabell2[[#This Row],[Eldreandel]]&lt;H$167,H$167,IF(Tabell2[[#This Row],[Eldreandel]]&gt;H$168,H$168,Tabell2[[#This Row],[Eldreandel]]))</f>
        <v>0.20387114745465851</v>
      </c>
      <c r="R139" s="80">
        <f>IF(Tabell2[[#This Row],[Syssvekst10]]&lt;I$167,I$167,IF(Tabell2[[#This Row],[Syssvekst10]]&gt;I$168,I$168,Tabell2[[#This Row],[Syssvekst10]]))</f>
        <v>-0.10141187624317609</v>
      </c>
      <c r="S139" s="80">
        <f>IF(Tabell2[[#This Row],[Yrkesaktiveandel]]&lt;J$167,J$167,IF(Tabell2[[#This Row],[Yrkesaktiveandel]]&gt;J$168,J$168,Tabell2[[#This Row],[Yrkesaktiveandel]]))</f>
        <v>0.87414500683994523</v>
      </c>
      <c r="T139" s="80">
        <f>IF(Tabell2[[#This Row],[Bruttoinntekt17+]]&lt;K$167,K$167,IF(Tabell2[[#This Row],[Bruttoinntekt17+]]&gt;K$168,K$168,Tabell2[[#This Row],[Bruttoinntekt17+]]))</f>
        <v>294270</v>
      </c>
      <c r="U139" s="60">
        <f>IF(Tabell2[[#This Row],[NIBR11-BA-Utrunk]]&lt;=L$170,100,IF(Tabell2[[#This Row],[NIBR11-BA-Utrunk]]&gt;=L$169,0,100-Tabell2[[#This Row],[NIBR11-BA-Utrunk]]*100/L$171))</f>
        <v>0</v>
      </c>
      <c r="V139" s="60">
        <f>(M$169-Tabell2[[#This Row],[Reisetid Oslo-T]])*100/M$171</f>
        <v>15.612694370012944</v>
      </c>
      <c r="W139" s="60">
        <f>100-(N$169-Tabell2[[#This Row],[beftettotal-T]])*100/N$171</f>
        <v>11.252233968305461</v>
      </c>
      <c r="X139" s="60">
        <f>100-(O$169-Tabell2[[#This Row],[Befvekst10-T]])*100/O$171</f>
        <v>0</v>
      </c>
      <c r="Y139" s="60">
        <f>100-(P$169-Tabell2[[#This Row],[Kvinneandel-T]])*100/P$171</f>
        <v>0</v>
      </c>
      <c r="Z139" s="60">
        <f>(Q$169-Tabell2[[#This Row],[Eldreandel-T]])*100/Q$171</f>
        <v>0</v>
      </c>
      <c r="AA139" s="60">
        <f>100-(R$169-Tabell2[[#This Row],[Syssvekst10-T]])*100/R$171</f>
        <v>0</v>
      </c>
      <c r="AB139" s="60">
        <f>100-(S$169-Tabell2[[#This Row],[Yrkesaktiveandel-T]])*100/S$171</f>
        <v>35.98704612724535</v>
      </c>
      <c r="AC139" s="60">
        <f>100-(T$169-Tabell2[[#This Row],[Bruttoinntekt17+-T]])*100/T$171</f>
        <v>0</v>
      </c>
      <c r="AD139" s="60">
        <f>Tabell2[[#This Row],[NIBR11-BA-I]]*$AD$2</f>
        <v>0</v>
      </c>
      <c r="AE139" s="60">
        <f>Tabell2[[#This Row],[Reisetid Oslo-I]]*$AE$2</f>
        <v>1.5612694370012945</v>
      </c>
      <c r="AF139" s="60">
        <f>Tabell2[[#This Row],[beftettotal-I]]*$AF$2</f>
        <v>1.1252233968305461</v>
      </c>
      <c r="AG139" s="60">
        <f>Tabell2[[#This Row],[Befvekst10-I]]*$AG$2</f>
        <v>0</v>
      </c>
      <c r="AH139" s="60">
        <f>Tabell2[[#This Row],[Kvinneandel-I]]*$AH$2</f>
        <v>0</v>
      </c>
      <c r="AI139" s="60">
        <f>Tabell2[[#This Row],[Eldreandel-I]]*$AI$2</f>
        <v>0</v>
      </c>
      <c r="AJ139" s="60">
        <f>Tabell2[[#This Row],[Syssvekst10-I]]*$AJ$2</f>
        <v>0</v>
      </c>
      <c r="AK139" s="60">
        <f>Tabell2[[#This Row],[Yrkesaktiveandel-I]]*$AK$2</f>
        <v>3.5987046127245352</v>
      </c>
      <c r="AL139" s="60">
        <f>Tabell2[[#This Row],[Bruttoinntekt17+-I]]*$AL$2</f>
        <v>0</v>
      </c>
      <c r="AM139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6.285197446556376</v>
      </c>
    </row>
    <row r="140" spans="1:39">
      <c r="A140" s="64">
        <v>135</v>
      </c>
      <c r="B140" s="8" t="s">
        <v>190</v>
      </c>
      <c r="C140" s="45">
        <f>Råark!L137</f>
        <v>11</v>
      </c>
      <c r="D140" s="80">
        <f>Råark!K137</f>
        <v>255.31841538190471</v>
      </c>
      <c r="E140" s="80">
        <f>Råark!N137</f>
        <v>4.2515663665560997</v>
      </c>
      <c r="F140" s="80">
        <f>Råark!O137</f>
        <v>-3.6683566954965663E-2</v>
      </c>
      <c r="G140" s="80">
        <f>Råark!P137</f>
        <v>9.7832817337461297E-2</v>
      </c>
      <c r="H140" s="80">
        <f>Råark!Q137</f>
        <v>0.17337461300309598</v>
      </c>
      <c r="I140" s="80">
        <f>Råark!R137</f>
        <v>1.2490241998438734E-2</v>
      </c>
      <c r="J140" s="80">
        <f>Råark!S137</f>
        <v>0.89037900874635567</v>
      </c>
      <c r="K140" s="80">
        <f>Råark!M137</f>
        <v>294416.25538582058</v>
      </c>
      <c r="L140" s="59">
        <f>Tabell2[[#This Row],[NIBR11BA]]</f>
        <v>11</v>
      </c>
      <c r="M140" s="80">
        <f>IF(Tabell2[[#This Row],[Reisetid Oslo]]&lt;D$167,D$167,IF(Tabell2[[#This Row],[Reisetid Oslo]]&gt;D$168,D$168,Tabell2[[#This Row],[Reisetid Oslo]]))</f>
        <v>255.31841538190471</v>
      </c>
      <c r="N140" s="80">
        <f>IF(Tabell2[[#This Row],[beftettotal]]&lt;E$167,E$167,IF(Tabell2[[#This Row],[beftettotal]]&gt;E$168,E$168,Tabell2[[#This Row],[beftettotal]]))</f>
        <v>4.2515663665560997</v>
      </c>
      <c r="O140" s="80">
        <f>IF(Tabell2[[#This Row],[Befvekst10]]&lt;F$167,F$167,IF(Tabell2[[#This Row],[Befvekst10]]&gt;F$168,F$168,Tabell2[[#This Row],[Befvekst10]]))</f>
        <v>-3.6683566954965663E-2</v>
      </c>
      <c r="P140" s="80">
        <f>IF(Tabell2[[#This Row],[Kvinneandel]]&lt;G$167,G$167,IF(Tabell2[[#This Row],[Kvinneandel]]&gt;G$168,G$168,Tabell2[[#This Row],[Kvinneandel]]))</f>
        <v>9.7832817337461297E-2</v>
      </c>
      <c r="Q140" s="80">
        <f>IF(Tabell2[[#This Row],[Eldreandel]]&lt;H$167,H$167,IF(Tabell2[[#This Row],[Eldreandel]]&gt;H$168,H$168,Tabell2[[#This Row],[Eldreandel]]))</f>
        <v>0.17337461300309598</v>
      </c>
      <c r="R140" s="80">
        <f>IF(Tabell2[[#This Row],[Syssvekst10]]&lt;I$167,I$167,IF(Tabell2[[#This Row],[Syssvekst10]]&gt;I$168,I$168,Tabell2[[#This Row],[Syssvekst10]]))</f>
        <v>1.2490241998438734E-2</v>
      </c>
      <c r="S140" s="80">
        <f>IF(Tabell2[[#This Row],[Yrkesaktiveandel]]&lt;J$167,J$167,IF(Tabell2[[#This Row],[Yrkesaktiveandel]]&gt;J$168,J$168,Tabell2[[#This Row],[Yrkesaktiveandel]]))</f>
        <v>0.89037900874635567</v>
      </c>
      <c r="T140" s="80">
        <f>IF(Tabell2[[#This Row],[Bruttoinntekt17+]]&lt;K$167,K$167,IF(Tabell2[[#This Row],[Bruttoinntekt17+]]&gt;K$168,K$168,Tabell2[[#This Row],[Bruttoinntekt17+]]))</f>
        <v>294416.25538582058</v>
      </c>
      <c r="U140" s="60">
        <f>IF(Tabell2[[#This Row],[NIBR11-BA-Utrunk]]&lt;=L$170,100,IF(Tabell2[[#This Row],[NIBR11-BA-Utrunk]]&gt;=L$169,0,100-Tabell2[[#This Row],[NIBR11-BA-Utrunk]]*100/L$171))</f>
        <v>0</v>
      </c>
      <c r="V140" s="60">
        <f>(M$169-Tabell2[[#This Row],[Reisetid Oslo-T]])*100/M$171</f>
        <v>33.733948766517344</v>
      </c>
      <c r="W140" s="60">
        <f>100-(N$169-Tabell2[[#This Row],[beftettotal-T]])*100/N$171</f>
        <v>7.5498464063326765</v>
      </c>
      <c r="X140" s="60">
        <f>100-(O$169-Tabell2[[#This Row],[Befvekst10-T]])*100/O$171</f>
        <v>39.809210126322839</v>
      </c>
      <c r="Y140" s="60">
        <f>100-(P$169-Tabell2[[#This Row],[Kvinneandel-T]])*100/P$171</f>
        <v>20.314276483884015</v>
      </c>
      <c r="Z140" s="60">
        <f>(Q$169-Tabell2[[#This Row],[Eldreandel-T]])*100/Q$171</f>
        <v>40.567801943325456</v>
      </c>
      <c r="AA140" s="60">
        <f>100-(R$169-Tabell2[[#This Row],[Syssvekst10-T]])*100/R$171</f>
        <v>42.98508422171551</v>
      </c>
      <c r="AB140" s="60">
        <f>100-(S$169-Tabell2[[#This Row],[Yrkesaktiveandel-T]])*100/S$171</f>
        <v>48.25859035882339</v>
      </c>
      <c r="AC140" s="60">
        <f>100-(T$169-Tabell2[[#This Row],[Bruttoinntekt17+-T]])*100/T$171</f>
        <v>0.24497250842544815</v>
      </c>
      <c r="AD140" s="60">
        <f>Tabell2[[#This Row],[NIBR11-BA-I]]*$AD$2</f>
        <v>0</v>
      </c>
      <c r="AE140" s="60">
        <f>Tabell2[[#This Row],[Reisetid Oslo-I]]*$AE$2</f>
        <v>3.3733948766517345</v>
      </c>
      <c r="AF140" s="60">
        <f>Tabell2[[#This Row],[beftettotal-I]]*$AF$2</f>
        <v>0.75498464063326765</v>
      </c>
      <c r="AG140" s="60">
        <f>Tabell2[[#This Row],[Befvekst10-I]]*$AG$2</f>
        <v>7.9618420252645681</v>
      </c>
      <c r="AH140" s="60">
        <f>Tabell2[[#This Row],[Kvinneandel-I]]*$AH$2</f>
        <v>1.0157138241942008</v>
      </c>
      <c r="AI140" s="60">
        <f>Tabell2[[#This Row],[Eldreandel-I]]*$AI$2</f>
        <v>2.0283900971662727</v>
      </c>
      <c r="AJ140" s="60">
        <f>Tabell2[[#This Row],[Syssvekst10-I]]*$AJ$2</f>
        <v>4.298508422171551</v>
      </c>
      <c r="AK140" s="60">
        <f>Tabell2[[#This Row],[Yrkesaktiveandel-I]]*$AK$2</f>
        <v>4.8258590358823392</v>
      </c>
      <c r="AL140" s="60">
        <f>Tabell2[[#This Row],[Bruttoinntekt17+-I]]*$AL$2</f>
        <v>2.4497250842544817E-2</v>
      </c>
      <c r="AM140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24.283190172806478</v>
      </c>
    </row>
    <row r="141" spans="1:39">
      <c r="A141" s="63">
        <v>136</v>
      </c>
      <c r="B141" s="8" t="s">
        <v>191</v>
      </c>
      <c r="C141" s="45">
        <f>Råark!L138</f>
        <v>9</v>
      </c>
      <c r="D141" s="80">
        <f>Råark!K138</f>
        <v>221.14546338270296</v>
      </c>
      <c r="E141" s="80">
        <f>Råark!N138</f>
        <v>1.7382472479964686</v>
      </c>
      <c r="F141" s="80">
        <f>Råark!O138</f>
        <v>-1.6987329892069414E-2</v>
      </c>
      <c r="G141" s="80">
        <f>Råark!P138</f>
        <v>0.11371013939278213</v>
      </c>
      <c r="H141" s="80">
        <f>Råark!Q138</f>
        <v>0.14922665648271913</v>
      </c>
      <c r="I141" s="80">
        <f>Råark!R138</f>
        <v>4.412850812407676E-2</v>
      </c>
      <c r="J141" s="80">
        <f>Råark!S138</f>
        <v>0.92983039574326576</v>
      </c>
      <c r="K141" s="80">
        <f>Råark!M138</f>
        <v>338558.05125725339</v>
      </c>
      <c r="L141" s="59">
        <f>Tabell2[[#This Row],[NIBR11BA]]</f>
        <v>9</v>
      </c>
      <c r="M141" s="80">
        <f>IF(Tabell2[[#This Row],[Reisetid Oslo]]&lt;D$167,D$167,IF(Tabell2[[#This Row],[Reisetid Oslo]]&gt;D$168,D$168,Tabell2[[#This Row],[Reisetid Oslo]]))</f>
        <v>221.14546338270296</v>
      </c>
      <c r="N141" s="80">
        <f>IF(Tabell2[[#This Row],[beftettotal]]&lt;E$167,E$167,IF(Tabell2[[#This Row],[beftettotal]]&gt;E$168,E$168,Tabell2[[#This Row],[beftettotal]]))</f>
        <v>1.7382472479964686</v>
      </c>
      <c r="O141" s="80">
        <f>IF(Tabell2[[#This Row],[Befvekst10]]&lt;F$167,F$167,IF(Tabell2[[#This Row],[Befvekst10]]&gt;F$168,F$168,Tabell2[[#This Row],[Befvekst10]]))</f>
        <v>-1.6987329892069414E-2</v>
      </c>
      <c r="P141" s="80">
        <f>IF(Tabell2[[#This Row],[Kvinneandel]]&lt;G$167,G$167,IF(Tabell2[[#This Row],[Kvinneandel]]&gt;G$168,G$168,Tabell2[[#This Row],[Kvinneandel]]))</f>
        <v>0.11371013939278213</v>
      </c>
      <c r="Q141" s="80">
        <f>IF(Tabell2[[#This Row],[Eldreandel]]&lt;H$167,H$167,IF(Tabell2[[#This Row],[Eldreandel]]&gt;H$168,H$168,Tabell2[[#This Row],[Eldreandel]]))</f>
        <v>0.14922665648271913</v>
      </c>
      <c r="R141" s="80">
        <f>IF(Tabell2[[#This Row],[Syssvekst10]]&lt;I$167,I$167,IF(Tabell2[[#This Row],[Syssvekst10]]&gt;I$168,I$168,Tabell2[[#This Row],[Syssvekst10]]))</f>
        <v>4.412850812407676E-2</v>
      </c>
      <c r="S141" s="80">
        <f>IF(Tabell2[[#This Row],[Yrkesaktiveandel]]&lt;J$167,J$167,IF(Tabell2[[#This Row],[Yrkesaktiveandel]]&gt;J$168,J$168,Tabell2[[#This Row],[Yrkesaktiveandel]]))</f>
        <v>0.92983039574326576</v>
      </c>
      <c r="T141" s="80">
        <f>IF(Tabell2[[#This Row],[Bruttoinntekt17+]]&lt;K$167,K$167,IF(Tabell2[[#This Row],[Bruttoinntekt17+]]&gt;K$168,K$168,Tabell2[[#This Row],[Bruttoinntekt17+]]))</f>
        <v>338558.05125725339</v>
      </c>
      <c r="U141" s="60">
        <f>IF(Tabell2[[#This Row],[NIBR11-BA-Utrunk]]&lt;=L$170,100,IF(Tabell2[[#This Row],[NIBR11-BA-Utrunk]]&gt;=L$169,0,100-Tabell2[[#This Row],[NIBR11-BA-Utrunk]]*100/L$171))</f>
        <v>10</v>
      </c>
      <c r="V141" s="60">
        <f>(M$169-Tabell2[[#This Row],[Reisetid Oslo-T]])*100/M$171</f>
        <v>52.082570155710677</v>
      </c>
      <c r="W141" s="60">
        <f>100-(N$169-Tabell2[[#This Row],[beftettotal-T]])*100/N$171</f>
        <v>1.7066876007842211</v>
      </c>
      <c r="X141" s="60">
        <f>100-(O$169-Tabell2[[#This Row],[Befvekst10-T]])*100/O$171</f>
        <v>48.642173388480778</v>
      </c>
      <c r="Y141" s="60">
        <f>100-(P$169-Tabell2[[#This Row],[Kvinneandel-T]])*100/P$171</f>
        <v>70.948103320258198</v>
      </c>
      <c r="Z141" s="60">
        <f>(Q$169-Tabell2[[#This Row],[Eldreandel-T]])*100/Q$171</f>
        <v>72.690452436961792</v>
      </c>
      <c r="AA141" s="60">
        <f>100-(R$169-Tabell2[[#This Row],[Syssvekst10-T]])*100/R$171</f>
        <v>54.92492831798382</v>
      </c>
      <c r="AB141" s="60">
        <f>100-(S$169-Tabell2[[#This Row],[Yrkesaktiveandel-T]])*100/S$171</f>
        <v>78.080530957371252</v>
      </c>
      <c r="AC141" s="60">
        <f>100-(T$169-Tabell2[[#This Row],[Bruttoinntekt17+-T]])*100/T$171</f>
        <v>74.180892203682347</v>
      </c>
      <c r="AD141" s="60">
        <f>Tabell2[[#This Row],[NIBR11-BA-I]]*$AD$2</f>
        <v>2</v>
      </c>
      <c r="AE141" s="60">
        <f>Tabell2[[#This Row],[Reisetid Oslo-I]]*$AE$2</f>
        <v>5.2082570155710677</v>
      </c>
      <c r="AF141" s="60">
        <f>Tabell2[[#This Row],[beftettotal-I]]*$AF$2</f>
        <v>0.17066876007842213</v>
      </c>
      <c r="AG141" s="60">
        <f>Tabell2[[#This Row],[Befvekst10-I]]*$AG$2</f>
        <v>9.728434677696157</v>
      </c>
      <c r="AH141" s="60">
        <f>Tabell2[[#This Row],[Kvinneandel-I]]*$AH$2</f>
        <v>3.54740516601291</v>
      </c>
      <c r="AI141" s="60">
        <f>Tabell2[[#This Row],[Eldreandel-I]]*$AI$2</f>
        <v>3.6345226218480899</v>
      </c>
      <c r="AJ141" s="60">
        <f>Tabell2[[#This Row],[Syssvekst10-I]]*$AJ$2</f>
        <v>5.4924928317983825</v>
      </c>
      <c r="AK141" s="60">
        <f>Tabell2[[#This Row],[Yrkesaktiveandel-I]]*$AK$2</f>
        <v>7.8080530957371259</v>
      </c>
      <c r="AL141" s="60">
        <f>Tabell2[[#This Row],[Bruttoinntekt17+-I]]*$AL$2</f>
        <v>7.4180892203682349</v>
      </c>
      <c r="AM141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45.007923389110395</v>
      </c>
    </row>
    <row r="142" spans="1:39">
      <c r="A142" s="64">
        <v>137</v>
      </c>
      <c r="B142" s="8" t="s">
        <v>192</v>
      </c>
      <c r="C142" s="45">
        <f>Råark!L139</f>
        <v>11</v>
      </c>
      <c r="D142" s="80">
        <f>Råark!K139</f>
        <v>298.74419278877224</v>
      </c>
      <c r="E142" s="80">
        <f>Råark!N139</f>
        <v>3.311061065718699</v>
      </c>
      <c r="F142" s="80">
        <f>Råark!O139</f>
        <v>-0.18767123287671228</v>
      </c>
      <c r="G142" s="80">
        <f>Råark!P139</f>
        <v>9.4997189432265317E-2</v>
      </c>
      <c r="H142" s="80">
        <f>Råark!Q139</f>
        <v>0.21641371557054526</v>
      </c>
      <c r="I142" s="80">
        <f>Råark!R139</f>
        <v>-0.10430107526881716</v>
      </c>
      <c r="J142" s="80">
        <f>Råark!S139</f>
        <v>0.89393939393939392</v>
      </c>
      <c r="K142" s="80">
        <f>Råark!M139</f>
        <v>306438.47167325427</v>
      </c>
      <c r="L142" s="59">
        <f>Tabell2[[#This Row],[NIBR11BA]]</f>
        <v>11</v>
      </c>
      <c r="M142" s="80">
        <f>IF(Tabell2[[#This Row],[Reisetid Oslo]]&lt;D$167,D$167,IF(Tabell2[[#This Row],[Reisetid Oslo]]&gt;D$168,D$168,Tabell2[[#This Row],[Reisetid Oslo]]))</f>
        <v>298.74419278877224</v>
      </c>
      <c r="N142" s="80">
        <f>IF(Tabell2[[#This Row],[beftettotal]]&lt;E$167,E$167,IF(Tabell2[[#This Row],[beftettotal]]&gt;E$168,E$168,Tabell2[[#This Row],[beftettotal]]))</f>
        <v>3.311061065718699</v>
      </c>
      <c r="O142" s="80">
        <f>IF(Tabell2[[#This Row],[Befvekst10]]&lt;F$167,F$167,IF(Tabell2[[#This Row],[Befvekst10]]&gt;F$168,F$168,Tabell2[[#This Row],[Befvekst10]]))</f>
        <v>-0.12545237722432315</v>
      </c>
      <c r="P142" s="80">
        <f>IF(Tabell2[[#This Row],[Kvinneandel]]&lt;G$167,G$167,IF(Tabell2[[#This Row],[Kvinneandel]]&gt;G$168,G$168,Tabell2[[#This Row],[Kvinneandel]]))</f>
        <v>9.4997189432265317E-2</v>
      </c>
      <c r="Q142" s="80">
        <f>IF(Tabell2[[#This Row],[Eldreandel]]&lt;H$167,H$167,IF(Tabell2[[#This Row],[Eldreandel]]&gt;H$168,H$168,Tabell2[[#This Row],[Eldreandel]]))</f>
        <v>0.20387114745465851</v>
      </c>
      <c r="R142" s="80">
        <f>IF(Tabell2[[#This Row],[Syssvekst10]]&lt;I$167,I$167,IF(Tabell2[[#This Row],[Syssvekst10]]&gt;I$168,I$168,Tabell2[[#This Row],[Syssvekst10]]))</f>
        <v>-0.10141187624317609</v>
      </c>
      <c r="S142" s="80">
        <f>IF(Tabell2[[#This Row],[Yrkesaktiveandel]]&lt;J$167,J$167,IF(Tabell2[[#This Row],[Yrkesaktiveandel]]&gt;J$168,J$168,Tabell2[[#This Row],[Yrkesaktiveandel]]))</f>
        <v>0.89393939393939392</v>
      </c>
      <c r="T142" s="80">
        <f>IF(Tabell2[[#This Row],[Bruttoinntekt17+]]&lt;K$167,K$167,IF(Tabell2[[#This Row],[Bruttoinntekt17+]]&gt;K$168,K$168,Tabell2[[#This Row],[Bruttoinntekt17+]]))</f>
        <v>306438.47167325427</v>
      </c>
      <c r="U142" s="60">
        <f>IF(Tabell2[[#This Row],[NIBR11-BA-Utrunk]]&lt;=L$170,100,IF(Tabell2[[#This Row],[NIBR11-BA-Utrunk]]&gt;=L$169,0,100-Tabell2[[#This Row],[NIBR11-BA-Utrunk]]*100/L$171))</f>
        <v>0</v>
      </c>
      <c r="V142" s="60">
        <f>(M$169-Tabell2[[#This Row],[Reisetid Oslo-T]])*100/M$171</f>
        <v>10.417170391953437</v>
      </c>
      <c r="W142" s="60">
        <f>100-(N$169-Tabell2[[#This Row],[beftettotal-T]])*100/N$171</f>
        <v>5.3632868923929919</v>
      </c>
      <c r="X142" s="60">
        <f>100-(O$169-Tabell2[[#This Row],[Befvekst10-T]])*100/O$171</f>
        <v>0</v>
      </c>
      <c r="Y142" s="60">
        <f>100-(P$169-Tabell2[[#This Row],[Kvinneandel-T]])*100/P$171</f>
        <v>11.271272139460109</v>
      </c>
      <c r="Z142" s="60">
        <f>(Q$169-Tabell2[[#This Row],[Eldreandel-T]])*100/Q$171</f>
        <v>0</v>
      </c>
      <c r="AA142" s="60">
        <f>100-(R$169-Tabell2[[#This Row],[Syssvekst10-T]])*100/R$171</f>
        <v>0</v>
      </c>
      <c r="AB142" s="60">
        <f>100-(S$169-Tabell2[[#This Row],[Yrkesaktiveandel-T]])*100/S$171</f>
        <v>50.949943028960242</v>
      </c>
      <c r="AC142" s="60">
        <f>100-(T$169-Tabell2[[#This Row],[Bruttoinntekt17+-T]])*100/T$171</f>
        <v>20.381752184894353</v>
      </c>
      <c r="AD142" s="60">
        <f>Tabell2[[#This Row],[NIBR11-BA-I]]*$AD$2</f>
        <v>0</v>
      </c>
      <c r="AE142" s="60">
        <f>Tabell2[[#This Row],[Reisetid Oslo-I]]*$AE$2</f>
        <v>1.0417170391953439</v>
      </c>
      <c r="AF142" s="60">
        <f>Tabell2[[#This Row],[beftettotal-I]]*$AF$2</f>
        <v>0.53632868923929922</v>
      </c>
      <c r="AG142" s="60">
        <f>Tabell2[[#This Row],[Befvekst10-I]]*$AG$2</f>
        <v>0</v>
      </c>
      <c r="AH142" s="60">
        <f>Tabell2[[#This Row],[Kvinneandel-I]]*$AH$2</f>
        <v>0.56356360697300545</v>
      </c>
      <c r="AI142" s="60">
        <f>Tabell2[[#This Row],[Eldreandel-I]]*$AI$2</f>
        <v>0</v>
      </c>
      <c r="AJ142" s="60">
        <f>Tabell2[[#This Row],[Syssvekst10-I]]*$AJ$2</f>
        <v>0</v>
      </c>
      <c r="AK142" s="60">
        <f>Tabell2[[#This Row],[Yrkesaktiveandel-I]]*$AK$2</f>
        <v>5.0949943028960245</v>
      </c>
      <c r="AL142" s="60">
        <f>Tabell2[[#This Row],[Bruttoinntekt17+-I]]*$AL$2</f>
        <v>2.0381752184894353</v>
      </c>
      <c r="AM142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9.2747788567931089</v>
      </c>
    </row>
    <row r="143" spans="1:39">
      <c r="A143" s="63">
        <v>138</v>
      </c>
      <c r="B143" s="8" t="s">
        <v>193</v>
      </c>
      <c r="C143" s="45">
        <f>Råark!L140</f>
        <v>8</v>
      </c>
      <c r="D143" s="80">
        <f>Råark!K140</f>
        <v>243.20477231894338</v>
      </c>
      <c r="E143" s="80">
        <f>Råark!N140</f>
        <v>8.4339738536170117</v>
      </c>
      <c r="F143" s="80">
        <f>Råark!O140</f>
        <v>3.857003051062069E-3</v>
      </c>
      <c r="G143" s="80">
        <f>Råark!P140</f>
        <v>0.10672095423787131</v>
      </c>
      <c r="H143" s="80">
        <f>Råark!Q140</f>
        <v>0.15385938754444317</v>
      </c>
      <c r="I143" s="80">
        <f>Råark!R140</f>
        <v>2.2894631142053923E-2</v>
      </c>
      <c r="J143" s="80">
        <f>Råark!S140</f>
        <v>0.86207960506016656</v>
      </c>
      <c r="K143" s="80">
        <f>Råark!M140</f>
        <v>317652.35779546126</v>
      </c>
      <c r="L143" s="59">
        <f>Tabell2[[#This Row],[NIBR11BA]]</f>
        <v>8</v>
      </c>
      <c r="M143" s="80">
        <f>IF(Tabell2[[#This Row],[Reisetid Oslo]]&lt;D$167,D$167,IF(Tabell2[[#This Row],[Reisetid Oslo]]&gt;D$168,D$168,Tabell2[[#This Row],[Reisetid Oslo]]))</f>
        <v>243.20477231894338</v>
      </c>
      <c r="N143" s="80">
        <f>IF(Tabell2[[#This Row],[beftettotal]]&lt;E$167,E$167,IF(Tabell2[[#This Row],[beftettotal]]&gt;E$168,E$168,Tabell2[[#This Row],[beftettotal]]))</f>
        <v>8.4339738536170117</v>
      </c>
      <c r="O143" s="80">
        <f>IF(Tabell2[[#This Row],[Befvekst10]]&lt;F$167,F$167,IF(Tabell2[[#This Row],[Befvekst10]]&gt;F$168,F$168,Tabell2[[#This Row],[Befvekst10]]))</f>
        <v>3.857003051062069E-3</v>
      </c>
      <c r="P143" s="80">
        <f>IF(Tabell2[[#This Row],[Kvinneandel]]&lt;G$167,G$167,IF(Tabell2[[#This Row],[Kvinneandel]]&gt;G$168,G$168,Tabell2[[#This Row],[Kvinneandel]]))</f>
        <v>0.10672095423787131</v>
      </c>
      <c r="Q143" s="80">
        <f>IF(Tabell2[[#This Row],[Eldreandel]]&lt;H$167,H$167,IF(Tabell2[[#This Row],[Eldreandel]]&gt;H$168,H$168,Tabell2[[#This Row],[Eldreandel]]))</f>
        <v>0.15385938754444317</v>
      </c>
      <c r="R143" s="80">
        <f>IF(Tabell2[[#This Row],[Syssvekst10]]&lt;I$167,I$167,IF(Tabell2[[#This Row],[Syssvekst10]]&gt;I$168,I$168,Tabell2[[#This Row],[Syssvekst10]]))</f>
        <v>2.2894631142053923E-2</v>
      </c>
      <c r="S143" s="80">
        <f>IF(Tabell2[[#This Row],[Yrkesaktiveandel]]&lt;J$167,J$167,IF(Tabell2[[#This Row],[Yrkesaktiveandel]]&gt;J$168,J$168,Tabell2[[#This Row],[Yrkesaktiveandel]]))</f>
        <v>0.86207960506016656</v>
      </c>
      <c r="T143" s="80">
        <f>IF(Tabell2[[#This Row],[Bruttoinntekt17+]]&lt;K$167,K$167,IF(Tabell2[[#This Row],[Bruttoinntekt17+]]&gt;K$168,K$168,Tabell2[[#This Row],[Bruttoinntekt17+]]))</f>
        <v>317652.35779546126</v>
      </c>
      <c r="U143" s="60">
        <f>IF(Tabell2[[#This Row],[NIBR11-BA-Utrunk]]&lt;=L$170,100,IF(Tabell2[[#This Row],[NIBR11-BA-Utrunk]]&gt;=L$169,0,100-Tabell2[[#This Row],[NIBR11-BA-Utrunk]]*100/L$171))</f>
        <v>20</v>
      </c>
      <c r="V143" s="60">
        <f>(M$169-Tabell2[[#This Row],[Reisetid Oslo-T]])*100/M$171</f>
        <v>40.23817615112543</v>
      </c>
      <c r="W143" s="60">
        <f>100-(N$169-Tabell2[[#This Row],[beftettotal-T]])*100/N$171</f>
        <v>17.273431030324772</v>
      </c>
      <c r="X143" s="60">
        <f>100-(O$169-Tabell2[[#This Row],[Befvekst10-T]])*100/O$171</f>
        <v>57.99001107559458</v>
      </c>
      <c r="Y143" s="60">
        <f>100-(P$169-Tabell2[[#This Row],[Kvinneandel-T]])*100/P$171</f>
        <v>48.659131059818627</v>
      </c>
      <c r="Z143" s="60">
        <f>(Q$169-Tabell2[[#This Row],[Eldreandel-T]])*100/Q$171</f>
        <v>66.527794300601528</v>
      </c>
      <c r="AA143" s="60">
        <f>100-(R$169-Tabell2[[#This Row],[Syssvekst10-T]])*100/R$171</f>
        <v>46.911556797625884</v>
      </c>
      <c r="AB143" s="60">
        <f>100-(S$169-Tabell2[[#This Row],[Yrkesaktiveandel-T]])*100/S$171</f>
        <v>26.866614057205481</v>
      </c>
      <c r="AC143" s="60">
        <f>100-(T$169-Tabell2[[#This Row],[Bruttoinntekt17+-T]])*100/T$171</f>
        <v>39.164607921396559</v>
      </c>
      <c r="AD143" s="60">
        <f>Tabell2[[#This Row],[NIBR11-BA-I]]*$AD$2</f>
        <v>4</v>
      </c>
      <c r="AE143" s="60">
        <f>Tabell2[[#This Row],[Reisetid Oslo-I]]*$AE$2</f>
        <v>4.0238176151125433</v>
      </c>
      <c r="AF143" s="60">
        <f>Tabell2[[#This Row],[beftettotal-I]]*$AF$2</f>
        <v>1.7273431030324773</v>
      </c>
      <c r="AG143" s="60">
        <f>Tabell2[[#This Row],[Befvekst10-I]]*$AG$2</f>
        <v>11.598002215118917</v>
      </c>
      <c r="AH143" s="60">
        <f>Tabell2[[#This Row],[Kvinneandel-I]]*$AH$2</f>
        <v>2.4329565529909316</v>
      </c>
      <c r="AI143" s="60">
        <f>Tabell2[[#This Row],[Eldreandel-I]]*$AI$2</f>
        <v>3.3263897150300767</v>
      </c>
      <c r="AJ143" s="60">
        <f>Tabell2[[#This Row],[Syssvekst10-I]]*$AJ$2</f>
        <v>4.6911556797625886</v>
      </c>
      <c r="AK143" s="60">
        <f>Tabell2[[#This Row],[Yrkesaktiveandel-I]]*$AK$2</f>
        <v>2.6866614057205482</v>
      </c>
      <c r="AL143" s="60">
        <f>Tabell2[[#This Row],[Bruttoinntekt17+-I]]*$AL$2</f>
        <v>3.9164607921396559</v>
      </c>
      <c r="AM143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38.402787078907735</v>
      </c>
    </row>
    <row r="144" spans="1:39">
      <c r="A144" s="64">
        <v>139</v>
      </c>
      <c r="B144" s="8" t="s">
        <v>194</v>
      </c>
      <c r="C144" s="45">
        <f>Råark!L141</f>
        <v>5</v>
      </c>
      <c r="D144" s="80">
        <f>Råark!K141</f>
        <v>252.22639973134523</v>
      </c>
      <c r="E144" s="80">
        <f>Råark!N141</f>
        <v>2.4380535049280851</v>
      </c>
      <c r="F144" s="80">
        <f>Råark!O141</f>
        <v>-1.2130098640362519E-2</v>
      </c>
      <c r="G144" s="80">
        <f>Råark!P141</f>
        <v>9.4184320604506808E-2</v>
      </c>
      <c r="H144" s="80">
        <f>Råark!Q141</f>
        <v>0.17851841856699502</v>
      </c>
      <c r="I144" s="80">
        <f>Råark!R141</f>
        <v>8.6150490730643403E-2</v>
      </c>
      <c r="J144" s="80">
        <f>Råark!S141</f>
        <v>0.87023460410557185</v>
      </c>
      <c r="K144" s="80">
        <f>Råark!M141</f>
        <v>295557.56861424481</v>
      </c>
      <c r="L144" s="59">
        <f>Tabell2[[#This Row],[NIBR11BA]]</f>
        <v>5</v>
      </c>
      <c r="M144" s="80">
        <f>IF(Tabell2[[#This Row],[Reisetid Oslo]]&lt;D$167,D$167,IF(Tabell2[[#This Row],[Reisetid Oslo]]&gt;D$168,D$168,Tabell2[[#This Row],[Reisetid Oslo]]))</f>
        <v>252.22639973134523</v>
      </c>
      <c r="N144" s="80">
        <f>IF(Tabell2[[#This Row],[beftettotal]]&lt;E$167,E$167,IF(Tabell2[[#This Row],[beftettotal]]&gt;E$168,E$168,Tabell2[[#This Row],[beftettotal]]))</f>
        <v>2.4380535049280851</v>
      </c>
      <c r="O144" s="80">
        <f>IF(Tabell2[[#This Row],[Befvekst10]]&lt;F$167,F$167,IF(Tabell2[[#This Row],[Befvekst10]]&gt;F$168,F$168,Tabell2[[#This Row],[Befvekst10]]))</f>
        <v>-1.2130098640362519E-2</v>
      </c>
      <c r="P144" s="80">
        <f>IF(Tabell2[[#This Row],[Kvinneandel]]&lt;G$167,G$167,IF(Tabell2[[#This Row],[Kvinneandel]]&gt;G$168,G$168,Tabell2[[#This Row],[Kvinneandel]]))</f>
        <v>9.4184320604506808E-2</v>
      </c>
      <c r="Q144" s="80">
        <f>IF(Tabell2[[#This Row],[Eldreandel]]&lt;H$167,H$167,IF(Tabell2[[#This Row],[Eldreandel]]&gt;H$168,H$168,Tabell2[[#This Row],[Eldreandel]]))</f>
        <v>0.17851841856699502</v>
      </c>
      <c r="R144" s="80">
        <f>IF(Tabell2[[#This Row],[Syssvekst10]]&lt;I$167,I$167,IF(Tabell2[[#This Row],[Syssvekst10]]&gt;I$168,I$168,Tabell2[[#This Row],[Syssvekst10]]))</f>
        <v>8.6150490730643403E-2</v>
      </c>
      <c r="S144" s="80">
        <f>IF(Tabell2[[#This Row],[Yrkesaktiveandel]]&lt;J$167,J$167,IF(Tabell2[[#This Row],[Yrkesaktiveandel]]&gt;J$168,J$168,Tabell2[[#This Row],[Yrkesaktiveandel]]))</f>
        <v>0.87023460410557185</v>
      </c>
      <c r="T144" s="80">
        <f>IF(Tabell2[[#This Row],[Bruttoinntekt17+]]&lt;K$167,K$167,IF(Tabell2[[#This Row],[Bruttoinntekt17+]]&gt;K$168,K$168,Tabell2[[#This Row],[Bruttoinntekt17+]]))</f>
        <v>295557.56861424481</v>
      </c>
      <c r="U144" s="60">
        <f>IF(Tabell2[[#This Row],[NIBR11-BA-Utrunk]]&lt;=L$170,100,IF(Tabell2[[#This Row],[NIBR11-BA-Utrunk]]&gt;=L$169,0,100-Tabell2[[#This Row],[NIBR11-BA-Utrunk]]*100/L$171))</f>
        <v>50</v>
      </c>
      <c r="V144" s="60">
        <f>(M$169-Tabell2[[#This Row],[Reisetid Oslo-T]])*100/M$171</f>
        <v>35.394157240836499</v>
      </c>
      <c r="W144" s="60">
        <f>100-(N$169-Tabell2[[#This Row],[beftettotal-T]])*100/N$171</f>
        <v>3.3336513485120918</v>
      </c>
      <c r="X144" s="60">
        <f>100-(O$169-Tabell2[[#This Row],[Befvekst10-T]])*100/O$171</f>
        <v>50.820444550892532</v>
      </c>
      <c r="Y144" s="60">
        <f>100-(P$169-Tabell2[[#This Row],[Kvinneandel-T]])*100/P$171</f>
        <v>8.6789798547786603</v>
      </c>
      <c r="Z144" s="60">
        <f>(Q$169-Tabell2[[#This Row],[Eldreandel-T]])*100/Q$171</f>
        <v>33.725290520177829</v>
      </c>
      <c r="AA144" s="60">
        <f>100-(R$169-Tabell2[[#This Row],[Syssvekst10-T]])*100/R$171</f>
        <v>70.783443413155965</v>
      </c>
      <c r="AB144" s="60">
        <f>100-(S$169-Tabell2[[#This Row],[Yrkesaktiveandel-T]])*100/S$171</f>
        <v>33.031109544584382</v>
      </c>
      <c r="AC144" s="60">
        <f>100-(T$169-Tabell2[[#This Row],[Bruttoinntekt17+-T]])*100/T$171</f>
        <v>2.1566310972532534</v>
      </c>
      <c r="AD144" s="60">
        <f>Tabell2[[#This Row],[NIBR11-BA-I]]*$AD$2</f>
        <v>10</v>
      </c>
      <c r="AE144" s="60">
        <f>Tabell2[[#This Row],[Reisetid Oslo-I]]*$AE$2</f>
        <v>3.5394157240836499</v>
      </c>
      <c r="AF144" s="60">
        <f>Tabell2[[#This Row],[beftettotal-I]]*$AF$2</f>
        <v>0.33336513485120922</v>
      </c>
      <c r="AG144" s="60">
        <f>Tabell2[[#This Row],[Befvekst10-I]]*$AG$2</f>
        <v>10.164088910178506</v>
      </c>
      <c r="AH144" s="60">
        <f>Tabell2[[#This Row],[Kvinneandel-I]]*$AH$2</f>
        <v>0.43394899273893306</v>
      </c>
      <c r="AI144" s="60">
        <f>Tabell2[[#This Row],[Eldreandel-I]]*$AI$2</f>
        <v>1.6862645260088915</v>
      </c>
      <c r="AJ144" s="60">
        <f>Tabell2[[#This Row],[Syssvekst10-I]]*$AJ$2</f>
        <v>7.0783443413155966</v>
      </c>
      <c r="AK144" s="60">
        <f>Tabell2[[#This Row],[Yrkesaktiveandel-I]]*$AK$2</f>
        <v>3.3031109544584383</v>
      </c>
      <c r="AL144" s="60">
        <f>Tabell2[[#This Row],[Bruttoinntekt17+-I]]*$AL$2</f>
        <v>0.21566310972532535</v>
      </c>
      <c r="AM144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36.754201693360557</v>
      </c>
    </row>
    <row r="145" spans="1:39">
      <c r="A145" s="63">
        <v>140</v>
      </c>
      <c r="B145" s="8" t="s">
        <v>195</v>
      </c>
      <c r="C145" s="45">
        <f>Råark!L142</f>
        <v>11</v>
      </c>
      <c r="D145" s="80">
        <f>Råark!K142</f>
        <v>297.40674266389999</v>
      </c>
      <c r="E145" s="80">
        <f>Råark!N142</f>
        <v>3.7255770461144744</v>
      </c>
      <c r="F145" s="80">
        <f>Råark!O142</f>
        <v>-4.8696198554822545E-2</v>
      </c>
      <c r="G145" s="80">
        <f>Råark!P142</f>
        <v>9.2800528401585203E-2</v>
      </c>
      <c r="H145" s="80">
        <f>Råark!Q142</f>
        <v>0.19088507265521795</v>
      </c>
      <c r="I145" s="80">
        <f>Råark!R142</f>
        <v>7.8478964401294427E-2</v>
      </c>
      <c r="J145" s="80">
        <f>Råark!S142</f>
        <v>0.87822435512897423</v>
      </c>
      <c r="K145" s="80">
        <f>Råark!M142</f>
        <v>297600</v>
      </c>
      <c r="L145" s="59">
        <f>Tabell2[[#This Row],[NIBR11BA]]</f>
        <v>11</v>
      </c>
      <c r="M145" s="80">
        <f>IF(Tabell2[[#This Row],[Reisetid Oslo]]&lt;D$167,D$167,IF(Tabell2[[#This Row],[Reisetid Oslo]]&gt;D$168,D$168,Tabell2[[#This Row],[Reisetid Oslo]]))</f>
        <v>297.40674266389999</v>
      </c>
      <c r="N145" s="80">
        <f>IF(Tabell2[[#This Row],[beftettotal]]&lt;E$167,E$167,IF(Tabell2[[#This Row],[beftettotal]]&gt;E$168,E$168,Tabell2[[#This Row],[beftettotal]]))</f>
        <v>3.7255770461144744</v>
      </c>
      <c r="O145" s="80">
        <f>IF(Tabell2[[#This Row],[Befvekst10]]&lt;F$167,F$167,IF(Tabell2[[#This Row],[Befvekst10]]&gt;F$168,F$168,Tabell2[[#This Row],[Befvekst10]]))</f>
        <v>-4.8696198554822545E-2</v>
      </c>
      <c r="P145" s="80">
        <f>IF(Tabell2[[#This Row],[Kvinneandel]]&lt;G$167,G$167,IF(Tabell2[[#This Row],[Kvinneandel]]&gt;G$168,G$168,Tabell2[[#This Row],[Kvinneandel]]))</f>
        <v>9.2800528401585203E-2</v>
      </c>
      <c r="Q145" s="80">
        <f>IF(Tabell2[[#This Row],[Eldreandel]]&lt;H$167,H$167,IF(Tabell2[[#This Row],[Eldreandel]]&gt;H$168,H$168,Tabell2[[#This Row],[Eldreandel]]))</f>
        <v>0.19088507265521795</v>
      </c>
      <c r="R145" s="80">
        <f>IF(Tabell2[[#This Row],[Syssvekst10]]&lt;I$167,I$167,IF(Tabell2[[#This Row],[Syssvekst10]]&gt;I$168,I$168,Tabell2[[#This Row],[Syssvekst10]]))</f>
        <v>7.8478964401294427E-2</v>
      </c>
      <c r="S145" s="80">
        <f>IF(Tabell2[[#This Row],[Yrkesaktiveandel]]&lt;J$167,J$167,IF(Tabell2[[#This Row],[Yrkesaktiveandel]]&gt;J$168,J$168,Tabell2[[#This Row],[Yrkesaktiveandel]]))</f>
        <v>0.87822435512897423</v>
      </c>
      <c r="T145" s="80">
        <f>IF(Tabell2[[#This Row],[Bruttoinntekt17+]]&lt;K$167,K$167,IF(Tabell2[[#This Row],[Bruttoinntekt17+]]&gt;K$168,K$168,Tabell2[[#This Row],[Bruttoinntekt17+]]))</f>
        <v>297600</v>
      </c>
      <c r="U145" s="60">
        <f>IF(Tabell2[[#This Row],[NIBR11-BA-Utrunk]]&lt;=L$170,100,IF(Tabell2[[#This Row],[NIBR11-BA-Utrunk]]&gt;=L$169,0,100-Tabell2[[#This Row],[NIBR11-BA-Utrunk]]*100/L$171))</f>
        <v>0</v>
      </c>
      <c r="V145" s="60">
        <f>(M$169-Tabell2[[#This Row],[Reisetid Oslo-T]])*100/M$171</f>
        <v>11.135292899156896</v>
      </c>
      <c r="W145" s="60">
        <f>100-(N$169-Tabell2[[#This Row],[beftettotal-T]])*100/N$171</f>
        <v>6.3269857251453629</v>
      </c>
      <c r="X145" s="60">
        <f>100-(O$169-Tabell2[[#This Row],[Befvekst10-T]])*100/O$171</f>
        <v>34.422032196622851</v>
      </c>
      <c r="Y145" s="60">
        <f>100-(P$169-Tabell2[[#This Row],[Kvinneandel-T]])*100/P$171</f>
        <v>4.2659752853603266</v>
      </c>
      <c r="Z145" s="60">
        <f>(Q$169-Tabell2[[#This Row],[Eldreandel-T]])*100/Q$171</f>
        <v>17.274635297386133</v>
      </c>
      <c r="AA145" s="60">
        <f>100-(R$169-Tabell2[[#This Row],[Syssvekst10-T]])*100/R$171</f>
        <v>67.888315469383514</v>
      </c>
      <c r="AB145" s="60">
        <f>100-(S$169-Tabell2[[#This Row],[Yrkesaktiveandel-T]])*100/S$171</f>
        <v>39.070691383259778</v>
      </c>
      <c r="AC145" s="60">
        <f>100-(T$169-Tabell2[[#This Row],[Bruttoinntekt17+-T]])*100/T$171</f>
        <v>5.5776301739581697</v>
      </c>
      <c r="AD145" s="60">
        <f>Tabell2[[#This Row],[NIBR11-BA-I]]*$AD$2</f>
        <v>0</v>
      </c>
      <c r="AE145" s="60">
        <f>Tabell2[[#This Row],[Reisetid Oslo-I]]*$AE$2</f>
        <v>1.1135292899156897</v>
      </c>
      <c r="AF145" s="60">
        <f>Tabell2[[#This Row],[beftettotal-I]]*$AF$2</f>
        <v>0.63269857251453632</v>
      </c>
      <c r="AG145" s="60">
        <f>Tabell2[[#This Row],[Befvekst10-I]]*$AG$2</f>
        <v>6.8844064393245707</v>
      </c>
      <c r="AH145" s="60">
        <f>Tabell2[[#This Row],[Kvinneandel-I]]*$AH$2</f>
        <v>0.21329876426801633</v>
      </c>
      <c r="AI145" s="60">
        <f>Tabell2[[#This Row],[Eldreandel-I]]*$AI$2</f>
        <v>0.8637317648693067</v>
      </c>
      <c r="AJ145" s="60">
        <f>Tabell2[[#This Row],[Syssvekst10-I]]*$AJ$2</f>
        <v>6.7888315469383516</v>
      </c>
      <c r="AK145" s="60">
        <f>Tabell2[[#This Row],[Yrkesaktiveandel-I]]*$AK$2</f>
        <v>3.9070691383259781</v>
      </c>
      <c r="AL145" s="60">
        <f>Tabell2[[#This Row],[Bruttoinntekt17+-I]]*$AL$2</f>
        <v>0.55776301739581702</v>
      </c>
      <c r="AM145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20.961328533552265</v>
      </c>
    </row>
    <row r="146" spans="1:39">
      <c r="A146" s="64">
        <v>141</v>
      </c>
      <c r="B146" s="8" t="s">
        <v>196</v>
      </c>
      <c r="C146" s="45">
        <f>Råark!L143</f>
        <v>11</v>
      </c>
      <c r="D146" s="80">
        <f>Råark!K143</f>
        <v>297.9257134513</v>
      </c>
      <c r="E146" s="80">
        <f>Råark!N143</f>
        <v>2.229845626072041</v>
      </c>
      <c r="F146" s="80">
        <f>Råark!O143</f>
        <v>-5.7167235494880564E-2</v>
      </c>
      <c r="G146" s="80">
        <f>Råark!P143</f>
        <v>0.10226244343891402</v>
      </c>
      <c r="H146" s="80">
        <f>Råark!Q143</f>
        <v>0.18914027149321266</v>
      </c>
      <c r="I146" s="80">
        <f>Råark!R143</f>
        <v>-4.3478260869565188E-2</v>
      </c>
      <c r="J146" s="80">
        <f>Råark!S143</f>
        <v>0.8287781350482315</v>
      </c>
      <c r="K146" s="80">
        <f>Råark!M143</f>
        <v>276000</v>
      </c>
      <c r="L146" s="59">
        <f>Tabell2[[#This Row],[NIBR11BA]]</f>
        <v>11</v>
      </c>
      <c r="M146" s="80">
        <f>IF(Tabell2[[#This Row],[Reisetid Oslo]]&lt;D$167,D$167,IF(Tabell2[[#This Row],[Reisetid Oslo]]&gt;D$168,D$168,Tabell2[[#This Row],[Reisetid Oslo]]))</f>
        <v>297.9257134513</v>
      </c>
      <c r="N146" s="80">
        <f>IF(Tabell2[[#This Row],[beftettotal]]&lt;E$167,E$167,IF(Tabell2[[#This Row],[beftettotal]]&gt;E$168,E$168,Tabell2[[#This Row],[beftettotal]]))</f>
        <v>2.229845626072041</v>
      </c>
      <c r="O146" s="80">
        <f>IF(Tabell2[[#This Row],[Befvekst10]]&lt;F$167,F$167,IF(Tabell2[[#This Row],[Befvekst10]]&gt;F$168,F$168,Tabell2[[#This Row],[Befvekst10]]))</f>
        <v>-5.7167235494880564E-2</v>
      </c>
      <c r="P146" s="80">
        <f>IF(Tabell2[[#This Row],[Kvinneandel]]&lt;G$167,G$167,IF(Tabell2[[#This Row],[Kvinneandel]]&gt;G$168,G$168,Tabell2[[#This Row],[Kvinneandel]]))</f>
        <v>0.10226244343891402</v>
      </c>
      <c r="Q146" s="80">
        <f>IF(Tabell2[[#This Row],[Eldreandel]]&lt;H$167,H$167,IF(Tabell2[[#This Row],[Eldreandel]]&gt;H$168,H$168,Tabell2[[#This Row],[Eldreandel]]))</f>
        <v>0.18914027149321266</v>
      </c>
      <c r="R146" s="80">
        <f>IF(Tabell2[[#This Row],[Syssvekst10]]&lt;I$167,I$167,IF(Tabell2[[#This Row],[Syssvekst10]]&gt;I$168,I$168,Tabell2[[#This Row],[Syssvekst10]]))</f>
        <v>-4.3478260869565188E-2</v>
      </c>
      <c r="S146" s="80">
        <f>IF(Tabell2[[#This Row],[Yrkesaktiveandel]]&lt;J$167,J$167,IF(Tabell2[[#This Row],[Yrkesaktiveandel]]&gt;J$168,J$168,Tabell2[[#This Row],[Yrkesaktiveandel]]))</f>
        <v>0.8287781350482315</v>
      </c>
      <c r="T146" s="80">
        <f>IF(Tabell2[[#This Row],[Bruttoinntekt17+]]&lt;K$167,K$167,IF(Tabell2[[#This Row],[Bruttoinntekt17+]]&gt;K$168,K$168,Tabell2[[#This Row],[Bruttoinntekt17+]]))</f>
        <v>294270</v>
      </c>
      <c r="U146" s="60">
        <f>IF(Tabell2[[#This Row],[NIBR11-BA-Utrunk]]&lt;=L$170,100,IF(Tabell2[[#This Row],[NIBR11-BA-Utrunk]]&gt;=L$169,0,100-Tabell2[[#This Row],[NIBR11-BA-Utrunk]]*100/L$171))</f>
        <v>0</v>
      </c>
      <c r="V146" s="60">
        <f>(M$169-Tabell2[[#This Row],[Reisetid Oslo-T]])*100/M$171</f>
        <v>10.856639814393347</v>
      </c>
      <c r="W146" s="60">
        <f>100-(N$169-Tabell2[[#This Row],[beftettotal-T]])*100/N$171</f>
        <v>2.8495935574666333</v>
      </c>
      <c r="X146" s="60">
        <f>100-(O$169-Tabell2[[#This Row],[Befvekst10-T]])*100/O$171</f>
        <v>30.623115792185914</v>
      </c>
      <c r="Y146" s="60">
        <f>100-(P$169-Tabell2[[#This Row],[Kvinneandel-T]])*100/P$171</f>
        <v>34.440646169487039</v>
      </c>
      <c r="Z146" s="60">
        <f>(Q$169-Tabell2[[#This Row],[Eldreandel-T]])*100/Q$171</f>
        <v>19.595644856132502</v>
      </c>
      <c r="AA146" s="60">
        <f>100-(R$169-Tabell2[[#This Row],[Syssvekst10-T]])*100/R$171</f>
        <v>21.86334525246167</v>
      </c>
      <c r="AB146" s="60">
        <f>100-(S$169-Tabell2[[#This Row],[Yrkesaktiveandel-T]])*100/S$171</f>
        <v>1.6934950330750382</v>
      </c>
      <c r="AC146" s="60">
        <f>100-(T$169-Tabell2[[#This Row],[Bruttoinntekt17+-T]])*100/T$171</f>
        <v>0</v>
      </c>
      <c r="AD146" s="60">
        <f>Tabell2[[#This Row],[NIBR11-BA-I]]*$AD$2</f>
        <v>0</v>
      </c>
      <c r="AE146" s="60">
        <f>Tabell2[[#This Row],[Reisetid Oslo-I]]*$AE$2</f>
        <v>1.0856639814393347</v>
      </c>
      <c r="AF146" s="60">
        <f>Tabell2[[#This Row],[beftettotal-I]]*$AF$2</f>
        <v>0.28495935574666337</v>
      </c>
      <c r="AG146" s="60">
        <f>Tabell2[[#This Row],[Befvekst10-I]]*$AG$2</f>
        <v>6.1246231584371831</v>
      </c>
      <c r="AH146" s="60">
        <f>Tabell2[[#This Row],[Kvinneandel-I]]*$AH$2</f>
        <v>1.7220323084743521</v>
      </c>
      <c r="AI146" s="60">
        <f>Tabell2[[#This Row],[Eldreandel-I]]*$AI$2</f>
        <v>0.97978224280662518</v>
      </c>
      <c r="AJ146" s="60">
        <f>Tabell2[[#This Row],[Syssvekst10-I]]*$AJ$2</f>
        <v>2.186334525246167</v>
      </c>
      <c r="AK146" s="60">
        <f>Tabell2[[#This Row],[Yrkesaktiveandel-I]]*$AK$2</f>
        <v>0.16934950330750384</v>
      </c>
      <c r="AL146" s="60">
        <f>Tabell2[[#This Row],[Bruttoinntekt17+-I]]*$AL$2</f>
        <v>0</v>
      </c>
      <c r="AM146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12.55274507545783</v>
      </c>
    </row>
    <row r="147" spans="1:39">
      <c r="A147" s="63">
        <v>142</v>
      </c>
      <c r="B147" s="8" t="s">
        <v>197</v>
      </c>
      <c r="C147" s="45">
        <f>Råark!L144</f>
        <v>9</v>
      </c>
      <c r="D147" s="80">
        <f>Råark!K144</f>
        <v>275.35993341902235</v>
      </c>
      <c r="E147" s="80">
        <f>Råark!N144</f>
        <v>1.9661656827738616</v>
      </c>
      <c r="F147" s="80">
        <f>Råark!O144</f>
        <v>-8.5128337417773592E-3</v>
      </c>
      <c r="G147" s="80">
        <f>Råark!P144</f>
        <v>0.11109665669311825</v>
      </c>
      <c r="H147" s="80">
        <f>Råark!Q144</f>
        <v>0.15779888122804736</v>
      </c>
      <c r="I147" s="80">
        <f>Råark!R144</f>
        <v>2.895981087470445E-2</v>
      </c>
      <c r="J147" s="80">
        <f>Råark!S144</f>
        <v>0.86837844089752492</v>
      </c>
      <c r="K147" s="80">
        <f>Råark!M144</f>
        <v>306038.13503769255</v>
      </c>
      <c r="L147" s="59">
        <f>Tabell2[[#This Row],[NIBR11BA]]</f>
        <v>9</v>
      </c>
      <c r="M147" s="80">
        <f>IF(Tabell2[[#This Row],[Reisetid Oslo]]&lt;D$167,D$167,IF(Tabell2[[#This Row],[Reisetid Oslo]]&gt;D$168,D$168,Tabell2[[#This Row],[Reisetid Oslo]]))</f>
        <v>275.35993341902235</v>
      </c>
      <c r="N147" s="80">
        <f>IF(Tabell2[[#This Row],[beftettotal]]&lt;E$167,E$167,IF(Tabell2[[#This Row],[beftettotal]]&gt;E$168,E$168,Tabell2[[#This Row],[beftettotal]]))</f>
        <v>1.9661656827738616</v>
      </c>
      <c r="O147" s="80">
        <f>IF(Tabell2[[#This Row],[Befvekst10]]&lt;F$167,F$167,IF(Tabell2[[#This Row],[Befvekst10]]&gt;F$168,F$168,Tabell2[[#This Row],[Befvekst10]]))</f>
        <v>-8.5128337417773592E-3</v>
      </c>
      <c r="P147" s="80">
        <f>IF(Tabell2[[#This Row],[Kvinneandel]]&lt;G$167,G$167,IF(Tabell2[[#This Row],[Kvinneandel]]&gt;G$168,G$168,Tabell2[[#This Row],[Kvinneandel]]))</f>
        <v>0.11109665669311825</v>
      </c>
      <c r="Q147" s="80">
        <f>IF(Tabell2[[#This Row],[Eldreandel]]&lt;H$167,H$167,IF(Tabell2[[#This Row],[Eldreandel]]&gt;H$168,H$168,Tabell2[[#This Row],[Eldreandel]]))</f>
        <v>0.15779888122804736</v>
      </c>
      <c r="R147" s="80">
        <f>IF(Tabell2[[#This Row],[Syssvekst10]]&lt;I$167,I$167,IF(Tabell2[[#This Row],[Syssvekst10]]&gt;I$168,I$168,Tabell2[[#This Row],[Syssvekst10]]))</f>
        <v>2.895981087470445E-2</v>
      </c>
      <c r="S147" s="80">
        <f>IF(Tabell2[[#This Row],[Yrkesaktiveandel]]&lt;J$167,J$167,IF(Tabell2[[#This Row],[Yrkesaktiveandel]]&gt;J$168,J$168,Tabell2[[#This Row],[Yrkesaktiveandel]]))</f>
        <v>0.86837844089752492</v>
      </c>
      <c r="T147" s="80">
        <f>IF(Tabell2[[#This Row],[Bruttoinntekt17+]]&lt;K$167,K$167,IF(Tabell2[[#This Row],[Bruttoinntekt17+]]&gt;K$168,K$168,Tabell2[[#This Row],[Bruttoinntekt17+]]))</f>
        <v>306038.13503769255</v>
      </c>
      <c r="U147" s="60">
        <f>IF(Tabell2[[#This Row],[NIBR11-BA-Utrunk]]&lt;=L$170,100,IF(Tabell2[[#This Row],[NIBR11-BA-Utrunk]]&gt;=L$169,0,100-Tabell2[[#This Row],[NIBR11-BA-Utrunk]]*100/L$171))</f>
        <v>10</v>
      </c>
      <c r="V147" s="60">
        <f>(M$169-Tabell2[[#This Row],[Reisetid Oslo-T]])*100/M$171</f>
        <v>22.97297539388186</v>
      </c>
      <c r="W147" s="60">
        <f>100-(N$169-Tabell2[[#This Row],[beftettotal-T]])*100/N$171</f>
        <v>2.2365700177371366</v>
      </c>
      <c r="X147" s="60">
        <f>100-(O$169-Tabell2[[#This Row],[Befvekst10-T]])*100/O$171</f>
        <v>52.442641108370296</v>
      </c>
      <c r="Y147" s="60">
        <f>100-(P$169-Tabell2[[#This Row],[Kvinneandel-T]])*100/P$171</f>
        <v>62.613534682451053</v>
      </c>
      <c r="Z147" s="60">
        <f>(Q$169-Tabell2[[#This Row],[Eldreandel-T]])*100/Q$171</f>
        <v>61.287310344390953</v>
      </c>
      <c r="AA147" s="60">
        <f>100-(R$169-Tabell2[[#This Row],[Syssvekst10-T]])*100/R$171</f>
        <v>49.200471750680478</v>
      </c>
      <c r="AB147" s="60">
        <f>100-(S$169-Tabell2[[#This Row],[Yrkesaktiveandel-T]])*100/S$171</f>
        <v>31.628005797283407</v>
      </c>
      <c r="AC147" s="60">
        <f>100-(T$169-Tabell2[[#This Row],[Bruttoinntekt17+-T]])*100/T$171</f>
        <v>19.711202725960433</v>
      </c>
      <c r="AD147" s="60">
        <f>Tabell2[[#This Row],[NIBR11-BA-I]]*$AD$2</f>
        <v>2</v>
      </c>
      <c r="AE147" s="60">
        <f>Tabell2[[#This Row],[Reisetid Oslo-I]]*$AE$2</f>
        <v>2.297297539388186</v>
      </c>
      <c r="AF147" s="60">
        <f>Tabell2[[#This Row],[beftettotal-I]]*$AF$2</f>
        <v>0.22365700177371367</v>
      </c>
      <c r="AG147" s="60">
        <f>Tabell2[[#This Row],[Befvekst10-I]]*$AG$2</f>
        <v>10.488528221674059</v>
      </c>
      <c r="AH147" s="60">
        <f>Tabell2[[#This Row],[Kvinneandel-I]]*$AH$2</f>
        <v>3.1306767341225528</v>
      </c>
      <c r="AI147" s="60">
        <f>Tabell2[[#This Row],[Eldreandel-I]]*$AI$2</f>
        <v>3.0643655172195476</v>
      </c>
      <c r="AJ147" s="60">
        <f>Tabell2[[#This Row],[Syssvekst10-I]]*$AJ$2</f>
        <v>4.9200471750680483</v>
      </c>
      <c r="AK147" s="60">
        <f>Tabell2[[#This Row],[Yrkesaktiveandel-I]]*$AK$2</f>
        <v>3.1628005797283407</v>
      </c>
      <c r="AL147" s="60">
        <f>Tabell2[[#This Row],[Bruttoinntekt17+-I]]*$AL$2</f>
        <v>1.9711202725960435</v>
      </c>
      <c r="AM147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31.258493041570492</v>
      </c>
    </row>
    <row r="148" spans="1:39">
      <c r="A148" s="64">
        <v>143</v>
      </c>
      <c r="B148" s="8" t="s">
        <v>198</v>
      </c>
      <c r="C148" s="45">
        <f>Råark!L145</f>
        <v>11</v>
      </c>
      <c r="D148" s="80">
        <f>Råark!K145</f>
        <v>305.6538932638</v>
      </c>
      <c r="E148" s="80">
        <f>Råark!N145</f>
        <v>0.60903881910977875</v>
      </c>
      <c r="F148" s="80">
        <f>Råark!O145</f>
        <v>-0.10957004160887651</v>
      </c>
      <c r="G148" s="80">
        <f>Råark!P145</f>
        <v>8.2554517133956382E-2</v>
      </c>
      <c r="H148" s="80">
        <f>Råark!Q145</f>
        <v>0.21261682242990654</v>
      </c>
      <c r="I148" s="80">
        <f>Råark!R145</f>
        <v>-6.0000000000000053E-3</v>
      </c>
      <c r="J148" s="80">
        <f>Råark!S145</f>
        <v>0.84570596797671038</v>
      </c>
      <c r="K148" s="80">
        <f>Råark!M145</f>
        <v>301100</v>
      </c>
      <c r="L148" s="59">
        <f>Tabell2[[#This Row],[NIBR11BA]]</f>
        <v>11</v>
      </c>
      <c r="M148" s="80">
        <f>IF(Tabell2[[#This Row],[Reisetid Oslo]]&lt;D$167,D$167,IF(Tabell2[[#This Row],[Reisetid Oslo]]&gt;D$168,D$168,Tabell2[[#This Row],[Reisetid Oslo]]))</f>
        <v>305.6538932638</v>
      </c>
      <c r="N148" s="80">
        <f>IF(Tabell2[[#This Row],[beftettotal]]&lt;E$167,E$167,IF(Tabell2[[#This Row],[beftettotal]]&gt;E$168,E$168,Tabell2[[#This Row],[beftettotal]]))</f>
        <v>1.0041493534832273</v>
      </c>
      <c r="O148" s="80">
        <f>IF(Tabell2[[#This Row],[Befvekst10]]&lt;F$167,F$167,IF(Tabell2[[#This Row],[Befvekst10]]&gt;F$168,F$168,Tabell2[[#This Row],[Befvekst10]]))</f>
        <v>-0.10957004160887651</v>
      </c>
      <c r="P148" s="80">
        <f>IF(Tabell2[[#This Row],[Kvinneandel]]&lt;G$167,G$167,IF(Tabell2[[#This Row],[Kvinneandel]]&gt;G$168,G$168,Tabell2[[#This Row],[Kvinneandel]]))</f>
        <v>9.1462840383166502E-2</v>
      </c>
      <c r="Q148" s="80">
        <f>IF(Tabell2[[#This Row],[Eldreandel]]&lt;H$167,H$167,IF(Tabell2[[#This Row],[Eldreandel]]&gt;H$168,H$168,Tabell2[[#This Row],[Eldreandel]]))</f>
        <v>0.20387114745465851</v>
      </c>
      <c r="R148" s="80">
        <f>IF(Tabell2[[#This Row],[Syssvekst10]]&lt;I$167,I$167,IF(Tabell2[[#This Row],[Syssvekst10]]&gt;I$168,I$168,Tabell2[[#This Row],[Syssvekst10]]))</f>
        <v>-6.0000000000000053E-3</v>
      </c>
      <c r="S148" s="80">
        <f>IF(Tabell2[[#This Row],[Yrkesaktiveandel]]&lt;J$167,J$167,IF(Tabell2[[#This Row],[Yrkesaktiveandel]]&gt;J$168,J$168,Tabell2[[#This Row],[Yrkesaktiveandel]]))</f>
        <v>0.84570596797671038</v>
      </c>
      <c r="T148" s="80">
        <f>IF(Tabell2[[#This Row],[Bruttoinntekt17+]]&lt;K$167,K$167,IF(Tabell2[[#This Row],[Bruttoinntekt17+]]&gt;K$168,K$168,Tabell2[[#This Row],[Bruttoinntekt17+]]))</f>
        <v>301100</v>
      </c>
      <c r="U148" s="60">
        <f>IF(Tabell2[[#This Row],[NIBR11-BA-Utrunk]]&lt;=L$170,100,IF(Tabell2[[#This Row],[NIBR11-BA-Utrunk]]&gt;=L$169,0,100-Tabell2[[#This Row],[NIBR11-BA-Utrunk]]*100/L$171))</f>
        <v>0</v>
      </c>
      <c r="V148" s="60">
        <f>(M$169-Tabell2[[#This Row],[Reisetid Oslo-T]])*100/M$171</f>
        <v>6.7071169575303529</v>
      </c>
      <c r="W148" s="60">
        <f>100-(N$169-Tabell2[[#This Row],[beftettotal-T]])*100/N$171</f>
        <v>0</v>
      </c>
      <c r="X148" s="60">
        <f>100-(O$169-Tabell2[[#This Row],[Befvekst10-T]])*100/O$171</f>
        <v>7.1225831899016754</v>
      </c>
      <c r="Y148" s="60">
        <f>100-(P$169-Tabell2[[#This Row],[Kvinneandel-T]])*100/P$171</f>
        <v>0</v>
      </c>
      <c r="Z148" s="60">
        <f>(Q$169-Tabell2[[#This Row],[Eldreandel-T]])*100/Q$171</f>
        <v>0</v>
      </c>
      <c r="AA148" s="60">
        <f>100-(R$169-Tabell2[[#This Row],[Syssvekst10-T]])*100/R$171</f>
        <v>36.007122601222981</v>
      </c>
      <c r="AB148" s="60">
        <f>100-(S$169-Tabell2[[#This Row],[Yrkesaktiveandel-T]])*100/S$171</f>
        <v>14.48951734009249</v>
      </c>
      <c r="AC148" s="60">
        <f>100-(T$169-Tabell2[[#This Row],[Bruttoinntekt17+-T]])*100/T$171</f>
        <v>11.440004230670951</v>
      </c>
      <c r="AD148" s="60">
        <f>Tabell2[[#This Row],[NIBR11-BA-I]]*$AD$2</f>
        <v>0</v>
      </c>
      <c r="AE148" s="60">
        <f>Tabell2[[#This Row],[Reisetid Oslo-I]]*$AE$2</f>
        <v>0.67071169575303535</v>
      </c>
      <c r="AF148" s="60">
        <f>Tabell2[[#This Row],[beftettotal-I]]*$AF$2</f>
        <v>0</v>
      </c>
      <c r="AG148" s="60">
        <f>Tabell2[[#This Row],[Befvekst10-I]]*$AG$2</f>
        <v>1.4245166379803351</v>
      </c>
      <c r="AH148" s="60">
        <f>Tabell2[[#This Row],[Kvinneandel-I]]*$AH$2</f>
        <v>0</v>
      </c>
      <c r="AI148" s="60">
        <f>Tabell2[[#This Row],[Eldreandel-I]]*$AI$2</f>
        <v>0</v>
      </c>
      <c r="AJ148" s="60">
        <f>Tabell2[[#This Row],[Syssvekst10-I]]*$AJ$2</f>
        <v>3.6007122601222985</v>
      </c>
      <c r="AK148" s="60">
        <f>Tabell2[[#This Row],[Yrkesaktiveandel-I]]*$AK$2</f>
        <v>1.448951734009249</v>
      </c>
      <c r="AL148" s="60">
        <f>Tabell2[[#This Row],[Bruttoinntekt17+-I]]*$AL$2</f>
        <v>1.144000423067095</v>
      </c>
      <c r="AM148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8.2888927509320123</v>
      </c>
    </row>
    <row r="149" spans="1:39">
      <c r="A149" s="63">
        <v>144</v>
      </c>
      <c r="B149" s="8" t="s">
        <v>199</v>
      </c>
      <c r="C149" s="45">
        <f>Råark!L146</f>
        <v>11</v>
      </c>
      <c r="D149" s="80">
        <f>Råark!K146</f>
        <v>281.11028675544003</v>
      </c>
      <c r="E149" s="80">
        <f>Råark!N146</f>
        <v>3.533839594990674</v>
      </c>
      <c r="F149" s="80">
        <f>Råark!O146</f>
        <v>-0.17942768754833716</v>
      </c>
      <c r="G149" s="80">
        <f>Råark!P146</f>
        <v>0.1055607917059378</v>
      </c>
      <c r="H149" s="80">
        <f>Råark!Q146</f>
        <v>0.17295004712535345</v>
      </c>
      <c r="I149" s="80">
        <f>Råark!R146</f>
        <v>-0.22357019064124783</v>
      </c>
      <c r="J149" s="80">
        <f>Råark!S146</f>
        <v>0.77158555729984302</v>
      </c>
      <c r="K149" s="80">
        <f>Råark!M146</f>
        <v>299000</v>
      </c>
      <c r="L149" s="59">
        <f>Tabell2[[#This Row],[NIBR11BA]]</f>
        <v>11</v>
      </c>
      <c r="M149" s="80">
        <f>IF(Tabell2[[#This Row],[Reisetid Oslo]]&lt;D$167,D$167,IF(Tabell2[[#This Row],[Reisetid Oslo]]&gt;D$168,D$168,Tabell2[[#This Row],[Reisetid Oslo]]))</f>
        <v>281.11028675544003</v>
      </c>
      <c r="N149" s="80">
        <f>IF(Tabell2[[#This Row],[beftettotal]]&lt;E$167,E$167,IF(Tabell2[[#This Row],[beftettotal]]&gt;E$168,E$168,Tabell2[[#This Row],[beftettotal]]))</f>
        <v>3.533839594990674</v>
      </c>
      <c r="O149" s="80">
        <f>IF(Tabell2[[#This Row],[Befvekst10]]&lt;F$167,F$167,IF(Tabell2[[#This Row],[Befvekst10]]&gt;F$168,F$168,Tabell2[[#This Row],[Befvekst10]]))</f>
        <v>-0.12545237722432315</v>
      </c>
      <c r="P149" s="80">
        <f>IF(Tabell2[[#This Row],[Kvinneandel]]&lt;G$167,G$167,IF(Tabell2[[#This Row],[Kvinneandel]]&gt;G$168,G$168,Tabell2[[#This Row],[Kvinneandel]]))</f>
        <v>0.1055607917059378</v>
      </c>
      <c r="Q149" s="80">
        <f>IF(Tabell2[[#This Row],[Eldreandel]]&lt;H$167,H$167,IF(Tabell2[[#This Row],[Eldreandel]]&gt;H$168,H$168,Tabell2[[#This Row],[Eldreandel]]))</f>
        <v>0.17295004712535345</v>
      </c>
      <c r="R149" s="80">
        <f>IF(Tabell2[[#This Row],[Syssvekst10]]&lt;I$167,I$167,IF(Tabell2[[#This Row],[Syssvekst10]]&gt;I$168,I$168,Tabell2[[#This Row],[Syssvekst10]]))</f>
        <v>-0.10141187624317609</v>
      </c>
      <c r="S149" s="80">
        <f>IF(Tabell2[[#This Row],[Yrkesaktiveandel]]&lt;J$167,J$167,IF(Tabell2[[#This Row],[Yrkesaktiveandel]]&gt;J$168,J$168,Tabell2[[#This Row],[Yrkesaktiveandel]]))</f>
        <v>0.82653781377516045</v>
      </c>
      <c r="T149" s="80">
        <f>IF(Tabell2[[#This Row],[Bruttoinntekt17+]]&lt;K$167,K$167,IF(Tabell2[[#This Row],[Bruttoinntekt17+]]&gt;K$168,K$168,Tabell2[[#This Row],[Bruttoinntekt17+]]))</f>
        <v>299000</v>
      </c>
      <c r="U149" s="60">
        <f>IF(Tabell2[[#This Row],[NIBR11-BA-Utrunk]]&lt;=L$170,100,IF(Tabell2[[#This Row],[NIBR11-BA-Utrunk]]&gt;=L$169,0,100-Tabell2[[#This Row],[NIBR11-BA-Utrunk]]*100/L$171))</f>
        <v>0</v>
      </c>
      <c r="V149" s="60">
        <f>(M$169-Tabell2[[#This Row],[Reisetid Oslo-T]])*100/M$171</f>
        <v>19.885414909599518</v>
      </c>
      <c r="W149" s="60">
        <f>100-(N$169-Tabell2[[#This Row],[beftettotal-T]])*100/N$171</f>
        <v>5.8812196592231345</v>
      </c>
      <c r="X149" s="60">
        <f>100-(O$169-Tabell2[[#This Row],[Befvekst10-T]])*100/O$171</f>
        <v>0</v>
      </c>
      <c r="Y149" s="60">
        <f>100-(P$169-Tabell2[[#This Row],[Kvinneandel-T]])*100/P$171</f>
        <v>44.959296255227954</v>
      </c>
      <c r="Z149" s="60">
        <f>(Q$169-Tabell2[[#This Row],[Eldreandel-T]])*100/Q$171</f>
        <v>41.132577736703205</v>
      </c>
      <c r="AA149" s="60">
        <f>100-(R$169-Tabell2[[#This Row],[Syssvekst10-T]])*100/R$171</f>
        <v>0</v>
      </c>
      <c r="AB149" s="60">
        <f>100-(S$169-Tabell2[[#This Row],[Yrkesaktiveandel-T]])*100/S$171</f>
        <v>0</v>
      </c>
      <c r="AC149" s="60">
        <f>100-(T$169-Tabell2[[#This Row],[Bruttoinntekt17+-T]])*100/T$171</f>
        <v>7.9225797966432765</v>
      </c>
      <c r="AD149" s="60">
        <f>Tabell2[[#This Row],[NIBR11-BA-I]]*$AD$2</f>
        <v>0</v>
      </c>
      <c r="AE149" s="60">
        <f>Tabell2[[#This Row],[Reisetid Oslo-I]]*$AE$2</f>
        <v>1.9885414909599519</v>
      </c>
      <c r="AF149" s="60">
        <f>Tabell2[[#This Row],[beftettotal-I]]*$AF$2</f>
        <v>0.58812196592231347</v>
      </c>
      <c r="AG149" s="60">
        <f>Tabell2[[#This Row],[Befvekst10-I]]*$AG$2</f>
        <v>0</v>
      </c>
      <c r="AH149" s="60">
        <f>Tabell2[[#This Row],[Kvinneandel-I]]*$AH$2</f>
        <v>2.2479648127613978</v>
      </c>
      <c r="AI149" s="60">
        <f>Tabell2[[#This Row],[Eldreandel-I]]*$AI$2</f>
        <v>2.0566288868351603</v>
      </c>
      <c r="AJ149" s="60">
        <f>Tabell2[[#This Row],[Syssvekst10-I]]*$AJ$2</f>
        <v>0</v>
      </c>
      <c r="AK149" s="60">
        <f>Tabell2[[#This Row],[Yrkesaktiveandel-I]]*$AK$2</f>
        <v>0</v>
      </c>
      <c r="AL149" s="60">
        <f>Tabell2[[#This Row],[Bruttoinntekt17+-I]]*$AL$2</f>
        <v>0.79225797966432765</v>
      </c>
      <c r="AM149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7.6735151361431502</v>
      </c>
    </row>
    <row r="150" spans="1:39">
      <c r="A150" s="64">
        <v>145</v>
      </c>
      <c r="B150" s="8" t="s">
        <v>200</v>
      </c>
      <c r="C150" s="45">
        <f>Råark!L147</f>
        <v>7</v>
      </c>
      <c r="D150" s="80">
        <f>Råark!K147</f>
        <v>279.01541226082253</v>
      </c>
      <c r="E150" s="80">
        <f>Råark!N147</f>
        <v>2.6076499974019995</v>
      </c>
      <c r="F150" s="80">
        <f>Råark!O147</f>
        <v>-8.4674005080440651E-3</v>
      </c>
      <c r="G150" s="80">
        <f>Råark!P147</f>
        <v>0.11187019641332195</v>
      </c>
      <c r="H150" s="80">
        <f>Råark!Q147</f>
        <v>0.13464275547964702</v>
      </c>
      <c r="I150" s="80">
        <f>Råark!R147</f>
        <v>4.1534467839630773E-2</v>
      </c>
      <c r="J150" s="80">
        <f>Råark!S147</f>
        <v>0.90125276344878413</v>
      </c>
      <c r="K150" s="80">
        <f>Råark!M147</f>
        <v>330208.2340195016</v>
      </c>
      <c r="L150" s="59">
        <f>Tabell2[[#This Row],[NIBR11BA]]</f>
        <v>7</v>
      </c>
      <c r="M150" s="80">
        <f>IF(Tabell2[[#This Row],[Reisetid Oslo]]&lt;D$167,D$167,IF(Tabell2[[#This Row],[Reisetid Oslo]]&gt;D$168,D$168,Tabell2[[#This Row],[Reisetid Oslo]]))</f>
        <v>279.01541226082253</v>
      </c>
      <c r="N150" s="80">
        <f>IF(Tabell2[[#This Row],[beftettotal]]&lt;E$167,E$167,IF(Tabell2[[#This Row],[beftettotal]]&gt;E$168,E$168,Tabell2[[#This Row],[beftettotal]]))</f>
        <v>2.6076499974019995</v>
      </c>
      <c r="O150" s="80">
        <f>IF(Tabell2[[#This Row],[Befvekst10]]&lt;F$167,F$167,IF(Tabell2[[#This Row],[Befvekst10]]&gt;F$168,F$168,Tabell2[[#This Row],[Befvekst10]]))</f>
        <v>-8.4674005080440651E-3</v>
      </c>
      <c r="P150" s="80">
        <f>IF(Tabell2[[#This Row],[Kvinneandel]]&lt;G$167,G$167,IF(Tabell2[[#This Row],[Kvinneandel]]&gt;G$168,G$168,Tabell2[[#This Row],[Kvinneandel]]))</f>
        <v>0.11187019641332195</v>
      </c>
      <c r="Q150" s="80">
        <f>IF(Tabell2[[#This Row],[Eldreandel]]&lt;H$167,H$167,IF(Tabell2[[#This Row],[Eldreandel]]&gt;H$168,H$168,Tabell2[[#This Row],[Eldreandel]]))</f>
        <v>0.13464275547964702</v>
      </c>
      <c r="R150" s="80">
        <f>IF(Tabell2[[#This Row],[Syssvekst10]]&lt;I$167,I$167,IF(Tabell2[[#This Row],[Syssvekst10]]&gt;I$168,I$168,Tabell2[[#This Row],[Syssvekst10]]))</f>
        <v>4.1534467839630773E-2</v>
      </c>
      <c r="S150" s="80">
        <f>IF(Tabell2[[#This Row],[Yrkesaktiveandel]]&lt;J$167,J$167,IF(Tabell2[[#This Row],[Yrkesaktiveandel]]&gt;J$168,J$168,Tabell2[[#This Row],[Yrkesaktiveandel]]))</f>
        <v>0.90125276344878413</v>
      </c>
      <c r="T150" s="80">
        <f>IF(Tabell2[[#This Row],[Bruttoinntekt17+]]&lt;K$167,K$167,IF(Tabell2[[#This Row],[Bruttoinntekt17+]]&gt;K$168,K$168,Tabell2[[#This Row],[Bruttoinntekt17+]]))</f>
        <v>330208.2340195016</v>
      </c>
      <c r="U150" s="60">
        <f>IF(Tabell2[[#This Row],[NIBR11-BA-Utrunk]]&lt;=L$170,100,IF(Tabell2[[#This Row],[NIBR11-BA-Utrunk]]&gt;=L$169,0,100-Tabell2[[#This Row],[NIBR11-BA-Utrunk]]*100/L$171))</f>
        <v>30</v>
      </c>
      <c r="V150" s="60">
        <f>(M$169-Tabell2[[#This Row],[Reisetid Oslo-T]])*100/M$171</f>
        <v>21.010224348377651</v>
      </c>
      <c r="W150" s="60">
        <f>100-(N$169-Tabell2[[#This Row],[beftettotal-T]])*100/N$171</f>
        <v>3.7279424001621351</v>
      </c>
      <c r="X150" s="60">
        <f>100-(O$169-Tabell2[[#This Row],[Befvekst10-T]])*100/O$171</f>
        <v>52.463016070509802</v>
      </c>
      <c r="Y150" s="60">
        <f>100-(P$169-Tabell2[[#This Row],[Kvinneandel-T]])*100/P$171</f>
        <v>65.080403850147121</v>
      </c>
      <c r="Z150" s="60">
        <f>(Q$169-Tabell2[[#This Row],[Eldreandel-T]])*100/Q$171</f>
        <v>92.090584881301908</v>
      </c>
      <c r="AA150" s="60">
        <f>100-(R$169-Tabell2[[#This Row],[Syssvekst10-T]])*100/R$171</f>
        <v>53.945973388762013</v>
      </c>
      <c r="AB150" s="60">
        <f>100-(S$169-Tabell2[[#This Row],[Yrkesaktiveandel-T]])*100/S$171</f>
        <v>56.478237157157764</v>
      </c>
      <c r="AC150" s="60">
        <f>100-(T$169-Tabell2[[#This Row],[Bruttoinntekt17+-T]])*100/T$171</f>
        <v>60.195248788571128</v>
      </c>
      <c r="AD150" s="60">
        <f>Tabell2[[#This Row],[NIBR11-BA-I]]*$AD$2</f>
        <v>6</v>
      </c>
      <c r="AE150" s="60">
        <f>Tabell2[[#This Row],[Reisetid Oslo-I]]*$AE$2</f>
        <v>2.1010224348377653</v>
      </c>
      <c r="AF150" s="60">
        <f>Tabell2[[#This Row],[beftettotal-I]]*$AF$2</f>
        <v>0.37279424001621353</v>
      </c>
      <c r="AG150" s="60">
        <f>Tabell2[[#This Row],[Befvekst10-I]]*$AG$2</f>
        <v>10.492603214101962</v>
      </c>
      <c r="AH150" s="60">
        <f>Tabell2[[#This Row],[Kvinneandel-I]]*$AH$2</f>
        <v>3.2540201925073564</v>
      </c>
      <c r="AI150" s="60">
        <f>Tabell2[[#This Row],[Eldreandel-I]]*$AI$2</f>
        <v>4.6045292440650956</v>
      </c>
      <c r="AJ150" s="60">
        <f>Tabell2[[#This Row],[Syssvekst10-I]]*$AJ$2</f>
        <v>5.3945973388762019</v>
      </c>
      <c r="AK150" s="60">
        <f>Tabell2[[#This Row],[Yrkesaktiveandel-I]]*$AK$2</f>
        <v>5.6478237157157771</v>
      </c>
      <c r="AL150" s="60">
        <f>Tabell2[[#This Row],[Bruttoinntekt17+-I]]*$AL$2</f>
        <v>6.019524878857113</v>
      </c>
      <c r="AM150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43.886915258977481</v>
      </c>
    </row>
    <row r="151" spans="1:39">
      <c r="A151" s="63">
        <v>146</v>
      </c>
      <c r="B151" s="8" t="s">
        <v>201</v>
      </c>
      <c r="C151" s="45">
        <f>Råark!L148</f>
        <v>6</v>
      </c>
      <c r="D151" s="80">
        <f>Råark!K148</f>
        <v>274.64587613107972</v>
      </c>
      <c r="E151" s="80">
        <f>Råark!N148</f>
        <v>4.0637636600608236</v>
      </c>
      <c r="F151" s="80">
        <f>Råark!O148</f>
        <v>8.2385520720007932E-2</v>
      </c>
      <c r="G151" s="80">
        <f>Råark!P148</f>
        <v>0.12929459064327486</v>
      </c>
      <c r="H151" s="80">
        <f>Råark!Q148</f>
        <v>0.1253654970760234</v>
      </c>
      <c r="I151" s="80">
        <f>Råark!R148</f>
        <v>0.19849594300415596</v>
      </c>
      <c r="J151" s="80">
        <f>Råark!S148</f>
        <v>0.88729232150875614</v>
      </c>
      <c r="K151" s="80">
        <f>Råark!M148</f>
        <v>351893.38007125619</v>
      </c>
      <c r="L151" s="59">
        <f>Tabell2[[#This Row],[NIBR11BA]]</f>
        <v>6</v>
      </c>
      <c r="M151" s="80">
        <f>IF(Tabell2[[#This Row],[Reisetid Oslo]]&lt;D$167,D$167,IF(Tabell2[[#This Row],[Reisetid Oslo]]&gt;D$168,D$168,Tabell2[[#This Row],[Reisetid Oslo]]))</f>
        <v>274.64587613107972</v>
      </c>
      <c r="N151" s="80">
        <f>IF(Tabell2[[#This Row],[beftettotal]]&lt;E$167,E$167,IF(Tabell2[[#This Row],[beftettotal]]&gt;E$168,E$168,Tabell2[[#This Row],[beftettotal]]))</f>
        <v>4.0637636600608236</v>
      </c>
      <c r="O151" s="80">
        <f>IF(Tabell2[[#This Row],[Befvekst10]]&lt;F$167,F$167,IF(Tabell2[[#This Row],[Befvekst10]]&gt;F$168,F$168,Tabell2[[#This Row],[Befvekst10]]))</f>
        <v>8.2385520720007932E-2</v>
      </c>
      <c r="P151" s="80">
        <f>IF(Tabell2[[#This Row],[Kvinneandel]]&lt;G$167,G$167,IF(Tabell2[[#This Row],[Kvinneandel]]&gt;G$168,G$168,Tabell2[[#This Row],[Kvinneandel]]))</f>
        <v>0.12281998450468276</v>
      </c>
      <c r="Q151" s="80">
        <f>IF(Tabell2[[#This Row],[Eldreandel]]&lt;H$167,H$167,IF(Tabell2[[#This Row],[Eldreandel]]&gt;H$168,H$168,Tabell2[[#This Row],[Eldreandel]]))</f>
        <v>0.1286969132327325</v>
      </c>
      <c r="R151" s="80">
        <f>IF(Tabell2[[#This Row],[Syssvekst10]]&lt;I$167,I$167,IF(Tabell2[[#This Row],[Syssvekst10]]&gt;I$168,I$168,Tabell2[[#This Row],[Syssvekst10]]))</f>
        <v>0.1635686869077807</v>
      </c>
      <c r="S151" s="80">
        <f>IF(Tabell2[[#This Row],[Yrkesaktiveandel]]&lt;J$167,J$167,IF(Tabell2[[#This Row],[Yrkesaktiveandel]]&gt;J$168,J$168,Tabell2[[#This Row],[Yrkesaktiveandel]]))</f>
        <v>0.88729232150875614</v>
      </c>
      <c r="T151" s="80">
        <f>IF(Tabell2[[#This Row],[Bruttoinntekt17+]]&lt;K$167,K$167,IF(Tabell2[[#This Row],[Bruttoinntekt17+]]&gt;K$168,K$168,Tabell2[[#This Row],[Bruttoinntekt17+]]))</f>
        <v>351893.38007125619</v>
      </c>
      <c r="U151" s="60">
        <f>IF(Tabell2[[#This Row],[NIBR11-BA-Utrunk]]&lt;=L$170,100,IF(Tabell2[[#This Row],[NIBR11-BA-Utrunk]]&gt;=L$169,0,100-Tabell2[[#This Row],[NIBR11-BA-Utrunk]]*100/L$171))</f>
        <v>40</v>
      </c>
      <c r="V151" s="60">
        <f>(M$169-Tabell2[[#This Row],[Reisetid Oslo-T]])*100/M$171</f>
        <v>23.356377062750258</v>
      </c>
      <c r="W151" s="60">
        <f>100-(N$169-Tabell2[[#This Row],[beftettotal-T]])*100/N$171</f>
        <v>7.1132281392530103</v>
      </c>
      <c r="X151" s="60">
        <f>100-(O$169-Tabell2[[#This Row],[Befvekst10-T]])*100/O$171</f>
        <v>93.206865411095947</v>
      </c>
      <c r="Y151" s="60">
        <f>100-(P$169-Tabell2[[#This Row],[Kvinneandel-T]])*100/P$171</f>
        <v>100</v>
      </c>
      <c r="Z151" s="60">
        <f>(Q$169-Tabell2[[#This Row],[Eldreandel-T]])*100/Q$171</f>
        <v>100</v>
      </c>
      <c r="AA151" s="60">
        <f>100-(R$169-Tabell2[[#This Row],[Syssvekst10-T]])*100/R$171</f>
        <v>100</v>
      </c>
      <c r="AB151" s="60">
        <f>100-(S$169-Tabell2[[#This Row],[Yrkesaktiveandel-T]])*100/S$171</f>
        <v>45.925313623757056</v>
      </c>
      <c r="AC151" s="60">
        <f>100-(T$169-Tabell2[[#This Row],[Bruttoinntekt17+-T]])*100/T$171</f>
        <v>96.517088111380772</v>
      </c>
      <c r="AD151" s="60">
        <f>Tabell2[[#This Row],[NIBR11-BA-I]]*$AD$2</f>
        <v>8</v>
      </c>
      <c r="AE151" s="60">
        <f>Tabell2[[#This Row],[Reisetid Oslo-I]]*$AE$2</f>
        <v>2.3356377062750258</v>
      </c>
      <c r="AF151" s="60">
        <f>Tabell2[[#This Row],[beftettotal-I]]*$AF$2</f>
        <v>0.71132281392530106</v>
      </c>
      <c r="AG151" s="60">
        <f>Tabell2[[#This Row],[Befvekst10-I]]*$AG$2</f>
        <v>18.641373082219189</v>
      </c>
      <c r="AH151" s="60">
        <f>Tabell2[[#This Row],[Kvinneandel-I]]*$AH$2</f>
        <v>5</v>
      </c>
      <c r="AI151" s="60">
        <f>Tabell2[[#This Row],[Eldreandel-I]]*$AI$2</f>
        <v>5</v>
      </c>
      <c r="AJ151" s="60">
        <f>Tabell2[[#This Row],[Syssvekst10-I]]*$AJ$2</f>
        <v>10</v>
      </c>
      <c r="AK151" s="60">
        <f>Tabell2[[#This Row],[Yrkesaktiveandel-I]]*$AK$2</f>
        <v>4.5925313623757056</v>
      </c>
      <c r="AL151" s="60">
        <f>Tabell2[[#This Row],[Bruttoinntekt17+-I]]*$AL$2</f>
        <v>9.6517088111380787</v>
      </c>
      <c r="AM151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63.932573775933307</v>
      </c>
    </row>
    <row r="152" spans="1:39">
      <c r="A152" s="64">
        <v>147</v>
      </c>
      <c r="B152" s="8" t="s">
        <v>202</v>
      </c>
      <c r="C152" s="45">
        <f>Råark!L149</f>
        <v>11</v>
      </c>
      <c r="D152" s="80">
        <f>Råark!K149</f>
        <v>321.33023933200002</v>
      </c>
      <c r="E152" s="80">
        <f>Råark!N149</f>
        <v>0.30152410287050535</v>
      </c>
      <c r="F152" s="80">
        <f>Råark!O149</f>
        <v>-4.0956749672345971E-2</v>
      </c>
      <c r="G152" s="80">
        <f>Råark!P149</f>
        <v>0.12880081995216947</v>
      </c>
      <c r="H152" s="80">
        <f>Råark!Q149</f>
        <v>0.1093269559275709</v>
      </c>
      <c r="I152" s="80">
        <f>Råark!R149</f>
        <v>0.18307426597582044</v>
      </c>
      <c r="J152" s="80">
        <f>Råark!S149</f>
        <v>0.81578947368421051</v>
      </c>
      <c r="K152" s="80">
        <f>Råark!M149</f>
        <v>263900</v>
      </c>
      <c r="L152" s="59">
        <f>Tabell2[[#This Row],[NIBR11BA]]</f>
        <v>11</v>
      </c>
      <c r="M152" s="80">
        <f>IF(Tabell2[[#This Row],[Reisetid Oslo]]&lt;D$167,D$167,IF(Tabell2[[#This Row],[Reisetid Oslo]]&gt;D$168,D$168,Tabell2[[#This Row],[Reisetid Oslo]]))</f>
        <v>318.14540316969999</v>
      </c>
      <c r="N152" s="80">
        <f>IF(Tabell2[[#This Row],[beftettotal]]&lt;E$167,E$167,IF(Tabell2[[#This Row],[beftettotal]]&gt;E$168,E$168,Tabell2[[#This Row],[beftettotal]]))</f>
        <v>1.0041493534832273</v>
      </c>
      <c r="O152" s="80">
        <f>IF(Tabell2[[#This Row],[Befvekst10]]&lt;F$167,F$167,IF(Tabell2[[#This Row],[Befvekst10]]&gt;F$168,F$168,Tabell2[[#This Row],[Befvekst10]]))</f>
        <v>-4.0956749672345971E-2</v>
      </c>
      <c r="P152" s="80">
        <f>IF(Tabell2[[#This Row],[Kvinneandel]]&lt;G$167,G$167,IF(Tabell2[[#This Row],[Kvinneandel]]&gt;G$168,G$168,Tabell2[[#This Row],[Kvinneandel]]))</f>
        <v>0.12281998450468276</v>
      </c>
      <c r="Q152" s="80">
        <f>IF(Tabell2[[#This Row],[Eldreandel]]&lt;H$167,H$167,IF(Tabell2[[#This Row],[Eldreandel]]&gt;H$168,H$168,Tabell2[[#This Row],[Eldreandel]]))</f>
        <v>0.1286969132327325</v>
      </c>
      <c r="R152" s="80">
        <f>IF(Tabell2[[#This Row],[Syssvekst10]]&lt;I$167,I$167,IF(Tabell2[[#This Row],[Syssvekst10]]&gt;I$168,I$168,Tabell2[[#This Row],[Syssvekst10]]))</f>
        <v>0.1635686869077807</v>
      </c>
      <c r="S152" s="80">
        <f>IF(Tabell2[[#This Row],[Yrkesaktiveandel]]&lt;J$167,J$167,IF(Tabell2[[#This Row],[Yrkesaktiveandel]]&gt;J$168,J$168,Tabell2[[#This Row],[Yrkesaktiveandel]]))</f>
        <v>0.82653781377516045</v>
      </c>
      <c r="T152" s="80">
        <f>IF(Tabell2[[#This Row],[Bruttoinntekt17+]]&lt;K$167,K$167,IF(Tabell2[[#This Row],[Bruttoinntekt17+]]&gt;K$168,K$168,Tabell2[[#This Row],[Bruttoinntekt17+]]))</f>
        <v>294270</v>
      </c>
      <c r="U152" s="60">
        <f>IF(Tabell2[[#This Row],[NIBR11-BA-Utrunk]]&lt;=L$170,100,IF(Tabell2[[#This Row],[NIBR11-BA-Utrunk]]&gt;=L$169,0,100-Tabell2[[#This Row],[NIBR11-BA-Utrunk]]*100/L$171))</f>
        <v>0</v>
      </c>
      <c r="V152" s="60">
        <f>(M$169-Tabell2[[#This Row],[Reisetid Oslo-T]])*100/M$171</f>
        <v>0</v>
      </c>
      <c r="W152" s="60">
        <f>100-(N$169-Tabell2[[#This Row],[beftettotal-T]])*100/N$171</f>
        <v>0</v>
      </c>
      <c r="X152" s="60">
        <f>100-(O$169-Tabell2[[#This Row],[Befvekst10-T]])*100/O$171</f>
        <v>37.892861037175635</v>
      </c>
      <c r="Y152" s="60">
        <f>100-(P$169-Tabell2[[#This Row],[Kvinneandel-T]])*100/P$171</f>
        <v>100</v>
      </c>
      <c r="Z152" s="60">
        <f>(Q$169-Tabell2[[#This Row],[Eldreandel-T]])*100/Q$171</f>
        <v>100</v>
      </c>
      <c r="AA152" s="60">
        <f>100-(R$169-Tabell2[[#This Row],[Syssvekst10-T]])*100/R$171</f>
        <v>100</v>
      </c>
      <c r="AB152" s="60">
        <f>100-(S$169-Tabell2[[#This Row],[Yrkesaktiveandel-T]])*100/S$171</f>
        <v>0</v>
      </c>
      <c r="AC152" s="60">
        <f>100-(T$169-Tabell2[[#This Row],[Bruttoinntekt17+-T]])*100/T$171</f>
        <v>0</v>
      </c>
      <c r="AD152" s="60">
        <f>Tabell2[[#This Row],[NIBR11-BA-I]]*$AD$2</f>
        <v>0</v>
      </c>
      <c r="AE152" s="60">
        <f>Tabell2[[#This Row],[Reisetid Oslo-I]]*$AE$2</f>
        <v>0</v>
      </c>
      <c r="AF152" s="60">
        <f>Tabell2[[#This Row],[beftettotal-I]]*$AF$2</f>
        <v>0</v>
      </c>
      <c r="AG152" s="60">
        <f>Tabell2[[#This Row],[Befvekst10-I]]*$AG$2</f>
        <v>7.5785722074351272</v>
      </c>
      <c r="AH152" s="60">
        <f>Tabell2[[#This Row],[Kvinneandel-I]]*$AH$2</f>
        <v>5</v>
      </c>
      <c r="AI152" s="60">
        <f>Tabell2[[#This Row],[Eldreandel-I]]*$AI$2</f>
        <v>5</v>
      </c>
      <c r="AJ152" s="60">
        <f>Tabell2[[#This Row],[Syssvekst10-I]]*$AJ$2</f>
        <v>10</v>
      </c>
      <c r="AK152" s="60">
        <f>Tabell2[[#This Row],[Yrkesaktiveandel-I]]*$AK$2</f>
        <v>0</v>
      </c>
      <c r="AL152" s="60">
        <f>Tabell2[[#This Row],[Bruttoinntekt17+-I]]*$AL$2</f>
        <v>0</v>
      </c>
      <c r="AM152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27.578572207435126</v>
      </c>
    </row>
    <row r="153" spans="1:39">
      <c r="A153" s="63">
        <v>148</v>
      </c>
      <c r="B153" s="8" t="s">
        <v>203</v>
      </c>
      <c r="C153" s="45">
        <f>Råark!L150</f>
        <v>6</v>
      </c>
      <c r="D153" s="80">
        <f>Råark!K150</f>
        <v>224.65280796329998</v>
      </c>
      <c r="E153" s="80">
        <f>Råark!N150</f>
        <v>5.0088450977896342</v>
      </c>
      <c r="F153" s="80">
        <f>Råark!O150</f>
        <v>0.12372515880878843</v>
      </c>
      <c r="G153" s="80">
        <f>Råark!P150</f>
        <v>0.13048438958614253</v>
      </c>
      <c r="H153" s="80">
        <f>Råark!Q150</f>
        <v>9.7085364588735609E-2</v>
      </c>
      <c r="I153" s="80">
        <f>Råark!R150</f>
        <v>0.25295300326715253</v>
      </c>
      <c r="J153" s="80">
        <f>Råark!S150</f>
        <v>0.85606855543896465</v>
      </c>
      <c r="K153" s="80">
        <f>Råark!M150</f>
        <v>334300</v>
      </c>
      <c r="L153" s="59">
        <f>Tabell2[[#This Row],[NIBR11BA]]</f>
        <v>6</v>
      </c>
      <c r="M153" s="80">
        <f>IF(Tabell2[[#This Row],[Reisetid Oslo]]&lt;D$167,D$167,IF(Tabell2[[#This Row],[Reisetid Oslo]]&gt;D$168,D$168,Tabell2[[#This Row],[Reisetid Oslo]]))</f>
        <v>224.65280796329998</v>
      </c>
      <c r="N153" s="80">
        <f>IF(Tabell2[[#This Row],[beftettotal]]&lt;E$167,E$167,IF(Tabell2[[#This Row],[beftettotal]]&gt;E$168,E$168,Tabell2[[#This Row],[beftettotal]]))</f>
        <v>5.0088450977896342</v>
      </c>
      <c r="O153" s="80">
        <f>IF(Tabell2[[#This Row],[Befvekst10]]&lt;F$167,F$167,IF(Tabell2[[#This Row],[Befvekst10]]&gt;F$168,F$168,Tabell2[[#This Row],[Befvekst10]]))</f>
        <v>9.7533233360955388E-2</v>
      </c>
      <c r="P153" s="80">
        <f>IF(Tabell2[[#This Row],[Kvinneandel]]&lt;G$167,G$167,IF(Tabell2[[#This Row],[Kvinneandel]]&gt;G$168,G$168,Tabell2[[#This Row],[Kvinneandel]]))</f>
        <v>0.12281998450468276</v>
      </c>
      <c r="Q153" s="80">
        <f>IF(Tabell2[[#This Row],[Eldreandel]]&lt;H$167,H$167,IF(Tabell2[[#This Row],[Eldreandel]]&gt;H$168,H$168,Tabell2[[#This Row],[Eldreandel]]))</f>
        <v>0.1286969132327325</v>
      </c>
      <c r="R153" s="80">
        <f>IF(Tabell2[[#This Row],[Syssvekst10]]&lt;I$167,I$167,IF(Tabell2[[#This Row],[Syssvekst10]]&gt;I$168,I$168,Tabell2[[#This Row],[Syssvekst10]]))</f>
        <v>0.1635686869077807</v>
      </c>
      <c r="S153" s="80">
        <f>IF(Tabell2[[#This Row],[Yrkesaktiveandel]]&lt;J$167,J$167,IF(Tabell2[[#This Row],[Yrkesaktiveandel]]&gt;J$168,J$168,Tabell2[[#This Row],[Yrkesaktiveandel]]))</f>
        <v>0.85606855543896465</v>
      </c>
      <c r="T153" s="80">
        <f>IF(Tabell2[[#This Row],[Bruttoinntekt17+]]&lt;K$167,K$167,IF(Tabell2[[#This Row],[Bruttoinntekt17+]]&gt;K$168,K$168,Tabell2[[#This Row],[Bruttoinntekt17+]]))</f>
        <v>334300</v>
      </c>
      <c r="U153" s="60">
        <f>IF(Tabell2[[#This Row],[NIBR11-BA-Utrunk]]&lt;=L$170,100,IF(Tabell2[[#This Row],[NIBR11-BA-Utrunk]]&gt;=L$169,0,100-Tabell2[[#This Row],[NIBR11-BA-Utrunk]]*100/L$171))</f>
        <v>40</v>
      </c>
      <c r="V153" s="60">
        <f>(M$169-Tabell2[[#This Row],[Reisetid Oslo-T]])*100/M$171</f>
        <v>50.199357438462336</v>
      </c>
      <c r="W153" s="60">
        <f>100-(N$169-Tabell2[[#This Row],[beftettotal-T]])*100/N$171</f>
        <v>9.310426610408669</v>
      </c>
      <c r="X153" s="60">
        <f>100-(O$169-Tabell2[[#This Row],[Befvekst10-T]])*100/O$171</f>
        <v>100</v>
      </c>
      <c r="Y153" s="60">
        <f>100-(P$169-Tabell2[[#This Row],[Kvinneandel-T]])*100/P$171</f>
        <v>100</v>
      </c>
      <c r="Z153" s="60">
        <f>(Q$169-Tabell2[[#This Row],[Eldreandel-T]])*100/Q$171</f>
        <v>100</v>
      </c>
      <c r="AA153" s="60">
        <f>100-(R$169-Tabell2[[#This Row],[Syssvekst10-T]])*100/R$171</f>
        <v>100</v>
      </c>
      <c r="AB153" s="60">
        <f>100-(S$169-Tabell2[[#This Row],[Yrkesaktiveandel-T]])*100/S$171</f>
        <v>22.322764565869548</v>
      </c>
      <c r="AC153" s="60">
        <f>100-(T$169-Tabell2[[#This Row],[Bruttoinntekt17+-T]])*100/T$171</f>
        <v>67.048809568632194</v>
      </c>
      <c r="AD153" s="60">
        <f>Tabell2[[#This Row],[NIBR11-BA-I]]*$AD$2</f>
        <v>8</v>
      </c>
      <c r="AE153" s="60">
        <f>Tabell2[[#This Row],[Reisetid Oslo-I]]*$AE$2</f>
        <v>5.0199357438462338</v>
      </c>
      <c r="AF153" s="60">
        <f>Tabell2[[#This Row],[beftettotal-I]]*$AF$2</f>
        <v>0.93104266104086697</v>
      </c>
      <c r="AG153" s="60">
        <f>Tabell2[[#This Row],[Befvekst10-I]]*$AG$2</f>
        <v>20</v>
      </c>
      <c r="AH153" s="60">
        <f>Tabell2[[#This Row],[Kvinneandel-I]]*$AH$2</f>
        <v>5</v>
      </c>
      <c r="AI153" s="60">
        <f>Tabell2[[#This Row],[Eldreandel-I]]*$AI$2</f>
        <v>5</v>
      </c>
      <c r="AJ153" s="60">
        <f>Tabell2[[#This Row],[Syssvekst10-I]]*$AJ$2</f>
        <v>10</v>
      </c>
      <c r="AK153" s="60">
        <f>Tabell2[[#This Row],[Yrkesaktiveandel-I]]*$AK$2</f>
        <v>2.2322764565869551</v>
      </c>
      <c r="AL153" s="60">
        <f>Tabell2[[#This Row],[Bruttoinntekt17+-I]]*$AL$2</f>
        <v>6.7048809568632199</v>
      </c>
      <c r="AM153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62.888135818337268</v>
      </c>
    </row>
    <row r="154" spans="1:39">
      <c r="A154" s="64">
        <v>149</v>
      </c>
      <c r="B154" s="8" t="s">
        <v>204</v>
      </c>
      <c r="C154" s="45">
        <f>Råark!L151</f>
        <v>11</v>
      </c>
      <c r="D154" s="80">
        <f>Råark!K151</f>
        <v>325.56230259400002</v>
      </c>
      <c r="E154" s="80">
        <f>Råark!N151</f>
        <v>1.5815509966535717</v>
      </c>
      <c r="F154" s="80">
        <f>Råark!O151</f>
        <v>-0.22246065808297566</v>
      </c>
      <c r="G154" s="80">
        <f>Råark!P151</f>
        <v>9.3836246550137989E-2</v>
      </c>
      <c r="H154" s="80">
        <f>Råark!Q151</f>
        <v>0.21895124195032198</v>
      </c>
      <c r="I154" s="80">
        <f>Råark!R151</f>
        <v>-0.26444833625218911</v>
      </c>
      <c r="J154" s="80">
        <f>Råark!S151</f>
        <v>0.85690235690235694</v>
      </c>
      <c r="K154" s="80">
        <f>Råark!M151</f>
        <v>298700</v>
      </c>
      <c r="L154" s="59">
        <f>Tabell2[[#This Row],[NIBR11BA]]</f>
        <v>11</v>
      </c>
      <c r="M154" s="80">
        <f>IF(Tabell2[[#This Row],[Reisetid Oslo]]&lt;D$167,D$167,IF(Tabell2[[#This Row],[Reisetid Oslo]]&gt;D$168,D$168,Tabell2[[#This Row],[Reisetid Oslo]]))</f>
        <v>318.14540316969999</v>
      </c>
      <c r="N154" s="80">
        <f>IF(Tabell2[[#This Row],[beftettotal]]&lt;E$167,E$167,IF(Tabell2[[#This Row],[beftettotal]]&gt;E$168,E$168,Tabell2[[#This Row],[beftettotal]]))</f>
        <v>1.5815509966535717</v>
      </c>
      <c r="O154" s="80">
        <f>IF(Tabell2[[#This Row],[Befvekst10]]&lt;F$167,F$167,IF(Tabell2[[#This Row],[Befvekst10]]&gt;F$168,F$168,Tabell2[[#This Row],[Befvekst10]]))</f>
        <v>-0.12545237722432315</v>
      </c>
      <c r="P154" s="80">
        <f>IF(Tabell2[[#This Row],[Kvinneandel]]&lt;G$167,G$167,IF(Tabell2[[#This Row],[Kvinneandel]]&gt;G$168,G$168,Tabell2[[#This Row],[Kvinneandel]]))</f>
        <v>9.3836246550137989E-2</v>
      </c>
      <c r="Q154" s="80">
        <f>IF(Tabell2[[#This Row],[Eldreandel]]&lt;H$167,H$167,IF(Tabell2[[#This Row],[Eldreandel]]&gt;H$168,H$168,Tabell2[[#This Row],[Eldreandel]]))</f>
        <v>0.20387114745465851</v>
      </c>
      <c r="R154" s="80">
        <f>IF(Tabell2[[#This Row],[Syssvekst10]]&lt;I$167,I$167,IF(Tabell2[[#This Row],[Syssvekst10]]&gt;I$168,I$168,Tabell2[[#This Row],[Syssvekst10]]))</f>
        <v>-0.10141187624317609</v>
      </c>
      <c r="S154" s="80">
        <f>IF(Tabell2[[#This Row],[Yrkesaktiveandel]]&lt;J$167,J$167,IF(Tabell2[[#This Row],[Yrkesaktiveandel]]&gt;J$168,J$168,Tabell2[[#This Row],[Yrkesaktiveandel]]))</f>
        <v>0.85690235690235694</v>
      </c>
      <c r="T154" s="80">
        <f>IF(Tabell2[[#This Row],[Bruttoinntekt17+]]&lt;K$167,K$167,IF(Tabell2[[#This Row],[Bruttoinntekt17+]]&gt;K$168,K$168,Tabell2[[#This Row],[Bruttoinntekt17+]]))</f>
        <v>298700</v>
      </c>
      <c r="U154" s="60">
        <f>IF(Tabell2[[#This Row],[NIBR11-BA-Utrunk]]&lt;=L$170,100,IF(Tabell2[[#This Row],[NIBR11-BA-Utrunk]]&gt;=L$169,0,100-Tabell2[[#This Row],[NIBR11-BA-Utrunk]]*100/L$171))</f>
        <v>0</v>
      </c>
      <c r="V154" s="60">
        <f>(M$169-Tabell2[[#This Row],[Reisetid Oslo-T]])*100/M$171</f>
        <v>0</v>
      </c>
      <c r="W154" s="60">
        <f>100-(N$169-Tabell2[[#This Row],[beftettotal-T]])*100/N$171</f>
        <v>1.342388028131694</v>
      </c>
      <c r="X154" s="60">
        <f>100-(O$169-Tabell2[[#This Row],[Befvekst10-T]])*100/O$171</f>
        <v>0</v>
      </c>
      <c r="Y154" s="60">
        <f>100-(P$169-Tabell2[[#This Row],[Kvinneandel-T]])*100/P$171</f>
        <v>7.5689487466523815</v>
      </c>
      <c r="Z154" s="60">
        <f>(Q$169-Tabell2[[#This Row],[Eldreandel-T]])*100/Q$171</f>
        <v>0</v>
      </c>
      <c r="AA154" s="60">
        <f>100-(R$169-Tabell2[[#This Row],[Syssvekst10-T]])*100/R$171</f>
        <v>0</v>
      </c>
      <c r="AB154" s="60">
        <f>100-(S$169-Tabell2[[#This Row],[Yrkesaktiveandel-T]])*100/S$171</f>
        <v>22.953048558526504</v>
      </c>
      <c r="AC154" s="60">
        <f>100-(T$169-Tabell2[[#This Row],[Bruttoinntekt17+-T]])*100/T$171</f>
        <v>7.4200905917821842</v>
      </c>
      <c r="AD154" s="60">
        <f>Tabell2[[#This Row],[NIBR11-BA-I]]*$AD$2</f>
        <v>0</v>
      </c>
      <c r="AE154" s="60">
        <f>Tabell2[[#This Row],[Reisetid Oslo-I]]*$AE$2</f>
        <v>0</v>
      </c>
      <c r="AF154" s="60">
        <f>Tabell2[[#This Row],[beftettotal-I]]*$AF$2</f>
        <v>0.13423880281316941</v>
      </c>
      <c r="AG154" s="60">
        <f>Tabell2[[#This Row],[Befvekst10-I]]*$AG$2</f>
        <v>0</v>
      </c>
      <c r="AH154" s="60">
        <f>Tabell2[[#This Row],[Kvinneandel-I]]*$AH$2</f>
        <v>0.3784474373326191</v>
      </c>
      <c r="AI154" s="60">
        <f>Tabell2[[#This Row],[Eldreandel-I]]*$AI$2</f>
        <v>0</v>
      </c>
      <c r="AJ154" s="60">
        <f>Tabell2[[#This Row],[Syssvekst10-I]]*$AJ$2</f>
        <v>0</v>
      </c>
      <c r="AK154" s="60">
        <f>Tabell2[[#This Row],[Yrkesaktiveandel-I]]*$AK$2</f>
        <v>2.2953048558526503</v>
      </c>
      <c r="AL154" s="60">
        <f>Tabell2[[#This Row],[Bruttoinntekt17+-I]]*$AL$2</f>
        <v>0.74200905917821847</v>
      </c>
      <c r="AM154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3.5500001551766571</v>
      </c>
    </row>
    <row r="155" spans="1:39">
      <c r="A155" s="63">
        <v>150</v>
      </c>
      <c r="B155" s="8" t="s">
        <v>205</v>
      </c>
      <c r="C155" s="45">
        <f>Råark!L152</f>
        <v>11</v>
      </c>
      <c r="D155" s="80">
        <f>Råark!K152</f>
        <v>280.61164024070001</v>
      </c>
      <c r="E155" s="80">
        <f>Råark!N152</f>
        <v>1.789697100510828</v>
      </c>
      <c r="F155" s="80">
        <f>Råark!O152</f>
        <v>-0.1596283783783784</v>
      </c>
      <c r="G155" s="80">
        <f>Råark!P152</f>
        <v>9.8492462311557782E-2</v>
      </c>
      <c r="H155" s="80">
        <f>Råark!Q152</f>
        <v>0.16281407035175879</v>
      </c>
      <c r="I155" s="80">
        <f>Råark!R152</f>
        <v>-0.1556420233463035</v>
      </c>
      <c r="J155" s="80">
        <f>Råark!S152</f>
        <v>0.81112984822934231</v>
      </c>
      <c r="K155" s="80">
        <f>Råark!M152</f>
        <v>311300</v>
      </c>
      <c r="L155" s="59">
        <f>Tabell2[[#This Row],[NIBR11BA]]</f>
        <v>11</v>
      </c>
      <c r="M155" s="80">
        <f>IF(Tabell2[[#This Row],[Reisetid Oslo]]&lt;D$167,D$167,IF(Tabell2[[#This Row],[Reisetid Oslo]]&gt;D$168,D$168,Tabell2[[#This Row],[Reisetid Oslo]]))</f>
        <v>280.61164024070001</v>
      </c>
      <c r="N155" s="80">
        <f>IF(Tabell2[[#This Row],[beftettotal]]&lt;E$167,E$167,IF(Tabell2[[#This Row],[beftettotal]]&gt;E$168,E$168,Tabell2[[#This Row],[beftettotal]]))</f>
        <v>1.789697100510828</v>
      </c>
      <c r="O155" s="80">
        <f>IF(Tabell2[[#This Row],[Befvekst10]]&lt;F$167,F$167,IF(Tabell2[[#This Row],[Befvekst10]]&gt;F$168,F$168,Tabell2[[#This Row],[Befvekst10]]))</f>
        <v>-0.12545237722432315</v>
      </c>
      <c r="P155" s="80">
        <f>IF(Tabell2[[#This Row],[Kvinneandel]]&lt;G$167,G$167,IF(Tabell2[[#This Row],[Kvinneandel]]&gt;G$168,G$168,Tabell2[[#This Row],[Kvinneandel]]))</f>
        <v>9.8492462311557782E-2</v>
      </c>
      <c r="Q155" s="80">
        <f>IF(Tabell2[[#This Row],[Eldreandel]]&lt;H$167,H$167,IF(Tabell2[[#This Row],[Eldreandel]]&gt;H$168,H$168,Tabell2[[#This Row],[Eldreandel]]))</f>
        <v>0.16281407035175879</v>
      </c>
      <c r="R155" s="80">
        <f>IF(Tabell2[[#This Row],[Syssvekst10]]&lt;I$167,I$167,IF(Tabell2[[#This Row],[Syssvekst10]]&gt;I$168,I$168,Tabell2[[#This Row],[Syssvekst10]]))</f>
        <v>-0.10141187624317609</v>
      </c>
      <c r="S155" s="80">
        <f>IF(Tabell2[[#This Row],[Yrkesaktiveandel]]&lt;J$167,J$167,IF(Tabell2[[#This Row],[Yrkesaktiveandel]]&gt;J$168,J$168,Tabell2[[#This Row],[Yrkesaktiveandel]]))</f>
        <v>0.82653781377516045</v>
      </c>
      <c r="T155" s="80">
        <f>IF(Tabell2[[#This Row],[Bruttoinntekt17+]]&lt;K$167,K$167,IF(Tabell2[[#This Row],[Bruttoinntekt17+]]&gt;K$168,K$168,Tabell2[[#This Row],[Bruttoinntekt17+]]))</f>
        <v>311300</v>
      </c>
      <c r="U155" s="60">
        <f>IF(Tabell2[[#This Row],[NIBR11-BA-Utrunk]]&lt;=L$170,100,IF(Tabell2[[#This Row],[NIBR11-BA-Utrunk]]&gt;=L$169,0,100-Tabell2[[#This Row],[NIBR11-BA-Utrunk]]*100/L$171))</f>
        <v>0</v>
      </c>
      <c r="V155" s="60">
        <f>(M$169-Tabell2[[#This Row],[Reisetid Oslo-T]])*100/M$171</f>
        <v>20.153155200406676</v>
      </c>
      <c r="W155" s="60">
        <f>100-(N$169-Tabell2[[#This Row],[beftettotal-T]])*100/N$171</f>
        <v>1.8263021998788815</v>
      </c>
      <c r="X155" s="60">
        <f>100-(O$169-Tabell2[[#This Row],[Befvekst10-T]])*100/O$171</f>
        <v>0</v>
      </c>
      <c r="Y155" s="60">
        <f>100-(P$169-Tabell2[[#This Row],[Kvinneandel-T]])*100/P$171</f>
        <v>22.417927797091011</v>
      </c>
      <c r="Z155" s="60">
        <f>(Q$169-Tabell2[[#This Row],[Eldreandel-T]])*100/Q$171</f>
        <v>54.615890042448385</v>
      </c>
      <c r="AA155" s="60">
        <f>100-(R$169-Tabell2[[#This Row],[Syssvekst10-T]])*100/R$171</f>
        <v>0</v>
      </c>
      <c r="AB155" s="60">
        <f>100-(S$169-Tabell2[[#This Row],[Yrkesaktiveandel-T]])*100/S$171</f>
        <v>0</v>
      </c>
      <c r="AC155" s="60">
        <f>100-(T$169-Tabell2[[#This Row],[Bruttoinntekt17+-T]])*100/T$171</f>
        <v>28.524637195948202</v>
      </c>
      <c r="AD155" s="60">
        <f>Tabell2[[#This Row],[NIBR11-BA-I]]*$AD$2</f>
        <v>0</v>
      </c>
      <c r="AE155" s="60">
        <f>Tabell2[[#This Row],[Reisetid Oslo-I]]*$AE$2</f>
        <v>2.0153155200406676</v>
      </c>
      <c r="AF155" s="60">
        <f>Tabell2[[#This Row],[beftettotal-I]]*$AF$2</f>
        <v>0.18263021998788817</v>
      </c>
      <c r="AG155" s="60">
        <f>Tabell2[[#This Row],[Befvekst10-I]]*$AG$2</f>
        <v>0</v>
      </c>
      <c r="AH155" s="60">
        <f>Tabell2[[#This Row],[Kvinneandel-I]]*$AH$2</f>
        <v>1.1208963898545505</v>
      </c>
      <c r="AI155" s="60">
        <f>Tabell2[[#This Row],[Eldreandel-I]]*$AI$2</f>
        <v>2.7307945021224196</v>
      </c>
      <c r="AJ155" s="60">
        <f>Tabell2[[#This Row],[Syssvekst10-I]]*$AJ$2</f>
        <v>0</v>
      </c>
      <c r="AK155" s="60">
        <f>Tabell2[[#This Row],[Yrkesaktiveandel-I]]*$AK$2</f>
        <v>0</v>
      </c>
      <c r="AL155" s="60">
        <f>Tabell2[[#This Row],[Bruttoinntekt17+-I]]*$AL$2</f>
        <v>2.8524637195948204</v>
      </c>
      <c r="AM155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8.9021003516003461</v>
      </c>
    </row>
    <row r="156" spans="1:39">
      <c r="A156" s="64">
        <v>151</v>
      </c>
      <c r="B156" s="8" t="s">
        <v>206</v>
      </c>
      <c r="C156" s="45">
        <f>Råark!L153</f>
        <v>11</v>
      </c>
      <c r="D156" s="80">
        <f>Råark!K153</f>
        <v>368.15059061099998</v>
      </c>
      <c r="E156" s="80">
        <f>Råark!N153</f>
        <v>1.0957141094127396</v>
      </c>
      <c r="F156" s="80">
        <f>Råark!O153</f>
        <v>-0.1325889741800419</v>
      </c>
      <c r="G156" s="80">
        <f>Råark!P153</f>
        <v>9.4931617055510856E-2</v>
      </c>
      <c r="H156" s="80">
        <f>Råark!Q153</f>
        <v>0.20193081255028159</v>
      </c>
      <c r="I156" s="80">
        <f>Råark!R153</f>
        <v>-0.23165467625899283</v>
      </c>
      <c r="J156" s="80">
        <f>Råark!S153</f>
        <v>0.83500717360114773</v>
      </c>
      <c r="K156" s="80">
        <f>Råark!M153</f>
        <v>301200</v>
      </c>
      <c r="L156" s="59">
        <f>Tabell2[[#This Row],[NIBR11BA]]</f>
        <v>11</v>
      </c>
      <c r="M156" s="80">
        <f>IF(Tabell2[[#This Row],[Reisetid Oslo]]&lt;D$167,D$167,IF(Tabell2[[#This Row],[Reisetid Oslo]]&gt;D$168,D$168,Tabell2[[#This Row],[Reisetid Oslo]]))</f>
        <v>318.14540316969999</v>
      </c>
      <c r="N156" s="80">
        <f>IF(Tabell2[[#This Row],[beftettotal]]&lt;E$167,E$167,IF(Tabell2[[#This Row],[beftettotal]]&gt;E$168,E$168,Tabell2[[#This Row],[beftettotal]]))</f>
        <v>1.0957141094127396</v>
      </c>
      <c r="O156" s="80">
        <f>IF(Tabell2[[#This Row],[Befvekst10]]&lt;F$167,F$167,IF(Tabell2[[#This Row],[Befvekst10]]&gt;F$168,F$168,Tabell2[[#This Row],[Befvekst10]]))</f>
        <v>-0.12545237722432315</v>
      </c>
      <c r="P156" s="80">
        <f>IF(Tabell2[[#This Row],[Kvinneandel]]&lt;G$167,G$167,IF(Tabell2[[#This Row],[Kvinneandel]]&gt;G$168,G$168,Tabell2[[#This Row],[Kvinneandel]]))</f>
        <v>9.4931617055510856E-2</v>
      </c>
      <c r="Q156" s="80">
        <f>IF(Tabell2[[#This Row],[Eldreandel]]&lt;H$167,H$167,IF(Tabell2[[#This Row],[Eldreandel]]&gt;H$168,H$168,Tabell2[[#This Row],[Eldreandel]]))</f>
        <v>0.20193081255028159</v>
      </c>
      <c r="R156" s="80">
        <f>IF(Tabell2[[#This Row],[Syssvekst10]]&lt;I$167,I$167,IF(Tabell2[[#This Row],[Syssvekst10]]&gt;I$168,I$168,Tabell2[[#This Row],[Syssvekst10]]))</f>
        <v>-0.10141187624317609</v>
      </c>
      <c r="S156" s="80">
        <f>IF(Tabell2[[#This Row],[Yrkesaktiveandel]]&lt;J$167,J$167,IF(Tabell2[[#This Row],[Yrkesaktiveandel]]&gt;J$168,J$168,Tabell2[[#This Row],[Yrkesaktiveandel]]))</f>
        <v>0.83500717360114773</v>
      </c>
      <c r="T156" s="80">
        <f>IF(Tabell2[[#This Row],[Bruttoinntekt17+]]&lt;K$167,K$167,IF(Tabell2[[#This Row],[Bruttoinntekt17+]]&gt;K$168,K$168,Tabell2[[#This Row],[Bruttoinntekt17+]]))</f>
        <v>301200</v>
      </c>
      <c r="U156" s="60">
        <f>IF(Tabell2[[#This Row],[NIBR11-BA-Utrunk]]&lt;=L$170,100,IF(Tabell2[[#This Row],[NIBR11-BA-Utrunk]]&gt;=L$169,0,100-Tabell2[[#This Row],[NIBR11-BA-Utrunk]]*100/L$171))</f>
        <v>0</v>
      </c>
      <c r="V156" s="60">
        <f>(M$169-Tabell2[[#This Row],[Reisetid Oslo-T]])*100/M$171</f>
        <v>0</v>
      </c>
      <c r="W156" s="60">
        <f>100-(N$169-Tabell2[[#This Row],[beftettotal-T]])*100/N$171</f>
        <v>0.21287683125333956</v>
      </c>
      <c r="X156" s="60">
        <f>100-(O$169-Tabell2[[#This Row],[Befvekst10-T]])*100/O$171</f>
        <v>0</v>
      </c>
      <c r="Y156" s="60">
        <f>100-(P$169-Tabell2[[#This Row],[Kvinneandel-T]])*100/P$171</f>
        <v>11.062157506761565</v>
      </c>
      <c r="Z156" s="60">
        <f>(Q$169-Tabell2[[#This Row],[Eldreandel-T]])*100/Q$171</f>
        <v>2.5811169537806697</v>
      </c>
      <c r="AA156" s="60">
        <f>100-(R$169-Tabell2[[#This Row],[Syssvekst10-T]])*100/R$171</f>
        <v>0</v>
      </c>
      <c r="AB156" s="60">
        <f>100-(S$169-Tabell2[[#This Row],[Yrkesaktiveandel-T]])*100/S$171</f>
        <v>6.402125878568043</v>
      </c>
      <c r="AC156" s="60">
        <f>100-(T$169-Tabell2[[#This Row],[Bruttoinntekt17+-T]])*100/T$171</f>
        <v>11.60750063229132</v>
      </c>
      <c r="AD156" s="60">
        <f>Tabell2[[#This Row],[NIBR11-BA-I]]*$AD$2</f>
        <v>0</v>
      </c>
      <c r="AE156" s="60">
        <f>Tabell2[[#This Row],[Reisetid Oslo-I]]*$AE$2</f>
        <v>0</v>
      </c>
      <c r="AF156" s="60">
        <f>Tabell2[[#This Row],[beftettotal-I]]*$AF$2</f>
        <v>2.1287683125333957E-2</v>
      </c>
      <c r="AG156" s="60">
        <f>Tabell2[[#This Row],[Befvekst10-I]]*$AG$2</f>
        <v>0</v>
      </c>
      <c r="AH156" s="60">
        <f>Tabell2[[#This Row],[Kvinneandel-I]]*$AH$2</f>
        <v>0.55310787533807826</v>
      </c>
      <c r="AI156" s="60">
        <f>Tabell2[[#This Row],[Eldreandel-I]]*$AI$2</f>
        <v>0.1290558476890335</v>
      </c>
      <c r="AJ156" s="60">
        <f>Tabell2[[#This Row],[Syssvekst10-I]]*$AJ$2</f>
        <v>0</v>
      </c>
      <c r="AK156" s="60">
        <f>Tabell2[[#This Row],[Yrkesaktiveandel-I]]*$AK$2</f>
        <v>0.64021258785680435</v>
      </c>
      <c r="AL156" s="60">
        <f>Tabell2[[#This Row],[Bruttoinntekt17+-I]]*$AL$2</f>
        <v>1.1607500632291321</v>
      </c>
      <c r="AM156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2.5044140572383822</v>
      </c>
    </row>
    <row r="157" spans="1:39">
      <c r="A157" s="63">
        <v>152</v>
      </c>
      <c r="B157" s="8" t="s">
        <v>207</v>
      </c>
      <c r="C157" s="45">
        <f>Råark!L154</f>
        <v>9</v>
      </c>
      <c r="D157" s="80">
        <f>Råark!K154</f>
        <v>322.34145639234998</v>
      </c>
      <c r="E157" s="80">
        <f>Råark!N154</f>
        <v>3.4903334630855065</v>
      </c>
      <c r="F157" s="80">
        <f>Råark!O154</f>
        <v>-8.1127241673783046E-2</v>
      </c>
      <c r="G157" s="80">
        <f>Råark!P154</f>
        <v>9.7273853779429986E-2</v>
      </c>
      <c r="H157" s="80">
        <f>Råark!Q154</f>
        <v>0.1449814126394052</v>
      </c>
      <c r="I157" s="80">
        <f>Råark!R154</f>
        <v>-0.10139049826187718</v>
      </c>
      <c r="J157" s="80">
        <f>Råark!S154</f>
        <v>0.85403726708074534</v>
      </c>
      <c r="K157" s="80">
        <f>Råark!M154</f>
        <v>318700</v>
      </c>
      <c r="L157" s="59">
        <f>Tabell2[[#This Row],[NIBR11BA]]</f>
        <v>9</v>
      </c>
      <c r="M157" s="80">
        <f>IF(Tabell2[[#This Row],[Reisetid Oslo]]&lt;D$167,D$167,IF(Tabell2[[#This Row],[Reisetid Oslo]]&gt;D$168,D$168,Tabell2[[#This Row],[Reisetid Oslo]]))</f>
        <v>318.14540316969999</v>
      </c>
      <c r="N157" s="80">
        <f>IF(Tabell2[[#This Row],[beftettotal]]&lt;E$167,E$167,IF(Tabell2[[#This Row],[beftettotal]]&gt;E$168,E$168,Tabell2[[#This Row],[beftettotal]]))</f>
        <v>3.4903334630855065</v>
      </c>
      <c r="O157" s="80">
        <f>IF(Tabell2[[#This Row],[Befvekst10]]&lt;F$167,F$167,IF(Tabell2[[#This Row],[Befvekst10]]&gt;F$168,F$168,Tabell2[[#This Row],[Befvekst10]]))</f>
        <v>-8.1127241673783046E-2</v>
      </c>
      <c r="P157" s="80">
        <f>IF(Tabell2[[#This Row],[Kvinneandel]]&lt;G$167,G$167,IF(Tabell2[[#This Row],[Kvinneandel]]&gt;G$168,G$168,Tabell2[[#This Row],[Kvinneandel]]))</f>
        <v>9.7273853779429986E-2</v>
      </c>
      <c r="Q157" s="80">
        <f>IF(Tabell2[[#This Row],[Eldreandel]]&lt;H$167,H$167,IF(Tabell2[[#This Row],[Eldreandel]]&gt;H$168,H$168,Tabell2[[#This Row],[Eldreandel]]))</f>
        <v>0.1449814126394052</v>
      </c>
      <c r="R157" s="80">
        <f>IF(Tabell2[[#This Row],[Syssvekst10]]&lt;I$167,I$167,IF(Tabell2[[#This Row],[Syssvekst10]]&gt;I$168,I$168,Tabell2[[#This Row],[Syssvekst10]]))</f>
        <v>-0.10139049826187718</v>
      </c>
      <c r="S157" s="80">
        <f>IF(Tabell2[[#This Row],[Yrkesaktiveandel]]&lt;J$167,J$167,IF(Tabell2[[#This Row],[Yrkesaktiveandel]]&gt;J$168,J$168,Tabell2[[#This Row],[Yrkesaktiveandel]]))</f>
        <v>0.85403726708074534</v>
      </c>
      <c r="T157" s="80">
        <f>IF(Tabell2[[#This Row],[Bruttoinntekt17+]]&lt;K$167,K$167,IF(Tabell2[[#This Row],[Bruttoinntekt17+]]&gt;K$168,K$168,Tabell2[[#This Row],[Bruttoinntekt17+]]))</f>
        <v>318700</v>
      </c>
      <c r="U157" s="60">
        <f>IF(Tabell2[[#This Row],[NIBR11-BA-Utrunk]]&lt;=L$170,100,IF(Tabell2[[#This Row],[NIBR11-BA-Utrunk]]&gt;=L$169,0,100-Tabell2[[#This Row],[NIBR11-BA-Utrunk]]*100/L$171))</f>
        <v>10</v>
      </c>
      <c r="V157" s="60">
        <f>(M$169-Tabell2[[#This Row],[Reisetid Oslo-T]])*100/M$171</f>
        <v>0</v>
      </c>
      <c r="W157" s="60">
        <f>100-(N$169-Tabell2[[#This Row],[beftettotal-T]])*100/N$171</f>
        <v>5.7800732366061993</v>
      </c>
      <c r="X157" s="60">
        <f>100-(O$169-Tabell2[[#This Row],[Befvekst10-T]])*100/O$171</f>
        <v>19.878025059194769</v>
      </c>
      <c r="Y157" s="60">
        <f>100-(P$169-Tabell2[[#This Row],[Kvinneandel-T]])*100/P$171</f>
        <v>18.531704844498748</v>
      </c>
      <c r="Z157" s="60">
        <f>(Q$169-Tabell2[[#This Row],[Eldreandel-T]])*100/Q$171</f>
        <v>78.337658407535841</v>
      </c>
      <c r="AA157" s="60">
        <f>100-(R$169-Tabell2[[#This Row],[Syssvekst10-T]])*100/R$171</f>
        <v>8.0677544966789583E-3</v>
      </c>
      <c r="AB157" s="60">
        <f>100-(S$169-Tabell2[[#This Row],[Yrkesaktiveandel-T]])*100/S$171</f>
        <v>20.78728088915922</v>
      </c>
      <c r="AC157" s="60">
        <f>100-(T$169-Tabell2[[#This Row],[Bruttoinntekt17+-T]])*100/T$171</f>
        <v>40.919370915855225</v>
      </c>
      <c r="AD157" s="60">
        <f>Tabell2[[#This Row],[NIBR11-BA-I]]*$AD$2</f>
        <v>2</v>
      </c>
      <c r="AE157" s="60">
        <f>Tabell2[[#This Row],[Reisetid Oslo-I]]*$AE$2</f>
        <v>0</v>
      </c>
      <c r="AF157" s="60">
        <f>Tabell2[[#This Row],[beftettotal-I]]*$AF$2</f>
        <v>0.57800732366061991</v>
      </c>
      <c r="AG157" s="60">
        <f>Tabell2[[#This Row],[Befvekst10-I]]*$AG$2</f>
        <v>3.9756050118389541</v>
      </c>
      <c r="AH157" s="60">
        <f>Tabell2[[#This Row],[Kvinneandel-I]]*$AH$2</f>
        <v>0.92658524222493743</v>
      </c>
      <c r="AI157" s="60">
        <f>Tabell2[[#This Row],[Eldreandel-I]]*$AI$2</f>
        <v>3.9168829203767923</v>
      </c>
      <c r="AJ157" s="60">
        <f>Tabell2[[#This Row],[Syssvekst10-I]]*$AJ$2</f>
        <v>8.0677544966789583E-4</v>
      </c>
      <c r="AK157" s="60">
        <f>Tabell2[[#This Row],[Yrkesaktiveandel-I]]*$AK$2</f>
        <v>2.0787280889159221</v>
      </c>
      <c r="AL157" s="60">
        <f>Tabell2[[#This Row],[Bruttoinntekt17+-I]]*$AL$2</f>
        <v>4.0919370915855229</v>
      </c>
      <c r="AM157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17.568552454052416</v>
      </c>
    </row>
    <row r="158" spans="1:39">
      <c r="A158" s="64">
        <v>153</v>
      </c>
      <c r="B158" s="8" t="s">
        <v>208</v>
      </c>
      <c r="C158" s="45">
        <f>Råark!L155</f>
        <v>9</v>
      </c>
      <c r="D158" s="80">
        <f>Råark!K155</f>
        <v>268.82159737985</v>
      </c>
      <c r="E158" s="80">
        <f>Råark!N155</f>
        <v>0.80982295127722581</v>
      </c>
      <c r="F158" s="80">
        <f>Råark!O155</f>
        <v>-9.2664980455277046E-2</v>
      </c>
      <c r="G158" s="80">
        <f>Råark!P155</f>
        <v>0.10314242270653827</v>
      </c>
      <c r="H158" s="80">
        <f>Råark!Q155</f>
        <v>0.14140902179422199</v>
      </c>
      <c r="I158" s="80">
        <f>Råark!R155</f>
        <v>1.9280875455966573E-2</v>
      </c>
      <c r="J158" s="80">
        <f>Råark!S155</f>
        <v>0.8627780109106169</v>
      </c>
      <c r="K158" s="80">
        <f>Råark!M155</f>
        <v>320100</v>
      </c>
      <c r="L158" s="59">
        <f>Tabell2[[#This Row],[NIBR11BA]]</f>
        <v>9</v>
      </c>
      <c r="M158" s="80">
        <f>IF(Tabell2[[#This Row],[Reisetid Oslo]]&lt;D$167,D$167,IF(Tabell2[[#This Row],[Reisetid Oslo]]&gt;D$168,D$168,Tabell2[[#This Row],[Reisetid Oslo]]))</f>
        <v>268.82159737985</v>
      </c>
      <c r="N158" s="80">
        <f>IF(Tabell2[[#This Row],[beftettotal]]&lt;E$167,E$167,IF(Tabell2[[#This Row],[beftettotal]]&gt;E$168,E$168,Tabell2[[#This Row],[beftettotal]]))</f>
        <v>1.0041493534832273</v>
      </c>
      <c r="O158" s="80">
        <f>IF(Tabell2[[#This Row],[Befvekst10]]&lt;F$167,F$167,IF(Tabell2[[#This Row],[Befvekst10]]&gt;F$168,F$168,Tabell2[[#This Row],[Befvekst10]]))</f>
        <v>-9.2664980455277046E-2</v>
      </c>
      <c r="P158" s="80">
        <f>IF(Tabell2[[#This Row],[Kvinneandel]]&lt;G$167,G$167,IF(Tabell2[[#This Row],[Kvinneandel]]&gt;G$168,G$168,Tabell2[[#This Row],[Kvinneandel]]))</f>
        <v>0.10314242270653827</v>
      </c>
      <c r="Q158" s="80">
        <f>IF(Tabell2[[#This Row],[Eldreandel]]&lt;H$167,H$167,IF(Tabell2[[#This Row],[Eldreandel]]&gt;H$168,H$168,Tabell2[[#This Row],[Eldreandel]]))</f>
        <v>0.14140902179422199</v>
      </c>
      <c r="R158" s="80">
        <f>IF(Tabell2[[#This Row],[Syssvekst10]]&lt;I$167,I$167,IF(Tabell2[[#This Row],[Syssvekst10]]&gt;I$168,I$168,Tabell2[[#This Row],[Syssvekst10]]))</f>
        <v>1.9280875455966573E-2</v>
      </c>
      <c r="S158" s="80">
        <f>IF(Tabell2[[#This Row],[Yrkesaktiveandel]]&lt;J$167,J$167,IF(Tabell2[[#This Row],[Yrkesaktiveandel]]&gt;J$168,J$168,Tabell2[[#This Row],[Yrkesaktiveandel]]))</f>
        <v>0.8627780109106169</v>
      </c>
      <c r="T158" s="80">
        <f>IF(Tabell2[[#This Row],[Bruttoinntekt17+]]&lt;K$167,K$167,IF(Tabell2[[#This Row],[Bruttoinntekt17+]]&gt;K$168,K$168,Tabell2[[#This Row],[Bruttoinntekt17+]]))</f>
        <v>320100</v>
      </c>
      <c r="U158" s="60">
        <f>IF(Tabell2[[#This Row],[NIBR11-BA-Utrunk]]&lt;=L$170,100,IF(Tabell2[[#This Row],[NIBR11-BA-Utrunk]]&gt;=L$169,0,100-Tabell2[[#This Row],[NIBR11-BA-Utrunk]]*100/L$171))</f>
        <v>10</v>
      </c>
      <c r="V158" s="60">
        <f>(M$169-Tabell2[[#This Row],[Reisetid Oslo-T]])*100/M$171</f>
        <v>26.483630619128238</v>
      </c>
      <c r="W158" s="60">
        <f>100-(N$169-Tabell2[[#This Row],[beftettotal-T]])*100/N$171</f>
        <v>0</v>
      </c>
      <c r="X158" s="60">
        <f>100-(O$169-Tabell2[[#This Row],[Befvekst10-T]])*100/O$171</f>
        <v>14.703817292509527</v>
      </c>
      <c r="Y158" s="60">
        <f>100-(P$169-Tabell2[[#This Row],[Kvinneandel-T]])*100/P$171</f>
        <v>37.246958071534372</v>
      </c>
      <c r="Z158" s="60">
        <f>(Q$169-Tabell2[[#This Row],[Eldreandel-T]])*100/Q$171</f>
        <v>83.089806377060825</v>
      </c>
      <c r="AA158" s="60">
        <f>100-(R$169-Tabell2[[#This Row],[Syssvekst10-T]])*100/R$171</f>
        <v>45.547775377919024</v>
      </c>
      <c r="AB158" s="60">
        <f>100-(S$169-Tabell2[[#This Row],[Yrkesaktiveandel-T]])*100/S$171</f>
        <v>27.394550319305452</v>
      </c>
      <c r="AC158" s="60">
        <f>100-(T$169-Tabell2[[#This Row],[Bruttoinntekt17+-T]])*100/T$171</f>
        <v>43.264320538540339</v>
      </c>
      <c r="AD158" s="60">
        <f>Tabell2[[#This Row],[NIBR11-BA-I]]*$AD$2</f>
        <v>2</v>
      </c>
      <c r="AE158" s="60">
        <f>Tabell2[[#This Row],[Reisetid Oslo-I]]*$AE$2</f>
        <v>2.648363061912824</v>
      </c>
      <c r="AF158" s="60">
        <f>Tabell2[[#This Row],[beftettotal-I]]*$AF$2</f>
        <v>0</v>
      </c>
      <c r="AG158" s="60">
        <f>Tabell2[[#This Row],[Befvekst10-I]]*$AG$2</f>
        <v>2.9407634585019053</v>
      </c>
      <c r="AH158" s="60">
        <f>Tabell2[[#This Row],[Kvinneandel-I]]*$AH$2</f>
        <v>1.8623479035767188</v>
      </c>
      <c r="AI158" s="60">
        <f>Tabell2[[#This Row],[Eldreandel-I]]*$AI$2</f>
        <v>4.1544903188530418</v>
      </c>
      <c r="AJ158" s="60">
        <f>Tabell2[[#This Row],[Syssvekst10-I]]*$AJ$2</f>
        <v>4.5547775377919022</v>
      </c>
      <c r="AK158" s="60">
        <f>Tabell2[[#This Row],[Yrkesaktiveandel-I]]*$AK$2</f>
        <v>2.7394550319305453</v>
      </c>
      <c r="AL158" s="60">
        <f>Tabell2[[#This Row],[Bruttoinntekt17+-I]]*$AL$2</f>
        <v>4.3264320538540337</v>
      </c>
      <c r="AM158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25.226629366420973</v>
      </c>
    </row>
    <row r="159" spans="1:39">
      <c r="A159" s="63">
        <v>154</v>
      </c>
      <c r="B159" s="8" t="s">
        <v>209</v>
      </c>
      <c r="C159" s="45">
        <f>Råark!L156</f>
        <v>11</v>
      </c>
      <c r="D159" s="80">
        <f>Råark!K156</f>
        <v>323.42360064299999</v>
      </c>
      <c r="E159" s="80">
        <f>Råark!N156</f>
        <v>0.50669913844641612</v>
      </c>
      <c r="F159" s="80">
        <f>Råark!O156</f>
        <v>-3.1206171107994396E-2</v>
      </c>
      <c r="G159" s="80">
        <f>Råark!P156</f>
        <v>0.10966340933767643</v>
      </c>
      <c r="H159" s="80">
        <f>Råark!Q156</f>
        <v>0.12522620340209917</v>
      </c>
      <c r="I159" s="80">
        <f>Råark!R156</f>
        <v>0.16059602649006632</v>
      </c>
      <c r="J159" s="80">
        <f>Råark!S156</f>
        <v>0.87148102815177475</v>
      </c>
      <c r="K159" s="80">
        <f>Råark!M156</f>
        <v>294400</v>
      </c>
      <c r="L159" s="59">
        <f>Tabell2[[#This Row],[NIBR11BA]]</f>
        <v>11</v>
      </c>
      <c r="M159" s="80">
        <f>IF(Tabell2[[#This Row],[Reisetid Oslo]]&lt;D$167,D$167,IF(Tabell2[[#This Row],[Reisetid Oslo]]&gt;D$168,D$168,Tabell2[[#This Row],[Reisetid Oslo]]))</f>
        <v>318.14540316969999</v>
      </c>
      <c r="N159" s="80">
        <f>IF(Tabell2[[#This Row],[beftettotal]]&lt;E$167,E$167,IF(Tabell2[[#This Row],[beftettotal]]&gt;E$168,E$168,Tabell2[[#This Row],[beftettotal]]))</f>
        <v>1.0041493534832273</v>
      </c>
      <c r="O159" s="80">
        <f>IF(Tabell2[[#This Row],[Befvekst10]]&lt;F$167,F$167,IF(Tabell2[[#This Row],[Befvekst10]]&gt;F$168,F$168,Tabell2[[#This Row],[Befvekst10]]))</f>
        <v>-3.1206171107994396E-2</v>
      </c>
      <c r="P159" s="80">
        <f>IF(Tabell2[[#This Row],[Kvinneandel]]&lt;G$167,G$167,IF(Tabell2[[#This Row],[Kvinneandel]]&gt;G$168,G$168,Tabell2[[#This Row],[Kvinneandel]]))</f>
        <v>0.10966340933767643</v>
      </c>
      <c r="Q159" s="80">
        <f>IF(Tabell2[[#This Row],[Eldreandel]]&lt;H$167,H$167,IF(Tabell2[[#This Row],[Eldreandel]]&gt;H$168,H$168,Tabell2[[#This Row],[Eldreandel]]))</f>
        <v>0.1286969132327325</v>
      </c>
      <c r="R159" s="80">
        <f>IF(Tabell2[[#This Row],[Syssvekst10]]&lt;I$167,I$167,IF(Tabell2[[#This Row],[Syssvekst10]]&gt;I$168,I$168,Tabell2[[#This Row],[Syssvekst10]]))</f>
        <v>0.16059602649006632</v>
      </c>
      <c r="S159" s="80">
        <f>IF(Tabell2[[#This Row],[Yrkesaktiveandel]]&lt;J$167,J$167,IF(Tabell2[[#This Row],[Yrkesaktiveandel]]&gt;J$168,J$168,Tabell2[[#This Row],[Yrkesaktiveandel]]))</f>
        <v>0.87148102815177475</v>
      </c>
      <c r="T159" s="80">
        <f>IF(Tabell2[[#This Row],[Bruttoinntekt17+]]&lt;K$167,K$167,IF(Tabell2[[#This Row],[Bruttoinntekt17+]]&gt;K$168,K$168,Tabell2[[#This Row],[Bruttoinntekt17+]]))</f>
        <v>294400</v>
      </c>
      <c r="U159" s="60">
        <f>IF(Tabell2[[#This Row],[NIBR11-BA-Utrunk]]&lt;=L$170,100,IF(Tabell2[[#This Row],[NIBR11-BA-Utrunk]]&gt;=L$169,0,100-Tabell2[[#This Row],[NIBR11-BA-Utrunk]]*100/L$171))</f>
        <v>0</v>
      </c>
      <c r="V159" s="60">
        <f>(M$169-Tabell2[[#This Row],[Reisetid Oslo-T]])*100/M$171</f>
        <v>0</v>
      </c>
      <c r="W159" s="60">
        <f>100-(N$169-Tabell2[[#This Row],[beftettotal-T]])*100/N$171</f>
        <v>0</v>
      </c>
      <c r="X159" s="60">
        <f>100-(O$169-Tabell2[[#This Row],[Befvekst10-T]])*100/O$171</f>
        <v>42.265599950130095</v>
      </c>
      <c r="Y159" s="60">
        <f>100-(P$169-Tabell2[[#This Row],[Kvinneandel-T]])*100/P$171</f>
        <v>58.042814371036066</v>
      </c>
      <c r="Z159" s="60">
        <f>(Q$169-Tabell2[[#This Row],[Eldreandel-T]])*100/Q$171</f>
        <v>100</v>
      </c>
      <c r="AA159" s="60">
        <f>100-(R$169-Tabell2[[#This Row],[Syssvekst10-T]])*100/R$171</f>
        <v>98.878159068587649</v>
      </c>
      <c r="AB159" s="60">
        <f>100-(S$169-Tabell2[[#This Row],[Yrkesaktiveandel-T]])*100/S$171</f>
        <v>33.97330161173214</v>
      </c>
      <c r="AC159" s="60">
        <f>100-(T$169-Tabell2[[#This Row],[Bruttoinntekt17+-T]])*100/T$171</f>
        <v>0.2177453221064809</v>
      </c>
      <c r="AD159" s="60">
        <f>Tabell2[[#This Row],[NIBR11-BA-I]]*$AD$2</f>
        <v>0</v>
      </c>
      <c r="AE159" s="60">
        <f>Tabell2[[#This Row],[Reisetid Oslo-I]]*$AE$2</f>
        <v>0</v>
      </c>
      <c r="AF159" s="60">
        <f>Tabell2[[#This Row],[beftettotal-I]]*$AF$2</f>
        <v>0</v>
      </c>
      <c r="AG159" s="60">
        <f>Tabell2[[#This Row],[Befvekst10-I]]*$AG$2</f>
        <v>8.4531199900260194</v>
      </c>
      <c r="AH159" s="60">
        <f>Tabell2[[#This Row],[Kvinneandel-I]]*$AH$2</f>
        <v>2.9021407185518036</v>
      </c>
      <c r="AI159" s="60">
        <f>Tabell2[[#This Row],[Eldreandel-I]]*$AI$2</f>
        <v>5</v>
      </c>
      <c r="AJ159" s="60">
        <f>Tabell2[[#This Row],[Syssvekst10-I]]*$AJ$2</f>
        <v>9.8878159068587657</v>
      </c>
      <c r="AK159" s="60">
        <f>Tabell2[[#This Row],[Yrkesaktiveandel-I]]*$AK$2</f>
        <v>3.3973301611732141</v>
      </c>
      <c r="AL159" s="60">
        <f>Tabell2[[#This Row],[Bruttoinntekt17+-I]]*$AL$2</f>
        <v>2.1774532210648092E-2</v>
      </c>
      <c r="AM159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29.662181308820454</v>
      </c>
    </row>
    <row r="160" spans="1:39">
      <c r="A160" s="64">
        <v>155</v>
      </c>
      <c r="B160" s="8" t="s">
        <v>210</v>
      </c>
      <c r="C160" s="45">
        <f>Råark!L157</f>
        <v>11</v>
      </c>
      <c r="D160" s="80">
        <f>Råark!K157</f>
        <v>443.67728288999996</v>
      </c>
      <c r="E160" s="80">
        <f>Råark!N157</f>
        <v>0.3921613992873999</v>
      </c>
      <c r="F160" s="80">
        <f>Råark!O157</f>
        <v>-0.10258107213765721</v>
      </c>
      <c r="G160" s="80">
        <f>Råark!P157</f>
        <v>0.10324483775811209</v>
      </c>
      <c r="H160" s="80">
        <f>Råark!Q157</f>
        <v>0.16224188790560473</v>
      </c>
      <c r="I160" s="80">
        <f>Råark!R157</f>
        <v>-0.12631578947368416</v>
      </c>
      <c r="J160" s="80">
        <f>Råark!S157</f>
        <v>0.79641485275288093</v>
      </c>
      <c r="K160" s="80">
        <f>Råark!M157</f>
        <v>290600</v>
      </c>
      <c r="L160" s="59">
        <f>Tabell2[[#This Row],[NIBR11BA]]</f>
        <v>11</v>
      </c>
      <c r="M160" s="80">
        <f>IF(Tabell2[[#This Row],[Reisetid Oslo]]&lt;D$167,D$167,IF(Tabell2[[#This Row],[Reisetid Oslo]]&gt;D$168,D$168,Tabell2[[#This Row],[Reisetid Oslo]]))</f>
        <v>318.14540316969999</v>
      </c>
      <c r="N160" s="80">
        <f>IF(Tabell2[[#This Row],[beftettotal]]&lt;E$167,E$167,IF(Tabell2[[#This Row],[beftettotal]]&gt;E$168,E$168,Tabell2[[#This Row],[beftettotal]]))</f>
        <v>1.0041493534832273</v>
      </c>
      <c r="O160" s="80">
        <f>IF(Tabell2[[#This Row],[Befvekst10]]&lt;F$167,F$167,IF(Tabell2[[#This Row],[Befvekst10]]&gt;F$168,F$168,Tabell2[[#This Row],[Befvekst10]]))</f>
        <v>-0.10258107213765721</v>
      </c>
      <c r="P160" s="80">
        <f>IF(Tabell2[[#This Row],[Kvinneandel]]&lt;G$167,G$167,IF(Tabell2[[#This Row],[Kvinneandel]]&gt;G$168,G$168,Tabell2[[#This Row],[Kvinneandel]]))</f>
        <v>0.10324483775811209</v>
      </c>
      <c r="Q160" s="80">
        <f>IF(Tabell2[[#This Row],[Eldreandel]]&lt;H$167,H$167,IF(Tabell2[[#This Row],[Eldreandel]]&gt;H$168,H$168,Tabell2[[#This Row],[Eldreandel]]))</f>
        <v>0.16224188790560473</v>
      </c>
      <c r="R160" s="80">
        <f>IF(Tabell2[[#This Row],[Syssvekst10]]&lt;I$167,I$167,IF(Tabell2[[#This Row],[Syssvekst10]]&gt;I$168,I$168,Tabell2[[#This Row],[Syssvekst10]]))</f>
        <v>-0.10141187624317609</v>
      </c>
      <c r="S160" s="80">
        <f>IF(Tabell2[[#This Row],[Yrkesaktiveandel]]&lt;J$167,J$167,IF(Tabell2[[#This Row],[Yrkesaktiveandel]]&gt;J$168,J$168,Tabell2[[#This Row],[Yrkesaktiveandel]]))</f>
        <v>0.82653781377516045</v>
      </c>
      <c r="T160" s="80">
        <f>IF(Tabell2[[#This Row],[Bruttoinntekt17+]]&lt;K$167,K$167,IF(Tabell2[[#This Row],[Bruttoinntekt17+]]&gt;K$168,K$168,Tabell2[[#This Row],[Bruttoinntekt17+]]))</f>
        <v>294270</v>
      </c>
      <c r="U160" s="60">
        <f>IF(Tabell2[[#This Row],[NIBR11-BA-Utrunk]]&lt;=L$170,100,IF(Tabell2[[#This Row],[NIBR11-BA-Utrunk]]&gt;=L$169,0,100-Tabell2[[#This Row],[NIBR11-BA-Utrunk]]*100/L$171))</f>
        <v>0</v>
      </c>
      <c r="V160" s="60">
        <f>(M$169-Tabell2[[#This Row],[Reisetid Oslo-T]])*100/M$171</f>
        <v>0</v>
      </c>
      <c r="W160" s="60">
        <f>100-(N$169-Tabell2[[#This Row],[beftettotal-T]])*100/N$171</f>
        <v>0</v>
      </c>
      <c r="X160" s="60">
        <f>100-(O$169-Tabell2[[#This Row],[Befvekst10-T]])*100/O$171</f>
        <v>10.256852460853779</v>
      </c>
      <c r="Y160" s="60">
        <f>100-(P$169-Tabell2[[#This Row],[Kvinneandel-T]])*100/P$171</f>
        <v>37.573566423292881</v>
      </c>
      <c r="Z160" s="60">
        <f>(Q$169-Tabell2[[#This Row],[Eldreandel-T]])*100/Q$171</f>
        <v>55.377031744889791</v>
      </c>
      <c r="AA160" s="60">
        <f>100-(R$169-Tabell2[[#This Row],[Syssvekst10-T]])*100/R$171</f>
        <v>0</v>
      </c>
      <c r="AB160" s="60">
        <f>100-(S$169-Tabell2[[#This Row],[Yrkesaktiveandel-T]])*100/S$171</f>
        <v>0</v>
      </c>
      <c r="AC160" s="60">
        <f>100-(T$169-Tabell2[[#This Row],[Bruttoinntekt17+-T]])*100/T$171</f>
        <v>0</v>
      </c>
      <c r="AD160" s="60">
        <f>Tabell2[[#This Row],[NIBR11-BA-I]]*$AD$2</f>
        <v>0</v>
      </c>
      <c r="AE160" s="60">
        <f>Tabell2[[#This Row],[Reisetid Oslo-I]]*$AE$2</f>
        <v>0</v>
      </c>
      <c r="AF160" s="60">
        <f>Tabell2[[#This Row],[beftettotal-I]]*$AF$2</f>
        <v>0</v>
      </c>
      <c r="AG160" s="60">
        <f>Tabell2[[#This Row],[Befvekst10-I]]*$AG$2</f>
        <v>2.0513704921707556</v>
      </c>
      <c r="AH160" s="60">
        <f>Tabell2[[#This Row],[Kvinneandel-I]]*$AH$2</f>
        <v>1.8786783211646441</v>
      </c>
      <c r="AI160" s="60">
        <f>Tabell2[[#This Row],[Eldreandel-I]]*$AI$2</f>
        <v>2.7688515872444897</v>
      </c>
      <c r="AJ160" s="60">
        <f>Tabell2[[#This Row],[Syssvekst10-I]]*$AJ$2</f>
        <v>0</v>
      </c>
      <c r="AK160" s="60">
        <f>Tabell2[[#This Row],[Yrkesaktiveandel-I]]*$AK$2</f>
        <v>0</v>
      </c>
      <c r="AL160" s="60">
        <f>Tabell2[[#This Row],[Bruttoinntekt17+-I]]*$AL$2</f>
        <v>0</v>
      </c>
      <c r="AM160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6.6989004005798893</v>
      </c>
    </row>
    <row r="161" spans="1:39">
      <c r="A161" s="63">
        <v>156</v>
      </c>
      <c r="B161" s="8" t="s">
        <v>211</v>
      </c>
      <c r="C161" s="45">
        <f>Råark!L158</f>
        <v>11</v>
      </c>
      <c r="D161" s="80">
        <f>Råark!K158</f>
        <v>434.60745669599999</v>
      </c>
      <c r="E161" s="80">
        <f>Råark!N158</f>
        <v>0.71215107776435427</v>
      </c>
      <c r="F161" s="80">
        <f>Råark!O158</f>
        <v>-0.18314424635332249</v>
      </c>
      <c r="G161" s="80">
        <f>Råark!P158</f>
        <v>0.11408730158730158</v>
      </c>
      <c r="H161" s="80">
        <f>Råark!Q158</f>
        <v>0.16666666666666666</v>
      </c>
      <c r="I161" s="80">
        <f>Råark!R158</f>
        <v>-0.17575757575757578</v>
      </c>
      <c r="J161" s="80">
        <f>Råark!S158</f>
        <v>0.81463414634146336</v>
      </c>
      <c r="K161" s="80">
        <f>Råark!M158</f>
        <v>300400</v>
      </c>
      <c r="L161" s="59">
        <f>Tabell2[[#This Row],[NIBR11BA]]</f>
        <v>11</v>
      </c>
      <c r="M161" s="80">
        <f>IF(Tabell2[[#This Row],[Reisetid Oslo]]&lt;D$167,D$167,IF(Tabell2[[#This Row],[Reisetid Oslo]]&gt;D$168,D$168,Tabell2[[#This Row],[Reisetid Oslo]]))</f>
        <v>318.14540316969999</v>
      </c>
      <c r="N161" s="80">
        <f>IF(Tabell2[[#This Row],[beftettotal]]&lt;E$167,E$167,IF(Tabell2[[#This Row],[beftettotal]]&gt;E$168,E$168,Tabell2[[#This Row],[beftettotal]]))</f>
        <v>1.0041493534832273</v>
      </c>
      <c r="O161" s="80">
        <f>IF(Tabell2[[#This Row],[Befvekst10]]&lt;F$167,F$167,IF(Tabell2[[#This Row],[Befvekst10]]&gt;F$168,F$168,Tabell2[[#This Row],[Befvekst10]]))</f>
        <v>-0.12545237722432315</v>
      </c>
      <c r="P161" s="80">
        <f>IF(Tabell2[[#This Row],[Kvinneandel]]&lt;G$167,G$167,IF(Tabell2[[#This Row],[Kvinneandel]]&gt;G$168,G$168,Tabell2[[#This Row],[Kvinneandel]]))</f>
        <v>0.11408730158730158</v>
      </c>
      <c r="Q161" s="80">
        <f>IF(Tabell2[[#This Row],[Eldreandel]]&lt;H$167,H$167,IF(Tabell2[[#This Row],[Eldreandel]]&gt;H$168,H$168,Tabell2[[#This Row],[Eldreandel]]))</f>
        <v>0.16666666666666666</v>
      </c>
      <c r="R161" s="80">
        <f>IF(Tabell2[[#This Row],[Syssvekst10]]&lt;I$167,I$167,IF(Tabell2[[#This Row],[Syssvekst10]]&gt;I$168,I$168,Tabell2[[#This Row],[Syssvekst10]]))</f>
        <v>-0.10141187624317609</v>
      </c>
      <c r="S161" s="80">
        <f>IF(Tabell2[[#This Row],[Yrkesaktiveandel]]&lt;J$167,J$167,IF(Tabell2[[#This Row],[Yrkesaktiveandel]]&gt;J$168,J$168,Tabell2[[#This Row],[Yrkesaktiveandel]]))</f>
        <v>0.82653781377516045</v>
      </c>
      <c r="T161" s="80">
        <f>IF(Tabell2[[#This Row],[Bruttoinntekt17+]]&lt;K$167,K$167,IF(Tabell2[[#This Row],[Bruttoinntekt17+]]&gt;K$168,K$168,Tabell2[[#This Row],[Bruttoinntekt17+]]))</f>
        <v>300400</v>
      </c>
      <c r="U161" s="60">
        <f>IF(Tabell2[[#This Row],[NIBR11-BA-Utrunk]]&lt;=L$170,100,IF(Tabell2[[#This Row],[NIBR11-BA-Utrunk]]&gt;=L$169,0,100-Tabell2[[#This Row],[NIBR11-BA-Utrunk]]*100/L$171))</f>
        <v>0</v>
      </c>
      <c r="V161" s="60">
        <f>(M$169-Tabell2[[#This Row],[Reisetid Oslo-T]])*100/M$171</f>
        <v>0</v>
      </c>
      <c r="W161" s="60">
        <f>100-(N$169-Tabell2[[#This Row],[beftettotal-T]])*100/N$171</f>
        <v>0</v>
      </c>
      <c r="X161" s="60">
        <f>100-(O$169-Tabell2[[#This Row],[Befvekst10-T]])*100/O$171</f>
        <v>0</v>
      </c>
      <c r="Y161" s="60">
        <f>100-(P$169-Tabell2[[#This Row],[Kvinneandel-T]])*100/P$171</f>
        <v>72.150898425124467</v>
      </c>
      <c r="Z161" s="60">
        <f>(Q$169-Tabell2[[#This Row],[Eldreandel-T]])*100/Q$171</f>
        <v>49.491000703989144</v>
      </c>
      <c r="AA161" s="60">
        <f>100-(R$169-Tabell2[[#This Row],[Syssvekst10-T]])*100/R$171</f>
        <v>0</v>
      </c>
      <c r="AB161" s="60">
        <f>100-(S$169-Tabell2[[#This Row],[Yrkesaktiveandel-T]])*100/S$171</f>
        <v>0</v>
      </c>
      <c r="AC161" s="60">
        <f>100-(T$169-Tabell2[[#This Row],[Bruttoinntekt17+-T]])*100/T$171</f>
        <v>10.267529419328397</v>
      </c>
      <c r="AD161" s="60">
        <f>Tabell2[[#This Row],[NIBR11-BA-I]]*$AD$2</f>
        <v>0</v>
      </c>
      <c r="AE161" s="60">
        <f>Tabell2[[#This Row],[Reisetid Oslo-I]]*$AE$2</f>
        <v>0</v>
      </c>
      <c r="AF161" s="60">
        <f>Tabell2[[#This Row],[beftettotal-I]]*$AF$2</f>
        <v>0</v>
      </c>
      <c r="AG161" s="60">
        <f>Tabell2[[#This Row],[Befvekst10-I]]*$AG$2</f>
        <v>0</v>
      </c>
      <c r="AH161" s="60">
        <f>Tabell2[[#This Row],[Kvinneandel-I]]*$AH$2</f>
        <v>3.6075449212562236</v>
      </c>
      <c r="AI161" s="60">
        <f>Tabell2[[#This Row],[Eldreandel-I]]*$AI$2</f>
        <v>2.4745500351994574</v>
      </c>
      <c r="AJ161" s="60">
        <f>Tabell2[[#This Row],[Syssvekst10-I]]*$AJ$2</f>
        <v>0</v>
      </c>
      <c r="AK161" s="60">
        <f>Tabell2[[#This Row],[Yrkesaktiveandel-I]]*$AK$2</f>
        <v>0</v>
      </c>
      <c r="AL161" s="60">
        <f>Tabell2[[#This Row],[Bruttoinntekt17+-I]]*$AL$2</f>
        <v>1.0267529419328398</v>
      </c>
      <c r="AM161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7.1088478983885199</v>
      </c>
    </row>
    <row r="162" spans="1:39">
      <c r="A162" s="64">
        <v>157</v>
      </c>
      <c r="B162" s="8" t="s">
        <v>212</v>
      </c>
      <c r="C162" s="45">
        <f>Råark!L159</f>
        <v>11</v>
      </c>
      <c r="D162" s="80">
        <f>Råark!K159</f>
        <v>333.68457024922998</v>
      </c>
      <c r="E162" s="80">
        <f>Råark!N159</f>
        <v>0.90586177352563191</v>
      </c>
      <c r="F162" s="80">
        <f>Råark!O159</f>
        <v>-0.16115702479338845</v>
      </c>
      <c r="G162" s="80">
        <f>Råark!P159</f>
        <v>8.2758620689655171E-2</v>
      </c>
      <c r="H162" s="80">
        <f>Råark!Q159</f>
        <v>0.18817733990147784</v>
      </c>
      <c r="I162" s="80">
        <f>Råark!R159</f>
        <v>-0.13226452905811625</v>
      </c>
      <c r="J162" s="80">
        <f>Råark!S159</f>
        <v>0.8586387434554974</v>
      </c>
      <c r="K162" s="80">
        <f>Råark!M159</f>
        <v>300700</v>
      </c>
      <c r="L162" s="59">
        <f>Tabell2[[#This Row],[NIBR11BA]]</f>
        <v>11</v>
      </c>
      <c r="M162" s="80">
        <f>IF(Tabell2[[#This Row],[Reisetid Oslo]]&lt;D$167,D$167,IF(Tabell2[[#This Row],[Reisetid Oslo]]&gt;D$168,D$168,Tabell2[[#This Row],[Reisetid Oslo]]))</f>
        <v>318.14540316969999</v>
      </c>
      <c r="N162" s="80">
        <f>IF(Tabell2[[#This Row],[beftettotal]]&lt;E$167,E$167,IF(Tabell2[[#This Row],[beftettotal]]&gt;E$168,E$168,Tabell2[[#This Row],[beftettotal]]))</f>
        <v>1.0041493534832273</v>
      </c>
      <c r="O162" s="80">
        <f>IF(Tabell2[[#This Row],[Befvekst10]]&lt;F$167,F$167,IF(Tabell2[[#This Row],[Befvekst10]]&gt;F$168,F$168,Tabell2[[#This Row],[Befvekst10]]))</f>
        <v>-0.12545237722432315</v>
      </c>
      <c r="P162" s="80">
        <f>IF(Tabell2[[#This Row],[Kvinneandel]]&lt;G$167,G$167,IF(Tabell2[[#This Row],[Kvinneandel]]&gt;G$168,G$168,Tabell2[[#This Row],[Kvinneandel]]))</f>
        <v>9.1462840383166502E-2</v>
      </c>
      <c r="Q162" s="80">
        <f>IF(Tabell2[[#This Row],[Eldreandel]]&lt;H$167,H$167,IF(Tabell2[[#This Row],[Eldreandel]]&gt;H$168,H$168,Tabell2[[#This Row],[Eldreandel]]))</f>
        <v>0.18817733990147784</v>
      </c>
      <c r="R162" s="80">
        <f>IF(Tabell2[[#This Row],[Syssvekst10]]&lt;I$167,I$167,IF(Tabell2[[#This Row],[Syssvekst10]]&gt;I$168,I$168,Tabell2[[#This Row],[Syssvekst10]]))</f>
        <v>-0.10141187624317609</v>
      </c>
      <c r="S162" s="80">
        <f>IF(Tabell2[[#This Row],[Yrkesaktiveandel]]&lt;J$167,J$167,IF(Tabell2[[#This Row],[Yrkesaktiveandel]]&gt;J$168,J$168,Tabell2[[#This Row],[Yrkesaktiveandel]]))</f>
        <v>0.8586387434554974</v>
      </c>
      <c r="T162" s="80">
        <f>IF(Tabell2[[#This Row],[Bruttoinntekt17+]]&lt;K$167,K$167,IF(Tabell2[[#This Row],[Bruttoinntekt17+]]&gt;K$168,K$168,Tabell2[[#This Row],[Bruttoinntekt17+]]))</f>
        <v>300700</v>
      </c>
      <c r="U162" s="60">
        <f>IF(Tabell2[[#This Row],[NIBR11-BA-Utrunk]]&lt;=L$170,100,IF(Tabell2[[#This Row],[NIBR11-BA-Utrunk]]&gt;=L$169,0,100-Tabell2[[#This Row],[NIBR11-BA-Utrunk]]*100/L$171))</f>
        <v>0</v>
      </c>
      <c r="V162" s="60">
        <f>(M$169-Tabell2[[#This Row],[Reisetid Oslo-T]])*100/M$171</f>
        <v>0</v>
      </c>
      <c r="W162" s="60">
        <f>100-(N$169-Tabell2[[#This Row],[beftettotal-T]])*100/N$171</f>
        <v>0</v>
      </c>
      <c r="X162" s="60">
        <f>100-(O$169-Tabell2[[#This Row],[Befvekst10-T]])*100/O$171</f>
        <v>0</v>
      </c>
      <c r="Y162" s="60">
        <f>100-(P$169-Tabell2[[#This Row],[Kvinneandel-T]])*100/P$171</f>
        <v>0</v>
      </c>
      <c r="Z162" s="60">
        <f>(Q$169-Tabell2[[#This Row],[Eldreandel-T]])*100/Q$171</f>
        <v>20.876577880195114</v>
      </c>
      <c r="AA162" s="60">
        <f>100-(R$169-Tabell2[[#This Row],[Syssvekst10-T]])*100/R$171</f>
        <v>0</v>
      </c>
      <c r="AB162" s="60">
        <f>100-(S$169-Tabell2[[#This Row],[Yrkesaktiveandel-T]])*100/S$171</f>
        <v>24.265611197906651</v>
      </c>
      <c r="AC162" s="60">
        <f>100-(T$169-Tabell2[[#This Row],[Bruttoinntekt17+-T]])*100/T$171</f>
        <v>10.77001862418949</v>
      </c>
      <c r="AD162" s="60">
        <f>Tabell2[[#This Row],[NIBR11-BA-I]]*$AD$2</f>
        <v>0</v>
      </c>
      <c r="AE162" s="60">
        <f>Tabell2[[#This Row],[Reisetid Oslo-I]]*$AE$2</f>
        <v>0</v>
      </c>
      <c r="AF162" s="60">
        <f>Tabell2[[#This Row],[beftettotal-I]]*$AF$2</f>
        <v>0</v>
      </c>
      <c r="AG162" s="60">
        <f>Tabell2[[#This Row],[Befvekst10-I]]*$AG$2</f>
        <v>0</v>
      </c>
      <c r="AH162" s="60">
        <f>Tabell2[[#This Row],[Kvinneandel-I]]*$AH$2</f>
        <v>0</v>
      </c>
      <c r="AI162" s="60">
        <f>Tabell2[[#This Row],[Eldreandel-I]]*$AI$2</f>
        <v>1.0438288940097558</v>
      </c>
      <c r="AJ162" s="60">
        <f>Tabell2[[#This Row],[Syssvekst10-I]]*$AJ$2</f>
        <v>0</v>
      </c>
      <c r="AK162" s="60">
        <f>Tabell2[[#This Row],[Yrkesaktiveandel-I]]*$AK$2</f>
        <v>2.4265611197906654</v>
      </c>
      <c r="AL162" s="60">
        <f>Tabell2[[#This Row],[Bruttoinntekt17+-I]]*$AL$2</f>
        <v>1.077001862418949</v>
      </c>
      <c r="AM162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4.5473918762193701</v>
      </c>
    </row>
    <row r="163" spans="1:39">
      <c r="A163" s="63">
        <v>158</v>
      </c>
      <c r="B163" s="8" t="s">
        <v>213</v>
      </c>
      <c r="C163" s="45">
        <f>Råark!L160</f>
        <v>11</v>
      </c>
      <c r="D163" s="80">
        <f>Råark!K160</f>
        <v>328.30938772490003</v>
      </c>
      <c r="E163" s="80">
        <f>Råark!N160</f>
        <v>0.71511293401255893</v>
      </c>
      <c r="F163" s="80">
        <f>Råark!O160</f>
        <v>-4.7054952286936458E-2</v>
      </c>
      <c r="G163" s="80">
        <f>Råark!P160</f>
        <v>0.10566298342541436</v>
      </c>
      <c r="H163" s="80">
        <f>Råark!Q160</f>
        <v>0.16160220994475138</v>
      </c>
      <c r="I163" s="80">
        <f>Råark!R160</f>
        <v>1.4224751066855834E-3</v>
      </c>
      <c r="J163" s="80">
        <f>Råark!S160</f>
        <v>0.89963942307692313</v>
      </c>
      <c r="K163" s="80">
        <f>Råark!M160</f>
        <v>309400</v>
      </c>
      <c r="L163" s="59">
        <f>Tabell2[[#This Row],[NIBR11BA]]</f>
        <v>11</v>
      </c>
      <c r="M163" s="80">
        <f>IF(Tabell2[[#This Row],[Reisetid Oslo]]&lt;D$167,D$167,IF(Tabell2[[#This Row],[Reisetid Oslo]]&gt;D$168,D$168,Tabell2[[#This Row],[Reisetid Oslo]]))</f>
        <v>318.14540316969999</v>
      </c>
      <c r="N163" s="80">
        <f>IF(Tabell2[[#This Row],[beftettotal]]&lt;E$167,E$167,IF(Tabell2[[#This Row],[beftettotal]]&gt;E$168,E$168,Tabell2[[#This Row],[beftettotal]]))</f>
        <v>1.0041493534832273</v>
      </c>
      <c r="O163" s="80">
        <f>IF(Tabell2[[#This Row],[Befvekst10]]&lt;F$167,F$167,IF(Tabell2[[#This Row],[Befvekst10]]&gt;F$168,F$168,Tabell2[[#This Row],[Befvekst10]]))</f>
        <v>-4.7054952286936458E-2</v>
      </c>
      <c r="P163" s="80">
        <f>IF(Tabell2[[#This Row],[Kvinneandel]]&lt;G$167,G$167,IF(Tabell2[[#This Row],[Kvinneandel]]&gt;G$168,G$168,Tabell2[[#This Row],[Kvinneandel]]))</f>
        <v>0.10566298342541436</v>
      </c>
      <c r="Q163" s="80">
        <f>IF(Tabell2[[#This Row],[Eldreandel]]&lt;H$167,H$167,IF(Tabell2[[#This Row],[Eldreandel]]&gt;H$168,H$168,Tabell2[[#This Row],[Eldreandel]]))</f>
        <v>0.16160220994475138</v>
      </c>
      <c r="R163" s="80">
        <f>IF(Tabell2[[#This Row],[Syssvekst10]]&lt;I$167,I$167,IF(Tabell2[[#This Row],[Syssvekst10]]&gt;I$168,I$168,Tabell2[[#This Row],[Syssvekst10]]))</f>
        <v>1.4224751066855834E-3</v>
      </c>
      <c r="S163" s="80">
        <f>IF(Tabell2[[#This Row],[Yrkesaktiveandel]]&lt;J$167,J$167,IF(Tabell2[[#This Row],[Yrkesaktiveandel]]&gt;J$168,J$168,Tabell2[[#This Row],[Yrkesaktiveandel]]))</f>
        <v>0.89963942307692313</v>
      </c>
      <c r="T163" s="80">
        <f>IF(Tabell2[[#This Row],[Bruttoinntekt17+]]&lt;K$167,K$167,IF(Tabell2[[#This Row],[Bruttoinntekt17+]]&gt;K$168,K$168,Tabell2[[#This Row],[Bruttoinntekt17+]]))</f>
        <v>309400</v>
      </c>
      <c r="U163" s="60">
        <f>IF(Tabell2[[#This Row],[NIBR11-BA-Utrunk]]&lt;=L$170,100,IF(Tabell2[[#This Row],[NIBR11-BA-Utrunk]]&gt;=L$169,0,100-Tabell2[[#This Row],[NIBR11-BA-Utrunk]]*100/L$171))</f>
        <v>0</v>
      </c>
      <c r="V163" s="60">
        <f>(M$169-Tabell2[[#This Row],[Reisetid Oslo-T]])*100/M$171</f>
        <v>0</v>
      </c>
      <c r="W163" s="60">
        <f>100-(N$169-Tabell2[[#This Row],[beftettotal-T]])*100/N$171</f>
        <v>0</v>
      </c>
      <c r="X163" s="60">
        <f>100-(O$169-Tabell2[[#This Row],[Befvekst10-T]])*100/O$171</f>
        <v>35.158064563724139</v>
      </c>
      <c r="Y163" s="60">
        <f>100-(P$169-Tabell2[[#This Row],[Kvinneandel-T]])*100/P$171</f>
        <v>45.285192386203867</v>
      </c>
      <c r="Z163" s="60">
        <f>(Q$169-Tabell2[[#This Row],[Eldreandel-T]])*100/Q$171</f>
        <v>56.227958884320195</v>
      </c>
      <c r="AA163" s="60">
        <f>100-(R$169-Tabell2[[#This Row],[Syssvekst10-T]])*100/R$171</f>
        <v>38.808262057801571</v>
      </c>
      <c r="AB163" s="60">
        <f>100-(S$169-Tabell2[[#This Row],[Yrkesaktiveandel-T]])*100/S$171</f>
        <v>55.258687113488918</v>
      </c>
      <c r="AC163" s="60">
        <f>100-(T$169-Tabell2[[#This Row],[Bruttoinntekt17+-T]])*100/T$171</f>
        <v>25.342205565161265</v>
      </c>
      <c r="AD163" s="60">
        <f>Tabell2[[#This Row],[NIBR11-BA-I]]*$AD$2</f>
        <v>0</v>
      </c>
      <c r="AE163" s="60">
        <f>Tabell2[[#This Row],[Reisetid Oslo-I]]*$AE$2</f>
        <v>0</v>
      </c>
      <c r="AF163" s="60">
        <f>Tabell2[[#This Row],[beftettotal-I]]*$AF$2</f>
        <v>0</v>
      </c>
      <c r="AG163" s="60">
        <f>Tabell2[[#This Row],[Befvekst10-I]]*$AG$2</f>
        <v>7.0316129127448281</v>
      </c>
      <c r="AH163" s="60">
        <f>Tabell2[[#This Row],[Kvinneandel-I]]*$AH$2</f>
        <v>2.2642596193101934</v>
      </c>
      <c r="AI163" s="60">
        <f>Tabell2[[#This Row],[Eldreandel-I]]*$AI$2</f>
        <v>2.8113979442160097</v>
      </c>
      <c r="AJ163" s="60">
        <f>Tabell2[[#This Row],[Syssvekst10-I]]*$AJ$2</f>
        <v>3.8808262057801572</v>
      </c>
      <c r="AK163" s="60">
        <f>Tabell2[[#This Row],[Yrkesaktiveandel-I]]*$AK$2</f>
        <v>5.5258687113488918</v>
      </c>
      <c r="AL163" s="60">
        <f>Tabell2[[#This Row],[Bruttoinntekt17+-I]]*$AL$2</f>
        <v>2.5342205565161269</v>
      </c>
      <c r="AM163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24.04818594991621</v>
      </c>
    </row>
    <row r="164" spans="1:39">
      <c r="A164" s="64">
        <v>159</v>
      </c>
      <c r="B164" s="8" t="s">
        <v>214</v>
      </c>
      <c r="C164" s="45">
        <f>Råark!L161</f>
        <v>9</v>
      </c>
      <c r="D164" s="80">
        <f>Råark!K161</f>
        <v>323.55824695064001</v>
      </c>
      <c r="E164" s="80">
        <f>Råark!N161</f>
        <v>1.4575164310732176</v>
      </c>
      <c r="F164" s="80">
        <f>Råark!O161</f>
        <v>-0.13211466555878693</v>
      </c>
      <c r="G164" s="80">
        <f>Råark!P161</f>
        <v>0.11584490186692198</v>
      </c>
      <c r="H164" s="80">
        <f>Råark!Q161</f>
        <v>0.11871708951651508</v>
      </c>
      <c r="I164" s="80">
        <f>Råark!R161</f>
        <v>-0.18316445830085737</v>
      </c>
      <c r="J164" s="80">
        <f>Råark!S161</f>
        <v>0.84829721362229105</v>
      </c>
      <c r="K164" s="80">
        <f>Råark!M161</f>
        <v>311900</v>
      </c>
      <c r="L164" s="59">
        <f>Tabell2[[#This Row],[NIBR11BA]]</f>
        <v>9</v>
      </c>
      <c r="M164" s="80">
        <f>IF(Tabell2[[#This Row],[Reisetid Oslo]]&lt;D$167,D$167,IF(Tabell2[[#This Row],[Reisetid Oslo]]&gt;D$168,D$168,Tabell2[[#This Row],[Reisetid Oslo]]))</f>
        <v>318.14540316969999</v>
      </c>
      <c r="N164" s="80">
        <f>IF(Tabell2[[#This Row],[beftettotal]]&lt;E$167,E$167,IF(Tabell2[[#This Row],[beftettotal]]&gt;E$168,E$168,Tabell2[[#This Row],[beftettotal]]))</f>
        <v>1.4575164310732176</v>
      </c>
      <c r="O164" s="80">
        <f>IF(Tabell2[[#This Row],[Befvekst10]]&lt;F$167,F$167,IF(Tabell2[[#This Row],[Befvekst10]]&gt;F$168,F$168,Tabell2[[#This Row],[Befvekst10]]))</f>
        <v>-0.12545237722432315</v>
      </c>
      <c r="P164" s="80">
        <f>IF(Tabell2[[#This Row],[Kvinneandel]]&lt;G$167,G$167,IF(Tabell2[[#This Row],[Kvinneandel]]&gt;G$168,G$168,Tabell2[[#This Row],[Kvinneandel]]))</f>
        <v>0.11584490186692198</v>
      </c>
      <c r="Q164" s="80">
        <f>IF(Tabell2[[#This Row],[Eldreandel]]&lt;H$167,H$167,IF(Tabell2[[#This Row],[Eldreandel]]&gt;H$168,H$168,Tabell2[[#This Row],[Eldreandel]]))</f>
        <v>0.1286969132327325</v>
      </c>
      <c r="R164" s="80">
        <f>IF(Tabell2[[#This Row],[Syssvekst10]]&lt;I$167,I$167,IF(Tabell2[[#This Row],[Syssvekst10]]&gt;I$168,I$168,Tabell2[[#This Row],[Syssvekst10]]))</f>
        <v>-0.10141187624317609</v>
      </c>
      <c r="S164" s="80">
        <f>IF(Tabell2[[#This Row],[Yrkesaktiveandel]]&lt;J$167,J$167,IF(Tabell2[[#This Row],[Yrkesaktiveandel]]&gt;J$168,J$168,Tabell2[[#This Row],[Yrkesaktiveandel]]))</f>
        <v>0.84829721362229105</v>
      </c>
      <c r="T164" s="80">
        <f>IF(Tabell2[[#This Row],[Bruttoinntekt17+]]&lt;K$167,K$167,IF(Tabell2[[#This Row],[Bruttoinntekt17+]]&gt;K$168,K$168,Tabell2[[#This Row],[Bruttoinntekt17+]]))</f>
        <v>311900</v>
      </c>
      <c r="U164" s="60">
        <f>IF(Tabell2[[#This Row],[NIBR11-BA-Utrunk]]&lt;=L$170,100,IF(Tabell2[[#This Row],[NIBR11-BA-Utrunk]]&gt;=L$169,0,100-Tabell2[[#This Row],[NIBR11-BA-Utrunk]]*100/L$171))</f>
        <v>10</v>
      </c>
      <c r="V164" s="60">
        <f>(M$169-Tabell2[[#This Row],[Reisetid Oslo-T]])*100/M$171</f>
        <v>0</v>
      </c>
      <c r="W164" s="60">
        <f>100-(N$169-Tabell2[[#This Row],[beftettotal-T]])*100/N$171</f>
        <v>1.054022870396139</v>
      </c>
      <c r="X164" s="60">
        <f>100-(O$169-Tabell2[[#This Row],[Befvekst10-T]])*100/O$171</f>
        <v>0</v>
      </c>
      <c r="Y164" s="60">
        <f>100-(P$169-Tabell2[[#This Row],[Kvinneandel-T]])*100/P$171</f>
        <v>77.756001596539818</v>
      </c>
      <c r="Z164" s="60">
        <f>(Q$169-Tabell2[[#This Row],[Eldreandel-T]])*100/Q$171</f>
        <v>100</v>
      </c>
      <c r="AA164" s="60">
        <f>100-(R$169-Tabell2[[#This Row],[Syssvekst10-T]])*100/R$171</f>
        <v>0</v>
      </c>
      <c r="AB164" s="60">
        <f>100-(S$169-Tabell2[[#This Row],[Yrkesaktiveandel-T]])*100/S$171</f>
        <v>16.448281774022391</v>
      </c>
      <c r="AC164" s="60">
        <f>100-(T$169-Tabell2[[#This Row],[Bruttoinntekt17+-T]])*100/T$171</f>
        <v>29.529615605670386</v>
      </c>
      <c r="AD164" s="60">
        <f>Tabell2[[#This Row],[NIBR11-BA-I]]*$AD$2</f>
        <v>2</v>
      </c>
      <c r="AE164" s="60">
        <f>Tabell2[[#This Row],[Reisetid Oslo-I]]*$AE$2</f>
        <v>0</v>
      </c>
      <c r="AF164" s="60">
        <f>Tabell2[[#This Row],[beftettotal-I]]*$AF$2</f>
        <v>0.10540228703961391</v>
      </c>
      <c r="AG164" s="60">
        <f>Tabell2[[#This Row],[Befvekst10-I]]*$AG$2</f>
        <v>0</v>
      </c>
      <c r="AH164" s="60">
        <f>Tabell2[[#This Row],[Kvinneandel-I]]*$AH$2</f>
        <v>3.8878000798269912</v>
      </c>
      <c r="AI164" s="60">
        <f>Tabell2[[#This Row],[Eldreandel-I]]*$AI$2</f>
        <v>5</v>
      </c>
      <c r="AJ164" s="60">
        <f>Tabell2[[#This Row],[Syssvekst10-I]]*$AJ$2</f>
        <v>0</v>
      </c>
      <c r="AK164" s="60">
        <f>Tabell2[[#This Row],[Yrkesaktiveandel-I]]*$AK$2</f>
        <v>1.6448281774022391</v>
      </c>
      <c r="AL164" s="60">
        <f>Tabell2[[#This Row],[Bruttoinntekt17+-I]]*$AL$2</f>
        <v>2.9529615605670387</v>
      </c>
      <c r="AM164" s="62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15.590992104835882</v>
      </c>
    </row>
    <row r="165" spans="1:39" ht="15.75" thickBot="1">
      <c r="A165" s="65">
        <v>160</v>
      </c>
      <c r="B165" s="66" t="s">
        <v>215</v>
      </c>
      <c r="C165" s="67">
        <f>Råark!L162</f>
        <v>9</v>
      </c>
      <c r="D165" s="81">
        <f>Råark!K162</f>
        <v>241.72333793760001</v>
      </c>
      <c r="E165" s="81">
        <f>Råark!N162</f>
        <v>2.485254826838736</v>
      </c>
      <c r="F165" s="81">
        <f>Råark!O162</f>
        <v>2.6228143213988364E-2</v>
      </c>
      <c r="G165" s="81">
        <f>Råark!P162</f>
        <v>0.1286004056795132</v>
      </c>
      <c r="H165" s="81">
        <f>Råark!Q162</f>
        <v>0.12900608519269777</v>
      </c>
      <c r="I165" s="81">
        <f>Råark!R162</f>
        <v>0.24936209696126199</v>
      </c>
      <c r="J165" s="81">
        <f>Råark!S162</f>
        <v>0.89398280802292263</v>
      </c>
      <c r="K165" s="81">
        <f>Råark!M162</f>
        <v>340200</v>
      </c>
      <c r="L165" s="68">
        <f>Tabell2[[#This Row],[NIBR11BA]]</f>
        <v>9</v>
      </c>
      <c r="M165" s="81">
        <f>IF(Tabell2[[#This Row],[Reisetid Oslo]]&lt;D$167,D$167,IF(Tabell2[[#This Row],[Reisetid Oslo]]&gt;D$168,D$168,Tabell2[[#This Row],[Reisetid Oslo]]))</f>
        <v>241.72333793760001</v>
      </c>
      <c r="N165" s="81">
        <f>IF(Tabell2[[#This Row],[beftettotal]]&lt;E$167,E$167,IF(Tabell2[[#This Row],[beftettotal]]&gt;E$168,E$168,Tabell2[[#This Row],[beftettotal]]))</f>
        <v>2.485254826838736</v>
      </c>
      <c r="O165" s="81">
        <f>IF(Tabell2[[#This Row],[Befvekst10]]&lt;F$167,F$167,IF(Tabell2[[#This Row],[Befvekst10]]&gt;F$168,F$168,Tabell2[[#This Row],[Befvekst10]]))</f>
        <v>2.6228143213988364E-2</v>
      </c>
      <c r="P165" s="81">
        <f>IF(Tabell2[[#This Row],[Kvinneandel]]&lt;G$167,G$167,IF(Tabell2[[#This Row],[Kvinneandel]]&gt;G$168,G$168,Tabell2[[#This Row],[Kvinneandel]]))</f>
        <v>0.12281998450468276</v>
      </c>
      <c r="Q165" s="81">
        <f>IF(Tabell2[[#This Row],[Eldreandel]]&lt;H$167,H$167,IF(Tabell2[[#This Row],[Eldreandel]]&gt;H$168,H$168,Tabell2[[#This Row],[Eldreandel]]))</f>
        <v>0.12900608519269777</v>
      </c>
      <c r="R165" s="81">
        <f>IF(Tabell2[[#This Row],[Syssvekst10]]&lt;I$167,I$167,IF(Tabell2[[#This Row],[Syssvekst10]]&gt;I$168,I$168,Tabell2[[#This Row],[Syssvekst10]]))</f>
        <v>0.1635686869077807</v>
      </c>
      <c r="S165" s="81">
        <f>IF(Tabell2[[#This Row],[Yrkesaktiveandel]]&lt;J$167,J$167,IF(Tabell2[[#This Row],[Yrkesaktiveandel]]&gt;J$168,J$168,Tabell2[[#This Row],[Yrkesaktiveandel]]))</f>
        <v>0.89398280802292263</v>
      </c>
      <c r="T165" s="81">
        <f>IF(Tabell2[[#This Row],[Bruttoinntekt17+]]&lt;K$167,K$167,IF(Tabell2[[#This Row],[Bruttoinntekt17+]]&gt;K$168,K$168,Tabell2[[#This Row],[Bruttoinntekt17+]]))</f>
        <v>340200</v>
      </c>
      <c r="U165" s="69">
        <f>IF(Tabell2[[#This Row],[NIBR11-BA-Utrunk]]&lt;=L$170,100,IF(Tabell2[[#This Row],[NIBR11-BA-Utrunk]]&gt;=L$169,0,100-Tabell2[[#This Row],[NIBR11-BA-Utrunk]]*100/L$171))</f>
        <v>10</v>
      </c>
      <c r="V165" s="69">
        <f>(M$169-Tabell2[[#This Row],[Reisetid Oslo-T]])*100/M$171</f>
        <v>41.033608707752038</v>
      </c>
      <c r="W165" s="69">
        <f>100-(N$169-Tabell2[[#This Row],[beftettotal-T]])*100/N$171</f>
        <v>3.4433886348435578</v>
      </c>
      <c r="X165" s="69">
        <f>100-(O$169-Tabell2[[#This Row],[Befvekst10-T]])*100/O$171</f>
        <v>68.022559859441188</v>
      </c>
      <c r="Y165" s="69">
        <f>100-(P$169-Tabell2[[#This Row],[Kvinneandel-T]])*100/P$171</f>
        <v>100</v>
      </c>
      <c r="Z165" s="69">
        <f>(Q$169-Tabell2[[#This Row],[Eldreandel-T]])*100/Q$171</f>
        <v>99.58872615974704</v>
      </c>
      <c r="AA165" s="69">
        <f>100-(R$169-Tabell2[[#This Row],[Syssvekst10-T]])*100/R$171</f>
        <v>100</v>
      </c>
      <c r="AB165" s="69">
        <f>100-(S$169-Tabell2[[#This Row],[Yrkesaktiveandel-T]])*100/S$171</f>
        <v>50.982760435867505</v>
      </c>
      <c r="AC165" s="69">
        <f>100-(T$169-Tabell2[[#This Row],[Bruttoinntekt17+-T]])*100/T$171</f>
        <v>76.931097264233742</v>
      </c>
      <c r="AD165" s="69">
        <f>Tabell2[[#This Row],[NIBR11-BA-I]]*$AD$2</f>
        <v>2</v>
      </c>
      <c r="AE165" s="69">
        <f>Tabell2[[#This Row],[Reisetid Oslo-I]]*$AE$2</f>
        <v>4.1033608707752043</v>
      </c>
      <c r="AF165" s="69">
        <f>Tabell2[[#This Row],[beftettotal-I]]*$AF$2</f>
        <v>0.34433886348435583</v>
      </c>
      <c r="AG165" s="69">
        <f>Tabell2[[#This Row],[Befvekst10-I]]*$AG$2</f>
        <v>13.604511971888238</v>
      </c>
      <c r="AH165" s="69">
        <f>Tabell2[[#This Row],[Kvinneandel-I]]*$AH$2</f>
        <v>5</v>
      </c>
      <c r="AI165" s="69">
        <f>Tabell2[[#This Row],[Eldreandel-I]]*$AI$2</f>
        <v>4.9794363079873527</v>
      </c>
      <c r="AJ165" s="69">
        <f>Tabell2[[#This Row],[Syssvekst10-I]]*$AJ$2</f>
        <v>10</v>
      </c>
      <c r="AK165" s="69">
        <f>Tabell2[[#This Row],[Yrkesaktiveandel-I]]*$AK$2</f>
        <v>5.0982760435867505</v>
      </c>
      <c r="AL165" s="69">
        <f>Tabell2[[#This Row],[Bruttoinntekt17+-I]]*$AL$2</f>
        <v>7.6931097264233745</v>
      </c>
      <c r="AM165" s="70">
        <f>Tabell2[[#This Row],[NIBR11-BA-I]]*$AD$2+Tabell2[[#This Row],[Reisetid Oslo-I]]*$AE$2+Tabell2[[#This Row],[beftettotal-I]]*$AF$2+Tabell2[[#This Row],[Befvekst10-I]]*$AG$2+Tabell2[[#This Row],[Kvinneandel-I]]*$AH$2+Tabell2[[#This Row],[Eldreandel-I]]*$AI$2+Tabell2[[#This Row],[Syssvekst10-I]]*$AJ$2+Tabell2[[#This Row],[Yrkesaktiveandel-I]]*$AK$2+Tabell2[[#This Row],[Bruttoinntekt17+-I]]*$AL$2</f>
        <v>52.823033784145274</v>
      </c>
    </row>
    <row r="166" spans="1:39">
      <c r="B166" s="7"/>
    </row>
    <row r="167" spans="1:39">
      <c r="A167" s="1" t="s">
        <v>43</v>
      </c>
      <c r="B167" s="7"/>
      <c r="C167" s="3" t="s">
        <v>48</v>
      </c>
      <c r="D167" s="1">
        <f>PERCENTILE(Tabell2[Reisetid Oslo],0.1)</f>
        <v>131.90278976372289</v>
      </c>
      <c r="E167" s="1">
        <f>PERCENTILE(Tabell2[beftettotal],0.1)</f>
        <v>1.0041493534832273</v>
      </c>
      <c r="F167" s="1">
        <f>PERCENTILE(Tabell2[Befvekst10],0.1)</f>
        <v>-0.12545237722432315</v>
      </c>
      <c r="G167" s="1">
        <f>PERCENTILE(Tabell2[Kvinneandel],0.1)</f>
        <v>9.1462840383166502E-2</v>
      </c>
      <c r="H167" s="1">
        <f>PERCENTILE(Tabell2[Eldreandel],0.1)</f>
        <v>0.1286969132327325</v>
      </c>
      <c r="I167" s="1">
        <f>PERCENTILE(Tabell2[Syssvekst10],0.1)</f>
        <v>-0.10141187624317609</v>
      </c>
      <c r="J167" s="1">
        <f>PERCENTILE(Tabell2[Yrkesaktiveandel],0.1)</f>
        <v>0.82653781377516045</v>
      </c>
      <c r="K167" s="1">
        <f>PERCENTILE(Tabell2[Bruttoinntekt17+],0.1)</f>
        <v>294270</v>
      </c>
      <c r="L167" s="3">
        <f>PERCENTILE(Tabell2[NIBR11-BA-Utrunk],0.1)</f>
        <v>4</v>
      </c>
      <c r="M167" s="1">
        <f>PERCENTILE(Tabell2[Reisetid Oslo-T],0.1)</f>
        <v>133.87930110009606</v>
      </c>
      <c r="N167" s="1">
        <f>PERCENTILE(Tabell2[beftettotal-T],0.1)</f>
        <v>1.0139781114789872</v>
      </c>
      <c r="O167" s="1">
        <f>PERCENTILE(Tabell2[Befvekst10-T],0.1)</f>
        <v>-0.12526889577412223</v>
      </c>
      <c r="P167" s="1">
        <f>PERCENTILE(Tabell2[Kvinneandel-T],0.1)</f>
        <v>9.1508247228500691E-2</v>
      </c>
      <c r="Q167" s="1">
        <f>PERCENTILE(Tabell2[Eldreandel-T],0.1)</f>
        <v>0.12897516799670125</v>
      </c>
      <c r="R167" s="1">
        <f>PERCENTILE(Tabell2[Syssvekst10-T],0.1)</f>
        <v>-0.10139263606000708</v>
      </c>
      <c r="S167" s="1">
        <f>PERCENTILE(Tabell2[Yrkesaktiveandel-T],0.1)</f>
        <v>0.82672018842814121</v>
      </c>
      <c r="T167" s="1">
        <f>PERCENTILE(Tabell2[Bruttoinntekt17+-T],0.1)</f>
        <v>294387</v>
      </c>
    </row>
    <row r="168" spans="1:39">
      <c r="A168" s="1" t="s">
        <v>44</v>
      </c>
      <c r="B168" s="7"/>
      <c r="C168" s="3" t="s">
        <v>48</v>
      </c>
      <c r="D168" s="1">
        <f>PERCENTILE(Tabell2[Reisetid Oslo],0.9)</f>
        <v>318.14540316969999</v>
      </c>
      <c r="E168" s="1">
        <f>PERCENTILE(Tabell2[beftettotal],0.9)</f>
        <v>44.017170258769376</v>
      </c>
      <c r="F168" s="1">
        <f>PERCENTILE(Tabell2[Befvekst10],0.9)</f>
        <v>9.7533233360955388E-2</v>
      </c>
      <c r="G168" s="1">
        <f>PERCENTILE(Tabell2[Kvinneandel],0.9)</f>
        <v>0.12281998450468276</v>
      </c>
      <c r="H168" s="1">
        <f>PERCENTILE(Tabell2[Eldreandel],0.9)</f>
        <v>0.20387114745465851</v>
      </c>
      <c r="I168" s="1">
        <f>PERCENTILE(Tabell2[Syssvekst10],0.9)</f>
        <v>0.1635686869077807</v>
      </c>
      <c r="J168" s="1">
        <f>PERCENTILE(Tabell2[Yrkesaktiveandel],0.9)</f>
        <v>0.95882761854672227</v>
      </c>
      <c r="K168" s="1">
        <f>PERCENTILE(Tabell2[Bruttoinntekt17+],0.9)</f>
        <v>353972.77512388147</v>
      </c>
      <c r="L168" s="3">
        <f>PERCENTILE(Tabell2[NIBR11-BA-Utrunk],0.9)</f>
        <v>11</v>
      </c>
      <c r="M168" s="1">
        <f>PERCENTILE(Tabell2[Reisetid Oslo-T],0.9)</f>
        <v>317.82691955347002</v>
      </c>
      <c r="N168" s="1">
        <f>PERCENTILE(Tabell2[beftettotal-T],0.9)</f>
        <v>43.952685397590301</v>
      </c>
      <c r="O168" s="1">
        <f>PERCENTILE(Tabell2[Befvekst10-T],0.9)</f>
        <v>9.7143108729540975E-2</v>
      </c>
      <c r="P168" s="1">
        <f>PERCENTILE(Tabell2[Kvinneandel-T],0.9)</f>
        <v>0.12274477511042803</v>
      </c>
      <c r="Q168" s="1">
        <f>PERCENTILE(Tabell2[Eldreandel-T],0.9)</f>
        <v>0.20361048892077216</v>
      </c>
      <c r="R168" s="1">
        <f>PERCENTILE(Tabell2[Syssvekst10-T],0.9)</f>
        <v>0.1627309854628122</v>
      </c>
      <c r="S168" s="1">
        <f>PERCENTILE(Tabell2[Yrkesaktiveandel-T],0.9)</f>
        <v>0.95835721341483027</v>
      </c>
      <c r="T168" s="1">
        <f>PERCENTILE(Tabell2[Bruttoinntekt17+-T],0.9)</f>
        <v>353930.05263626965</v>
      </c>
    </row>
    <row r="169" spans="1:39">
      <c r="A169" s="1" t="s">
        <v>45</v>
      </c>
      <c r="B169" s="7"/>
      <c r="C169" s="3" t="s">
        <v>48</v>
      </c>
      <c r="D169" s="1">
        <f>MAXA(Tabell2[Reisetid Oslo])</f>
        <v>443.67728288999996</v>
      </c>
      <c r="E169" s="1">
        <f>MAXA(Tabell2[beftettotal])</f>
        <v>171.95488385860855</v>
      </c>
      <c r="F169" s="1">
        <f>MAXA(Tabell2[Befvekst10])</f>
        <v>0.19458630095469021</v>
      </c>
      <c r="G169" s="1">
        <f>MAXA(Tabell2[Kvinneandel])</f>
        <v>0.15139573897269584</v>
      </c>
      <c r="H169" s="1">
        <f>MAXA(Tabell2[Eldreandel])</f>
        <v>0.25673758865248225</v>
      </c>
      <c r="I169" s="1">
        <f>MAXA(Tabell2[Syssvekst10])</f>
        <v>0.34560327198364016</v>
      </c>
      <c r="J169" s="1">
        <f>MAXA(Tabell2[Yrkesaktiveandel])</f>
        <v>1.016</v>
      </c>
      <c r="K169" s="1">
        <f>MAXA(Tabell2[Bruttoinntekt17+])</f>
        <v>439700</v>
      </c>
      <c r="L169" s="3">
        <f>MAXA(Tabell2[NIBR11-BA-Utrunk])</f>
        <v>11</v>
      </c>
      <c r="M169" s="1">
        <f>MAXA(Tabell2[Reisetid Oslo-T])</f>
        <v>318.14540316969999</v>
      </c>
      <c r="N169" s="1">
        <f>MAXA(Tabell2[beftettotal-T])</f>
        <v>44.017170258769376</v>
      </c>
      <c r="O169" s="1">
        <f>MAXA(Tabell2[Befvekst10-T])</f>
        <v>9.7533233360955388E-2</v>
      </c>
      <c r="P169" s="1">
        <f>MAXA(Tabell2[Kvinneandel-T])</f>
        <v>0.12281998450468276</v>
      </c>
      <c r="Q169" s="1">
        <f>MAXA(Tabell2[Eldreandel-T])</f>
        <v>0.20387114745465851</v>
      </c>
      <c r="R169" s="1">
        <f>MAXA(Tabell2[Syssvekst10-T])</f>
        <v>0.1635686869077807</v>
      </c>
      <c r="S169" s="1">
        <f>MAXA(Tabell2[Yrkesaktiveandel-T])</f>
        <v>0.95882761854672227</v>
      </c>
      <c r="T169" s="1">
        <f>MAXA(Tabell2[Bruttoinntekt17+-T])</f>
        <v>353972.77512388147</v>
      </c>
    </row>
    <row r="170" spans="1:39">
      <c r="A170" s="1" t="s">
        <v>46</v>
      </c>
      <c r="B170" s="7"/>
      <c r="C170" s="3" t="s">
        <v>48</v>
      </c>
      <c r="D170" s="1">
        <f>MIN(Tabell2[Reisetid Oslo])</f>
        <v>13.334452708236922</v>
      </c>
      <c r="E170" s="1">
        <f>MIN(Tabell2[beftettotal])</f>
        <v>0.30152410287050535</v>
      </c>
      <c r="F170" s="1">
        <f>MIN(Tabell2[Befvekst10])</f>
        <v>-0.22246065808297566</v>
      </c>
      <c r="G170" s="1">
        <f>MIN(Tabell2[Kvinneandel])</f>
        <v>7.2340425531914887E-2</v>
      </c>
      <c r="H170" s="1">
        <f>MIN(Tabell2[Eldreandel])</f>
        <v>9.7085364588735609E-2</v>
      </c>
      <c r="I170" s="1">
        <f>MIN(Tabell2[Syssvekst10])</f>
        <v>-0.26444833625218911</v>
      </c>
      <c r="J170" s="1">
        <f>MIN(Tabell2[Yrkesaktiveandel])</f>
        <v>0.77158555729984302</v>
      </c>
      <c r="K170" s="1">
        <f>MIN(Tabell2[Bruttoinntekt17+])</f>
        <v>263900</v>
      </c>
      <c r="L170" s="3">
        <f>MIN(Tabell2[NIBR11-BA-Utrunk])</f>
        <v>1</v>
      </c>
      <c r="M170" s="1">
        <f>MIN(Tabell2[Reisetid Oslo-T])</f>
        <v>131.90278976372289</v>
      </c>
      <c r="N170" s="1">
        <f>MIN(Tabell2[beftettotal-T])</f>
        <v>1.0041493534832273</v>
      </c>
      <c r="O170" s="1">
        <f>MIN(Tabell2[Befvekst10-T])</f>
        <v>-0.12545237722432315</v>
      </c>
      <c r="P170" s="1">
        <f>MIN(Tabell2[Kvinneandel-T])</f>
        <v>9.1462840383166502E-2</v>
      </c>
      <c r="Q170" s="1">
        <f>MIN(Tabell2[Eldreandel-T])</f>
        <v>0.1286969132327325</v>
      </c>
      <c r="R170" s="1">
        <f>MIN(Tabell2[Syssvekst10-T])</f>
        <v>-0.10141187624317609</v>
      </c>
      <c r="S170" s="1">
        <f>MIN(Tabell2[Yrkesaktiveandel-T])</f>
        <v>0.82653781377516045</v>
      </c>
      <c r="T170" s="1">
        <f>MIN(Tabell2[Bruttoinntekt17+-T])</f>
        <v>294270</v>
      </c>
    </row>
    <row r="171" spans="1:39">
      <c r="A171" s="1" t="s">
        <v>47</v>
      </c>
      <c r="B171" s="7"/>
      <c r="C171" s="3" t="s">
        <v>48</v>
      </c>
      <c r="D171" s="1">
        <f>D169-D170</f>
        <v>430.34283018176302</v>
      </c>
      <c r="E171" s="1">
        <f t="shared" ref="E171:K171" si="0">E169-E170</f>
        <v>171.65335975573805</v>
      </c>
      <c r="F171" s="1">
        <f t="shared" si="0"/>
        <v>0.41704695903766587</v>
      </c>
      <c r="G171" s="1">
        <f t="shared" si="0"/>
        <v>7.9055313440780955E-2</v>
      </c>
      <c r="H171" s="1">
        <f t="shared" si="0"/>
        <v>0.15965222406374663</v>
      </c>
      <c r="I171" s="1">
        <f t="shared" si="0"/>
        <v>0.61005160823582927</v>
      </c>
      <c r="J171" s="1">
        <f t="shared" si="0"/>
        <v>0.244414442700157</v>
      </c>
      <c r="K171" s="1">
        <f t="shared" si="0"/>
        <v>175800</v>
      </c>
      <c r="L171" s="3">
        <f t="shared" ref="L171" si="1">L169-L170</f>
        <v>10</v>
      </c>
      <c r="M171" s="1">
        <f t="shared" ref="M171" si="2">M169-M170</f>
        <v>186.2426134059771</v>
      </c>
      <c r="N171" s="1">
        <f t="shared" ref="N171" si="3">N169-N170</f>
        <v>43.013020905286147</v>
      </c>
      <c r="O171" s="1">
        <f t="shared" ref="O171" si="4">O169-O170</f>
        <v>0.22298561058527855</v>
      </c>
      <c r="P171" s="1">
        <f t="shared" ref="P171" si="5">P169-P170</f>
        <v>3.1357144121516259E-2</v>
      </c>
      <c r="Q171" s="1">
        <f t="shared" ref="Q171" si="6">Q169-Q170</f>
        <v>7.5174234221926012E-2</v>
      </c>
      <c r="R171" s="1">
        <f t="shared" ref="R171" si="7">R169-R170</f>
        <v>0.2649805631509568</v>
      </c>
      <c r="S171" s="1">
        <f t="shared" ref="S171" si="8">S169-S170</f>
        <v>0.13228980477156183</v>
      </c>
      <c r="T171" s="1">
        <f t="shared" ref="T171" si="9">T169-T170</f>
        <v>59702.775123881467</v>
      </c>
    </row>
    <row r="172" spans="1:39">
      <c r="B172" s="7"/>
    </row>
    <row r="173" spans="1:39">
      <c r="B173" s="7"/>
    </row>
    <row r="174" spans="1:39">
      <c r="B174" s="7"/>
    </row>
    <row r="175" spans="1:39">
      <c r="B175" s="7"/>
    </row>
    <row r="176" spans="1:39">
      <c r="B176" s="7"/>
    </row>
    <row r="177" spans="2:2">
      <c r="B177" s="7"/>
    </row>
    <row r="178" spans="2:2">
      <c r="B178" s="7"/>
    </row>
    <row r="179" spans="2:2">
      <c r="B179" s="7"/>
    </row>
    <row r="180" spans="2:2">
      <c r="B180" s="7"/>
    </row>
    <row r="181" spans="2:2">
      <c r="B181" s="7"/>
    </row>
    <row r="182" spans="2:2">
      <c r="B182" s="7"/>
    </row>
    <row r="183" spans="2:2">
      <c r="B183" s="7"/>
    </row>
  </sheetData>
  <mergeCells count="19">
    <mergeCell ref="AM1:AM4"/>
    <mergeCell ref="AD1:AL1"/>
    <mergeCell ref="U1:AC3"/>
    <mergeCell ref="L1:T3"/>
    <mergeCell ref="C1:K3"/>
    <mergeCell ref="A1:B4"/>
    <mergeCell ref="U4:W4"/>
    <mergeCell ref="X4:Z4"/>
    <mergeCell ref="AA4:AB4"/>
    <mergeCell ref="C4:E4"/>
    <mergeCell ref="F4:H4"/>
    <mergeCell ref="I4:J4"/>
    <mergeCell ref="L4:N4"/>
    <mergeCell ref="O4:Q4"/>
    <mergeCell ref="R4:S4"/>
    <mergeCell ref="AD3:AL3"/>
    <mergeCell ref="AD4:AF4"/>
    <mergeCell ref="AG4:AI4"/>
    <mergeCell ref="AJ4:AK4"/>
  </mergeCells>
  <pageMargins left="0.70866141732283472" right="0.70866141732283472" top="0.78740157480314965" bottom="0.78740157480314965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Råark</vt:lpstr>
      <vt:lpstr>Arbeidsark-BA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Vidar M.H. Jensen</dc:creator>
  <cp:lastModifiedBy>Mads Munkejord</cp:lastModifiedBy>
  <cp:lastPrinted>2013-06-27T11:22:36Z</cp:lastPrinted>
  <dcterms:created xsi:type="dcterms:W3CDTF">2013-02-15T08:09:50Z</dcterms:created>
  <dcterms:modified xsi:type="dcterms:W3CDTF">2013-06-27T11:24:53Z</dcterms:modified>
</cp:coreProperties>
</file>