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5" yWindow="480" windowWidth="19440" windowHeight="9720" activeTab="1"/>
  </bookViews>
  <sheets>
    <sheet name="Rådata-K" sheetId="1" r:id="rId1"/>
    <sheet name="Arbeidsark-K" sheetId="3" r:id="rId2"/>
    <sheet name="Vekter" sheetId="4" r:id="rId3"/>
  </sheets>
  <calcPr calcId="125725"/>
</workbook>
</file>

<file path=xl/calcChain.xml><?xml version="1.0" encoding="utf-8"?>
<calcChain xmlns="http://schemas.openxmlformats.org/spreadsheetml/2006/main">
  <c r="U243" i="1"/>
  <c r="N4" i="4" l="1"/>
  <c r="T3" i="1"/>
  <c r="F3" i="3" s="1"/>
  <c r="T4" i="1"/>
  <c r="F4" i="3" s="1"/>
  <c r="T5" i="1"/>
  <c r="F5" i="3" s="1"/>
  <c r="T6" i="1"/>
  <c r="F6" i="3" s="1"/>
  <c r="T7" i="1"/>
  <c r="F7" i="3" s="1"/>
  <c r="T8" i="1"/>
  <c r="F8" i="3" s="1"/>
  <c r="T9" i="1"/>
  <c r="F9" i="3" s="1"/>
  <c r="T10" i="1"/>
  <c r="F10" i="3" s="1"/>
  <c r="T11" i="1"/>
  <c r="F11" i="3" s="1"/>
  <c r="T12" i="1"/>
  <c r="F12" i="3" s="1"/>
  <c r="T13" i="1"/>
  <c r="F13" i="3" s="1"/>
  <c r="T14" i="1"/>
  <c r="F14" i="3" s="1"/>
  <c r="T15" i="1"/>
  <c r="F15" i="3" s="1"/>
  <c r="T16" i="1"/>
  <c r="F16" i="3" s="1"/>
  <c r="T17" i="1"/>
  <c r="F17" i="3" s="1"/>
  <c r="T18" i="1"/>
  <c r="F18" i="3" s="1"/>
  <c r="T19" i="1"/>
  <c r="F19" i="3" s="1"/>
  <c r="T20" i="1"/>
  <c r="F20" i="3" s="1"/>
  <c r="T21" i="1"/>
  <c r="F21" i="3" s="1"/>
  <c r="T22" i="1"/>
  <c r="F22" i="3" s="1"/>
  <c r="T23" i="1"/>
  <c r="F23" i="3" s="1"/>
  <c r="T24" i="1"/>
  <c r="F24" i="3" s="1"/>
  <c r="T25" i="1"/>
  <c r="F25" i="3" s="1"/>
  <c r="T26" i="1"/>
  <c r="T27"/>
  <c r="F27" i="3" s="1"/>
  <c r="T28" i="1"/>
  <c r="F28" i="3" s="1"/>
  <c r="T29" i="1"/>
  <c r="F29" i="3" s="1"/>
  <c r="T30" i="1"/>
  <c r="F30" i="3" s="1"/>
  <c r="T31" i="1"/>
  <c r="F31" i="3" s="1"/>
  <c r="T32" i="1"/>
  <c r="F32" i="3" s="1"/>
  <c r="T33" i="1"/>
  <c r="F33" i="3" s="1"/>
  <c r="T34" i="1"/>
  <c r="F34" i="3" s="1"/>
  <c r="T35" i="1"/>
  <c r="F35" i="3" s="1"/>
  <c r="T36" i="1"/>
  <c r="F36" i="3" s="1"/>
  <c r="T37" i="1"/>
  <c r="F37" i="3" s="1"/>
  <c r="T38" i="1"/>
  <c r="T39"/>
  <c r="F39" i="3" s="1"/>
  <c r="T40" i="1"/>
  <c r="F40" i="3" s="1"/>
  <c r="T41" i="1"/>
  <c r="F41" i="3" s="1"/>
  <c r="T42" i="1"/>
  <c r="F42" i="3" s="1"/>
  <c r="T43" i="1"/>
  <c r="F43" i="3" s="1"/>
  <c r="T44" i="1"/>
  <c r="F44" i="3" s="1"/>
  <c r="T45" i="1"/>
  <c r="F45" i="3" s="1"/>
  <c r="T46" i="1"/>
  <c r="F46" i="3" s="1"/>
  <c r="T47" i="1"/>
  <c r="F47" i="3" s="1"/>
  <c r="T48" i="1"/>
  <c r="F48" i="3" s="1"/>
  <c r="T49" i="1"/>
  <c r="F49" i="3" s="1"/>
  <c r="T50" i="1"/>
  <c r="T51"/>
  <c r="F51" i="3" s="1"/>
  <c r="T52" i="1"/>
  <c r="F52" i="3" s="1"/>
  <c r="T53" i="1"/>
  <c r="F53" i="3" s="1"/>
  <c r="T54" i="1"/>
  <c r="F54" i="3" s="1"/>
  <c r="T55" i="1"/>
  <c r="F55" i="3" s="1"/>
  <c r="T56" i="1"/>
  <c r="F56" i="3" s="1"/>
  <c r="T57" i="1"/>
  <c r="F57" i="3" s="1"/>
  <c r="T58" i="1"/>
  <c r="F58" i="3" s="1"/>
  <c r="T59" i="1"/>
  <c r="F59" i="3" s="1"/>
  <c r="T60" i="1"/>
  <c r="F60" i="3" s="1"/>
  <c r="T61" i="1"/>
  <c r="F61" i="3" s="1"/>
  <c r="T62" i="1"/>
  <c r="F62" i="3" s="1"/>
  <c r="T63" i="1"/>
  <c r="F63" i="3" s="1"/>
  <c r="T64" i="1"/>
  <c r="F64" i="3" s="1"/>
  <c r="T65" i="1"/>
  <c r="F65" i="3" s="1"/>
  <c r="T66" i="1"/>
  <c r="F66" i="3" s="1"/>
  <c r="T67" i="1"/>
  <c r="F67" i="3" s="1"/>
  <c r="T68" i="1"/>
  <c r="F68" i="3" s="1"/>
  <c r="T69" i="1"/>
  <c r="F69" i="3" s="1"/>
  <c r="T70" i="1"/>
  <c r="F70" i="3" s="1"/>
  <c r="T71" i="1"/>
  <c r="F71" i="3" s="1"/>
  <c r="T72" i="1"/>
  <c r="F72" i="3" s="1"/>
  <c r="T73" i="1"/>
  <c r="F73" i="3" s="1"/>
  <c r="T74" i="1"/>
  <c r="F74" i="3" s="1"/>
  <c r="T75" i="1"/>
  <c r="F75" i="3" s="1"/>
  <c r="T76" i="1"/>
  <c r="F76" i="3" s="1"/>
  <c r="T77" i="1"/>
  <c r="F77" i="3" s="1"/>
  <c r="T78" i="1"/>
  <c r="T79"/>
  <c r="F79" i="3" s="1"/>
  <c r="T80" i="1"/>
  <c r="F80" i="3" s="1"/>
  <c r="T81" i="1"/>
  <c r="F81" i="3" s="1"/>
  <c r="T82" i="1"/>
  <c r="F82" i="3" s="1"/>
  <c r="T83" i="1"/>
  <c r="F83" i="3" s="1"/>
  <c r="T84" i="1"/>
  <c r="F84" i="3" s="1"/>
  <c r="T85" i="1"/>
  <c r="F85" i="3" s="1"/>
  <c r="T86" i="1"/>
  <c r="F86" i="3" s="1"/>
  <c r="T87" i="1"/>
  <c r="F87" i="3" s="1"/>
  <c r="T88" i="1"/>
  <c r="F88" i="3" s="1"/>
  <c r="T89" i="1"/>
  <c r="F89" i="3" s="1"/>
  <c r="T90" i="1"/>
  <c r="F90" i="3" s="1"/>
  <c r="T91" i="1"/>
  <c r="F91" i="3" s="1"/>
  <c r="T92" i="1"/>
  <c r="F92" i="3" s="1"/>
  <c r="T93" i="1"/>
  <c r="F93" i="3" s="1"/>
  <c r="T94" i="1"/>
  <c r="F94" i="3" s="1"/>
  <c r="T95" i="1"/>
  <c r="F95" i="3" s="1"/>
  <c r="T96" i="1"/>
  <c r="F96" i="3" s="1"/>
  <c r="T97" i="1"/>
  <c r="F97" i="3" s="1"/>
  <c r="T98" i="1"/>
  <c r="T99"/>
  <c r="F99" i="3" s="1"/>
  <c r="T100" i="1"/>
  <c r="F100" i="3" s="1"/>
  <c r="T101" i="1"/>
  <c r="F101" i="3" s="1"/>
  <c r="T102" i="1"/>
  <c r="F102" i="3" s="1"/>
  <c r="T103" i="1"/>
  <c r="F103" i="3" s="1"/>
  <c r="T104" i="1"/>
  <c r="F104" i="3" s="1"/>
  <c r="T105" i="1"/>
  <c r="F105" i="3" s="1"/>
  <c r="T106" i="1"/>
  <c r="T107"/>
  <c r="F107" i="3" s="1"/>
  <c r="T108" i="1"/>
  <c r="F108" i="3" s="1"/>
  <c r="T109" i="1"/>
  <c r="F109" i="3" s="1"/>
  <c r="T110" i="1"/>
  <c r="F110" i="3" s="1"/>
  <c r="T111" i="1"/>
  <c r="F111" i="3" s="1"/>
  <c r="T112" i="1"/>
  <c r="F112" i="3" s="1"/>
  <c r="T113" i="1"/>
  <c r="F113" i="3" s="1"/>
  <c r="T114" i="1"/>
  <c r="F114" i="3" s="1"/>
  <c r="T115" i="1"/>
  <c r="F115" i="3" s="1"/>
  <c r="T116" i="1"/>
  <c r="F116" i="3" s="1"/>
  <c r="T117" i="1"/>
  <c r="F117" i="3" s="1"/>
  <c r="T118" i="1"/>
  <c r="T119"/>
  <c r="F119" i="3" s="1"/>
  <c r="T120" i="1"/>
  <c r="F120" i="3" s="1"/>
  <c r="T121" i="1"/>
  <c r="F121" i="3" s="1"/>
  <c r="T122" i="1"/>
  <c r="F122" i="3" s="1"/>
  <c r="T123" i="1"/>
  <c r="F123" i="3" s="1"/>
  <c r="T124" i="1"/>
  <c r="F124" i="3" s="1"/>
  <c r="T125" i="1"/>
  <c r="F125" i="3" s="1"/>
  <c r="T126" i="1"/>
  <c r="T127"/>
  <c r="F127" i="3" s="1"/>
  <c r="T128" i="1"/>
  <c r="F128" i="3" s="1"/>
  <c r="T129" i="1"/>
  <c r="F129" i="3" s="1"/>
  <c r="T130" i="1"/>
  <c r="F130" i="3" s="1"/>
  <c r="T131" i="1"/>
  <c r="F131" i="3" s="1"/>
  <c r="T132" i="1"/>
  <c r="F132" i="3" s="1"/>
  <c r="T133" i="1"/>
  <c r="F133" i="3" s="1"/>
  <c r="T134" i="1"/>
  <c r="F134" i="3" s="1"/>
  <c r="T135" i="1"/>
  <c r="F135" i="3" s="1"/>
  <c r="T136" i="1"/>
  <c r="F136" i="3" s="1"/>
  <c r="T137" i="1"/>
  <c r="F137" i="3" s="1"/>
  <c r="T138" i="1"/>
  <c r="F138" i="3" s="1"/>
  <c r="T139" i="1"/>
  <c r="F139" i="3" s="1"/>
  <c r="T140" i="1"/>
  <c r="F140" i="3" s="1"/>
  <c r="T141" i="1"/>
  <c r="F141" i="3" s="1"/>
  <c r="T142" i="1"/>
  <c r="F142" i="3" s="1"/>
  <c r="T143" i="1"/>
  <c r="F143" i="3" s="1"/>
  <c r="T144" i="1"/>
  <c r="F144" i="3" s="1"/>
  <c r="T145" i="1"/>
  <c r="F145" i="3" s="1"/>
  <c r="T146" i="1"/>
  <c r="F146" i="3" s="1"/>
  <c r="T147" i="1"/>
  <c r="F147" i="3" s="1"/>
  <c r="T148" i="1"/>
  <c r="F148" i="3" s="1"/>
  <c r="T149" i="1"/>
  <c r="F149" i="3" s="1"/>
  <c r="T150" i="1"/>
  <c r="F150" i="3" s="1"/>
  <c r="T151" i="1"/>
  <c r="F151" i="3" s="1"/>
  <c r="T152" i="1"/>
  <c r="F152" i="3" s="1"/>
  <c r="T153" i="1"/>
  <c r="F153" i="3" s="1"/>
  <c r="T154" i="1"/>
  <c r="T155"/>
  <c r="F155" i="3" s="1"/>
  <c r="T156" i="1"/>
  <c r="F156" i="3" s="1"/>
  <c r="T157" i="1"/>
  <c r="F157" i="3" s="1"/>
  <c r="T158" i="1"/>
  <c r="F158" i="3" s="1"/>
  <c r="T159" i="1"/>
  <c r="F159" i="3" s="1"/>
  <c r="T160" i="1"/>
  <c r="F160" i="3" s="1"/>
  <c r="T161" i="1"/>
  <c r="F161" i="3" s="1"/>
  <c r="T162" i="1"/>
  <c r="F162" i="3" s="1"/>
  <c r="T163" i="1"/>
  <c r="F163" i="3" s="1"/>
  <c r="T164" i="1"/>
  <c r="F164" i="3" s="1"/>
  <c r="T165" i="1"/>
  <c r="F165" i="3" s="1"/>
  <c r="T166" i="1"/>
  <c r="T167"/>
  <c r="F167" i="3" s="1"/>
  <c r="T168" i="1"/>
  <c r="F168" i="3" s="1"/>
  <c r="T169" i="1"/>
  <c r="F169" i="3" s="1"/>
  <c r="T170" i="1"/>
  <c r="F170" i="3" s="1"/>
  <c r="T171" i="1"/>
  <c r="F171" i="3" s="1"/>
  <c r="T172" i="1"/>
  <c r="F172" i="3" s="1"/>
  <c r="T173" i="1"/>
  <c r="F173" i="3" s="1"/>
  <c r="T174" i="1"/>
  <c r="F174" i="3" s="1"/>
  <c r="T175" i="1"/>
  <c r="F175" i="3" s="1"/>
  <c r="T176" i="1"/>
  <c r="F176" i="3" s="1"/>
  <c r="T177" i="1"/>
  <c r="F177" i="3" s="1"/>
  <c r="T178" i="1"/>
  <c r="T179"/>
  <c r="F179" i="3" s="1"/>
  <c r="T180" i="1"/>
  <c r="F180" i="3" s="1"/>
  <c r="T181" i="1"/>
  <c r="F181" i="3" s="1"/>
  <c r="T182" i="1"/>
  <c r="F182" i="3" s="1"/>
  <c r="T183" i="1"/>
  <c r="F183" i="3" s="1"/>
  <c r="T184" i="1"/>
  <c r="F184" i="3" s="1"/>
  <c r="T185" i="1"/>
  <c r="F185" i="3" s="1"/>
  <c r="T186" i="1"/>
  <c r="F186" i="3" s="1"/>
  <c r="T187" i="1"/>
  <c r="F187" i="3" s="1"/>
  <c r="T188" i="1"/>
  <c r="F188" i="3" s="1"/>
  <c r="T189" i="1"/>
  <c r="F189" i="3" s="1"/>
  <c r="T190" i="1"/>
  <c r="F190" i="3" s="1"/>
  <c r="T191" i="1"/>
  <c r="F191" i="3" s="1"/>
  <c r="T192" i="1"/>
  <c r="F192" i="3" s="1"/>
  <c r="T193" i="1"/>
  <c r="F193" i="3" s="1"/>
  <c r="T194" i="1"/>
  <c r="F194" i="3" s="1"/>
  <c r="T195" i="1"/>
  <c r="F195" i="3" s="1"/>
  <c r="T196" i="1"/>
  <c r="F196" i="3" s="1"/>
  <c r="T197" i="1"/>
  <c r="F197" i="3" s="1"/>
  <c r="T198" i="1"/>
  <c r="F198" i="3" s="1"/>
  <c r="T199" i="1"/>
  <c r="F199" i="3" s="1"/>
  <c r="T200" i="1"/>
  <c r="F200" i="3" s="1"/>
  <c r="T201" i="1"/>
  <c r="F201" i="3" s="1"/>
  <c r="T202" i="1"/>
  <c r="F202" i="3" s="1"/>
  <c r="T203" i="1"/>
  <c r="F203" i="3" s="1"/>
  <c r="T204" i="1"/>
  <c r="F204" i="3" s="1"/>
  <c r="T205" i="1"/>
  <c r="F205" i="3" s="1"/>
  <c r="T206" i="1"/>
  <c r="T207"/>
  <c r="F207" i="3" s="1"/>
  <c r="T208" i="1"/>
  <c r="F208" i="3" s="1"/>
  <c r="T209" i="1"/>
  <c r="F209" i="3" s="1"/>
  <c r="T210" i="1"/>
  <c r="F210" i="3" s="1"/>
  <c r="T211" i="1"/>
  <c r="F211" i="3" s="1"/>
  <c r="T212" i="1"/>
  <c r="F212" i="3" s="1"/>
  <c r="T213" i="1"/>
  <c r="F213" i="3" s="1"/>
  <c r="T214" i="1"/>
  <c r="F214" i="3" s="1"/>
  <c r="T215" i="1"/>
  <c r="F215" i="3" s="1"/>
  <c r="T216" i="1"/>
  <c r="F216" i="3" s="1"/>
  <c r="T217" i="1"/>
  <c r="F217" i="3" s="1"/>
  <c r="T218" i="1"/>
  <c r="F218" i="3" s="1"/>
  <c r="T219" i="1"/>
  <c r="F219" i="3" s="1"/>
  <c r="T220" i="1"/>
  <c r="F220" i="3" s="1"/>
  <c r="T221" i="1"/>
  <c r="F221" i="3" s="1"/>
  <c r="T222" i="1"/>
  <c r="F222" i="3" s="1"/>
  <c r="T223" i="1"/>
  <c r="F223" i="3" s="1"/>
  <c r="T224" i="1"/>
  <c r="F224" i="3" s="1"/>
  <c r="T225" i="1"/>
  <c r="F225" i="3" s="1"/>
  <c r="T226" i="1"/>
  <c r="T227"/>
  <c r="F227" i="3" s="1"/>
  <c r="T228" i="1"/>
  <c r="F228" i="3" s="1"/>
  <c r="T229" i="1"/>
  <c r="F229" i="3" s="1"/>
  <c r="T230" i="1"/>
  <c r="F230" i="3" s="1"/>
  <c r="T231" i="1"/>
  <c r="F231" i="3" s="1"/>
  <c r="T232" i="1"/>
  <c r="F232" i="3" s="1"/>
  <c r="T233" i="1"/>
  <c r="F233" i="3" s="1"/>
  <c r="T234" i="1"/>
  <c r="T235"/>
  <c r="F235" i="3" s="1"/>
  <c r="T236" i="1"/>
  <c r="F236" i="3" s="1"/>
  <c r="T237" i="1"/>
  <c r="F237" i="3" s="1"/>
  <c r="T238" i="1"/>
  <c r="F238" i="3" s="1"/>
  <c r="T239" i="1"/>
  <c r="F239" i="3" s="1"/>
  <c r="T240" i="1"/>
  <c r="F240" i="3" s="1"/>
  <c r="T241" i="1"/>
  <c r="F241" i="3" s="1"/>
  <c r="T242" i="1"/>
  <c r="F242" i="3" s="1"/>
  <c r="T243" i="1"/>
  <c r="F243" i="3" s="1"/>
  <c r="T244" i="1"/>
  <c r="F244" i="3" s="1"/>
  <c r="T245" i="1"/>
  <c r="F245" i="3" s="1"/>
  <c r="T246" i="1"/>
  <c r="T247"/>
  <c r="F247" i="3" s="1"/>
  <c r="T248" i="1"/>
  <c r="F248" i="3" s="1"/>
  <c r="T249" i="1"/>
  <c r="F249" i="3" s="1"/>
  <c r="T250" i="1"/>
  <c r="F250" i="3" s="1"/>
  <c r="T251" i="1"/>
  <c r="F251" i="3" s="1"/>
  <c r="T252" i="1"/>
  <c r="F252" i="3" s="1"/>
  <c r="T253" i="1"/>
  <c r="F253" i="3" s="1"/>
  <c r="T254" i="1"/>
  <c r="T255"/>
  <c r="F255" i="3" s="1"/>
  <c r="T256" i="1"/>
  <c r="F256" i="3" s="1"/>
  <c r="T257" i="1"/>
  <c r="F257" i="3" s="1"/>
  <c r="T258" i="1"/>
  <c r="F258" i="3" s="1"/>
  <c r="T259" i="1"/>
  <c r="F259" i="3" s="1"/>
  <c r="T260" i="1"/>
  <c r="F260" i="3" s="1"/>
  <c r="T261" i="1"/>
  <c r="F261" i="3" s="1"/>
  <c r="T262" i="1"/>
  <c r="F262" i="3" s="1"/>
  <c r="T263" i="1"/>
  <c r="F263" i="3" s="1"/>
  <c r="T264" i="1"/>
  <c r="F264" i="3" s="1"/>
  <c r="T265" i="1"/>
  <c r="F265" i="3" s="1"/>
  <c r="T266" i="1"/>
  <c r="F266" i="3" s="1"/>
  <c r="T267" i="1"/>
  <c r="F267" i="3" s="1"/>
  <c r="T268" i="1"/>
  <c r="F268" i="3" s="1"/>
  <c r="T269" i="1"/>
  <c r="F269" i="3" s="1"/>
  <c r="T270" i="1"/>
  <c r="F270" i="3" s="1"/>
  <c r="T271" i="1"/>
  <c r="F271" i="3" s="1"/>
  <c r="T272" i="1"/>
  <c r="F272" i="3" s="1"/>
  <c r="T273" i="1"/>
  <c r="F273" i="3" s="1"/>
  <c r="T274" i="1"/>
  <c r="F274" i="3" s="1"/>
  <c r="T275" i="1"/>
  <c r="F275" i="3" s="1"/>
  <c r="T276" i="1"/>
  <c r="F276" i="3" s="1"/>
  <c r="T277" i="1"/>
  <c r="T278"/>
  <c r="F278" i="3" s="1"/>
  <c r="T279" i="1"/>
  <c r="F279" i="3" s="1"/>
  <c r="T280" i="1"/>
  <c r="F280" i="3" s="1"/>
  <c r="T281" i="1"/>
  <c r="F281" i="3" s="1"/>
  <c r="T282" i="1"/>
  <c r="T283"/>
  <c r="F283" i="3" s="1"/>
  <c r="T284" i="1"/>
  <c r="F284" i="3" s="1"/>
  <c r="T285" i="1"/>
  <c r="F285" i="3" s="1"/>
  <c r="T286" i="1"/>
  <c r="F286" i="3" s="1"/>
  <c r="T287" i="1"/>
  <c r="F287" i="3" s="1"/>
  <c r="T288" i="1"/>
  <c r="F288" i="3" s="1"/>
  <c r="T289" i="1"/>
  <c r="F289" i="3" s="1"/>
  <c r="T290" i="1"/>
  <c r="F290" i="3" s="1"/>
  <c r="T291" i="1"/>
  <c r="F291" i="3" s="1"/>
  <c r="T292" i="1"/>
  <c r="F292" i="3" s="1"/>
  <c r="T293" i="1"/>
  <c r="F293" i="3" s="1"/>
  <c r="T294" i="1"/>
  <c r="T295"/>
  <c r="F295" i="3" s="1"/>
  <c r="T296" i="1"/>
  <c r="F296" i="3" s="1"/>
  <c r="T297" i="1"/>
  <c r="F297" i="3" s="1"/>
  <c r="T298" i="1"/>
  <c r="F298" i="3" s="1"/>
  <c r="T299" i="1"/>
  <c r="F299" i="3" s="1"/>
  <c r="T300" i="1"/>
  <c r="F300" i="3" s="1"/>
  <c r="T301" i="1"/>
  <c r="F301" i="3" s="1"/>
  <c r="T302" i="1"/>
  <c r="F302" i="3" s="1"/>
  <c r="T303" i="1"/>
  <c r="F303" i="3" s="1"/>
  <c r="T304" i="1"/>
  <c r="F304" i="3" s="1"/>
  <c r="T305" i="1"/>
  <c r="F305" i="3" s="1"/>
  <c r="T306" i="1"/>
  <c r="T307"/>
  <c r="F307" i="3" s="1"/>
  <c r="T308" i="1"/>
  <c r="F308" i="3" s="1"/>
  <c r="T309" i="1"/>
  <c r="T310"/>
  <c r="F310" i="3" s="1"/>
  <c r="T311" i="1"/>
  <c r="F311" i="3" s="1"/>
  <c r="T312" i="1"/>
  <c r="F312" i="3" s="1"/>
  <c r="T313" i="1"/>
  <c r="F313" i="3" s="1"/>
  <c r="T314" i="1"/>
  <c r="F314" i="3" s="1"/>
  <c r="T315" i="1"/>
  <c r="F315" i="3" s="1"/>
  <c r="T316" i="1"/>
  <c r="F316" i="3" s="1"/>
  <c r="T317" i="1"/>
  <c r="F317" i="3" s="1"/>
  <c r="T318" i="1"/>
  <c r="F318" i="3" s="1"/>
  <c r="T319" i="1"/>
  <c r="F319" i="3" s="1"/>
  <c r="T320" i="1"/>
  <c r="F320" i="3" s="1"/>
  <c r="T321" i="1"/>
  <c r="F321" i="3" s="1"/>
  <c r="T322" i="1"/>
  <c r="F322" i="3" s="1"/>
  <c r="T323" i="1"/>
  <c r="F323" i="3" s="1"/>
  <c r="T324" i="1"/>
  <c r="F324" i="3" s="1"/>
  <c r="T325" i="1"/>
  <c r="F325" i="3" s="1"/>
  <c r="T326" i="1"/>
  <c r="F326" i="3" s="1"/>
  <c r="T327" i="1"/>
  <c r="F327" i="3" s="1"/>
  <c r="T328" i="1"/>
  <c r="F328" i="3" s="1"/>
  <c r="T329" i="1"/>
  <c r="F329" i="3" s="1"/>
  <c r="T330" i="1"/>
  <c r="F330" i="3" s="1"/>
  <c r="T331" i="1"/>
  <c r="F331" i="3" s="1"/>
  <c r="T332" i="1"/>
  <c r="F332" i="3" s="1"/>
  <c r="T333" i="1"/>
  <c r="F333" i="3" s="1"/>
  <c r="T334" i="1"/>
  <c r="T335"/>
  <c r="F335" i="3" s="1"/>
  <c r="T336" i="1"/>
  <c r="F336" i="3" s="1"/>
  <c r="T337" i="1"/>
  <c r="F337" i="3" s="1"/>
  <c r="T338" i="1"/>
  <c r="F338" i="3" s="1"/>
  <c r="T339" i="1"/>
  <c r="F339" i="3" s="1"/>
  <c r="T340" i="1"/>
  <c r="F340" i="3" s="1"/>
  <c r="T341" i="1"/>
  <c r="F341" i="3" s="1"/>
  <c r="T342" i="1"/>
  <c r="F342" i="3" s="1"/>
  <c r="T343" i="1"/>
  <c r="F343" i="3" s="1"/>
  <c r="T344" i="1"/>
  <c r="F344" i="3" s="1"/>
  <c r="T345" i="1"/>
  <c r="F345" i="3" s="1"/>
  <c r="T346" i="1"/>
  <c r="F346" i="3" s="1"/>
  <c r="T347" i="1"/>
  <c r="F347" i="3" s="1"/>
  <c r="T348" i="1"/>
  <c r="F348" i="3" s="1"/>
  <c r="T349" i="1"/>
  <c r="F349" i="3" s="1"/>
  <c r="T350" i="1"/>
  <c r="F350" i="3" s="1"/>
  <c r="T351" i="1"/>
  <c r="F351" i="3" s="1"/>
  <c r="T352" i="1"/>
  <c r="F352" i="3" s="1"/>
  <c r="T353" i="1"/>
  <c r="T354"/>
  <c r="T355"/>
  <c r="F355" i="3" s="1"/>
  <c r="T356" i="1"/>
  <c r="F356" i="3" s="1"/>
  <c r="T357" i="1"/>
  <c r="F357" i="3" s="1"/>
  <c r="T358" i="1"/>
  <c r="F358" i="3" s="1"/>
  <c r="T359" i="1"/>
  <c r="F359" i="3" s="1"/>
  <c r="T360" i="1"/>
  <c r="F360" i="3" s="1"/>
  <c r="T361" i="1"/>
  <c r="F361" i="3" s="1"/>
  <c r="T362" i="1"/>
  <c r="T363"/>
  <c r="F363" i="3" s="1"/>
  <c r="T364" i="1"/>
  <c r="F364" i="3" s="1"/>
  <c r="T365" i="1"/>
  <c r="F365" i="3" s="1"/>
  <c r="T366" i="1"/>
  <c r="F366" i="3" s="1"/>
  <c r="T367" i="1"/>
  <c r="F367" i="3" s="1"/>
  <c r="T368" i="1"/>
  <c r="F368" i="3" s="1"/>
  <c r="T369" i="1"/>
  <c r="F369" i="3" s="1"/>
  <c r="T370" i="1"/>
  <c r="F370" i="3" s="1"/>
  <c r="T371" i="1"/>
  <c r="F371" i="3" s="1"/>
  <c r="T372" i="1"/>
  <c r="F372" i="3" s="1"/>
  <c r="T373" i="1"/>
  <c r="F373" i="3" s="1"/>
  <c r="T374" i="1"/>
  <c r="T375"/>
  <c r="F375" i="3" s="1"/>
  <c r="T376" i="1"/>
  <c r="F376" i="3" s="1"/>
  <c r="T377" i="1"/>
  <c r="F377" i="3" s="1"/>
  <c r="T378" i="1"/>
  <c r="F378" i="3" s="1"/>
  <c r="T379" i="1"/>
  <c r="F379" i="3" s="1"/>
  <c r="T380" i="1"/>
  <c r="F380" i="3" s="1"/>
  <c r="T381" i="1"/>
  <c r="F381" i="3" s="1"/>
  <c r="T382" i="1"/>
  <c r="T383"/>
  <c r="F383" i="3" s="1"/>
  <c r="T384" i="1"/>
  <c r="F384" i="3" s="1"/>
  <c r="T385" i="1"/>
  <c r="F385" i="3" s="1"/>
  <c r="T386" i="1"/>
  <c r="F386" i="3" s="1"/>
  <c r="T387" i="1"/>
  <c r="F387" i="3" s="1"/>
  <c r="T388" i="1"/>
  <c r="F388" i="3" s="1"/>
  <c r="T389" i="1"/>
  <c r="F389" i="3" s="1"/>
  <c r="T390" i="1"/>
  <c r="F390" i="3" s="1"/>
  <c r="T391" i="1"/>
  <c r="F391" i="3" s="1"/>
  <c r="T392" i="1"/>
  <c r="F392" i="3" s="1"/>
  <c r="T393" i="1"/>
  <c r="F393" i="3" s="1"/>
  <c r="T394" i="1"/>
  <c r="F394" i="3" s="1"/>
  <c r="T395" i="1"/>
  <c r="F395" i="3" s="1"/>
  <c r="T396" i="1"/>
  <c r="F396" i="3" s="1"/>
  <c r="T397" i="1"/>
  <c r="F397" i="3" s="1"/>
  <c r="T398" i="1"/>
  <c r="F398" i="3" s="1"/>
  <c r="T399" i="1"/>
  <c r="F399" i="3" s="1"/>
  <c r="T400" i="1"/>
  <c r="F400" i="3" s="1"/>
  <c r="T401" i="1"/>
  <c r="F401" i="3" s="1"/>
  <c r="T402" i="1"/>
  <c r="F402" i="3" s="1"/>
  <c r="T403" i="1"/>
  <c r="F403" i="3" s="1"/>
  <c r="T404" i="1"/>
  <c r="F404" i="3" s="1"/>
  <c r="T405" i="1"/>
  <c r="F405" i="3" s="1"/>
  <c r="T406" i="1"/>
  <c r="F406" i="3" s="1"/>
  <c r="T407" i="1"/>
  <c r="F407" i="3" s="1"/>
  <c r="T408" i="1"/>
  <c r="F408" i="3" s="1"/>
  <c r="T409" i="1"/>
  <c r="F409" i="3" s="1"/>
  <c r="T410" i="1"/>
  <c r="T411"/>
  <c r="F411" i="3" s="1"/>
  <c r="T412" i="1"/>
  <c r="F412" i="3" s="1"/>
  <c r="T413" i="1"/>
  <c r="F413" i="3" s="1"/>
  <c r="T414" i="1"/>
  <c r="F414" i="3" s="1"/>
  <c r="T415" i="1"/>
  <c r="F415" i="3" s="1"/>
  <c r="T416" i="1"/>
  <c r="F416" i="3" s="1"/>
  <c r="T417" i="1"/>
  <c r="F417" i="3" s="1"/>
  <c r="T418" i="1"/>
  <c r="F418" i="3" s="1"/>
  <c r="T419" i="1"/>
  <c r="F419" i="3" s="1"/>
  <c r="T420" i="1"/>
  <c r="F420" i="3" s="1"/>
  <c r="T421" i="1"/>
  <c r="F421" i="3" s="1"/>
  <c r="T422" i="1"/>
  <c r="T423"/>
  <c r="F423" i="3" s="1"/>
  <c r="T424" i="1"/>
  <c r="F424" i="3" s="1"/>
  <c r="T425" i="1"/>
  <c r="F425" i="3" s="1"/>
  <c r="T426" i="1"/>
  <c r="F426" i="3" s="1"/>
  <c r="T427" i="1"/>
  <c r="F427" i="3" s="1"/>
  <c r="T428" i="1"/>
  <c r="F428" i="3" s="1"/>
  <c r="T429" i="1"/>
  <c r="F429" i="3" s="1"/>
  <c r="T430" i="1"/>
  <c r="F430" i="3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W3" i="1"/>
  <c r="I3" i="3" s="1"/>
  <c r="W4" i="1"/>
  <c r="I4" i="3" s="1"/>
  <c r="W5" i="1"/>
  <c r="I5" i="3" s="1"/>
  <c r="W6" i="1"/>
  <c r="I6" i="3" s="1"/>
  <c r="W7" i="1"/>
  <c r="I7" i="3" s="1"/>
  <c r="W8" i="1"/>
  <c r="I8" i="3" s="1"/>
  <c r="W9" i="1"/>
  <c r="I9" i="3" s="1"/>
  <c r="W10" i="1"/>
  <c r="I10" i="3" s="1"/>
  <c r="W11" i="1"/>
  <c r="I11" i="3" s="1"/>
  <c r="W12" i="1"/>
  <c r="I12" i="3" s="1"/>
  <c r="W13" i="1"/>
  <c r="I13" i="3" s="1"/>
  <c r="W14" i="1"/>
  <c r="I14" i="3" s="1"/>
  <c r="W15" i="1"/>
  <c r="I15" i="3" s="1"/>
  <c r="W16" i="1"/>
  <c r="I16" i="3" s="1"/>
  <c r="W17" i="1"/>
  <c r="I17" i="3" s="1"/>
  <c r="W18" i="1"/>
  <c r="I18" i="3" s="1"/>
  <c r="W19" i="1"/>
  <c r="I19" i="3" s="1"/>
  <c r="W20" i="1"/>
  <c r="I20" i="3" s="1"/>
  <c r="W21" i="1"/>
  <c r="I21" i="3" s="1"/>
  <c r="W22" i="1"/>
  <c r="I22" i="3" s="1"/>
  <c r="W23" i="1"/>
  <c r="I23" i="3" s="1"/>
  <c r="W24" i="1"/>
  <c r="I24" i="3" s="1"/>
  <c r="W25" i="1"/>
  <c r="I25" i="3" s="1"/>
  <c r="W26" i="1"/>
  <c r="I26" i="3" s="1"/>
  <c r="W27" i="1"/>
  <c r="I27" i="3" s="1"/>
  <c r="W28" i="1"/>
  <c r="I28" i="3" s="1"/>
  <c r="W29" i="1"/>
  <c r="I29" i="3" s="1"/>
  <c r="W30" i="1"/>
  <c r="I30" i="3" s="1"/>
  <c r="W31" i="1"/>
  <c r="I31" i="3" s="1"/>
  <c r="W32" i="1"/>
  <c r="I32" i="3" s="1"/>
  <c r="W33" i="1"/>
  <c r="I33" i="3" s="1"/>
  <c r="W34" i="1"/>
  <c r="I34" i="3" s="1"/>
  <c r="W35" i="1"/>
  <c r="I35" i="3" s="1"/>
  <c r="W36" i="1"/>
  <c r="I36" i="3" s="1"/>
  <c r="W37" i="1"/>
  <c r="I37" i="3" s="1"/>
  <c r="W38" i="1"/>
  <c r="I38" i="3" s="1"/>
  <c r="W39" i="1"/>
  <c r="I39" i="3" s="1"/>
  <c r="W40" i="1"/>
  <c r="I40" i="3" s="1"/>
  <c r="W41" i="1"/>
  <c r="I41" i="3" s="1"/>
  <c r="W42" i="1"/>
  <c r="I42" i="3" s="1"/>
  <c r="W43" i="1"/>
  <c r="I43" i="3" s="1"/>
  <c r="W44" i="1"/>
  <c r="I44" i="3" s="1"/>
  <c r="W45" i="1"/>
  <c r="I45" i="3" s="1"/>
  <c r="W46" i="1"/>
  <c r="I46" i="3" s="1"/>
  <c r="W47" i="1"/>
  <c r="I47" i="3" s="1"/>
  <c r="W48" i="1"/>
  <c r="I48" i="3" s="1"/>
  <c r="W49" i="1"/>
  <c r="I49" i="3" s="1"/>
  <c r="W50" i="1"/>
  <c r="I50" i="3" s="1"/>
  <c r="W51" i="1"/>
  <c r="I51" i="3" s="1"/>
  <c r="W52" i="1"/>
  <c r="I52" i="3" s="1"/>
  <c r="W53" i="1"/>
  <c r="I53" i="3" s="1"/>
  <c r="W54" i="1"/>
  <c r="I54" i="3" s="1"/>
  <c r="W55" i="1"/>
  <c r="I55" i="3" s="1"/>
  <c r="W56" i="1"/>
  <c r="I56" i="3" s="1"/>
  <c r="W57" i="1"/>
  <c r="I57" i="3" s="1"/>
  <c r="W58" i="1"/>
  <c r="I58" i="3" s="1"/>
  <c r="W59" i="1"/>
  <c r="I59" i="3" s="1"/>
  <c r="W60" i="1"/>
  <c r="I60" i="3" s="1"/>
  <c r="W61" i="1"/>
  <c r="I61" i="3" s="1"/>
  <c r="W62" i="1"/>
  <c r="I62" i="3" s="1"/>
  <c r="W63" i="1"/>
  <c r="I63" i="3" s="1"/>
  <c r="W64" i="1"/>
  <c r="I64" i="3" s="1"/>
  <c r="W65" i="1"/>
  <c r="I65" i="3" s="1"/>
  <c r="W66" i="1"/>
  <c r="I66" i="3" s="1"/>
  <c r="W67" i="1"/>
  <c r="I67" i="3" s="1"/>
  <c r="W68" i="1"/>
  <c r="I68" i="3" s="1"/>
  <c r="W69" i="1"/>
  <c r="I69" i="3" s="1"/>
  <c r="W70" i="1"/>
  <c r="I70" i="3" s="1"/>
  <c r="W71" i="1"/>
  <c r="I71" i="3" s="1"/>
  <c r="W72" i="1"/>
  <c r="I72" i="3" s="1"/>
  <c r="W73" i="1"/>
  <c r="I73" i="3" s="1"/>
  <c r="W74" i="1"/>
  <c r="I74" i="3" s="1"/>
  <c r="W75" i="1"/>
  <c r="I75" i="3" s="1"/>
  <c r="W76" i="1"/>
  <c r="I76" i="3" s="1"/>
  <c r="W77" i="1"/>
  <c r="I77" i="3" s="1"/>
  <c r="W78" i="1"/>
  <c r="I78" i="3" s="1"/>
  <c r="W79" i="1"/>
  <c r="I79" i="3" s="1"/>
  <c r="W80" i="1"/>
  <c r="I80" i="3" s="1"/>
  <c r="W81" i="1"/>
  <c r="I81" i="3" s="1"/>
  <c r="W82" i="1"/>
  <c r="I82" i="3" s="1"/>
  <c r="W83" i="1"/>
  <c r="I83" i="3" s="1"/>
  <c r="W84" i="1"/>
  <c r="I84" i="3" s="1"/>
  <c r="W85" i="1"/>
  <c r="I85" i="3" s="1"/>
  <c r="W86" i="1"/>
  <c r="I86" i="3" s="1"/>
  <c r="W87" i="1"/>
  <c r="I87" i="3" s="1"/>
  <c r="W88" i="1"/>
  <c r="I88" i="3" s="1"/>
  <c r="W89" i="1"/>
  <c r="I89" i="3" s="1"/>
  <c r="W90" i="1"/>
  <c r="I90" i="3" s="1"/>
  <c r="W91" i="1"/>
  <c r="I91" i="3" s="1"/>
  <c r="W92" i="1"/>
  <c r="I92" i="3" s="1"/>
  <c r="W93" i="1"/>
  <c r="I93" i="3" s="1"/>
  <c r="W94" i="1"/>
  <c r="I94" i="3" s="1"/>
  <c r="W95" i="1"/>
  <c r="I95" i="3" s="1"/>
  <c r="W96" i="1"/>
  <c r="I96" i="3" s="1"/>
  <c r="W97" i="1"/>
  <c r="I97" i="3" s="1"/>
  <c r="W98" i="1"/>
  <c r="I98" i="3" s="1"/>
  <c r="W99" i="1"/>
  <c r="I99" i="3" s="1"/>
  <c r="W100" i="1"/>
  <c r="I100" i="3" s="1"/>
  <c r="W101" i="1"/>
  <c r="I101" i="3" s="1"/>
  <c r="W102" i="1"/>
  <c r="I102" i="3" s="1"/>
  <c r="W103" i="1"/>
  <c r="I103" i="3" s="1"/>
  <c r="W104" i="1"/>
  <c r="I104" i="3" s="1"/>
  <c r="W105" i="1"/>
  <c r="I105" i="3" s="1"/>
  <c r="W106" i="1"/>
  <c r="I106" i="3" s="1"/>
  <c r="W107" i="1"/>
  <c r="I107" i="3" s="1"/>
  <c r="W108" i="1"/>
  <c r="I108" i="3" s="1"/>
  <c r="W109" i="1"/>
  <c r="I109" i="3" s="1"/>
  <c r="W110" i="1"/>
  <c r="I110" i="3" s="1"/>
  <c r="W111" i="1"/>
  <c r="I111" i="3" s="1"/>
  <c r="W112" i="1"/>
  <c r="I112" i="3" s="1"/>
  <c r="W113" i="1"/>
  <c r="I113" i="3" s="1"/>
  <c r="W114" i="1"/>
  <c r="I114" i="3" s="1"/>
  <c r="W115" i="1"/>
  <c r="I115" i="3" s="1"/>
  <c r="W116" i="1"/>
  <c r="I116" i="3" s="1"/>
  <c r="W117" i="1"/>
  <c r="I117" i="3" s="1"/>
  <c r="W118" i="1"/>
  <c r="I118" i="3" s="1"/>
  <c r="W119" i="1"/>
  <c r="I119" i="3" s="1"/>
  <c r="W120" i="1"/>
  <c r="I120" i="3" s="1"/>
  <c r="W121" i="1"/>
  <c r="I121" i="3" s="1"/>
  <c r="W122" i="1"/>
  <c r="I122" i="3" s="1"/>
  <c r="W123" i="1"/>
  <c r="I123" i="3" s="1"/>
  <c r="W124" i="1"/>
  <c r="I124" i="3" s="1"/>
  <c r="W125" i="1"/>
  <c r="I125" i="3" s="1"/>
  <c r="W126" i="1"/>
  <c r="I126" i="3" s="1"/>
  <c r="W127" i="1"/>
  <c r="I127" i="3" s="1"/>
  <c r="W128" i="1"/>
  <c r="I128" i="3" s="1"/>
  <c r="W129" i="1"/>
  <c r="I129" i="3" s="1"/>
  <c r="W130" i="1"/>
  <c r="I130" i="3" s="1"/>
  <c r="W131" i="1"/>
  <c r="I131" i="3" s="1"/>
  <c r="W132" i="1"/>
  <c r="I132" i="3" s="1"/>
  <c r="W133" i="1"/>
  <c r="I133" i="3" s="1"/>
  <c r="W134" i="1"/>
  <c r="I134" i="3" s="1"/>
  <c r="W135" i="1"/>
  <c r="I135" i="3" s="1"/>
  <c r="W136" i="1"/>
  <c r="I136" i="3" s="1"/>
  <c r="W137" i="1"/>
  <c r="I137" i="3" s="1"/>
  <c r="W138" i="1"/>
  <c r="I138" i="3" s="1"/>
  <c r="W139" i="1"/>
  <c r="I139" i="3" s="1"/>
  <c r="W140" i="1"/>
  <c r="I140" i="3" s="1"/>
  <c r="W141" i="1"/>
  <c r="I141" i="3" s="1"/>
  <c r="W142" i="1"/>
  <c r="I142" i="3" s="1"/>
  <c r="W143" i="1"/>
  <c r="I143" i="3" s="1"/>
  <c r="W144" i="1"/>
  <c r="I144" i="3" s="1"/>
  <c r="W145" i="1"/>
  <c r="I145" i="3" s="1"/>
  <c r="W146" i="1"/>
  <c r="I146" i="3" s="1"/>
  <c r="W147" i="1"/>
  <c r="I147" i="3" s="1"/>
  <c r="W148" i="1"/>
  <c r="I148" i="3" s="1"/>
  <c r="W149" i="1"/>
  <c r="I149" i="3" s="1"/>
  <c r="W150" i="1"/>
  <c r="I150" i="3" s="1"/>
  <c r="W151" i="1"/>
  <c r="I151" i="3" s="1"/>
  <c r="W152" i="1"/>
  <c r="I152" i="3" s="1"/>
  <c r="W153" i="1"/>
  <c r="I153" i="3" s="1"/>
  <c r="W154" i="1"/>
  <c r="I154" i="3" s="1"/>
  <c r="W155" i="1"/>
  <c r="I155" i="3" s="1"/>
  <c r="W156" i="1"/>
  <c r="I156" i="3" s="1"/>
  <c r="W157" i="1"/>
  <c r="I157" i="3" s="1"/>
  <c r="W158" i="1"/>
  <c r="I158" i="3" s="1"/>
  <c r="W159" i="1"/>
  <c r="I159" i="3" s="1"/>
  <c r="W160" i="1"/>
  <c r="I160" i="3" s="1"/>
  <c r="W161" i="1"/>
  <c r="I161" i="3" s="1"/>
  <c r="W162" i="1"/>
  <c r="I162" i="3" s="1"/>
  <c r="W163" i="1"/>
  <c r="I163" i="3" s="1"/>
  <c r="W164" i="1"/>
  <c r="I164" i="3" s="1"/>
  <c r="W165" i="1"/>
  <c r="I165" i="3" s="1"/>
  <c r="W166" i="1"/>
  <c r="I166" i="3" s="1"/>
  <c r="W167" i="1"/>
  <c r="I167" i="3" s="1"/>
  <c r="W168" i="1"/>
  <c r="I168" i="3" s="1"/>
  <c r="W169" i="1"/>
  <c r="I169" i="3" s="1"/>
  <c r="W170" i="1"/>
  <c r="I170" i="3" s="1"/>
  <c r="W171" i="1"/>
  <c r="I171" i="3" s="1"/>
  <c r="W172" i="1"/>
  <c r="I172" i="3" s="1"/>
  <c r="W173" i="1"/>
  <c r="I173" i="3" s="1"/>
  <c r="W174" i="1"/>
  <c r="I174" i="3" s="1"/>
  <c r="W175" i="1"/>
  <c r="I175" i="3" s="1"/>
  <c r="W176" i="1"/>
  <c r="I176" i="3" s="1"/>
  <c r="W177" i="1"/>
  <c r="I177" i="3" s="1"/>
  <c r="W178" i="1"/>
  <c r="I178" i="3" s="1"/>
  <c r="W179" i="1"/>
  <c r="I179" i="3" s="1"/>
  <c r="W180" i="1"/>
  <c r="I180" i="3" s="1"/>
  <c r="W181" i="1"/>
  <c r="I181" i="3" s="1"/>
  <c r="W182" i="1"/>
  <c r="I182" i="3" s="1"/>
  <c r="W183" i="1"/>
  <c r="I183" i="3" s="1"/>
  <c r="W184" i="1"/>
  <c r="I184" i="3" s="1"/>
  <c r="W185" i="1"/>
  <c r="I185" i="3" s="1"/>
  <c r="W186" i="1"/>
  <c r="I186" i="3" s="1"/>
  <c r="W187" i="1"/>
  <c r="I187" i="3" s="1"/>
  <c r="W188" i="1"/>
  <c r="I188" i="3" s="1"/>
  <c r="W189" i="1"/>
  <c r="I189" i="3" s="1"/>
  <c r="W190" i="1"/>
  <c r="I190" i="3" s="1"/>
  <c r="W191" i="1"/>
  <c r="I191" i="3" s="1"/>
  <c r="W192" i="1"/>
  <c r="I192" i="3" s="1"/>
  <c r="W193" i="1"/>
  <c r="I193" i="3" s="1"/>
  <c r="W194" i="1"/>
  <c r="I194" i="3" s="1"/>
  <c r="W195" i="1"/>
  <c r="I195" i="3" s="1"/>
  <c r="W196" i="1"/>
  <c r="I196" i="3" s="1"/>
  <c r="W197" i="1"/>
  <c r="I197" i="3" s="1"/>
  <c r="W198" i="1"/>
  <c r="I198" i="3" s="1"/>
  <c r="W199" i="1"/>
  <c r="I199" i="3" s="1"/>
  <c r="W200" i="1"/>
  <c r="I200" i="3" s="1"/>
  <c r="W201" i="1"/>
  <c r="I201" i="3" s="1"/>
  <c r="W202" i="1"/>
  <c r="I202" i="3" s="1"/>
  <c r="W203" i="1"/>
  <c r="I203" i="3" s="1"/>
  <c r="W204" i="1"/>
  <c r="I204" i="3" s="1"/>
  <c r="W205" i="1"/>
  <c r="I205" i="3" s="1"/>
  <c r="W206" i="1"/>
  <c r="I206" i="3" s="1"/>
  <c r="W207" i="1"/>
  <c r="I207" i="3" s="1"/>
  <c r="W208" i="1"/>
  <c r="I208" i="3" s="1"/>
  <c r="W209" i="1"/>
  <c r="I209" i="3" s="1"/>
  <c r="W210" i="1"/>
  <c r="I210" i="3" s="1"/>
  <c r="W211" i="1"/>
  <c r="I211" i="3" s="1"/>
  <c r="W212" i="1"/>
  <c r="I212" i="3" s="1"/>
  <c r="W213" i="1"/>
  <c r="I213" i="3" s="1"/>
  <c r="W214" i="1"/>
  <c r="I214" i="3" s="1"/>
  <c r="W215" i="1"/>
  <c r="I215" i="3" s="1"/>
  <c r="W216" i="1"/>
  <c r="I216" i="3" s="1"/>
  <c r="W217" i="1"/>
  <c r="I217" i="3" s="1"/>
  <c r="W218" i="1"/>
  <c r="I218" i="3" s="1"/>
  <c r="W219" i="1"/>
  <c r="I219" i="3" s="1"/>
  <c r="W220" i="1"/>
  <c r="I220" i="3" s="1"/>
  <c r="W221" i="1"/>
  <c r="I221" i="3" s="1"/>
  <c r="W222" i="1"/>
  <c r="I222" i="3" s="1"/>
  <c r="W223" i="1"/>
  <c r="I223" i="3" s="1"/>
  <c r="W224" i="1"/>
  <c r="I224" i="3" s="1"/>
  <c r="W225" i="1"/>
  <c r="I225" i="3" s="1"/>
  <c r="W226" i="1"/>
  <c r="I226" i="3" s="1"/>
  <c r="W227" i="1"/>
  <c r="I227" i="3" s="1"/>
  <c r="W228" i="1"/>
  <c r="I228" i="3" s="1"/>
  <c r="W229" i="1"/>
  <c r="I229" i="3" s="1"/>
  <c r="W230" i="1"/>
  <c r="I230" i="3" s="1"/>
  <c r="W231" i="1"/>
  <c r="I231" i="3" s="1"/>
  <c r="W232" i="1"/>
  <c r="I232" i="3" s="1"/>
  <c r="W233" i="1"/>
  <c r="I233" i="3" s="1"/>
  <c r="W234" i="1"/>
  <c r="I234" i="3" s="1"/>
  <c r="W235" i="1"/>
  <c r="I235" i="3" s="1"/>
  <c r="W236" i="1"/>
  <c r="I236" i="3" s="1"/>
  <c r="W237" i="1"/>
  <c r="I237" i="3" s="1"/>
  <c r="W238" i="1"/>
  <c r="I238" i="3" s="1"/>
  <c r="W239" i="1"/>
  <c r="I239" i="3" s="1"/>
  <c r="W240" i="1"/>
  <c r="I240" i="3" s="1"/>
  <c r="W241" i="1"/>
  <c r="I241" i="3" s="1"/>
  <c r="W242" i="1"/>
  <c r="I242" i="3" s="1"/>
  <c r="W243" i="1"/>
  <c r="I243" i="3" s="1"/>
  <c r="W244" i="1"/>
  <c r="I244" i="3" s="1"/>
  <c r="W245" i="1"/>
  <c r="I245" i="3" s="1"/>
  <c r="W246" i="1"/>
  <c r="I246" i="3" s="1"/>
  <c r="W247" i="1"/>
  <c r="I247" i="3" s="1"/>
  <c r="W248" i="1"/>
  <c r="I248" i="3" s="1"/>
  <c r="W249" i="1"/>
  <c r="I249" i="3" s="1"/>
  <c r="W250" i="1"/>
  <c r="I250" i="3" s="1"/>
  <c r="W251" i="1"/>
  <c r="I251" i="3" s="1"/>
  <c r="W252" i="1"/>
  <c r="I252" i="3" s="1"/>
  <c r="W253" i="1"/>
  <c r="I253" i="3" s="1"/>
  <c r="W254" i="1"/>
  <c r="I254" i="3" s="1"/>
  <c r="W255" i="1"/>
  <c r="I255" i="3" s="1"/>
  <c r="W256" i="1"/>
  <c r="I256" i="3" s="1"/>
  <c r="W257" i="1"/>
  <c r="I257" i="3" s="1"/>
  <c r="W258" i="1"/>
  <c r="I258" i="3" s="1"/>
  <c r="W259" i="1"/>
  <c r="I259" i="3" s="1"/>
  <c r="W260" i="1"/>
  <c r="I260" i="3" s="1"/>
  <c r="W261" i="1"/>
  <c r="I261" i="3" s="1"/>
  <c r="W262" i="1"/>
  <c r="I262" i="3" s="1"/>
  <c r="W263" i="1"/>
  <c r="I263" i="3" s="1"/>
  <c r="W264" i="1"/>
  <c r="I264" i="3" s="1"/>
  <c r="W265" i="1"/>
  <c r="I265" i="3" s="1"/>
  <c r="W266" i="1"/>
  <c r="I266" i="3" s="1"/>
  <c r="W267" i="1"/>
  <c r="I267" i="3" s="1"/>
  <c r="W268" i="1"/>
  <c r="I268" i="3" s="1"/>
  <c r="W269" i="1"/>
  <c r="I269" i="3" s="1"/>
  <c r="W270" i="1"/>
  <c r="I270" i="3" s="1"/>
  <c r="W271" i="1"/>
  <c r="I271" i="3" s="1"/>
  <c r="W272" i="1"/>
  <c r="I272" i="3" s="1"/>
  <c r="W273" i="1"/>
  <c r="I273" i="3" s="1"/>
  <c r="W274" i="1"/>
  <c r="I274" i="3" s="1"/>
  <c r="W275" i="1"/>
  <c r="I275" i="3" s="1"/>
  <c r="W276" i="1"/>
  <c r="I276" i="3" s="1"/>
  <c r="W277" i="1"/>
  <c r="I277" i="3" s="1"/>
  <c r="W278" i="1"/>
  <c r="I278" i="3" s="1"/>
  <c r="W279" i="1"/>
  <c r="I279" i="3" s="1"/>
  <c r="W280" i="1"/>
  <c r="I280" i="3" s="1"/>
  <c r="W281" i="1"/>
  <c r="I281" i="3" s="1"/>
  <c r="W282" i="1"/>
  <c r="I282" i="3" s="1"/>
  <c r="W283" i="1"/>
  <c r="I283" i="3" s="1"/>
  <c r="W284" i="1"/>
  <c r="I284" i="3" s="1"/>
  <c r="W285" i="1"/>
  <c r="I285" i="3" s="1"/>
  <c r="W286" i="1"/>
  <c r="I286" i="3" s="1"/>
  <c r="W287" i="1"/>
  <c r="I287" i="3" s="1"/>
  <c r="W288" i="1"/>
  <c r="I288" i="3" s="1"/>
  <c r="W289" i="1"/>
  <c r="I289" i="3" s="1"/>
  <c r="W290" i="1"/>
  <c r="I290" i="3" s="1"/>
  <c r="W291" i="1"/>
  <c r="I291" i="3" s="1"/>
  <c r="W292" i="1"/>
  <c r="I292" i="3" s="1"/>
  <c r="W293" i="1"/>
  <c r="I293" i="3" s="1"/>
  <c r="W294" i="1"/>
  <c r="I294" i="3" s="1"/>
  <c r="W295" i="1"/>
  <c r="I295" i="3" s="1"/>
  <c r="W296" i="1"/>
  <c r="I296" i="3" s="1"/>
  <c r="W297" i="1"/>
  <c r="I297" i="3" s="1"/>
  <c r="W298" i="1"/>
  <c r="I298" i="3" s="1"/>
  <c r="W299" i="1"/>
  <c r="I299" i="3" s="1"/>
  <c r="W300" i="1"/>
  <c r="I300" i="3" s="1"/>
  <c r="W301" i="1"/>
  <c r="I301" i="3" s="1"/>
  <c r="W302" i="1"/>
  <c r="I302" i="3" s="1"/>
  <c r="W303" i="1"/>
  <c r="I303" i="3" s="1"/>
  <c r="W304" i="1"/>
  <c r="I304" i="3" s="1"/>
  <c r="W305" i="1"/>
  <c r="I305" i="3" s="1"/>
  <c r="W306" i="1"/>
  <c r="I306" i="3" s="1"/>
  <c r="W307" i="1"/>
  <c r="I307" i="3" s="1"/>
  <c r="W308" i="1"/>
  <c r="I308" i="3" s="1"/>
  <c r="W309" i="1"/>
  <c r="I309" i="3" s="1"/>
  <c r="W310" i="1"/>
  <c r="I310" i="3" s="1"/>
  <c r="W311" i="1"/>
  <c r="I311" i="3" s="1"/>
  <c r="W312" i="1"/>
  <c r="I312" i="3" s="1"/>
  <c r="W313" i="1"/>
  <c r="I313" i="3" s="1"/>
  <c r="W314" i="1"/>
  <c r="I314" i="3" s="1"/>
  <c r="W315" i="1"/>
  <c r="I315" i="3" s="1"/>
  <c r="W316" i="1"/>
  <c r="I316" i="3" s="1"/>
  <c r="W317" i="1"/>
  <c r="I317" i="3" s="1"/>
  <c r="W318" i="1"/>
  <c r="I318" i="3" s="1"/>
  <c r="W319" i="1"/>
  <c r="I319" i="3" s="1"/>
  <c r="W320" i="1"/>
  <c r="I320" i="3" s="1"/>
  <c r="W321" i="1"/>
  <c r="I321" i="3" s="1"/>
  <c r="W322" i="1"/>
  <c r="I322" i="3" s="1"/>
  <c r="W323" i="1"/>
  <c r="I323" i="3" s="1"/>
  <c r="W324" i="1"/>
  <c r="I324" i="3" s="1"/>
  <c r="W325" i="1"/>
  <c r="I325" i="3" s="1"/>
  <c r="W326" i="1"/>
  <c r="I326" i="3" s="1"/>
  <c r="W327" i="1"/>
  <c r="I327" i="3" s="1"/>
  <c r="W328" i="1"/>
  <c r="I328" i="3" s="1"/>
  <c r="W329" i="1"/>
  <c r="I329" i="3" s="1"/>
  <c r="W330" i="1"/>
  <c r="I330" i="3" s="1"/>
  <c r="W331" i="1"/>
  <c r="I331" i="3" s="1"/>
  <c r="W332" i="1"/>
  <c r="I332" i="3" s="1"/>
  <c r="W333" i="1"/>
  <c r="I333" i="3" s="1"/>
  <c r="W334" i="1"/>
  <c r="I334" i="3" s="1"/>
  <c r="W335" i="1"/>
  <c r="I335" i="3" s="1"/>
  <c r="W336" i="1"/>
  <c r="I336" i="3" s="1"/>
  <c r="W337" i="1"/>
  <c r="I337" i="3" s="1"/>
  <c r="W338" i="1"/>
  <c r="I338" i="3" s="1"/>
  <c r="W339" i="1"/>
  <c r="I339" i="3" s="1"/>
  <c r="W340" i="1"/>
  <c r="I340" i="3" s="1"/>
  <c r="W341" i="1"/>
  <c r="I341" i="3" s="1"/>
  <c r="W342" i="1"/>
  <c r="I342" i="3" s="1"/>
  <c r="W343" i="1"/>
  <c r="I343" i="3" s="1"/>
  <c r="W344" i="1"/>
  <c r="I344" i="3" s="1"/>
  <c r="W345" i="1"/>
  <c r="I345" i="3" s="1"/>
  <c r="W346" i="1"/>
  <c r="I346" i="3" s="1"/>
  <c r="W347" i="1"/>
  <c r="I347" i="3" s="1"/>
  <c r="W348" i="1"/>
  <c r="I348" i="3" s="1"/>
  <c r="W349" i="1"/>
  <c r="I349" i="3" s="1"/>
  <c r="W350" i="1"/>
  <c r="I350" i="3" s="1"/>
  <c r="W351" i="1"/>
  <c r="I351" i="3" s="1"/>
  <c r="W352" i="1"/>
  <c r="I352" i="3" s="1"/>
  <c r="W353" i="1"/>
  <c r="I353" i="3" s="1"/>
  <c r="W354" i="1"/>
  <c r="I354" i="3" s="1"/>
  <c r="W355" i="1"/>
  <c r="I355" i="3" s="1"/>
  <c r="W356" i="1"/>
  <c r="I356" i="3" s="1"/>
  <c r="W357" i="1"/>
  <c r="I357" i="3" s="1"/>
  <c r="W358" i="1"/>
  <c r="I358" i="3" s="1"/>
  <c r="W359" i="1"/>
  <c r="I359" i="3" s="1"/>
  <c r="W360" i="1"/>
  <c r="I360" i="3" s="1"/>
  <c r="W361" i="1"/>
  <c r="I361" i="3" s="1"/>
  <c r="W362" i="1"/>
  <c r="I362" i="3" s="1"/>
  <c r="W363" i="1"/>
  <c r="I363" i="3" s="1"/>
  <c r="W364" i="1"/>
  <c r="I364" i="3" s="1"/>
  <c r="W365" i="1"/>
  <c r="I365" i="3" s="1"/>
  <c r="W366" i="1"/>
  <c r="I366" i="3" s="1"/>
  <c r="W367" i="1"/>
  <c r="I367" i="3" s="1"/>
  <c r="W368" i="1"/>
  <c r="I368" i="3" s="1"/>
  <c r="W369" i="1"/>
  <c r="I369" i="3" s="1"/>
  <c r="W370" i="1"/>
  <c r="I370" i="3" s="1"/>
  <c r="W371" i="1"/>
  <c r="I371" i="3" s="1"/>
  <c r="W372" i="1"/>
  <c r="I372" i="3" s="1"/>
  <c r="W373" i="1"/>
  <c r="I373" i="3" s="1"/>
  <c r="W374" i="1"/>
  <c r="I374" i="3" s="1"/>
  <c r="W375" i="1"/>
  <c r="I375" i="3" s="1"/>
  <c r="W376" i="1"/>
  <c r="I376" i="3" s="1"/>
  <c r="W377" i="1"/>
  <c r="I377" i="3" s="1"/>
  <c r="W378" i="1"/>
  <c r="I378" i="3" s="1"/>
  <c r="W379" i="1"/>
  <c r="I379" i="3" s="1"/>
  <c r="W380" i="1"/>
  <c r="I380" i="3" s="1"/>
  <c r="W381" i="1"/>
  <c r="I381" i="3" s="1"/>
  <c r="W382" i="1"/>
  <c r="I382" i="3" s="1"/>
  <c r="W383" i="1"/>
  <c r="I383" i="3" s="1"/>
  <c r="W384" i="1"/>
  <c r="I384" i="3" s="1"/>
  <c r="W385" i="1"/>
  <c r="I385" i="3" s="1"/>
  <c r="W386" i="1"/>
  <c r="I386" i="3" s="1"/>
  <c r="W387" i="1"/>
  <c r="I387" i="3" s="1"/>
  <c r="W388" i="1"/>
  <c r="I388" i="3" s="1"/>
  <c r="W389" i="1"/>
  <c r="I389" i="3" s="1"/>
  <c r="W390" i="1"/>
  <c r="I390" i="3" s="1"/>
  <c r="W391" i="1"/>
  <c r="I391" i="3" s="1"/>
  <c r="W392" i="1"/>
  <c r="I392" i="3" s="1"/>
  <c r="W393" i="1"/>
  <c r="I393" i="3" s="1"/>
  <c r="W394" i="1"/>
  <c r="I394" i="3" s="1"/>
  <c r="W395" i="1"/>
  <c r="I395" i="3" s="1"/>
  <c r="W396" i="1"/>
  <c r="I396" i="3" s="1"/>
  <c r="W397" i="1"/>
  <c r="I397" i="3" s="1"/>
  <c r="W398" i="1"/>
  <c r="I398" i="3" s="1"/>
  <c r="W399" i="1"/>
  <c r="I399" i="3" s="1"/>
  <c r="W400" i="1"/>
  <c r="I400" i="3" s="1"/>
  <c r="W401" i="1"/>
  <c r="I401" i="3" s="1"/>
  <c r="W402" i="1"/>
  <c r="I402" i="3" s="1"/>
  <c r="W403" i="1"/>
  <c r="I403" i="3" s="1"/>
  <c r="W404" i="1"/>
  <c r="I404" i="3" s="1"/>
  <c r="W405" i="1"/>
  <c r="I405" i="3" s="1"/>
  <c r="W406" i="1"/>
  <c r="I406" i="3" s="1"/>
  <c r="W407" i="1"/>
  <c r="I407" i="3" s="1"/>
  <c r="W408" i="1"/>
  <c r="I408" i="3" s="1"/>
  <c r="W409" i="1"/>
  <c r="I409" i="3" s="1"/>
  <c r="W410" i="1"/>
  <c r="I410" i="3" s="1"/>
  <c r="W411" i="1"/>
  <c r="I411" i="3" s="1"/>
  <c r="W412" i="1"/>
  <c r="I412" i="3" s="1"/>
  <c r="W413" i="1"/>
  <c r="I413" i="3" s="1"/>
  <c r="W414" i="1"/>
  <c r="I414" i="3" s="1"/>
  <c r="W415" i="1"/>
  <c r="I415" i="3" s="1"/>
  <c r="W416" i="1"/>
  <c r="I416" i="3" s="1"/>
  <c r="W417" i="1"/>
  <c r="I417" i="3" s="1"/>
  <c r="W418" i="1"/>
  <c r="I418" i="3" s="1"/>
  <c r="W419" i="1"/>
  <c r="I419" i="3" s="1"/>
  <c r="W420" i="1"/>
  <c r="I420" i="3" s="1"/>
  <c r="W421" i="1"/>
  <c r="I421" i="3" s="1"/>
  <c r="W422" i="1"/>
  <c r="I422" i="3" s="1"/>
  <c r="W423" i="1"/>
  <c r="I423" i="3" s="1"/>
  <c r="W424" i="1"/>
  <c r="I424" i="3" s="1"/>
  <c r="W425" i="1"/>
  <c r="I425" i="3" s="1"/>
  <c r="W426" i="1"/>
  <c r="I426" i="3" s="1"/>
  <c r="W427" i="1"/>
  <c r="I427" i="3" s="1"/>
  <c r="W428" i="1"/>
  <c r="I428" i="3" s="1"/>
  <c r="W429" i="1"/>
  <c r="I429" i="3" s="1"/>
  <c r="W430" i="1"/>
  <c r="I430" i="3" s="1"/>
  <c r="V3" i="1"/>
  <c r="H3" i="3" s="1"/>
  <c r="V4" i="1"/>
  <c r="H4" i="3" s="1"/>
  <c r="V5" i="1"/>
  <c r="H5" i="3" s="1"/>
  <c r="V6" i="1"/>
  <c r="H6" i="3" s="1"/>
  <c r="V7" i="1"/>
  <c r="H7" i="3" s="1"/>
  <c r="V8" i="1"/>
  <c r="H8" i="3" s="1"/>
  <c r="V9" i="1"/>
  <c r="H9" i="3" s="1"/>
  <c r="V10" i="1"/>
  <c r="H10" i="3" s="1"/>
  <c r="V11" i="1"/>
  <c r="H11" i="3" s="1"/>
  <c r="V12" i="1"/>
  <c r="H12" i="3" s="1"/>
  <c r="V13" i="1"/>
  <c r="H13" i="3" s="1"/>
  <c r="V14" i="1"/>
  <c r="H14" i="3" s="1"/>
  <c r="V15" i="1"/>
  <c r="H15" i="3" s="1"/>
  <c r="V16" i="1"/>
  <c r="H16" i="3" s="1"/>
  <c r="V17" i="1"/>
  <c r="H17" i="3" s="1"/>
  <c r="V18" i="1"/>
  <c r="H18" i="3" s="1"/>
  <c r="V19" i="1"/>
  <c r="H19" i="3" s="1"/>
  <c r="V20" i="1"/>
  <c r="H20" i="3" s="1"/>
  <c r="V21" i="1"/>
  <c r="H21" i="3" s="1"/>
  <c r="V22" i="1"/>
  <c r="H22" i="3" s="1"/>
  <c r="V23" i="1"/>
  <c r="H23" i="3" s="1"/>
  <c r="V24" i="1"/>
  <c r="H24" i="3" s="1"/>
  <c r="V25" i="1"/>
  <c r="H25" i="3" s="1"/>
  <c r="V26" i="1"/>
  <c r="H26" i="3" s="1"/>
  <c r="V27" i="1"/>
  <c r="H27" i="3" s="1"/>
  <c r="V28" i="1"/>
  <c r="H28" i="3" s="1"/>
  <c r="V29" i="1"/>
  <c r="H29" i="3" s="1"/>
  <c r="V30" i="1"/>
  <c r="H30" i="3" s="1"/>
  <c r="V31" i="1"/>
  <c r="H31" i="3" s="1"/>
  <c r="V32" i="1"/>
  <c r="H32" i="3" s="1"/>
  <c r="V33" i="1"/>
  <c r="H33" i="3" s="1"/>
  <c r="V34" i="1"/>
  <c r="H34" i="3" s="1"/>
  <c r="V35" i="1"/>
  <c r="H35" i="3" s="1"/>
  <c r="V36" i="1"/>
  <c r="H36" i="3" s="1"/>
  <c r="V37" i="1"/>
  <c r="H37" i="3" s="1"/>
  <c r="V38" i="1"/>
  <c r="H38" i="3" s="1"/>
  <c r="V39" i="1"/>
  <c r="H39" i="3" s="1"/>
  <c r="V40" i="1"/>
  <c r="H40" i="3" s="1"/>
  <c r="V41" i="1"/>
  <c r="H41" i="3" s="1"/>
  <c r="V42" i="1"/>
  <c r="H42" i="3" s="1"/>
  <c r="V43" i="1"/>
  <c r="H43" i="3" s="1"/>
  <c r="V44" i="1"/>
  <c r="H44" i="3" s="1"/>
  <c r="V45" i="1"/>
  <c r="H45" i="3" s="1"/>
  <c r="V46" i="1"/>
  <c r="H46" i="3" s="1"/>
  <c r="V47" i="1"/>
  <c r="H47" i="3" s="1"/>
  <c r="V48" i="1"/>
  <c r="H48" i="3" s="1"/>
  <c r="V49" i="1"/>
  <c r="H49" i="3" s="1"/>
  <c r="V50" i="1"/>
  <c r="H50" i="3" s="1"/>
  <c r="V51" i="1"/>
  <c r="H51" i="3" s="1"/>
  <c r="V52" i="1"/>
  <c r="H52" i="3" s="1"/>
  <c r="V53" i="1"/>
  <c r="H53" i="3" s="1"/>
  <c r="V54" i="1"/>
  <c r="H54" i="3" s="1"/>
  <c r="V55" i="1"/>
  <c r="H55" i="3" s="1"/>
  <c r="V56" i="1"/>
  <c r="H56" i="3" s="1"/>
  <c r="V57" i="1"/>
  <c r="H57" i="3" s="1"/>
  <c r="V58" i="1"/>
  <c r="H58" i="3" s="1"/>
  <c r="V59" i="1"/>
  <c r="H59" i="3" s="1"/>
  <c r="V60" i="1"/>
  <c r="H60" i="3" s="1"/>
  <c r="V61" i="1"/>
  <c r="H61" i="3" s="1"/>
  <c r="V62" i="1"/>
  <c r="H62" i="3" s="1"/>
  <c r="V63" i="1"/>
  <c r="H63" i="3" s="1"/>
  <c r="V64" i="1"/>
  <c r="H64" i="3" s="1"/>
  <c r="V65" i="1"/>
  <c r="H65" i="3" s="1"/>
  <c r="V66" i="1"/>
  <c r="H66" i="3" s="1"/>
  <c r="V67" i="1"/>
  <c r="H67" i="3" s="1"/>
  <c r="V68" i="1"/>
  <c r="H68" i="3" s="1"/>
  <c r="V69" i="1"/>
  <c r="H69" i="3" s="1"/>
  <c r="V70" i="1"/>
  <c r="H70" i="3" s="1"/>
  <c r="V71" i="1"/>
  <c r="H71" i="3" s="1"/>
  <c r="V72" i="1"/>
  <c r="H72" i="3" s="1"/>
  <c r="V73" i="1"/>
  <c r="H73" i="3" s="1"/>
  <c r="V74" i="1"/>
  <c r="H74" i="3" s="1"/>
  <c r="V75" i="1"/>
  <c r="H75" i="3" s="1"/>
  <c r="V76" i="1"/>
  <c r="H76" i="3" s="1"/>
  <c r="V77" i="1"/>
  <c r="H77" i="3" s="1"/>
  <c r="V78" i="1"/>
  <c r="H78" i="3" s="1"/>
  <c r="V79" i="1"/>
  <c r="H79" i="3" s="1"/>
  <c r="V80" i="1"/>
  <c r="H80" i="3" s="1"/>
  <c r="V81" i="1"/>
  <c r="H81" i="3" s="1"/>
  <c r="V82" i="1"/>
  <c r="H82" i="3" s="1"/>
  <c r="V83" i="1"/>
  <c r="H83" i="3" s="1"/>
  <c r="V84" i="1"/>
  <c r="H84" i="3" s="1"/>
  <c r="V85" i="1"/>
  <c r="H85" i="3" s="1"/>
  <c r="V86" i="1"/>
  <c r="H86" i="3" s="1"/>
  <c r="V87" i="1"/>
  <c r="H87" i="3" s="1"/>
  <c r="V88" i="1"/>
  <c r="H88" i="3" s="1"/>
  <c r="V89" i="1"/>
  <c r="H89" i="3" s="1"/>
  <c r="V90" i="1"/>
  <c r="H90" i="3" s="1"/>
  <c r="V91" i="1"/>
  <c r="H91" i="3" s="1"/>
  <c r="V92" i="1"/>
  <c r="H92" i="3" s="1"/>
  <c r="V93" i="1"/>
  <c r="H93" i="3" s="1"/>
  <c r="V94" i="1"/>
  <c r="H94" i="3" s="1"/>
  <c r="V95" i="1"/>
  <c r="H95" i="3" s="1"/>
  <c r="V96" i="1"/>
  <c r="H96" i="3" s="1"/>
  <c r="V97" i="1"/>
  <c r="H97" i="3" s="1"/>
  <c r="V98" i="1"/>
  <c r="H98" i="3" s="1"/>
  <c r="V99" i="1"/>
  <c r="H99" i="3" s="1"/>
  <c r="V100" i="1"/>
  <c r="H100" i="3" s="1"/>
  <c r="V101" i="1"/>
  <c r="H101" i="3" s="1"/>
  <c r="V102" i="1"/>
  <c r="H102" i="3" s="1"/>
  <c r="V103" i="1"/>
  <c r="H103" i="3" s="1"/>
  <c r="V104" i="1"/>
  <c r="H104" i="3" s="1"/>
  <c r="V105" i="1"/>
  <c r="H105" i="3" s="1"/>
  <c r="V106" i="1"/>
  <c r="H106" i="3" s="1"/>
  <c r="V107" i="1"/>
  <c r="H107" i="3" s="1"/>
  <c r="V108" i="1"/>
  <c r="H108" i="3" s="1"/>
  <c r="V109" i="1"/>
  <c r="H109" i="3" s="1"/>
  <c r="V110" i="1"/>
  <c r="H110" i="3" s="1"/>
  <c r="V111" i="1"/>
  <c r="H111" i="3" s="1"/>
  <c r="V112" i="1"/>
  <c r="H112" i="3" s="1"/>
  <c r="V113" i="1"/>
  <c r="H113" i="3" s="1"/>
  <c r="V114" i="1"/>
  <c r="H114" i="3" s="1"/>
  <c r="V115" i="1"/>
  <c r="H115" i="3" s="1"/>
  <c r="V116" i="1"/>
  <c r="H116" i="3" s="1"/>
  <c r="V117" i="1"/>
  <c r="H117" i="3" s="1"/>
  <c r="V118" i="1"/>
  <c r="H118" i="3" s="1"/>
  <c r="V119" i="1"/>
  <c r="H119" i="3" s="1"/>
  <c r="V120" i="1"/>
  <c r="H120" i="3" s="1"/>
  <c r="V121" i="1"/>
  <c r="H121" i="3" s="1"/>
  <c r="V122" i="1"/>
  <c r="H122" i="3" s="1"/>
  <c r="V123" i="1"/>
  <c r="H123" i="3" s="1"/>
  <c r="V124" i="1"/>
  <c r="H124" i="3" s="1"/>
  <c r="V125" i="1"/>
  <c r="H125" i="3" s="1"/>
  <c r="V126" i="1"/>
  <c r="H126" i="3" s="1"/>
  <c r="V127" i="1"/>
  <c r="H127" i="3" s="1"/>
  <c r="V128" i="1"/>
  <c r="H128" i="3" s="1"/>
  <c r="V129" i="1"/>
  <c r="H129" i="3" s="1"/>
  <c r="V130" i="1"/>
  <c r="H130" i="3" s="1"/>
  <c r="V131" i="1"/>
  <c r="H131" i="3" s="1"/>
  <c r="V132" i="1"/>
  <c r="H132" i="3" s="1"/>
  <c r="V133" i="1"/>
  <c r="H133" i="3" s="1"/>
  <c r="V134" i="1"/>
  <c r="H134" i="3" s="1"/>
  <c r="V135" i="1"/>
  <c r="H135" i="3" s="1"/>
  <c r="V136" i="1"/>
  <c r="H136" i="3" s="1"/>
  <c r="V137" i="1"/>
  <c r="H137" i="3" s="1"/>
  <c r="V138" i="1"/>
  <c r="H138" i="3" s="1"/>
  <c r="V139" i="1"/>
  <c r="H139" i="3" s="1"/>
  <c r="V140" i="1"/>
  <c r="H140" i="3" s="1"/>
  <c r="V141" i="1"/>
  <c r="H141" i="3" s="1"/>
  <c r="V142" i="1"/>
  <c r="H142" i="3" s="1"/>
  <c r="V143" i="1"/>
  <c r="H143" i="3" s="1"/>
  <c r="V144" i="1"/>
  <c r="H144" i="3" s="1"/>
  <c r="V145" i="1"/>
  <c r="H145" i="3" s="1"/>
  <c r="V146" i="1"/>
  <c r="H146" i="3" s="1"/>
  <c r="V147" i="1"/>
  <c r="H147" i="3" s="1"/>
  <c r="V148" i="1"/>
  <c r="H148" i="3" s="1"/>
  <c r="V149" i="1"/>
  <c r="H149" i="3" s="1"/>
  <c r="V150" i="1"/>
  <c r="H150" i="3" s="1"/>
  <c r="V151" i="1"/>
  <c r="H151" i="3" s="1"/>
  <c r="V152" i="1"/>
  <c r="H152" i="3" s="1"/>
  <c r="V153" i="1"/>
  <c r="H153" i="3" s="1"/>
  <c r="V154" i="1"/>
  <c r="H154" i="3" s="1"/>
  <c r="V155" i="1"/>
  <c r="H155" i="3" s="1"/>
  <c r="V156" i="1"/>
  <c r="H156" i="3" s="1"/>
  <c r="V157" i="1"/>
  <c r="H157" i="3" s="1"/>
  <c r="V158" i="1"/>
  <c r="H158" i="3" s="1"/>
  <c r="V159" i="1"/>
  <c r="H159" i="3" s="1"/>
  <c r="V160" i="1"/>
  <c r="H160" i="3" s="1"/>
  <c r="V161" i="1"/>
  <c r="H161" i="3" s="1"/>
  <c r="V162" i="1"/>
  <c r="H162" i="3" s="1"/>
  <c r="V163" i="1"/>
  <c r="H163" i="3" s="1"/>
  <c r="V164" i="1"/>
  <c r="H164" i="3" s="1"/>
  <c r="V165" i="1"/>
  <c r="H165" i="3" s="1"/>
  <c r="V166" i="1"/>
  <c r="H166" i="3" s="1"/>
  <c r="V167" i="1"/>
  <c r="H167" i="3" s="1"/>
  <c r="V168" i="1"/>
  <c r="H168" i="3" s="1"/>
  <c r="V169" i="1"/>
  <c r="H169" i="3" s="1"/>
  <c r="V170" i="1"/>
  <c r="H170" i="3" s="1"/>
  <c r="V171" i="1"/>
  <c r="H171" i="3" s="1"/>
  <c r="V172" i="1"/>
  <c r="H172" i="3" s="1"/>
  <c r="V173" i="1"/>
  <c r="H173" i="3" s="1"/>
  <c r="V174" i="1"/>
  <c r="H174" i="3" s="1"/>
  <c r="V175" i="1"/>
  <c r="H175" i="3" s="1"/>
  <c r="V176" i="1"/>
  <c r="H176" i="3" s="1"/>
  <c r="V177" i="1"/>
  <c r="H177" i="3" s="1"/>
  <c r="V178" i="1"/>
  <c r="H178" i="3" s="1"/>
  <c r="V179" i="1"/>
  <c r="H179" i="3" s="1"/>
  <c r="V180" i="1"/>
  <c r="H180" i="3" s="1"/>
  <c r="V181" i="1"/>
  <c r="H181" i="3" s="1"/>
  <c r="V182" i="1"/>
  <c r="H182" i="3" s="1"/>
  <c r="V183" i="1"/>
  <c r="H183" i="3" s="1"/>
  <c r="V184" i="1"/>
  <c r="H184" i="3" s="1"/>
  <c r="V185" i="1"/>
  <c r="H185" i="3" s="1"/>
  <c r="V186" i="1"/>
  <c r="H186" i="3" s="1"/>
  <c r="V187" i="1"/>
  <c r="H187" i="3" s="1"/>
  <c r="V188" i="1"/>
  <c r="H188" i="3" s="1"/>
  <c r="V189" i="1"/>
  <c r="H189" i="3" s="1"/>
  <c r="V190" i="1"/>
  <c r="H190" i="3" s="1"/>
  <c r="V191" i="1"/>
  <c r="H191" i="3" s="1"/>
  <c r="V192" i="1"/>
  <c r="H192" i="3" s="1"/>
  <c r="V193" i="1"/>
  <c r="H193" i="3" s="1"/>
  <c r="V194" i="1"/>
  <c r="H194" i="3" s="1"/>
  <c r="V195" i="1"/>
  <c r="H195" i="3" s="1"/>
  <c r="V196" i="1"/>
  <c r="H196" i="3" s="1"/>
  <c r="V197" i="1"/>
  <c r="H197" i="3" s="1"/>
  <c r="V198" i="1"/>
  <c r="H198" i="3" s="1"/>
  <c r="V199" i="1"/>
  <c r="H199" i="3" s="1"/>
  <c r="V200" i="1"/>
  <c r="H200" i="3" s="1"/>
  <c r="V201" i="1"/>
  <c r="H201" i="3" s="1"/>
  <c r="V202" i="1"/>
  <c r="H202" i="3" s="1"/>
  <c r="V203" i="1"/>
  <c r="H203" i="3" s="1"/>
  <c r="V204" i="1"/>
  <c r="H204" i="3" s="1"/>
  <c r="V205" i="1"/>
  <c r="H205" i="3" s="1"/>
  <c r="V206" i="1"/>
  <c r="H206" i="3" s="1"/>
  <c r="V207" i="1"/>
  <c r="H207" i="3" s="1"/>
  <c r="V208" i="1"/>
  <c r="H208" i="3" s="1"/>
  <c r="V209" i="1"/>
  <c r="H209" i="3" s="1"/>
  <c r="V210" i="1"/>
  <c r="H210" i="3" s="1"/>
  <c r="V211" i="1"/>
  <c r="H211" i="3" s="1"/>
  <c r="V212" i="1"/>
  <c r="H212" i="3" s="1"/>
  <c r="V213" i="1"/>
  <c r="H213" i="3" s="1"/>
  <c r="V214" i="1"/>
  <c r="H214" i="3" s="1"/>
  <c r="V215" i="1"/>
  <c r="H215" i="3" s="1"/>
  <c r="V216" i="1"/>
  <c r="H216" i="3" s="1"/>
  <c r="V217" i="1"/>
  <c r="H217" i="3" s="1"/>
  <c r="V218" i="1"/>
  <c r="H218" i="3" s="1"/>
  <c r="V219" i="1"/>
  <c r="H219" i="3" s="1"/>
  <c r="V220" i="1"/>
  <c r="H220" i="3" s="1"/>
  <c r="V221" i="1"/>
  <c r="H221" i="3" s="1"/>
  <c r="V222" i="1"/>
  <c r="H222" i="3" s="1"/>
  <c r="V223" i="1"/>
  <c r="H223" i="3" s="1"/>
  <c r="V224" i="1"/>
  <c r="H224" i="3" s="1"/>
  <c r="V225" i="1"/>
  <c r="H225" i="3" s="1"/>
  <c r="V226" i="1"/>
  <c r="H226" i="3" s="1"/>
  <c r="V227" i="1"/>
  <c r="H227" i="3" s="1"/>
  <c r="V228" i="1"/>
  <c r="H228" i="3" s="1"/>
  <c r="V229" i="1"/>
  <c r="H229" i="3" s="1"/>
  <c r="V230" i="1"/>
  <c r="H230" i="3" s="1"/>
  <c r="V231" i="1"/>
  <c r="H231" i="3" s="1"/>
  <c r="V232" i="1"/>
  <c r="H232" i="3" s="1"/>
  <c r="V233" i="1"/>
  <c r="H233" i="3" s="1"/>
  <c r="V234" i="1"/>
  <c r="H234" i="3" s="1"/>
  <c r="V235" i="1"/>
  <c r="H235" i="3" s="1"/>
  <c r="V236" i="1"/>
  <c r="H236" i="3" s="1"/>
  <c r="V237" i="1"/>
  <c r="H237" i="3" s="1"/>
  <c r="V238" i="1"/>
  <c r="H238" i="3" s="1"/>
  <c r="V239" i="1"/>
  <c r="H239" i="3" s="1"/>
  <c r="V240" i="1"/>
  <c r="H240" i="3" s="1"/>
  <c r="V241" i="1"/>
  <c r="H241" i="3" s="1"/>
  <c r="V242" i="1"/>
  <c r="H242" i="3" s="1"/>
  <c r="V243" i="1"/>
  <c r="H243" i="3" s="1"/>
  <c r="V244" i="1"/>
  <c r="H244" i="3" s="1"/>
  <c r="V245" i="1"/>
  <c r="H245" i="3" s="1"/>
  <c r="V246" i="1"/>
  <c r="H246" i="3" s="1"/>
  <c r="V247" i="1"/>
  <c r="H247" i="3" s="1"/>
  <c r="V248" i="1"/>
  <c r="H248" i="3" s="1"/>
  <c r="V249" i="1"/>
  <c r="H249" i="3" s="1"/>
  <c r="V250" i="1"/>
  <c r="H250" i="3" s="1"/>
  <c r="V251" i="1"/>
  <c r="H251" i="3" s="1"/>
  <c r="V252" i="1"/>
  <c r="H252" i="3" s="1"/>
  <c r="V253" i="1"/>
  <c r="H253" i="3" s="1"/>
  <c r="V254" i="1"/>
  <c r="H254" i="3" s="1"/>
  <c r="V255" i="1"/>
  <c r="H255" i="3" s="1"/>
  <c r="V256" i="1"/>
  <c r="H256" i="3" s="1"/>
  <c r="V257" i="1"/>
  <c r="H257" i="3" s="1"/>
  <c r="V258" i="1"/>
  <c r="H258" i="3" s="1"/>
  <c r="V259" i="1"/>
  <c r="H259" i="3" s="1"/>
  <c r="V260" i="1"/>
  <c r="H260" i="3" s="1"/>
  <c r="V261" i="1"/>
  <c r="H261" i="3" s="1"/>
  <c r="V262" i="1"/>
  <c r="H262" i="3" s="1"/>
  <c r="V263" i="1"/>
  <c r="H263" i="3" s="1"/>
  <c r="V264" i="1"/>
  <c r="H264" i="3" s="1"/>
  <c r="V265" i="1"/>
  <c r="H265" i="3" s="1"/>
  <c r="V266" i="1"/>
  <c r="H266" i="3" s="1"/>
  <c r="V267" i="1"/>
  <c r="H267" i="3" s="1"/>
  <c r="V268" i="1"/>
  <c r="H268" i="3" s="1"/>
  <c r="V269" i="1"/>
  <c r="H269" i="3" s="1"/>
  <c r="V270" i="1"/>
  <c r="H270" i="3" s="1"/>
  <c r="V271" i="1"/>
  <c r="H271" i="3" s="1"/>
  <c r="V272" i="1"/>
  <c r="H272" i="3" s="1"/>
  <c r="V273" i="1"/>
  <c r="H273" i="3" s="1"/>
  <c r="V274" i="1"/>
  <c r="H274" i="3" s="1"/>
  <c r="V275" i="1"/>
  <c r="H275" i="3" s="1"/>
  <c r="V276" i="1"/>
  <c r="H276" i="3" s="1"/>
  <c r="V277" i="1"/>
  <c r="H277" i="3" s="1"/>
  <c r="V278" i="1"/>
  <c r="H278" i="3" s="1"/>
  <c r="V279" i="1"/>
  <c r="H279" i="3" s="1"/>
  <c r="V280" i="1"/>
  <c r="H280" i="3" s="1"/>
  <c r="V281" i="1"/>
  <c r="H281" i="3" s="1"/>
  <c r="V282" i="1"/>
  <c r="H282" i="3" s="1"/>
  <c r="V283" i="1"/>
  <c r="H283" i="3" s="1"/>
  <c r="V284" i="1"/>
  <c r="H284" i="3" s="1"/>
  <c r="V285" i="1"/>
  <c r="H285" i="3" s="1"/>
  <c r="V286" i="1"/>
  <c r="H286" i="3" s="1"/>
  <c r="V287" i="1"/>
  <c r="H287" i="3" s="1"/>
  <c r="V288" i="1"/>
  <c r="H288" i="3" s="1"/>
  <c r="V289" i="1"/>
  <c r="H289" i="3" s="1"/>
  <c r="V290" i="1"/>
  <c r="H290" i="3" s="1"/>
  <c r="V291" i="1"/>
  <c r="H291" i="3" s="1"/>
  <c r="V292" i="1"/>
  <c r="H292" i="3" s="1"/>
  <c r="V293" i="1"/>
  <c r="H293" i="3" s="1"/>
  <c r="V294" i="1"/>
  <c r="H294" i="3" s="1"/>
  <c r="V295" i="1"/>
  <c r="H295" i="3" s="1"/>
  <c r="V296" i="1"/>
  <c r="H296" i="3" s="1"/>
  <c r="V297" i="1"/>
  <c r="H297" i="3" s="1"/>
  <c r="V298" i="1"/>
  <c r="H298" i="3" s="1"/>
  <c r="V299" i="1"/>
  <c r="H299" i="3" s="1"/>
  <c r="V300" i="1"/>
  <c r="H300" i="3" s="1"/>
  <c r="V301" i="1"/>
  <c r="H301" i="3" s="1"/>
  <c r="V302" i="1"/>
  <c r="H302" i="3" s="1"/>
  <c r="V303" i="1"/>
  <c r="H303" i="3" s="1"/>
  <c r="V304" i="1"/>
  <c r="H304" i="3" s="1"/>
  <c r="V305" i="1"/>
  <c r="H305" i="3" s="1"/>
  <c r="V306" i="1"/>
  <c r="H306" i="3" s="1"/>
  <c r="V307" i="1"/>
  <c r="H307" i="3" s="1"/>
  <c r="V308" i="1"/>
  <c r="H308" i="3" s="1"/>
  <c r="V309" i="1"/>
  <c r="H309" i="3" s="1"/>
  <c r="V310" i="1"/>
  <c r="H310" i="3" s="1"/>
  <c r="V311" i="1"/>
  <c r="H311" i="3" s="1"/>
  <c r="V312" i="1"/>
  <c r="H312" i="3" s="1"/>
  <c r="V313" i="1"/>
  <c r="H313" i="3" s="1"/>
  <c r="V314" i="1"/>
  <c r="H314" i="3" s="1"/>
  <c r="V315" i="1"/>
  <c r="H315" i="3" s="1"/>
  <c r="V316" i="1"/>
  <c r="H316" i="3" s="1"/>
  <c r="V317" i="1"/>
  <c r="H317" i="3" s="1"/>
  <c r="V318" i="1"/>
  <c r="H318" i="3" s="1"/>
  <c r="V319" i="1"/>
  <c r="H319" i="3" s="1"/>
  <c r="V320" i="1"/>
  <c r="H320" i="3" s="1"/>
  <c r="V321" i="1"/>
  <c r="H321" i="3" s="1"/>
  <c r="V322" i="1"/>
  <c r="H322" i="3" s="1"/>
  <c r="V323" i="1"/>
  <c r="H323" i="3" s="1"/>
  <c r="V324" i="1"/>
  <c r="H324" i="3" s="1"/>
  <c r="V325" i="1"/>
  <c r="H325" i="3" s="1"/>
  <c r="V326" i="1"/>
  <c r="H326" i="3" s="1"/>
  <c r="V327" i="1"/>
  <c r="H327" i="3" s="1"/>
  <c r="V328" i="1"/>
  <c r="H328" i="3" s="1"/>
  <c r="V329" i="1"/>
  <c r="H329" i="3" s="1"/>
  <c r="V330" i="1"/>
  <c r="H330" i="3" s="1"/>
  <c r="V331" i="1"/>
  <c r="H331" i="3" s="1"/>
  <c r="V332" i="1"/>
  <c r="H332" i="3" s="1"/>
  <c r="V333" i="1"/>
  <c r="H333" i="3" s="1"/>
  <c r="V334" i="1"/>
  <c r="H334" i="3" s="1"/>
  <c r="V335" i="1"/>
  <c r="H335" i="3" s="1"/>
  <c r="V336" i="1"/>
  <c r="H336" i="3" s="1"/>
  <c r="V337" i="1"/>
  <c r="H337" i="3" s="1"/>
  <c r="V338" i="1"/>
  <c r="H338" i="3" s="1"/>
  <c r="V339" i="1"/>
  <c r="H339" i="3" s="1"/>
  <c r="V340" i="1"/>
  <c r="H340" i="3" s="1"/>
  <c r="V341" i="1"/>
  <c r="H341" i="3" s="1"/>
  <c r="V342" i="1"/>
  <c r="H342" i="3" s="1"/>
  <c r="V343" i="1"/>
  <c r="H343" i="3" s="1"/>
  <c r="V344" i="1"/>
  <c r="H344" i="3" s="1"/>
  <c r="V345" i="1"/>
  <c r="H345" i="3" s="1"/>
  <c r="V346" i="1"/>
  <c r="H346" i="3" s="1"/>
  <c r="V347" i="1"/>
  <c r="H347" i="3" s="1"/>
  <c r="V348" i="1"/>
  <c r="H348" i="3" s="1"/>
  <c r="V349" i="1"/>
  <c r="H349" i="3" s="1"/>
  <c r="V350" i="1"/>
  <c r="H350" i="3" s="1"/>
  <c r="V351" i="1"/>
  <c r="H351" i="3" s="1"/>
  <c r="V352" i="1"/>
  <c r="H352" i="3" s="1"/>
  <c r="V353" i="1"/>
  <c r="H353" i="3" s="1"/>
  <c r="V354" i="1"/>
  <c r="H354" i="3" s="1"/>
  <c r="V355" i="1"/>
  <c r="H355" i="3" s="1"/>
  <c r="V356" i="1"/>
  <c r="H356" i="3" s="1"/>
  <c r="V357" i="1"/>
  <c r="H357" i="3" s="1"/>
  <c r="V358" i="1"/>
  <c r="H358" i="3" s="1"/>
  <c r="V359" i="1"/>
  <c r="H359" i="3" s="1"/>
  <c r="V360" i="1"/>
  <c r="H360" i="3" s="1"/>
  <c r="V361" i="1"/>
  <c r="H361" i="3" s="1"/>
  <c r="V362" i="1"/>
  <c r="H362" i="3" s="1"/>
  <c r="V363" i="1"/>
  <c r="H363" i="3" s="1"/>
  <c r="V364" i="1"/>
  <c r="H364" i="3" s="1"/>
  <c r="V365" i="1"/>
  <c r="H365" i="3" s="1"/>
  <c r="V366" i="1"/>
  <c r="H366" i="3" s="1"/>
  <c r="V367" i="1"/>
  <c r="H367" i="3" s="1"/>
  <c r="V368" i="1"/>
  <c r="H368" i="3" s="1"/>
  <c r="V369" i="1"/>
  <c r="H369" i="3" s="1"/>
  <c r="V370" i="1"/>
  <c r="H370" i="3" s="1"/>
  <c r="V371" i="1"/>
  <c r="H371" i="3" s="1"/>
  <c r="V372" i="1"/>
  <c r="H372" i="3" s="1"/>
  <c r="V373" i="1"/>
  <c r="H373" i="3" s="1"/>
  <c r="V374" i="1"/>
  <c r="H374" i="3" s="1"/>
  <c r="V375" i="1"/>
  <c r="H375" i="3" s="1"/>
  <c r="V376" i="1"/>
  <c r="H376" i="3" s="1"/>
  <c r="V377" i="1"/>
  <c r="H377" i="3" s="1"/>
  <c r="V378" i="1"/>
  <c r="H378" i="3" s="1"/>
  <c r="V379" i="1"/>
  <c r="H379" i="3" s="1"/>
  <c r="V380" i="1"/>
  <c r="H380" i="3" s="1"/>
  <c r="V381" i="1"/>
  <c r="H381" i="3" s="1"/>
  <c r="V382" i="1"/>
  <c r="H382" i="3" s="1"/>
  <c r="V383" i="1"/>
  <c r="H383" i="3" s="1"/>
  <c r="V384" i="1"/>
  <c r="H384" i="3" s="1"/>
  <c r="V385" i="1"/>
  <c r="H385" i="3" s="1"/>
  <c r="V386" i="1"/>
  <c r="H386" i="3" s="1"/>
  <c r="V387" i="1"/>
  <c r="H387" i="3" s="1"/>
  <c r="V388" i="1"/>
  <c r="H388" i="3" s="1"/>
  <c r="V389" i="1"/>
  <c r="H389" i="3" s="1"/>
  <c r="V390" i="1"/>
  <c r="H390" i="3" s="1"/>
  <c r="V391" i="1"/>
  <c r="H391" i="3" s="1"/>
  <c r="V392" i="1"/>
  <c r="H392" i="3" s="1"/>
  <c r="V393" i="1"/>
  <c r="H393" i="3" s="1"/>
  <c r="V394" i="1"/>
  <c r="H394" i="3" s="1"/>
  <c r="V395" i="1"/>
  <c r="H395" i="3" s="1"/>
  <c r="V396" i="1"/>
  <c r="H396" i="3" s="1"/>
  <c r="V397" i="1"/>
  <c r="H397" i="3" s="1"/>
  <c r="V398" i="1"/>
  <c r="H398" i="3" s="1"/>
  <c r="V399" i="1"/>
  <c r="H399" i="3" s="1"/>
  <c r="V400" i="1"/>
  <c r="H400" i="3" s="1"/>
  <c r="V401" i="1"/>
  <c r="H401" i="3" s="1"/>
  <c r="V402" i="1"/>
  <c r="H402" i="3" s="1"/>
  <c r="V403" i="1"/>
  <c r="H403" i="3" s="1"/>
  <c r="V404" i="1"/>
  <c r="H404" i="3" s="1"/>
  <c r="V405" i="1"/>
  <c r="H405" i="3" s="1"/>
  <c r="V406" i="1"/>
  <c r="H406" i="3" s="1"/>
  <c r="V407" i="1"/>
  <c r="H407" i="3" s="1"/>
  <c r="V408" i="1"/>
  <c r="H408" i="3" s="1"/>
  <c r="V409" i="1"/>
  <c r="H409" i="3" s="1"/>
  <c r="V410" i="1"/>
  <c r="H410" i="3" s="1"/>
  <c r="V411" i="1"/>
  <c r="H411" i="3" s="1"/>
  <c r="V412" i="1"/>
  <c r="H412" i="3" s="1"/>
  <c r="V413" i="1"/>
  <c r="H413" i="3" s="1"/>
  <c r="V414" i="1"/>
  <c r="H414" i="3" s="1"/>
  <c r="V415" i="1"/>
  <c r="H415" i="3" s="1"/>
  <c r="V416" i="1"/>
  <c r="H416" i="3" s="1"/>
  <c r="V417" i="1"/>
  <c r="H417" i="3" s="1"/>
  <c r="V418" i="1"/>
  <c r="H418" i="3" s="1"/>
  <c r="V419" i="1"/>
  <c r="H419" i="3" s="1"/>
  <c r="V420" i="1"/>
  <c r="H420" i="3" s="1"/>
  <c r="V421" i="1"/>
  <c r="H421" i="3" s="1"/>
  <c r="V422" i="1"/>
  <c r="H422" i="3" s="1"/>
  <c r="V423" i="1"/>
  <c r="H423" i="3" s="1"/>
  <c r="V424" i="1"/>
  <c r="H424" i="3" s="1"/>
  <c r="V425" i="1"/>
  <c r="H425" i="3" s="1"/>
  <c r="V426" i="1"/>
  <c r="H426" i="3" s="1"/>
  <c r="V427" i="1"/>
  <c r="H427" i="3" s="1"/>
  <c r="V428" i="1"/>
  <c r="H428" i="3" s="1"/>
  <c r="V429" i="1"/>
  <c r="H429" i="3" s="1"/>
  <c r="V430" i="1"/>
  <c r="H430" i="3" s="1"/>
  <c r="F353"/>
  <c r="U3" i="1"/>
  <c r="G3" i="3" s="1"/>
  <c r="U4" i="1"/>
  <c r="G4" i="3" s="1"/>
  <c r="U5" i="1"/>
  <c r="G5" i="3" s="1"/>
  <c r="U6" i="1"/>
  <c r="G6" i="3" s="1"/>
  <c r="U7" i="1"/>
  <c r="G7" i="3" s="1"/>
  <c r="U8" i="1"/>
  <c r="G8" i="3" s="1"/>
  <c r="U9" i="1"/>
  <c r="G9" i="3" s="1"/>
  <c r="U10" i="1"/>
  <c r="G10" i="3" s="1"/>
  <c r="U11" i="1"/>
  <c r="G11" i="3" s="1"/>
  <c r="U12" i="1"/>
  <c r="G12" i="3" s="1"/>
  <c r="U13" i="1"/>
  <c r="G13" i="3" s="1"/>
  <c r="U14" i="1"/>
  <c r="G14" i="3" s="1"/>
  <c r="U15" i="1"/>
  <c r="G15" i="3" s="1"/>
  <c r="U16" i="1"/>
  <c r="G16" i="3" s="1"/>
  <c r="U17" i="1"/>
  <c r="G17" i="3" s="1"/>
  <c r="U18" i="1"/>
  <c r="G18" i="3" s="1"/>
  <c r="U19" i="1"/>
  <c r="G19" i="3" s="1"/>
  <c r="U20" i="1"/>
  <c r="G20" i="3" s="1"/>
  <c r="U21" i="1"/>
  <c r="G21" i="3" s="1"/>
  <c r="U22" i="1"/>
  <c r="G22" i="3" s="1"/>
  <c r="U23" i="1"/>
  <c r="G23" i="3" s="1"/>
  <c r="U24" i="1"/>
  <c r="G24" i="3" s="1"/>
  <c r="U25" i="1"/>
  <c r="G25" i="3" s="1"/>
  <c r="U26" i="1"/>
  <c r="G26" i="3" s="1"/>
  <c r="U27" i="1"/>
  <c r="G27" i="3" s="1"/>
  <c r="U28" i="1"/>
  <c r="G28" i="3" s="1"/>
  <c r="U29" i="1"/>
  <c r="G29" i="3" s="1"/>
  <c r="U30" i="1"/>
  <c r="G30" i="3" s="1"/>
  <c r="U31" i="1"/>
  <c r="G31" i="3" s="1"/>
  <c r="U32" i="1"/>
  <c r="G32" i="3" s="1"/>
  <c r="U33" i="1"/>
  <c r="G33" i="3" s="1"/>
  <c r="U34" i="1"/>
  <c r="G34" i="3" s="1"/>
  <c r="U35" i="1"/>
  <c r="G35" i="3" s="1"/>
  <c r="U36" i="1"/>
  <c r="G36" i="3" s="1"/>
  <c r="U37" i="1"/>
  <c r="G37" i="3" s="1"/>
  <c r="U38" i="1"/>
  <c r="G38" i="3" s="1"/>
  <c r="U39" i="1"/>
  <c r="G39" i="3" s="1"/>
  <c r="U40" i="1"/>
  <c r="G40" i="3" s="1"/>
  <c r="U41" i="1"/>
  <c r="G41" i="3" s="1"/>
  <c r="U42" i="1"/>
  <c r="G42" i="3" s="1"/>
  <c r="U43" i="1"/>
  <c r="G43" i="3" s="1"/>
  <c r="U44" i="1"/>
  <c r="G44" i="3" s="1"/>
  <c r="U45" i="1"/>
  <c r="G45" i="3" s="1"/>
  <c r="U46" i="1"/>
  <c r="G46" i="3" s="1"/>
  <c r="U47" i="1"/>
  <c r="G47" i="3" s="1"/>
  <c r="U48" i="1"/>
  <c r="G48" i="3" s="1"/>
  <c r="U49" i="1"/>
  <c r="G49" i="3" s="1"/>
  <c r="U50" i="1"/>
  <c r="G50" i="3" s="1"/>
  <c r="U51" i="1"/>
  <c r="G51" i="3" s="1"/>
  <c r="U52" i="1"/>
  <c r="G52" i="3" s="1"/>
  <c r="U53" i="1"/>
  <c r="G53" i="3" s="1"/>
  <c r="U54" i="1"/>
  <c r="G54" i="3" s="1"/>
  <c r="U55" i="1"/>
  <c r="G55" i="3" s="1"/>
  <c r="U56" i="1"/>
  <c r="G56" i="3" s="1"/>
  <c r="U57" i="1"/>
  <c r="G57" i="3" s="1"/>
  <c r="U58" i="1"/>
  <c r="G58" i="3" s="1"/>
  <c r="U59" i="1"/>
  <c r="G59" i="3" s="1"/>
  <c r="U60" i="1"/>
  <c r="G60" i="3" s="1"/>
  <c r="U61" i="1"/>
  <c r="G61" i="3" s="1"/>
  <c r="U62" i="1"/>
  <c r="G62" i="3" s="1"/>
  <c r="U63" i="1"/>
  <c r="G63" i="3" s="1"/>
  <c r="U64" i="1"/>
  <c r="G64" i="3" s="1"/>
  <c r="U65" i="1"/>
  <c r="G65" i="3" s="1"/>
  <c r="U66" i="1"/>
  <c r="G66" i="3" s="1"/>
  <c r="U67" i="1"/>
  <c r="G67" i="3" s="1"/>
  <c r="U68" i="1"/>
  <c r="G68" i="3" s="1"/>
  <c r="U69" i="1"/>
  <c r="G69" i="3" s="1"/>
  <c r="U70" i="1"/>
  <c r="G70" i="3" s="1"/>
  <c r="U71" i="1"/>
  <c r="G71" i="3" s="1"/>
  <c r="U72" i="1"/>
  <c r="G72" i="3" s="1"/>
  <c r="U73" i="1"/>
  <c r="G73" i="3" s="1"/>
  <c r="U74" i="1"/>
  <c r="G74" i="3" s="1"/>
  <c r="U75" i="1"/>
  <c r="G75" i="3" s="1"/>
  <c r="U76" i="1"/>
  <c r="G76" i="3" s="1"/>
  <c r="U77" i="1"/>
  <c r="G77" i="3" s="1"/>
  <c r="U78" i="1"/>
  <c r="G78" i="3" s="1"/>
  <c r="U79" i="1"/>
  <c r="G79" i="3" s="1"/>
  <c r="U80" i="1"/>
  <c r="G80" i="3" s="1"/>
  <c r="U81" i="1"/>
  <c r="G81" i="3" s="1"/>
  <c r="U82" i="1"/>
  <c r="G82" i="3" s="1"/>
  <c r="U83" i="1"/>
  <c r="G83" i="3" s="1"/>
  <c r="U84" i="1"/>
  <c r="G84" i="3" s="1"/>
  <c r="U85" i="1"/>
  <c r="G85" i="3" s="1"/>
  <c r="U86" i="1"/>
  <c r="G86" i="3" s="1"/>
  <c r="U87" i="1"/>
  <c r="G87" i="3" s="1"/>
  <c r="U88" i="1"/>
  <c r="G88" i="3" s="1"/>
  <c r="U89" i="1"/>
  <c r="G89" i="3" s="1"/>
  <c r="U90" i="1"/>
  <c r="G90" i="3" s="1"/>
  <c r="U91" i="1"/>
  <c r="G91" i="3" s="1"/>
  <c r="U92" i="1"/>
  <c r="G92" i="3" s="1"/>
  <c r="U93" i="1"/>
  <c r="G93" i="3" s="1"/>
  <c r="U94" i="1"/>
  <c r="G94" i="3" s="1"/>
  <c r="U95" i="1"/>
  <c r="G95" i="3" s="1"/>
  <c r="U96" i="1"/>
  <c r="G96" i="3" s="1"/>
  <c r="U97" i="1"/>
  <c r="G97" i="3" s="1"/>
  <c r="U98" i="1"/>
  <c r="G98" i="3" s="1"/>
  <c r="U99" i="1"/>
  <c r="G99" i="3" s="1"/>
  <c r="U100" i="1"/>
  <c r="G100" i="3" s="1"/>
  <c r="U101" i="1"/>
  <c r="G101" i="3" s="1"/>
  <c r="U102" i="1"/>
  <c r="G102" i="3" s="1"/>
  <c r="U103" i="1"/>
  <c r="G103" i="3" s="1"/>
  <c r="U104" i="1"/>
  <c r="G104" i="3" s="1"/>
  <c r="U105" i="1"/>
  <c r="G105" i="3" s="1"/>
  <c r="U106" i="1"/>
  <c r="G106" i="3" s="1"/>
  <c r="U107" i="1"/>
  <c r="G107" i="3" s="1"/>
  <c r="U108" i="1"/>
  <c r="G108" i="3" s="1"/>
  <c r="U109" i="1"/>
  <c r="G109" i="3" s="1"/>
  <c r="U110" i="1"/>
  <c r="G110" i="3" s="1"/>
  <c r="U111" i="1"/>
  <c r="G111" i="3" s="1"/>
  <c r="U112" i="1"/>
  <c r="G112" i="3" s="1"/>
  <c r="U113" i="1"/>
  <c r="G113" i="3" s="1"/>
  <c r="U114" i="1"/>
  <c r="G114" i="3" s="1"/>
  <c r="U115" i="1"/>
  <c r="G115" i="3" s="1"/>
  <c r="U116" i="1"/>
  <c r="G116" i="3" s="1"/>
  <c r="U117" i="1"/>
  <c r="G117" i="3" s="1"/>
  <c r="U118" i="1"/>
  <c r="G118" i="3" s="1"/>
  <c r="U119" i="1"/>
  <c r="G119" i="3" s="1"/>
  <c r="U120" i="1"/>
  <c r="G120" i="3" s="1"/>
  <c r="U121" i="1"/>
  <c r="G121" i="3" s="1"/>
  <c r="U122" i="1"/>
  <c r="G122" i="3" s="1"/>
  <c r="U123" i="1"/>
  <c r="G123" i="3" s="1"/>
  <c r="U124" i="1"/>
  <c r="G124" i="3" s="1"/>
  <c r="U125" i="1"/>
  <c r="G125" i="3" s="1"/>
  <c r="U126" i="1"/>
  <c r="G126" i="3" s="1"/>
  <c r="U127" i="1"/>
  <c r="G127" i="3" s="1"/>
  <c r="U128" i="1"/>
  <c r="G128" i="3" s="1"/>
  <c r="U129" i="1"/>
  <c r="G129" i="3" s="1"/>
  <c r="U130" i="1"/>
  <c r="G130" i="3" s="1"/>
  <c r="U131" i="1"/>
  <c r="G131" i="3" s="1"/>
  <c r="U132" i="1"/>
  <c r="G132" i="3" s="1"/>
  <c r="U133" i="1"/>
  <c r="G133" i="3" s="1"/>
  <c r="U134" i="1"/>
  <c r="G134" i="3" s="1"/>
  <c r="U135" i="1"/>
  <c r="G135" i="3" s="1"/>
  <c r="U136" i="1"/>
  <c r="G136" i="3" s="1"/>
  <c r="U137" i="1"/>
  <c r="G137" i="3" s="1"/>
  <c r="U138" i="1"/>
  <c r="G138" i="3" s="1"/>
  <c r="U139" i="1"/>
  <c r="G139" i="3" s="1"/>
  <c r="U140" i="1"/>
  <c r="G140" i="3" s="1"/>
  <c r="U141" i="1"/>
  <c r="G141" i="3" s="1"/>
  <c r="U142" i="1"/>
  <c r="G142" i="3" s="1"/>
  <c r="U143" i="1"/>
  <c r="G143" i="3" s="1"/>
  <c r="U144" i="1"/>
  <c r="G144" i="3" s="1"/>
  <c r="U145" i="1"/>
  <c r="G145" i="3" s="1"/>
  <c r="U146" i="1"/>
  <c r="G146" i="3" s="1"/>
  <c r="U147" i="1"/>
  <c r="G147" i="3" s="1"/>
  <c r="U148" i="1"/>
  <c r="G148" i="3" s="1"/>
  <c r="U149" i="1"/>
  <c r="G149" i="3" s="1"/>
  <c r="U150" i="1"/>
  <c r="G150" i="3" s="1"/>
  <c r="U151" i="1"/>
  <c r="G151" i="3" s="1"/>
  <c r="U152" i="1"/>
  <c r="G152" i="3" s="1"/>
  <c r="U153" i="1"/>
  <c r="G153" i="3" s="1"/>
  <c r="U154" i="1"/>
  <c r="G154" i="3" s="1"/>
  <c r="U155" i="1"/>
  <c r="G155" i="3" s="1"/>
  <c r="U156" i="1"/>
  <c r="G156" i="3" s="1"/>
  <c r="U157" i="1"/>
  <c r="G157" i="3" s="1"/>
  <c r="U158" i="1"/>
  <c r="G158" i="3" s="1"/>
  <c r="U159" i="1"/>
  <c r="G159" i="3" s="1"/>
  <c r="U160" i="1"/>
  <c r="G160" i="3" s="1"/>
  <c r="U161" i="1"/>
  <c r="G161" i="3" s="1"/>
  <c r="U162" i="1"/>
  <c r="G162" i="3" s="1"/>
  <c r="U163" i="1"/>
  <c r="G163" i="3" s="1"/>
  <c r="U164" i="1"/>
  <c r="G164" i="3" s="1"/>
  <c r="U165" i="1"/>
  <c r="G165" i="3" s="1"/>
  <c r="U166" i="1"/>
  <c r="G166" i="3" s="1"/>
  <c r="U167" i="1"/>
  <c r="G167" i="3" s="1"/>
  <c r="U168" i="1"/>
  <c r="G168" i="3" s="1"/>
  <c r="U169" i="1"/>
  <c r="G169" i="3" s="1"/>
  <c r="U170" i="1"/>
  <c r="G170" i="3" s="1"/>
  <c r="U171" i="1"/>
  <c r="G171" i="3" s="1"/>
  <c r="U172" i="1"/>
  <c r="G172" i="3" s="1"/>
  <c r="U173" i="1"/>
  <c r="G173" i="3" s="1"/>
  <c r="U174" i="1"/>
  <c r="G174" i="3" s="1"/>
  <c r="U175" i="1"/>
  <c r="G175" i="3" s="1"/>
  <c r="U176" i="1"/>
  <c r="G176" i="3" s="1"/>
  <c r="U177" i="1"/>
  <c r="G177" i="3" s="1"/>
  <c r="U178" i="1"/>
  <c r="G178" i="3" s="1"/>
  <c r="U179" i="1"/>
  <c r="G179" i="3" s="1"/>
  <c r="U180" i="1"/>
  <c r="G180" i="3" s="1"/>
  <c r="U181" i="1"/>
  <c r="G181" i="3" s="1"/>
  <c r="U182" i="1"/>
  <c r="G182" i="3" s="1"/>
  <c r="U183" i="1"/>
  <c r="G183" i="3" s="1"/>
  <c r="U184" i="1"/>
  <c r="G184" i="3" s="1"/>
  <c r="U185" i="1"/>
  <c r="G185" i="3" s="1"/>
  <c r="U186" i="1"/>
  <c r="G186" i="3" s="1"/>
  <c r="U187" i="1"/>
  <c r="G187" i="3" s="1"/>
  <c r="U188" i="1"/>
  <c r="G188" i="3" s="1"/>
  <c r="U189" i="1"/>
  <c r="G189" i="3" s="1"/>
  <c r="U190" i="1"/>
  <c r="G190" i="3" s="1"/>
  <c r="U191" i="1"/>
  <c r="G191" i="3" s="1"/>
  <c r="U192" i="1"/>
  <c r="G192" i="3" s="1"/>
  <c r="U193" i="1"/>
  <c r="G193" i="3" s="1"/>
  <c r="U194" i="1"/>
  <c r="G194" i="3" s="1"/>
  <c r="U195" i="1"/>
  <c r="G195" i="3" s="1"/>
  <c r="U196" i="1"/>
  <c r="G196" i="3" s="1"/>
  <c r="U197" i="1"/>
  <c r="G197" i="3" s="1"/>
  <c r="U198" i="1"/>
  <c r="G198" i="3" s="1"/>
  <c r="U199" i="1"/>
  <c r="G199" i="3" s="1"/>
  <c r="U200" i="1"/>
  <c r="G200" i="3" s="1"/>
  <c r="U201" i="1"/>
  <c r="G201" i="3" s="1"/>
  <c r="U202" i="1"/>
  <c r="G202" i="3" s="1"/>
  <c r="U203" i="1"/>
  <c r="G203" i="3" s="1"/>
  <c r="U204" i="1"/>
  <c r="G204" i="3" s="1"/>
  <c r="U205" i="1"/>
  <c r="G205" i="3" s="1"/>
  <c r="U206" i="1"/>
  <c r="G206" i="3" s="1"/>
  <c r="U207" i="1"/>
  <c r="G207" i="3" s="1"/>
  <c r="U208" i="1"/>
  <c r="G208" i="3" s="1"/>
  <c r="U209" i="1"/>
  <c r="G209" i="3" s="1"/>
  <c r="U210" i="1"/>
  <c r="G210" i="3" s="1"/>
  <c r="U211" i="1"/>
  <c r="G211" i="3" s="1"/>
  <c r="U212" i="1"/>
  <c r="G212" i="3" s="1"/>
  <c r="U213" i="1"/>
  <c r="G213" i="3" s="1"/>
  <c r="U214" i="1"/>
  <c r="G214" i="3" s="1"/>
  <c r="U215" i="1"/>
  <c r="G215" i="3" s="1"/>
  <c r="U216" i="1"/>
  <c r="G216" i="3" s="1"/>
  <c r="U217" i="1"/>
  <c r="G217" i="3" s="1"/>
  <c r="U218" i="1"/>
  <c r="G218" i="3" s="1"/>
  <c r="U219" i="1"/>
  <c r="G219" i="3" s="1"/>
  <c r="U220" i="1"/>
  <c r="G220" i="3" s="1"/>
  <c r="U221" i="1"/>
  <c r="G221" i="3" s="1"/>
  <c r="U222" i="1"/>
  <c r="G222" i="3" s="1"/>
  <c r="U223" i="1"/>
  <c r="G223" i="3" s="1"/>
  <c r="U224" i="1"/>
  <c r="G224" i="3" s="1"/>
  <c r="U225" i="1"/>
  <c r="G225" i="3" s="1"/>
  <c r="U226" i="1"/>
  <c r="G226" i="3" s="1"/>
  <c r="U227" i="1"/>
  <c r="G227" i="3" s="1"/>
  <c r="U228" i="1"/>
  <c r="G228" i="3" s="1"/>
  <c r="U229" i="1"/>
  <c r="G229" i="3" s="1"/>
  <c r="U230" i="1"/>
  <c r="G230" i="3" s="1"/>
  <c r="U231" i="1"/>
  <c r="G231" i="3" s="1"/>
  <c r="U232" i="1"/>
  <c r="G232" i="3" s="1"/>
  <c r="U233" i="1"/>
  <c r="G233" i="3" s="1"/>
  <c r="U234" i="1"/>
  <c r="G234" i="3" s="1"/>
  <c r="U235" i="1"/>
  <c r="G235" i="3" s="1"/>
  <c r="U236" i="1"/>
  <c r="G236" i="3" s="1"/>
  <c r="U237" i="1"/>
  <c r="G237" i="3" s="1"/>
  <c r="U238" i="1"/>
  <c r="G238" i="3" s="1"/>
  <c r="U239" i="1"/>
  <c r="G239" i="3" s="1"/>
  <c r="U240" i="1"/>
  <c r="G240" i="3" s="1"/>
  <c r="U241" i="1"/>
  <c r="G241" i="3" s="1"/>
  <c r="U242" i="1"/>
  <c r="G242" i="3" s="1"/>
  <c r="G243"/>
  <c r="U244" i="1"/>
  <c r="G244" i="3" s="1"/>
  <c r="U245" i="1"/>
  <c r="G245" i="3" s="1"/>
  <c r="U246" i="1"/>
  <c r="G246" i="3" s="1"/>
  <c r="U247" i="1"/>
  <c r="G247" i="3" s="1"/>
  <c r="U248" i="1"/>
  <c r="G248" i="3" s="1"/>
  <c r="U249" i="1"/>
  <c r="G249" i="3" s="1"/>
  <c r="U250" i="1"/>
  <c r="G250" i="3" s="1"/>
  <c r="U251" i="1"/>
  <c r="G251" i="3" s="1"/>
  <c r="U252" i="1"/>
  <c r="G252" i="3" s="1"/>
  <c r="U253" i="1"/>
  <c r="G253" i="3" s="1"/>
  <c r="U254" i="1"/>
  <c r="G254" i="3" s="1"/>
  <c r="U255" i="1"/>
  <c r="G255" i="3" s="1"/>
  <c r="U256" i="1"/>
  <c r="G256" i="3" s="1"/>
  <c r="U257" i="1"/>
  <c r="G257" i="3" s="1"/>
  <c r="U258" i="1"/>
  <c r="G258" i="3" s="1"/>
  <c r="U259" i="1"/>
  <c r="G259" i="3" s="1"/>
  <c r="U260" i="1"/>
  <c r="G260" i="3" s="1"/>
  <c r="U261" i="1"/>
  <c r="G261" i="3" s="1"/>
  <c r="U262" i="1"/>
  <c r="G262" i="3" s="1"/>
  <c r="U263" i="1"/>
  <c r="G263" i="3" s="1"/>
  <c r="U264" i="1"/>
  <c r="G264" i="3" s="1"/>
  <c r="U265" i="1"/>
  <c r="G265" i="3" s="1"/>
  <c r="U266" i="1"/>
  <c r="G266" i="3" s="1"/>
  <c r="U267" i="1"/>
  <c r="G267" i="3" s="1"/>
  <c r="U268" i="1"/>
  <c r="G268" i="3" s="1"/>
  <c r="U269" i="1"/>
  <c r="G269" i="3" s="1"/>
  <c r="U270" i="1"/>
  <c r="G270" i="3" s="1"/>
  <c r="U271" i="1"/>
  <c r="G271" i="3" s="1"/>
  <c r="U272" i="1"/>
  <c r="G272" i="3" s="1"/>
  <c r="U273" i="1"/>
  <c r="G273" i="3" s="1"/>
  <c r="U274" i="1"/>
  <c r="G274" i="3" s="1"/>
  <c r="U275" i="1"/>
  <c r="G275" i="3" s="1"/>
  <c r="U276" i="1"/>
  <c r="G276" i="3" s="1"/>
  <c r="U277" i="1"/>
  <c r="G277" i="3" s="1"/>
  <c r="U278" i="1"/>
  <c r="G278" i="3" s="1"/>
  <c r="U279" i="1"/>
  <c r="G279" i="3" s="1"/>
  <c r="U280" i="1"/>
  <c r="G280" i="3" s="1"/>
  <c r="U281" i="1"/>
  <c r="G281" i="3" s="1"/>
  <c r="U282" i="1"/>
  <c r="G282" i="3" s="1"/>
  <c r="U283" i="1"/>
  <c r="G283" i="3" s="1"/>
  <c r="U284" i="1"/>
  <c r="G284" i="3" s="1"/>
  <c r="U285" i="1"/>
  <c r="G285" i="3" s="1"/>
  <c r="U286" i="1"/>
  <c r="G286" i="3" s="1"/>
  <c r="U287" i="1"/>
  <c r="G287" i="3" s="1"/>
  <c r="U288" i="1"/>
  <c r="G288" i="3" s="1"/>
  <c r="U289" i="1"/>
  <c r="G289" i="3" s="1"/>
  <c r="U290" i="1"/>
  <c r="G290" i="3" s="1"/>
  <c r="U291" i="1"/>
  <c r="G291" i="3" s="1"/>
  <c r="U292" i="1"/>
  <c r="G292" i="3" s="1"/>
  <c r="U293" i="1"/>
  <c r="G293" i="3" s="1"/>
  <c r="U294" i="1"/>
  <c r="G294" i="3" s="1"/>
  <c r="U295" i="1"/>
  <c r="G295" i="3" s="1"/>
  <c r="U296" i="1"/>
  <c r="G296" i="3" s="1"/>
  <c r="U297" i="1"/>
  <c r="G297" i="3" s="1"/>
  <c r="U298" i="1"/>
  <c r="G298" i="3" s="1"/>
  <c r="U299" i="1"/>
  <c r="G299" i="3" s="1"/>
  <c r="U300" i="1"/>
  <c r="G300" i="3" s="1"/>
  <c r="U301" i="1"/>
  <c r="G301" i="3" s="1"/>
  <c r="U302" i="1"/>
  <c r="G302" i="3" s="1"/>
  <c r="U303" i="1"/>
  <c r="G303" i="3" s="1"/>
  <c r="U304" i="1"/>
  <c r="G304" i="3" s="1"/>
  <c r="U305" i="1"/>
  <c r="G305" i="3" s="1"/>
  <c r="U306" i="1"/>
  <c r="G306" i="3" s="1"/>
  <c r="U307" i="1"/>
  <c r="G307" i="3" s="1"/>
  <c r="U308" i="1"/>
  <c r="G308" i="3" s="1"/>
  <c r="U309" i="1"/>
  <c r="G309" i="3" s="1"/>
  <c r="U310" i="1"/>
  <c r="G310" i="3" s="1"/>
  <c r="U311" i="1"/>
  <c r="G311" i="3" s="1"/>
  <c r="U312" i="1"/>
  <c r="G312" i="3" s="1"/>
  <c r="U313" i="1"/>
  <c r="G313" i="3" s="1"/>
  <c r="U314" i="1"/>
  <c r="G314" i="3" s="1"/>
  <c r="U315" i="1"/>
  <c r="G315" i="3" s="1"/>
  <c r="U316" i="1"/>
  <c r="G316" i="3" s="1"/>
  <c r="U317" i="1"/>
  <c r="G317" i="3" s="1"/>
  <c r="U318" i="1"/>
  <c r="G318" i="3" s="1"/>
  <c r="U319" i="1"/>
  <c r="G319" i="3" s="1"/>
  <c r="U320" i="1"/>
  <c r="G320" i="3" s="1"/>
  <c r="U321" i="1"/>
  <c r="G321" i="3" s="1"/>
  <c r="U322" i="1"/>
  <c r="G322" i="3" s="1"/>
  <c r="U323" i="1"/>
  <c r="G323" i="3" s="1"/>
  <c r="U324" i="1"/>
  <c r="G324" i="3" s="1"/>
  <c r="U325" i="1"/>
  <c r="G325" i="3" s="1"/>
  <c r="U326" i="1"/>
  <c r="G326" i="3" s="1"/>
  <c r="U327" i="1"/>
  <c r="G327" i="3" s="1"/>
  <c r="U328" i="1"/>
  <c r="G328" i="3" s="1"/>
  <c r="U329" i="1"/>
  <c r="G329" i="3" s="1"/>
  <c r="U330" i="1"/>
  <c r="G330" i="3" s="1"/>
  <c r="U331" i="1"/>
  <c r="G331" i="3" s="1"/>
  <c r="U332" i="1"/>
  <c r="G332" i="3" s="1"/>
  <c r="U333" i="1"/>
  <c r="G333" i="3" s="1"/>
  <c r="U334" i="1"/>
  <c r="G334" i="3" s="1"/>
  <c r="U335" i="1"/>
  <c r="G335" i="3" s="1"/>
  <c r="U336" i="1"/>
  <c r="G336" i="3" s="1"/>
  <c r="U337" i="1"/>
  <c r="G337" i="3" s="1"/>
  <c r="U338" i="1"/>
  <c r="G338" i="3" s="1"/>
  <c r="U339" i="1"/>
  <c r="G339" i="3" s="1"/>
  <c r="U340" i="1"/>
  <c r="G340" i="3" s="1"/>
  <c r="U341" i="1"/>
  <c r="G341" i="3" s="1"/>
  <c r="U342" i="1"/>
  <c r="G342" i="3" s="1"/>
  <c r="U343" i="1"/>
  <c r="G343" i="3" s="1"/>
  <c r="U344" i="1"/>
  <c r="G344" i="3" s="1"/>
  <c r="U345" i="1"/>
  <c r="G345" i="3" s="1"/>
  <c r="U346" i="1"/>
  <c r="G346" i="3" s="1"/>
  <c r="U347" i="1"/>
  <c r="G347" i="3" s="1"/>
  <c r="U348" i="1"/>
  <c r="G348" i="3" s="1"/>
  <c r="U349" i="1"/>
  <c r="G349" i="3" s="1"/>
  <c r="U350" i="1"/>
  <c r="G350" i="3" s="1"/>
  <c r="U351" i="1"/>
  <c r="G351" i="3" s="1"/>
  <c r="U352" i="1"/>
  <c r="G352" i="3" s="1"/>
  <c r="U353" i="1"/>
  <c r="G353" i="3" s="1"/>
  <c r="U354" i="1"/>
  <c r="G354" i="3" s="1"/>
  <c r="U355" i="1"/>
  <c r="G355" i="3" s="1"/>
  <c r="U356" i="1"/>
  <c r="G356" i="3" s="1"/>
  <c r="U357" i="1"/>
  <c r="G357" i="3" s="1"/>
  <c r="U358" i="1"/>
  <c r="G358" i="3" s="1"/>
  <c r="U359" i="1"/>
  <c r="G359" i="3" s="1"/>
  <c r="U360" i="1"/>
  <c r="G360" i="3" s="1"/>
  <c r="U361" i="1"/>
  <c r="G361" i="3" s="1"/>
  <c r="U362" i="1"/>
  <c r="G362" i="3" s="1"/>
  <c r="U363" i="1"/>
  <c r="G363" i="3" s="1"/>
  <c r="U364" i="1"/>
  <c r="G364" i="3" s="1"/>
  <c r="U365" i="1"/>
  <c r="G365" i="3" s="1"/>
  <c r="U366" i="1"/>
  <c r="G366" i="3" s="1"/>
  <c r="U367" i="1"/>
  <c r="G367" i="3" s="1"/>
  <c r="U368" i="1"/>
  <c r="G368" i="3" s="1"/>
  <c r="U369" i="1"/>
  <c r="G369" i="3" s="1"/>
  <c r="U370" i="1"/>
  <c r="G370" i="3" s="1"/>
  <c r="U371" i="1"/>
  <c r="G371" i="3" s="1"/>
  <c r="U372" i="1"/>
  <c r="G372" i="3" s="1"/>
  <c r="U373" i="1"/>
  <c r="G373" i="3" s="1"/>
  <c r="U374" i="1"/>
  <c r="G374" i="3" s="1"/>
  <c r="U375" i="1"/>
  <c r="G375" i="3" s="1"/>
  <c r="U376" i="1"/>
  <c r="G376" i="3" s="1"/>
  <c r="U377" i="1"/>
  <c r="G377" i="3" s="1"/>
  <c r="U378" i="1"/>
  <c r="G378" i="3" s="1"/>
  <c r="U379" i="1"/>
  <c r="G379" i="3" s="1"/>
  <c r="U380" i="1"/>
  <c r="G380" i="3" s="1"/>
  <c r="U381" i="1"/>
  <c r="G381" i="3" s="1"/>
  <c r="U382" i="1"/>
  <c r="G382" i="3" s="1"/>
  <c r="U383" i="1"/>
  <c r="G383" i="3" s="1"/>
  <c r="U384" i="1"/>
  <c r="G384" i="3" s="1"/>
  <c r="U385" i="1"/>
  <c r="G385" i="3" s="1"/>
  <c r="U386" i="1"/>
  <c r="G386" i="3" s="1"/>
  <c r="U387" i="1"/>
  <c r="G387" i="3" s="1"/>
  <c r="U388" i="1"/>
  <c r="G388" i="3" s="1"/>
  <c r="U389" i="1"/>
  <c r="G389" i="3" s="1"/>
  <c r="U390" i="1"/>
  <c r="G390" i="3" s="1"/>
  <c r="U391" i="1"/>
  <c r="G391" i="3" s="1"/>
  <c r="U392" i="1"/>
  <c r="G392" i="3" s="1"/>
  <c r="U393" i="1"/>
  <c r="G393" i="3" s="1"/>
  <c r="U394" i="1"/>
  <c r="G394" i="3" s="1"/>
  <c r="U395" i="1"/>
  <c r="G395" i="3" s="1"/>
  <c r="U396" i="1"/>
  <c r="G396" i="3" s="1"/>
  <c r="U397" i="1"/>
  <c r="G397" i="3" s="1"/>
  <c r="U398" i="1"/>
  <c r="G398" i="3" s="1"/>
  <c r="U399" i="1"/>
  <c r="G399" i="3" s="1"/>
  <c r="U400" i="1"/>
  <c r="G400" i="3" s="1"/>
  <c r="U401" i="1"/>
  <c r="G401" i="3" s="1"/>
  <c r="U402" i="1"/>
  <c r="G402" i="3" s="1"/>
  <c r="U403" i="1"/>
  <c r="G403" i="3" s="1"/>
  <c r="U404" i="1"/>
  <c r="G404" i="3" s="1"/>
  <c r="U405" i="1"/>
  <c r="G405" i="3" s="1"/>
  <c r="U406" i="1"/>
  <c r="G406" i="3" s="1"/>
  <c r="U407" i="1"/>
  <c r="G407" i="3" s="1"/>
  <c r="U408" i="1"/>
  <c r="G408" i="3" s="1"/>
  <c r="U409" i="1"/>
  <c r="G409" i="3" s="1"/>
  <c r="U410" i="1"/>
  <c r="G410" i="3" s="1"/>
  <c r="U411" i="1"/>
  <c r="G411" i="3" s="1"/>
  <c r="U412" i="1"/>
  <c r="G412" i="3" s="1"/>
  <c r="U413" i="1"/>
  <c r="G413" i="3" s="1"/>
  <c r="U414" i="1"/>
  <c r="G414" i="3" s="1"/>
  <c r="U415" i="1"/>
  <c r="G415" i="3" s="1"/>
  <c r="U416" i="1"/>
  <c r="G416" i="3" s="1"/>
  <c r="U417" i="1"/>
  <c r="G417" i="3" s="1"/>
  <c r="U418" i="1"/>
  <c r="G418" i="3" s="1"/>
  <c r="U419" i="1"/>
  <c r="G419" i="3" s="1"/>
  <c r="U420" i="1"/>
  <c r="G420" i="3" s="1"/>
  <c r="U421" i="1"/>
  <c r="G421" i="3" s="1"/>
  <c r="U422" i="1"/>
  <c r="G422" i="3" s="1"/>
  <c r="U423" i="1"/>
  <c r="G423" i="3" s="1"/>
  <c r="U424" i="1"/>
  <c r="G424" i="3" s="1"/>
  <c r="U425" i="1"/>
  <c r="G425" i="3" s="1"/>
  <c r="U426" i="1"/>
  <c r="G426" i="3" s="1"/>
  <c r="U427" i="1"/>
  <c r="G427" i="3" s="1"/>
  <c r="U428" i="1"/>
  <c r="G428" i="3" s="1"/>
  <c r="U429" i="1"/>
  <c r="G429" i="3" s="1"/>
  <c r="U430" i="1"/>
  <c r="G430" i="3" s="1"/>
  <c r="F26"/>
  <c r="F38"/>
  <c r="F50"/>
  <c r="F78"/>
  <c r="F98"/>
  <c r="F106"/>
  <c r="F118"/>
  <c r="F126"/>
  <c r="F154"/>
  <c r="F166"/>
  <c r="F178"/>
  <c r="F206"/>
  <c r="F226"/>
  <c r="F234"/>
  <c r="F246"/>
  <c r="F254"/>
  <c r="F277"/>
  <c r="F282"/>
  <c r="F294"/>
  <c r="F306"/>
  <c r="F309"/>
  <c r="F334"/>
  <c r="F354"/>
  <c r="F362"/>
  <c r="F374"/>
  <c r="F382"/>
  <c r="F410"/>
  <c r="F422"/>
  <c r="S4" i="1"/>
  <c r="E4" i="3" s="1"/>
  <c r="S5" i="1"/>
  <c r="E5" i="3" s="1"/>
  <c r="S6" i="1"/>
  <c r="E6" i="3" s="1"/>
  <c r="S7" i="1"/>
  <c r="E7" i="3" s="1"/>
  <c r="S8" i="1"/>
  <c r="E8" i="3" s="1"/>
  <c r="S9" i="1"/>
  <c r="E9" i="3" s="1"/>
  <c r="S10" i="1"/>
  <c r="E10" i="3" s="1"/>
  <c r="S11" i="1"/>
  <c r="E11" i="3" s="1"/>
  <c r="S12" i="1"/>
  <c r="E12" i="3" s="1"/>
  <c r="S13" i="1"/>
  <c r="E13" i="3" s="1"/>
  <c r="S14" i="1"/>
  <c r="E14" i="3" s="1"/>
  <c r="S15" i="1"/>
  <c r="E15" i="3" s="1"/>
  <c r="S16" i="1"/>
  <c r="E16" i="3" s="1"/>
  <c r="S17" i="1"/>
  <c r="E17" i="3" s="1"/>
  <c r="S18" i="1"/>
  <c r="E18" i="3" s="1"/>
  <c r="S19" i="1"/>
  <c r="E19" i="3" s="1"/>
  <c r="S20" i="1"/>
  <c r="E20" i="3" s="1"/>
  <c r="S21" i="1"/>
  <c r="E21" i="3" s="1"/>
  <c r="S22" i="1"/>
  <c r="E22" i="3" s="1"/>
  <c r="S23" i="1"/>
  <c r="E23" i="3" s="1"/>
  <c r="S24" i="1"/>
  <c r="E24" i="3" s="1"/>
  <c r="S25" i="1"/>
  <c r="E25" i="3" s="1"/>
  <c r="S26" i="1"/>
  <c r="E26" i="3" s="1"/>
  <c r="S27" i="1"/>
  <c r="E27" i="3" s="1"/>
  <c r="S28" i="1"/>
  <c r="E28" i="3" s="1"/>
  <c r="S29" i="1"/>
  <c r="E29" i="3" s="1"/>
  <c r="S30" i="1"/>
  <c r="E30" i="3" s="1"/>
  <c r="S31" i="1"/>
  <c r="E31" i="3" s="1"/>
  <c r="S32" i="1"/>
  <c r="E32" i="3" s="1"/>
  <c r="S33" i="1"/>
  <c r="E33" i="3" s="1"/>
  <c r="S34" i="1"/>
  <c r="E34" i="3" s="1"/>
  <c r="S35" i="1"/>
  <c r="E35" i="3" s="1"/>
  <c r="S36" i="1"/>
  <c r="E36" i="3" s="1"/>
  <c r="S37" i="1"/>
  <c r="E37" i="3" s="1"/>
  <c r="S38" i="1"/>
  <c r="E38" i="3" s="1"/>
  <c r="S39" i="1"/>
  <c r="E39" i="3" s="1"/>
  <c r="S40" i="1"/>
  <c r="E40" i="3" s="1"/>
  <c r="S41" i="1"/>
  <c r="E41" i="3" s="1"/>
  <c r="S42" i="1"/>
  <c r="E42" i="3" s="1"/>
  <c r="S43" i="1"/>
  <c r="E43" i="3" s="1"/>
  <c r="S44" i="1"/>
  <c r="E44" i="3" s="1"/>
  <c r="S45" i="1"/>
  <c r="E45" i="3" s="1"/>
  <c r="S46" i="1"/>
  <c r="E46" i="3" s="1"/>
  <c r="S47" i="1"/>
  <c r="E47" i="3" s="1"/>
  <c r="S48" i="1"/>
  <c r="E48" i="3" s="1"/>
  <c r="S49" i="1"/>
  <c r="E49" i="3" s="1"/>
  <c r="S50" i="1"/>
  <c r="E50" i="3" s="1"/>
  <c r="S51" i="1"/>
  <c r="E51" i="3" s="1"/>
  <c r="S52" i="1"/>
  <c r="E52" i="3" s="1"/>
  <c r="S53" i="1"/>
  <c r="E53" i="3" s="1"/>
  <c r="S54" i="1"/>
  <c r="E54" i="3" s="1"/>
  <c r="S55" i="1"/>
  <c r="E55" i="3" s="1"/>
  <c r="S56" i="1"/>
  <c r="E56" i="3" s="1"/>
  <c r="S57" i="1"/>
  <c r="E57" i="3" s="1"/>
  <c r="S58" i="1"/>
  <c r="E58" i="3" s="1"/>
  <c r="S59" i="1"/>
  <c r="E59" i="3" s="1"/>
  <c r="S60" i="1"/>
  <c r="E60" i="3" s="1"/>
  <c r="S61" i="1"/>
  <c r="E61" i="3" s="1"/>
  <c r="S62" i="1"/>
  <c r="E62" i="3" s="1"/>
  <c r="S63" i="1"/>
  <c r="E63" i="3" s="1"/>
  <c r="S64" i="1"/>
  <c r="E64" i="3" s="1"/>
  <c r="S65" i="1"/>
  <c r="E65" i="3" s="1"/>
  <c r="S66" i="1"/>
  <c r="E66" i="3" s="1"/>
  <c r="S67" i="1"/>
  <c r="E67" i="3" s="1"/>
  <c r="S68" i="1"/>
  <c r="E68" i="3" s="1"/>
  <c r="S69" i="1"/>
  <c r="E69" i="3" s="1"/>
  <c r="S70" i="1"/>
  <c r="E70" i="3" s="1"/>
  <c r="S71" i="1"/>
  <c r="E71" i="3" s="1"/>
  <c r="S72" i="1"/>
  <c r="E72" i="3" s="1"/>
  <c r="S73" i="1"/>
  <c r="E73" i="3" s="1"/>
  <c r="S74" i="1"/>
  <c r="E74" i="3" s="1"/>
  <c r="S75" i="1"/>
  <c r="E75" i="3" s="1"/>
  <c r="S76" i="1"/>
  <c r="E76" i="3" s="1"/>
  <c r="S77" i="1"/>
  <c r="E77" i="3" s="1"/>
  <c r="S78" i="1"/>
  <c r="E78" i="3" s="1"/>
  <c r="S79" i="1"/>
  <c r="E79" i="3" s="1"/>
  <c r="S80" i="1"/>
  <c r="E80" i="3" s="1"/>
  <c r="S81" i="1"/>
  <c r="E81" i="3" s="1"/>
  <c r="S82" i="1"/>
  <c r="E82" i="3" s="1"/>
  <c r="S83" i="1"/>
  <c r="E83" i="3" s="1"/>
  <c r="S84" i="1"/>
  <c r="E84" i="3" s="1"/>
  <c r="S85" i="1"/>
  <c r="E85" i="3" s="1"/>
  <c r="S86" i="1"/>
  <c r="E86" i="3" s="1"/>
  <c r="S87" i="1"/>
  <c r="E87" i="3" s="1"/>
  <c r="S88" i="1"/>
  <c r="E88" i="3" s="1"/>
  <c r="S89" i="1"/>
  <c r="E89" i="3" s="1"/>
  <c r="S90" i="1"/>
  <c r="E90" i="3" s="1"/>
  <c r="S91" i="1"/>
  <c r="E91" i="3" s="1"/>
  <c r="S92" i="1"/>
  <c r="E92" i="3" s="1"/>
  <c r="S93" i="1"/>
  <c r="E93" i="3" s="1"/>
  <c r="S94" i="1"/>
  <c r="E94" i="3" s="1"/>
  <c r="S95" i="1"/>
  <c r="E95" i="3" s="1"/>
  <c r="S96" i="1"/>
  <c r="E96" i="3" s="1"/>
  <c r="S97" i="1"/>
  <c r="E97" i="3" s="1"/>
  <c r="S98" i="1"/>
  <c r="E98" i="3" s="1"/>
  <c r="S99" i="1"/>
  <c r="E99" i="3" s="1"/>
  <c r="S100" i="1"/>
  <c r="E100" i="3" s="1"/>
  <c r="S101" i="1"/>
  <c r="E101" i="3" s="1"/>
  <c r="S102" i="1"/>
  <c r="E102" i="3" s="1"/>
  <c r="S103" i="1"/>
  <c r="E103" i="3" s="1"/>
  <c r="S104" i="1"/>
  <c r="E104" i="3" s="1"/>
  <c r="S105" i="1"/>
  <c r="E105" i="3" s="1"/>
  <c r="S106" i="1"/>
  <c r="E106" i="3" s="1"/>
  <c r="S107" i="1"/>
  <c r="E107" i="3" s="1"/>
  <c r="S108" i="1"/>
  <c r="E108" i="3" s="1"/>
  <c r="S109" i="1"/>
  <c r="E109" i="3" s="1"/>
  <c r="S110" i="1"/>
  <c r="E110" i="3" s="1"/>
  <c r="S111" i="1"/>
  <c r="E111" i="3" s="1"/>
  <c r="S112" i="1"/>
  <c r="E112" i="3" s="1"/>
  <c r="S113" i="1"/>
  <c r="E113" i="3" s="1"/>
  <c r="S114" i="1"/>
  <c r="E114" i="3" s="1"/>
  <c r="S115" i="1"/>
  <c r="E115" i="3" s="1"/>
  <c r="S116" i="1"/>
  <c r="E116" i="3" s="1"/>
  <c r="S117" i="1"/>
  <c r="E117" i="3" s="1"/>
  <c r="S118" i="1"/>
  <c r="E118" i="3" s="1"/>
  <c r="S119" i="1"/>
  <c r="E119" i="3" s="1"/>
  <c r="S120" i="1"/>
  <c r="E120" i="3" s="1"/>
  <c r="S121" i="1"/>
  <c r="E121" i="3" s="1"/>
  <c r="S122" i="1"/>
  <c r="E122" i="3" s="1"/>
  <c r="S123" i="1"/>
  <c r="E123" i="3" s="1"/>
  <c r="S124" i="1"/>
  <c r="E124" i="3" s="1"/>
  <c r="S125" i="1"/>
  <c r="E125" i="3" s="1"/>
  <c r="S126" i="1"/>
  <c r="E126" i="3" s="1"/>
  <c r="S127" i="1"/>
  <c r="E127" i="3" s="1"/>
  <c r="S128" i="1"/>
  <c r="E128" i="3" s="1"/>
  <c r="S129" i="1"/>
  <c r="E129" i="3" s="1"/>
  <c r="S130" i="1"/>
  <c r="E130" i="3" s="1"/>
  <c r="S131" i="1"/>
  <c r="E131" i="3" s="1"/>
  <c r="S132" i="1"/>
  <c r="E132" i="3" s="1"/>
  <c r="S133" i="1"/>
  <c r="E133" i="3" s="1"/>
  <c r="S134" i="1"/>
  <c r="E134" i="3" s="1"/>
  <c r="S135" i="1"/>
  <c r="E135" i="3" s="1"/>
  <c r="S136" i="1"/>
  <c r="E136" i="3" s="1"/>
  <c r="S137" i="1"/>
  <c r="E137" i="3" s="1"/>
  <c r="S138" i="1"/>
  <c r="E138" i="3" s="1"/>
  <c r="S139" i="1"/>
  <c r="E139" i="3" s="1"/>
  <c r="S140" i="1"/>
  <c r="E140" i="3" s="1"/>
  <c r="S141" i="1"/>
  <c r="E141" i="3" s="1"/>
  <c r="S142" i="1"/>
  <c r="E142" i="3" s="1"/>
  <c r="S143" i="1"/>
  <c r="E143" i="3" s="1"/>
  <c r="S144" i="1"/>
  <c r="E144" i="3" s="1"/>
  <c r="S145" i="1"/>
  <c r="E145" i="3" s="1"/>
  <c r="S146" i="1"/>
  <c r="E146" i="3" s="1"/>
  <c r="S147" i="1"/>
  <c r="E147" i="3" s="1"/>
  <c r="S148" i="1"/>
  <c r="E148" i="3" s="1"/>
  <c r="S149" i="1"/>
  <c r="E149" i="3" s="1"/>
  <c r="S150" i="1"/>
  <c r="E150" i="3" s="1"/>
  <c r="S151" i="1"/>
  <c r="E151" i="3" s="1"/>
  <c r="S152" i="1"/>
  <c r="E152" i="3" s="1"/>
  <c r="S153" i="1"/>
  <c r="E153" i="3" s="1"/>
  <c r="S154" i="1"/>
  <c r="E154" i="3" s="1"/>
  <c r="S155" i="1"/>
  <c r="E155" i="3" s="1"/>
  <c r="S156" i="1"/>
  <c r="E156" i="3" s="1"/>
  <c r="S157" i="1"/>
  <c r="E157" i="3" s="1"/>
  <c r="S158" i="1"/>
  <c r="E158" i="3" s="1"/>
  <c r="S159" i="1"/>
  <c r="E159" i="3" s="1"/>
  <c r="S160" i="1"/>
  <c r="E160" i="3" s="1"/>
  <c r="S161" i="1"/>
  <c r="E161" i="3" s="1"/>
  <c r="S162" i="1"/>
  <c r="E162" i="3" s="1"/>
  <c r="S163" i="1"/>
  <c r="E163" i="3" s="1"/>
  <c r="S164" i="1"/>
  <c r="E164" i="3" s="1"/>
  <c r="S165" i="1"/>
  <c r="E165" i="3" s="1"/>
  <c r="S166" i="1"/>
  <c r="E166" i="3" s="1"/>
  <c r="S167" i="1"/>
  <c r="E167" i="3" s="1"/>
  <c r="S168" i="1"/>
  <c r="E168" i="3" s="1"/>
  <c r="S169" i="1"/>
  <c r="E169" i="3" s="1"/>
  <c r="S170" i="1"/>
  <c r="E170" i="3" s="1"/>
  <c r="S171" i="1"/>
  <c r="E171" i="3" s="1"/>
  <c r="S172" i="1"/>
  <c r="E172" i="3" s="1"/>
  <c r="S173" i="1"/>
  <c r="E173" i="3" s="1"/>
  <c r="S174" i="1"/>
  <c r="E174" i="3" s="1"/>
  <c r="S175" i="1"/>
  <c r="E175" i="3" s="1"/>
  <c r="S176" i="1"/>
  <c r="E176" i="3" s="1"/>
  <c r="S177" i="1"/>
  <c r="E177" i="3" s="1"/>
  <c r="S178" i="1"/>
  <c r="E178" i="3" s="1"/>
  <c r="S179" i="1"/>
  <c r="E179" i="3" s="1"/>
  <c r="S180" i="1"/>
  <c r="E180" i="3" s="1"/>
  <c r="S181" i="1"/>
  <c r="E181" i="3" s="1"/>
  <c r="S182" i="1"/>
  <c r="E182" i="3" s="1"/>
  <c r="S183" i="1"/>
  <c r="E183" i="3" s="1"/>
  <c r="S184" i="1"/>
  <c r="E184" i="3" s="1"/>
  <c r="S185" i="1"/>
  <c r="E185" i="3" s="1"/>
  <c r="S186" i="1"/>
  <c r="E186" i="3" s="1"/>
  <c r="S187" i="1"/>
  <c r="E187" i="3" s="1"/>
  <c r="S188" i="1"/>
  <c r="E188" i="3" s="1"/>
  <c r="S189" i="1"/>
  <c r="E189" i="3" s="1"/>
  <c r="S190" i="1"/>
  <c r="E190" i="3" s="1"/>
  <c r="S191" i="1"/>
  <c r="E191" i="3" s="1"/>
  <c r="S192" i="1"/>
  <c r="E192" i="3" s="1"/>
  <c r="S193" i="1"/>
  <c r="E193" i="3" s="1"/>
  <c r="S194" i="1"/>
  <c r="E194" i="3" s="1"/>
  <c r="S195" i="1"/>
  <c r="E195" i="3" s="1"/>
  <c r="S196" i="1"/>
  <c r="E196" i="3" s="1"/>
  <c r="S197" i="1"/>
  <c r="E197" i="3" s="1"/>
  <c r="S198" i="1"/>
  <c r="E198" i="3" s="1"/>
  <c r="S199" i="1"/>
  <c r="E199" i="3" s="1"/>
  <c r="S200" i="1"/>
  <c r="E200" i="3" s="1"/>
  <c r="S201" i="1"/>
  <c r="E201" i="3" s="1"/>
  <c r="S202" i="1"/>
  <c r="E202" i="3" s="1"/>
  <c r="S203" i="1"/>
  <c r="E203" i="3" s="1"/>
  <c r="S204" i="1"/>
  <c r="E204" i="3" s="1"/>
  <c r="S205" i="1"/>
  <c r="E205" i="3" s="1"/>
  <c r="S206" i="1"/>
  <c r="E206" i="3" s="1"/>
  <c r="S207" i="1"/>
  <c r="E207" i="3" s="1"/>
  <c r="S208" i="1"/>
  <c r="E208" i="3" s="1"/>
  <c r="S209" i="1"/>
  <c r="E209" i="3" s="1"/>
  <c r="S210" i="1"/>
  <c r="E210" i="3" s="1"/>
  <c r="S211" i="1"/>
  <c r="E211" i="3" s="1"/>
  <c r="S212" i="1"/>
  <c r="E212" i="3" s="1"/>
  <c r="S213" i="1"/>
  <c r="E213" i="3" s="1"/>
  <c r="S214" i="1"/>
  <c r="E214" i="3" s="1"/>
  <c r="S215" i="1"/>
  <c r="E215" i="3" s="1"/>
  <c r="S216" i="1"/>
  <c r="E216" i="3" s="1"/>
  <c r="S217" i="1"/>
  <c r="E217" i="3" s="1"/>
  <c r="S218" i="1"/>
  <c r="E218" i="3" s="1"/>
  <c r="S219" i="1"/>
  <c r="E219" i="3" s="1"/>
  <c r="S220" i="1"/>
  <c r="E220" i="3" s="1"/>
  <c r="S221" i="1"/>
  <c r="E221" i="3" s="1"/>
  <c r="S222" i="1"/>
  <c r="E222" i="3" s="1"/>
  <c r="S223" i="1"/>
  <c r="E223" i="3" s="1"/>
  <c r="S224" i="1"/>
  <c r="E224" i="3" s="1"/>
  <c r="S225" i="1"/>
  <c r="E225" i="3" s="1"/>
  <c r="S226" i="1"/>
  <c r="E226" i="3" s="1"/>
  <c r="S227" i="1"/>
  <c r="E227" i="3" s="1"/>
  <c r="S228" i="1"/>
  <c r="E228" i="3" s="1"/>
  <c r="S229" i="1"/>
  <c r="E229" i="3" s="1"/>
  <c r="S230" i="1"/>
  <c r="E230" i="3" s="1"/>
  <c r="S231" i="1"/>
  <c r="E231" i="3" s="1"/>
  <c r="S232" i="1"/>
  <c r="E232" i="3" s="1"/>
  <c r="S233" i="1"/>
  <c r="E233" i="3" s="1"/>
  <c r="S234" i="1"/>
  <c r="E234" i="3" s="1"/>
  <c r="S235" i="1"/>
  <c r="E235" i="3" s="1"/>
  <c r="S236" i="1"/>
  <c r="E236" i="3" s="1"/>
  <c r="S237" i="1"/>
  <c r="E237" i="3" s="1"/>
  <c r="S238" i="1"/>
  <c r="E238" i="3" s="1"/>
  <c r="S239" i="1"/>
  <c r="E239" i="3" s="1"/>
  <c r="S240" i="1"/>
  <c r="E240" i="3" s="1"/>
  <c r="S241" i="1"/>
  <c r="E241" i="3" s="1"/>
  <c r="S242" i="1"/>
  <c r="E242" i="3" s="1"/>
  <c r="S243" i="1"/>
  <c r="E243" i="3" s="1"/>
  <c r="S244" i="1"/>
  <c r="E244" i="3" s="1"/>
  <c r="S245" i="1"/>
  <c r="E245" i="3" s="1"/>
  <c r="S246" i="1"/>
  <c r="E246" i="3" s="1"/>
  <c r="S247" i="1"/>
  <c r="E247" i="3" s="1"/>
  <c r="S248" i="1"/>
  <c r="E248" i="3" s="1"/>
  <c r="S249" i="1"/>
  <c r="E249" i="3" s="1"/>
  <c r="S250" i="1"/>
  <c r="E250" i="3" s="1"/>
  <c r="S251" i="1"/>
  <c r="E251" i="3" s="1"/>
  <c r="S252" i="1"/>
  <c r="E252" i="3" s="1"/>
  <c r="S253" i="1"/>
  <c r="E253" i="3" s="1"/>
  <c r="S254" i="1"/>
  <c r="E254" i="3" s="1"/>
  <c r="S255" i="1"/>
  <c r="E255" i="3" s="1"/>
  <c r="S256" i="1"/>
  <c r="E256" i="3" s="1"/>
  <c r="S257" i="1"/>
  <c r="E257" i="3" s="1"/>
  <c r="S258" i="1"/>
  <c r="E258" i="3" s="1"/>
  <c r="S259" i="1"/>
  <c r="E259" i="3" s="1"/>
  <c r="S260" i="1"/>
  <c r="E260" i="3" s="1"/>
  <c r="S261" i="1"/>
  <c r="E261" i="3" s="1"/>
  <c r="S262" i="1"/>
  <c r="E262" i="3" s="1"/>
  <c r="S263" i="1"/>
  <c r="E263" i="3" s="1"/>
  <c r="S264" i="1"/>
  <c r="E264" i="3" s="1"/>
  <c r="S265" i="1"/>
  <c r="E265" i="3" s="1"/>
  <c r="S266" i="1"/>
  <c r="E266" i="3" s="1"/>
  <c r="S267" i="1"/>
  <c r="E267" i="3" s="1"/>
  <c r="S268" i="1"/>
  <c r="E268" i="3" s="1"/>
  <c r="S269" i="1"/>
  <c r="E269" i="3" s="1"/>
  <c r="S270" i="1"/>
  <c r="E270" i="3" s="1"/>
  <c r="S271" i="1"/>
  <c r="E271" i="3" s="1"/>
  <c r="S272" i="1"/>
  <c r="E272" i="3" s="1"/>
  <c r="S273" i="1"/>
  <c r="E273" i="3" s="1"/>
  <c r="S274" i="1"/>
  <c r="E274" i="3" s="1"/>
  <c r="S275" i="1"/>
  <c r="E275" i="3" s="1"/>
  <c r="S276" i="1"/>
  <c r="E276" i="3" s="1"/>
  <c r="S277" i="1"/>
  <c r="E277" i="3" s="1"/>
  <c r="S278" i="1"/>
  <c r="E278" i="3" s="1"/>
  <c r="S279" i="1"/>
  <c r="E279" i="3" s="1"/>
  <c r="S280" i="1"/>
  <c r="E280" i="3" s="1"/>
  <c r="S281" i="1"/>
  <c r="E281" i="3" s="1"/>
  <c r="S282" i="1"/>
  <c r="E282" i="3" s="1"/>
  <c r="S283" i="1"/>
  <c r="E283" i="3" s="1"/>
  <c r="S284" i="1"/>
  <c r="E284" i="3" s="1"/>
  <c r="S285" i="1"/>
  <c r="E285" i="3" s="1"/>
  <c r="S286" i="1"/>
  <c r="E286" i="3" s="1"/>
  <c r="S287" i="1"/>
  <c r="E287" i="3" s="1"/>
  <c r="S288" i="1"/>
  <c r="E288" i="3" s="1"/>
  <c r="S289" i="1"/>
  <c r="E289" i="3" s="1"/>
  <c r="S290" i="1"/>
  <c r="E290" i="3" s="1"/>
  <c r="S291" i="1"/>
  <c r="E291" i="3" s="1"/>
  <c r="S292" i="1"/>
  <c r="E292" i="3" s="1"/>
  <c r="S293" i="1"/>
  <c r="E293" i="3" s="1"/>
  <c r="S294" i="1"/>
  <c r="E294" i="3" s="1"/>
  <c r="S295" i="1"/>
  <c r="E295" i="3" s="1"/>
  <c r="S296" i="1"/>
  <c r="E296" i="3" s="1"/>
  <c r="S297" i="1"/>
  <c r="E297" i="3" s="1"/>
  <c r="S298" i="1"/>
  <c r="E298" i="3" s="1"/>
  <c r="S299" i="1"/>
  <c r="E299" i="3" s="1"/>
  <c r="S300" i="1"/>
  <c r="E300" i="3" s="1"/>
  <c r="S301" i="1"/>
  <c r="E301" i="3" s="1"/>
  <c r="S302" i="1"/>
  <c r="E302" i="3" s="1"/>
  <c r="S303" i="1"/>
  <c r="E303" i="3" s="1"/>
  <c r="S304" i="1"/>
  <c r="E304" i="3" s="1"/>
  <c r="S305" i="1"/>
  <c r="E305" i="3" s="1"/>
  <c r="S306" i="1"/>
  <c r="E306" i="3" s="1"/>
  <c r="S307" i="1"/>
  <c r="E307" i="3" s="1"/>
  <c r="S308" i="1"/>
  <c r="E308" i="3" s="1"/>
  <c r="S309" i="1"/>
  <c r="E309" i="3" s="1"/>
  <c r="S310" i="1"/>
  <c r="E310" i="3" s="1"/>
  <c r="S311" i="1"/>
  <c r="E311" i="3" s="1"/>
  <c r="S312" i="1"/>
  <c r="E312" i="3" s="1"/>
  <c r="S313" i="1"/>
  <c r="E313" i="3" s="1"/>
  <c r="S314" i="1"/>
  <c r="E314" i="3" s="1"/>
  <c r="S315" i="1"/>
  <c r="E315" i="3" s="1"/>
  <c r="S316" i="1"/>
  <c r="E316" i="3" s="1"/>
  <c r="S317" i="1"/>
  <c r="E317" i="3" s="1"/>
  <c r="S318" i="1"/>
  <c r="E318" i="3" s="1"/>
  <c r="S319" i="1"/>
  <c r="E319" i="3" s="1"/>
  <c r="S320" i="1"/>
  <c r="E320" i="3" s="1"/>
  <c r="S321" i="1"/>
  <c r="E321" i="3" s="1"/>
  <c r="S322" i="1"/>
  <c r="E322" i="3" s="1"/>
  <c r="S323" i="1"/>
  <c r="E323" i="3" s="1"/>
  <c r="S324" i="1"/>
  <c r="E324" i="3" s="1"/>
  <c r="S325" i="1"/>
  <c r="E325" i="3" s="1"/>
  <c r="S326" i="1"/>
  <c r="E326" i="3" s="1"/>
  <c r="S327" i="1"/>
  <c r="E327" i="3" s="1"/>
  <c r="S328" i="1"/>
  <c r="E328" i="3" s="1"/>
  <c r="S329" i="1"/>
  <c r="E329" i="3" s="1"/>
  <c r="S330" i="1"/>
  <c r="E330" i="3" s="1"/>
  <c r="S331" i="1"/>
  <c r="E331" i="3" s="1"/>
  <c r="S332" i="1"/>
  <c r="E332" i="3" s="1"/>
  <c r="S333" i="1"/>
  <c r="E333" i="3" s="1"/>
  <c r="S334" i="1"/>
  <c r="E334" i="3" s="1"/>
  <c r="S335" i="1"/>
  <c r="E335" i="3" s="1"/>
  <c r="S336" i="1"/>
  <c r="E336" i="3" s="1"/>
  <c r="S337" i="1"/>
  <c r="E337" i="3" s="1"/>
  <c r="S338" i="1"/>
  <c r="E338" i="3" s="1"/>
  <c r="S339" i="1"/>
  <c r="E339" i="3" s="1"/>
  <c r="S340" i="1"/>
  <c r="E340" i="3" s="1"/>
  <c r="S341" i="1"/>
  <c r="E341" i="3" s="1"/>
  <c r="S342" i="1"/>
  <c r="E342" i="3" s="1"/>
  <c r="S343" i="1"/>
  <c r="E343" i="3" s="1"/>
  <c r="S344" i="1"/>
  <c r="E344" i="3" s="1"/>
  <c r="S345" i="1"/>
  <c r="E345" i="3" s="1"/>
  <c r="S346" i="1"/>
  <c r="E346" i="3" s="1"/>
  <c r="S347" i="1"/>
  <c r="E347" i="3" s="1"/>
  <c r="S348" i="1"/>
  <c r="E348" i="3" s="1"/>
  <c r="S349" i="1"/>
  <c r="E349" i="3" s="1"/>
  <c r="S350" i="1"/>
  <c r="E350" i="3" s="1"/>
  <c r="S351" i="1"/>
  <c r="E351" i="3" s="1"/>
  <c r="S352" i="1"/>
  <c r="E352" i="3" s="1"/>
  <c r="S353" i="1"/>
  <c r="E353" i="3" s="1"/>
  <c r="S354" i="1"/>
  <c r="E354" i="3" s="1"/>
  <c r="S355" i="1"/>
  <c r="E355" i="3" s="1"/>
  <c r="S356" i="1"/>
  <c r="E356" i="3" s="1"/>
  <c r="S357" i="1"/>
  <c r="E357" i="3" s="1"/>
  <c r="S358" i="1"/>
  <c r="E358" i="3" s="1"/>
  <c r="S359" i="1"/>
  <c r="E359" i="3" s="1"/>
  <c r="S360" i="1"/>
  <c r="E360" i="3" s="1"/>
  <c r="S361" i="1"/>
  <c r="E361" i="3" s="1"/>
  <c r="S362" i="1"/>
  <c r="E362" i="3" s="1"/>
  <c r="S363" i="1"/>
  <c r="E363" i="3" s="1"/>
  <c r="S364" i="1"/>
  <c r="E364" i="3" s="1"/>
  <c r="S365" i="1"/>
  <c r="E365" i="3" s="1"/>
  <c r="S366" i="1"/>
  <c r="E366" i="3" s="1"/>
  <c r="S367" i="1"/>
  <c r="E367" i="3" s="1"/>
  <c r="S368" i="1"/>
  <c r="E368" i="3" s="1"/>
  <c r="S369" i="1"/>
  <c r="E369" i="3" s="1"/>
  <c r="S370" i="1"/>
  <c r="E370" i="3" s="1"/>
  <c r="S371" i="1"/>
  <c r="E371" i="3" s="1"/>
  <c r="S372" i="1"/>
  <c r="E372" i="3" s="1"/>
  <c r="S373" i="1"/>
  <c r="E373" i="3" s="1"/>
  <c r="S374" i="1"/>
  <c r="E374" i="3" s="1"/>
  <c r="S375" i="1"/>
  <c r="E375" i="3" s="1"/>
  <c r="S376" i="1"/>
  <c r="E376" i="3" s="1"/>
  <c r="S377" i="1"/>
  <c r="E377" i="3" s="1"/>
  <c r="S378" i="1"/>
  <c r="E378" i="3" s="1"/>
  <c r="S379" i="1"/>
  <c r="E379" i="3" s="1"/>
  <c r="S380" i="1"/>
  <c r="E380" i="3" s="1"/>
  <c r="S381" i="1"/>
  <c r="E381" i="3" s="1"/>
  <c r="S382" i="1"/>
  <c r="E382" i="3" s="1"/>
  <c r="S383" i="1"/>
  <c r="E383" i="3" s="1"/>
  <c r="S384" i="1"/>
  <c r="E384" i="3" s="1"/>
  <c r="S385" i="1"/>
  <c r="E385" i="3" s="1"/>
  <c r="S386" i="1"/>
  <c r="E386" i="3" s="1"/>
  <c r="S387" i="1"/>
  <c r="E387" i="3" s="1"/>
  <c r="S388" i="1"/>
  <c r="E388" i="3" s="1"/>
  <c r="S389" i="1"/>
  <c r="E389" i="3" s="1"/>
  <c r="S390" i="1"/>
  <c r="E390" i="3" s="1"/>
  <c r="S391" i="1"/>
  <c r="E391" i="3" s="1"/>
  <c r="S392" i="1"/>
  <c r="E392" i="3" s="1"/>
  <c r="S393" i="1"/>
  <c r="E393" i="3" s="1"/>
  <c r="S394" i="1"/>
  <c r="E394" i="3" s="1"/>
  <c r="S395" i="1"/>
  <c r="E395" i="3" s="1"/>
  <c r="S396" i="1"/>
  <c r="E396" i="3" s="1"/>
  <c r="S397" i="1"/>
  <c r="E397" i="3" s="1"/>
  <c r="S398" i="1"/>
  <c r="E398" i="3" s="1"/>
  <c r="S399" i="1"/>
  <c r="E399" i="3" s="1"/>
  <c r="S400" i="1"/>
  <c r="E400" i="3" s="1"/>
  <c r="S401" i="1"/>
  <c r="E401" i="3" s="1"/>
  <c r="S402" i="1"/>
  <c r="E402" i="3" s="1"/>
  <c r="S403" i="1"/>
  <c r="E403" i="3" s="1"/>
  <c r="S404" i="1"/>
  <c r="E404" i="3" s="1"/>
  <c r="S405" i="1"/>
  <c r="E405" i="3" s="1"/>
  <c r="S406" i="1"/>
  <c r="E406" i="3" s="1"/>
  <c r="S407" i="1"/>
  <c r="E407" i="3" s="1"/>
  <c r="S408" i="1"/>
  <c r="E408" i="3" s="1"/>
  <c r="S409" i="1"/>
  <c r="E409" i="3" s="1"/>
  <c r="S410" i="1"/>
  <c r="E410" i="3" s="1"/>
  <c r="S411" i="1"/>
  <c r="E411" i="3" s="1"/>
  <c r="S412" i="1"/>
  <c r="E412" i="3" s="1"/>
  <c r="S413" i="1"/>
  <c r="E413" i="3" s="1"/>
  <c r="S414" i="1"/>
  <c r="E414" i="3" s="1"/>
  <c r="S415" i="1"/>
  <c r="E415" i="3" s="1"/>
  <c r="S416" i="1"/>
  <c r="E416" i="3" s="1"/>
  <c r="S417" i="1"/>
  <c r="E417" i="3" s="1"/>
  <c r="S418" i="1"/>
  <c r="E418" i="3" s="1"/>
  <c r="S419" i="1"/>
  <c r="E419" i="3" s="1"/>
  <c r="S420" i="1"/>
  <c r="E420" i="3" s="1"/>
  <c r="S421" i="1"/>
  <c r="E421" i="3" s="1"/>
  <c r="S422" i="1"/>
  <c r="E422" i="3" s="1"/>
  <c r="S423" i="1"/>
  <c r="E423" i="3" s="1"/>
  <c r="S424" i="1"/>
  <c r="E424" i="3" s="1"/>
  <c r="S425" i="1"/>
  <c r="E425" i="3" s="1"/>
  <c r="S426" i="1"/>
  <c r="E426" i="3" s="1"/>
  <c r="S427" i="1"/>
  <c r="E427" i="3" s="1"/>
  <c r="S428" i="1"/>
  <c r="E428" i="3" s="1"/>
  <c r="S429" i="1"/>
  <c r="E429" i="3" s="1"/>
  <c r="S430" i="1"/>
  <c r="E430" i="3" s="1"/>
  <c r="S3" i="1"/>
  <c r="E3" i="3" s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3"/>
  <c r="B4"/>
  <c r="K4" s="1"/>
  <c r="B5"/>
  <c r="K5" s="1"/>
  <c r="B6"/>
  <c r="K6" s="1"/>
  <c r="B7"/>
  <c r="K7" s="1"/>
  <c r="B8"/>
  <c r="K8" s="1"/>
  <c r="B9"/>
  <c r="K9" s="1"/>
  <c r="B10"/>
  <c r="K10" s="1"/>
  <c r="B11"/>
  <c r="K11" s="1"/>
  <c r="B12"/>
  <c r="K12" s="1"/>
  <c r="B13"/>
  <c r="K13" s="1"/>
  <c r="B14"/>
  <c r="K14" s="1"/>
  <c r="B15"/>
  <c r="K15" s="1"/>
  <c r="B16"/>
  <c r="K16" s="1"/>
  <c r="B17"/>
  <c r="K17" s="1"/>
  <c r="B18"/>
  <c r="K18" s="1"/>
  <c r="B19"/>
  <c r="K19" s="1"/>
  <c r="B20"/>
  <c r="K20" s="1"/>
  <c r="B21"/>
  <c r="K21" s="1"/>
  <c r="B22"/>
  <c r="K22" s="1"/>
  <c r="B23"/>
  <c r="K23" s="1"/>
  <c r="B24"/>
  <c r="K24" s="1"/>
  <c r="B25"/>
  <c r="K25" s="1"/>
  <c r="B26"/>
  <c r="K26" s="1"/>
  <c r="B27"/>
  <c r="K27" s="1"/>
  <c r="B28"/>
  <c r="K28" s="1"/>
  <c r="B29"/>
  <c r="K29" s="1"/>
  <c r="B30"/>
  <c r="K30" s="1"/>
  <c r="B31"/>
  <c r="K31" s="1"/>
  <c r="B32"/>
  <c r="K32" s="1"/>
  <c r="B33"/>
  <c r="K33" s="1"/>
  <c r="B34"/>
  <c r="K34" s="1"/>
  <c r="B35"/>
  <c r="K35" s="1"/>
  <c r="B36"/>
  <c r="K36" s="1"/>
  <c r="B37"/>
  <c r="K37" s="1"/>
  <c r="B38"/>
  <c r="K38" s="1"/>
  <c r="B39"/>
  <c r="K39" s="1"/>
  <c r="B40"/>
  <c r="K40" s="1"/>
  <c r="B41"/>
  <c r="K41" s="1"/>
  <c r="B42"/>
  <c r="K42" s="1"/>
  <c r="B43"/>
  <c r="K43" s="1"/>
  <c r="B44"/>
  <c r="K44" s="1"/>
  <c r="B45"/>
  <c r="K45" s="1"/>
  <c r="B46"/>
  <c r="K46" s="1"/>
  <c r="B47"/>
  <c r="K47" s="1"/>
  <c r="B48"/>
  <c r="K48" s="1"/>
  <c r="B49"/>
  <c r="K49" s="1"/>
  <c r="B50"/>
  <c r="K50" s="1"/>
  <c r="B51"/>
  <c r="K51" s="1"/>
  <c r="B52"/>
  <c r="K52" s="1"/>
  <c r="B53"/>
  <c r="K53" s="1"/>
  <c r="B54"/>
  <c r="K54" s="1"/>
  <c r="B55"/>
  <c r="K55" s="1"/>
  <c r="B56"/>
  <c r="K56" s="1"/>
  <c r="B57"/>
  <c r="K57" s="1"/>
  <c r="B58"/>
  <c r="K58" s="1"/>
  <c r="B59"/>
  <c r="K59" s="1"/>
  <c r="B60"/>
  <c r="K60" s="1"/>
  <c r="B61"/>
  <c r="K61" s="1"/>
  <c r="B62"/>
  <c r="K62" s="1"/>
  <c r="B63"/>
  <c r="K63" s="1"/>
  <c r="B64"/>
  <c r="K64" s="1"/>
  <c r="B65"/>
  <c r="K65" s="1"/>
  <c r="B66"/>
  <c r="K66" s="1"/>
  <c r="B67"/>
  <c r="K67" s="1"/>
  <c r="B68"/>
  <c r="K68" s="1"/>
  <c r="B69"/>
  <c r="K69" s="1"/>
  <c r="B70"/>
  <c r="K70" s="1"/>
  <c r="B71"/>
  <c r="K71" s="1"/>
  <c r="B72"/>
  <c r="K72" s="1"/>
  <c r="B73"/>
  <c r="K73" s="1"/>
  <c r="B74"/>
  <c r="K74" s="1"/>
  <c r="B75"/>
  <c r="K75" s="1"/>
  <c r="B76"/>
  <c r="K76" s="1"/>
  <c r="B77"/>
  <c r="K77" s="1"/>
  <c r="B78"/>
  <c r="K78" s="1"/>
  <c r="B79"/>
  <c r="K79" s="1"/>
  <c r="B80"/>
  <c r="K80" s="1"/>
  <c r="B81"/>
  <c r="K81" s="1"/>
  <c r="B82"/>
  <c r="K82" s="1"/>
  <c r="B83"/>
  <c r="K83" s="1"/>
  <c r="B84"/>
  <c r="K84" s="1"/>
  <c r="B85"/>
  <c r="K85" s="1"/>
  <c r="B86"/>
  <c r="K86" s="1"/>
  <c r="B87"/>
  <c r="K87" s="1"/>
  <c r="B88"/>
  <c r="K88" s="1"/>
  <c r="B89"/>
  <c r="K89" s="1"/>
  <c r="B90"/>
  <c r="K90" s="1"/>
  <c r="B91"/>
  <c r="K91" s="1"/>
  <c r="B92"/>
  <c r="K92" s="1"/>
  <c r="B93"/>
  <c r="K93" s="1"/>
  <c r="B94"/>
  <c r="K94" s="1"/>
  <c r="B95"/>
  <c r="K95" s="1"/>
  <c r="B96"/>
  <c r="K96" s="1"/>
  <c r="B97"/>
  <c r="K97" s="1"/>
  <c r="B98"/>
  <c r="K98" s="1"/>
  <c r="B99"/>
  <c r="K99" s="1"/>
  <c r="B100"/>
  <c r="K100" s="1"/>
  <c r="B101"/>
  <c r="K101" s="1"/>
  <c r="B102"/>
  <c r="K102" s="1"/>
  <c r="B103"/>
  <c r="K103" s="1"/>
  <c r="B104"/>
  <c r="K104" s="1"/>
  <c r="B105"/>
  <c r="K105" s="1"/>
  <c r="B106"/>
  <c r="K106" s="1"/>
  <c r="B107"/>
  <c r="K107" s="1"/>
  <c r="B108"/>
  <c r="K108" s="1"/>
  <c r="B109"/>
  <c r="K109" s="1"/>
  <c r="B110"/>
  <c r="K110" s="1"/>
  <c r="B111"/>
  <c r="K111" s="1"/>
  <c r="B112"/>
  <c r="K112" s="1"/>
  <c r="B113"/>
  <c r="K113" s="1"/>
  <c r="B114"/>
  <c r="K114" s="1"/>
  <c r="B115"/>
  <c r="K115" s="1"/>
  <c r="B116"/>
  <c r="K116" s="1"/>
  <c r="B117"/>
  <c r="K117" s="1"/>
  <c r="B118"/>
  <c r="K118" s="1"/>
  <c r="B119"/>
  <c r="K119" s="1"/>
  <c r="B120"/>
  <c r="K120" s="1"/>
  <c r="B121"/>
  <c r="K121" s="1"/>
  <c r="B122"/>
  <c r="K122" s="1"/>
  <c r="B123"/>
  <c r="K123" s="1"/>
  <c r="B124"/>
  <c r="K124" s="1"/>
  <c r="B125"/>
  <c r="K125" s="1"/>
  <c r="B126"/>
  <c r="K126" s="1"/>
  <c r="B127"/>
  <c r="K127" s="1"/>
  <c r="B128"/>
  <c r="K128" s="1"/>
  <c r="B129"/>
  <c r="K129" s="1"/>
  <c r="B130"/>
  <c r="K130" s="1"/>
  <c r="B131"/>
  <c r="K131" s="1"/>
  <c r="B132"/>
  <c r="K132" s="1"/>
  <c r="B133"/>
  <c r="K133" s="1"/>
  <c r="B134"/>
  <c r="K134" s="1"/>
  <c r="B135"/>
  <c r="K135" s="1"/>
  <c r="B136"/>
  <c r="K136" s="1"/>
  <c r="B137"/>
  <c r="K137" s="1"/>
  <c r="B138"/>
  <c r="K138" s="1"/>
  <c r="B139"/>
  <c r="K139" s="1"/>
  <c r="B140"/>
  <c r="K140" s="1"/>
  <c r="B141"/>
  <c r="K141" s="1"/>
  <c r="B142"/>
  <c r="K142" s="1"/>
  <c r="B143"/>
  <c r="K143" s="1"/>
  <c r="B144"/>
  <c r="K144" s="1"/>
  <c r="B145"/>
  <c r="K145" s="1"/>
  <c r="B146"/>
  <c r="K146" s="1"/>
  <c r="B147"/>
  <c r="K147" s="1"/>
  <c r="B148"/>
  <c r="K148" s="1"/>
  <c r="B149"/>
  <c r="K149" s="1"/>
  <c r="B150"/>
  <c r="K150" s="1"/>
  <c r="B151"/>
  <c r="K151" s="1"/>
  <c r="B152"/>
  <c r="K152" s="1"/>
  <c r="B153"/>
  <c r="K153" s="1"/>
  <c r="B154"/>
  <c r="K154" s="1"/>
  <c r="B155"/>
  <c r="K155" s="1"/>
  <c r="B156"/>
  <c r="K156" s="1"/>
  <c r="B157"/>
  <c r="K157" s="1"/>
  <c r="B158"/>
  <c r="K158" s="1"/>
  <c r="B159"/>
  <c r="K159" s="1"/>
  <c r="B160"/>
  <c r="K160" s="1"/>
  <c r="B161"/>
  <c r="K161" s="1"/>
  <c r="B162"/>
  <c r="K162" s="1"/>
  <c r="B163"/>
  <c r="K163" s="1"/>
  <c r="B164"/>
  <c r="K164" s="1"/>
  <c r="B165"/>
  <c r="K165" s="1"/>
  <c r="B166"/>
  <c r="K166" s="1"/>
  <c r="B167"/>
  <c r="K167" s="1"/>
  <c r="B168"/>
  <c r="K168" s="1"/>
  <c r="B169"/>
  <c r="K169" s="1"/>
  <c r="B170"/>
  <c r="K170" s="1"/>
  <c r="B171"/>
  <c r="K171" s="1"/>
  <c r="B172"/>
  <c r="K172" s="1"/>
  <c r="B173"/>
  <c r="K173" s="1"/>
  <c r="B174"/>
  <c r="K174" s="1"/>
  <c r="B175"/>
  <c r="K175" s="1"/>
  <c r="B176"/>
  <c r="K176" s="1"/>
  <c r="B177"/>
  <c r="K177" s="1"/>
  <c r="B178"/>
  <c r="K178" s="1"/>
  <c r="B179"/>
  <c r="K179" s="1"/>
  <c r="B180"/>
  <c r="K180" s="1"/>
  <c r="B181"/>
  <c r="K181" s="1"/>
  <c r="B182"/>
  <c r="K182" s="1"/>
  <c r="B183"/>
  <c r="K183" s="1"/>
  <c r="B184"/>
  <c r="K184" s="1"/>
  <c r="B185"/>
  <c r="K185" s="1"/>
  <c r="B186"/>
  <c r="K186" s="1"/>
  <c r="B187"/>
  <c r="K187" s="1"/>
  <c r="B188"/>
  <c r="K188" s="1"/>
  <c r="B189"/>
  <c r="K189" s="1"/>
  <c r="B190"/>
  <c r="K190" s="1"/>
  <c r="B191"/>
  <c r="K191" s="1"/>
  <c r="B192"/>
  <c r="K192" s="1"/>
  <c r="B193"/>
  <c r="K193" s="1"/>
  <c r="B194"/>
  <c r="K194" s="1"/>
  <c r="B195"/>
  <c r="K195" s="1"/>
  <c r="B196"/>
  <c r="K196" s="1"/>
  <c r="B197"/>
  <c r="K197" s="1"/>
  <c r="B198"/>
  <c r="K198" s="1"/>
  <c r="B199"/>
  <c r="K199" s="1"/>
  <c r="B200"/>
  <c r="K200" s="1"/>
  <c r="B201"/>
  <c r="K201" s="1"/>
  <c r="B202"/>
  <c r="K202" s="1"/>
  <c r="B203"/>
  <c r="K203" s="1"/>
  <c r="B204"/>
  <c r="K204" s="1"/>
  <c r="B205"/>
  <c r="K205" s="1"/>
  <c r="B206"/>
  <c r="K206" s="1"/>
  <c r="B207"/>
  <c r="K207" s="1"/>
  <c r="B208"/>
  <c r="K208" s="1"/>
  <c r="B209"/>
  <c r="K209" s="1"/>
  <c r="B210"/>
  <c r="K210" s="1"/>
  <c r="B211"/>
  <c r="K211" s="1"/>
  <c r="B212"/>
  <c r="K212" s="1"/>
  <c r="B213"/>
  <c r="K213" s="1"/>
  <c r="B214"/>
  <c r="K214" s="1"/>
  <c r="B215"/>
  <c r="K215" s="1"/>
  <c r="B216"/>
  <c r="K216" s="1"/>
  <c r="B217"/>
  <c r="K217" s="1"/>
  <c r="B218"/>
  <c r="K218" s="1"/>
  <c r="B219"/>
  <c r="K219" s="1"/>
  <c r="B220"/>
  <c r="K220" s="1"/>
  <c r="B221"/>
  <c r="K221" s="1"/>
  <c r="B222"/>
  <c r="K222" s="1"/>
  <c r="B223"/>
  <c r="K223" s="1"/>
  <c r="B224"/>
  <c r="K224" s="1"/>
  <c r="B225"/>
  <c r="K225" s="1"/>
  <c r="B226"/>
  <c r="K226" s="1"/>
  <c r="B227"/>
  <c r="K227" s="1"/>
  <c r="B228"/>
  <c r="K228" s="1"/>
  <c r="B229"/>
  <c r="K229" s="1"/>
  <c r="B230"/>
  <c r="K230" s="1"/>
  <c r="B231"/>
  <c r="K231" s="1"/>
  <c r="B232"/>
  <c r="K232" s="1"/>
  <c r="B233"/>
  <c r="K233" s="1"/>
  <c r="B234"/>
  <c r="K234" s="1"/>
  <c r="B235"/>
  <c r="K235" s="1"/>
  <c r="B236"/>
  <c r="K236" s="1"/>
  <c r="B237"/>
  <c r="K237" s="1"/>
  <c r="B238"/>
  <c r="K238" s="1"/>
  <c r="B239"/>
  <c r="K239" s="1"/>
  <c r="B240"/>
  <c r="K240" s="1"/>
  <c r="B241"/>
  <c r="K241" s="1"/>
  <c r="B242"/>
  <c r="K242" s="1"/>
  <c r="B243"/>
  <c r="K243" s="1"/>
  <c r="B244"/>
  <c r="K244" s="1"/>
  <c r="B245"/>
  <c r="K245" s="1"/>
  <c r="B246"/>
  <c r="K246" s="1"/>
  <c r="B247"/>
  <c r="K247" s="1"/>
  <c r="B248"/>
  <c r="K248" s="1"/>
  <c r="B249"/>
  <c r="K249" s="1"/>
  <c r="B250"/>
  <c r="K250" s="1"/>
  <c r="B251"/>
  <c r="K251" s="1"/>
  <c r="B252"/>
  <c r="K252" s="1"/>
  <c r="B253"/>
  <c r="K253" s="1"/>
  <c r="B254"/>
  <c r="K254" s="1"/>
  <c r="B255"/>
  <c r="K255" s="1"/>
  <c r="B256"/>
  <c r="K256" s="1"/>
  <c r="B257"/>
  <c r="K257" s="1"/>
  <c r="B258"/>
  <c r="K258" s="1"/>
  <c r="B259"/>
  <c r="K259" s="1"/>
  <c r="B260"/>
  <c r="K260" s="1"/>
  <c r="B261"/>
  <c r="K261" s="1"/>
  <c r="B262"/>
  <c r="K262" s="1"/>
  <c r="B263"/>
  <c r="K263" s="1"/>
  <c r="B264"/>
  <c r="K264" s="1"/>
  <c r="B265"/>
  <c r="K265" s="1"/>
  <c r="B266"/>
  <c r="K266" s="1"/>
  <c r="B267"/>
  <c r="K267" s="1"/>
  <c r="B268"/>
  <c r="K268" s="1"/>
  <c r="B269"/>
  <c r="K269" s="1"/>
  <c r="B270"/>
  <c r="K270" s="1"/>
  <c r="B271"/>
  <c r="K271" s="1"/>
  <c r="B272"/>
  <c r="K272" s="1"/>
  <c r="B273"/>
  <c r="K273" s="1"/>
  <c r="B274"/>
  <c r="K274" s="1"/>
  <c r="B275"/>
  <c r="K275" s="1"/>
  <c r="B276"/>
  <c r="K276" s="1"/>
  <c r="B277"/>
  <c r="K277" s="1"/>
  <c r="B278"/>
  <c r="K278" s="1"/>
  <c r="B279"/>
  <c r="K279" s="1"/>
  <c r="B280"/>
  <c r="K280" s="1"/>
  <c r="B281"/>
  <c r="K281" s="1"/>
  <c r="B282"/>
  <c r="K282" s="1"/>
  <c r="B283"/>
  <c r="K283" s="1"/>
  <c r="B284"/>
  <c r="K284" s="1"/>
  <c r="B285"/>
  <c r="K285" s="1"/>
  <c r="B286"/>
  <c r="K286" s="1"/>
  <c r="B287"/>
  <c r="K287" s="1"/>
  <c r="B288"/>
  <c r="K288" s="1"/>
  <c r="B289"/>
  <c r="K289" s="1"/>
  <c r="B290"/>
  <c r="K290" s="1"/>
  <c r="B291"/>
  <c r="K291" s="1"/>
  <c r="B292"/>
  <c r="K292" s="1"/>
  <c r="B293"/>
  <c r="K293" s="1"/>
  <c r="B294"/>
  <c r="K294" s="1"/>
  <c r="B295"/>
  <c r="K295" s="1"/>
  <c r="B296"/>
  <c r="K296" s="1"/>
  <c r="B297"/>
  <c r="K297" s="1"/>
  <c r="B298"/>
  <c r="K298" s="1"/>
  <c r="B299"/>
  <c r="K299" s="1"/>
  <c r="B300"/>
  <c r="K300" s="1"/>
  <c r="B301"/>
  <c r="K301" s="1"/>
  <c r="B302"/>
  <c r="K302" s="1"/>
  <c r="B303"/>
  <c r="K303" s="1"/>
  <c r="B304"/>
  <c r="K304" s="1"/>
  <c r="B305"/>
  <c r="K305" s="1"/>
  <c r="B306"/>
  <c r="K306" s="1"/>
  <c r="B307"/>
  <c r="K307" s="1"/>
  <c r="B308"/>
  <c r="K308" s="1"/>
  <c r="B309"/>
  <c r="K309" s="1"/>
  <c r="B310"/>
  <c r="K310" s="1"/>
  <c r="B311"/>
  <c r="K311" s="1"/>
  <c r="B312"/>
  <c r="K312" s="1"/>
  <c r="B313"/>
  <c r="K313" s="1"/>
  <c r="B314"/>
  <c r="K314" s="1"/>
  <c r="B315"/>
  <c r="K315" s="1"/>
  <c r="B316"/>
  <c r="K316" s="1"/>
  <c r="B317"/>
  <c r="K317" s="1"/>
  <c r="B318"/>
  <c r="K318" s="1"/>
  <c r="B319"/>
  <c r="K319" s="1"/>
  <c r="B320"/>
  <c r="K320" s="1"/>
  <c r="B321"/>
  <c r="K321" s="1"/>
  <c r="B322"/>
  <c r="K322" s="1"/>
  <c r="B323"/>
  <c r="K323" s="1"/>
  <c r="B324"/>
  <c r="K324" s="1"/>
  <c r="B325"/>
  <c r="K325" s="1"/>
  <c r="B326"/>
  <c r="K326" s="1"/>
  <c r="B327"/>
  <c r="K327" s="1"/>
  <c r="B328"/>
  <c r="K328" s="1"/>
  <c r="B329"/>
  <c r="K329" s="1"/>
  <c r="B330"/>
  <c r="K330" s="1"/>
  <c r="B331"/>
  <c r="K331" s="1"/>
  <c r="B332"/>
  <c r="K332" s="1"/>
  <c r="B333"/>
  <c r="K333" s="1"/>
  <c r="B334"/>
  <c r="K334" s="1"/>
  <c r="B335"/>
  <c r="K335" s="1"/>
  <c r="B336"/>
  <c r="K336" s="1"/>
  <c r="B337"/>
  <c r="K337" s="1"/>
  <c r="B338"/>
  <c r="K338" s="1"/>
  <c r="B339"/>
  <c r="K339" s="1"/>
  <c r="B340"/>
  <c r="K340" s="1"/>
  <c r="B341"/>
  <c r="K341" s="1"/>
  <c r="B342"/>
  <c r="K342" s="1"/>
  <c r="B343"/>
  <c r="K343" s="1"/>
  <c r="B344"/>
  <c r="K344" s="1"/>
  <c r="B345"/>
  <c r="K345" s="1"/>
  <c r="B346"/>
  <c r="K346" s="1"/>
  <c r="B347"/>
  <c r="K347" s="1"/>
  <c r="B348"/>
  <c r="K348" s="1"/>
  <c r="B349"/>
  <c r="K349" s="1"/>
  <c r="B350"/>
  <c r="K350" s="1"/>
  <c r="B351"/>
  <c r="K351" s="1"/>
  <c r="B352"/>
  <c r="K352" s="1"/>
  <c r="B353"/>
  <c r="K353" s="1"/>
  <c r="B354"/>
  <c r="K354" s="1"/>
  <c r="B355"/>
  <c r="K355" s="1"/>
  <c r="B356"/>
  <c r="K356" s="1"/>
  <c r="B357"/>
  <c r="K357" s="1"/>
  <c r="B358"/>
  <c r="K358" s="1"/>
  <c r="B359"/>
  <c r="K359" s="1"/>
  <c r="B360"/>
  <c r="K360" s="1"/>
  <c r="B361"/>
  <c r="K361" s="1"/>
  <c r="B362"/>
  <c r="K362" s="1"/>
  <c r="B363"/>
  <c r="K363" s="1"/>
  <c r="B364"/>
  <c r="K364" s="1"/>
  <c r="B365"/>
  <c r="K365" s="1"/>
  <c r="B366"/>
  <c r="K366" s="1"/>
  <c r="B367"/>
  <c r="K367" s="1"/>
  <c r="B368"/>
  <c r="K368" s="1"/>
  <c r="B369"/>
  <c r="K369" s="1"/>
  <c r="B370"/>
  <c r="K370" s="1"/>
  <c r="B371"/>
  <c r="K371" s="1"/>
  <c r="B372"/>
  <c r="K372" s="1"/>
  <c r="B373"/>
  <c r="K373" s="1"/>
  <c r="B374"/>
  <c r="K374" s="1"/>
  <c r="B375"/>
  <c r="K375" s="1"/>
  <c r="B376"/>
  <c r="K376" s="1"/>
  <c r="B377"/>
  <c r="K377" s="1"/>
  <c r="B378"/>
  <c r="K378" s="1"/>
  <c r="B379"/>
  <c r="K379" s="1"/>
  <c r="B380"/>
  <c r="K380" s="1"/>
  <c r="B381"/>
  <c r="K381" s="1"/>
  <c r="B382"/>
  <c r="K382" s="1"/>
  <c r="B383"/>
  <c r="K383" s="1"/>
  <c r="B384"/>
  <c r="K384" s="1"/>
  <c r="B385"/>
  <c r="K385" s="1"/>
  <c r="B386"/>
  <c r="K386" s="1"/>
  <c r="B387"/>
  <c r="K387" s="1"/>
  <c r="B388"/>
  <c r="K388" s="1"/>
  <c r="B389"/>
  <c r="K389" s="1"/>
  <c r="B390"/>
  <c r="K390" s="1"/>
  <c r="B391"/>
  <c r="K391" s="1"/>
  <c r="B392"/>
  <c r="K392" s="1"/>
  <c r="B393"/>
  <c r="K393" s="1"/>
  <c r="B394"/>
  <c r="K394" s="1"/>
  <c r="B395"/>
  <c r="K395" s="1"/>
  <c r="B396"/>
  <c r="K396" s="1"/>
  <c r="B397"/>
  <c r="K397" s="1"/>
  <c r="B398"/>
  <c r="K398" s="1"/>
  <c r="B399"/>
  <c r="K399" s="1"/>
  <c r="B400"/>
  <c r="K400" s="1"/>
  <c r="B401"/>
  <c r="K401" s="1"/>
  <c r="B402"/>
  <c r="K402" s="1"/>
  <c r="B403"/>
  <c r="K403" s="1"/>
  <c r="B404"/>
  <c r="K404" s="1"/>
  <c r="B405"/>
  <c r="K405" s="1"/>
  <c r="B406"/>
  <c r="K406" s="1"/>
  <c r="B407"/>
  <c r="K407" s="1"/>
  <c r="B408"/>
  <c r="K408" s="1"/>
  <c r="B409"/>
  <c r="K409" s="1"/>
  <c r="B410"/>
  <c r="K410" s="1"/>
  <c r="B411"/>
  <c r="K411" s="1"/>
  <c r="B412"/>
  <c r="K412" s="1"/>
  <c r="B413"/>
  <c r="K413" s="1"/>
  <c r="B414"/>
  <c r="K414" s="1"/>
  <c r="B415"/>
  <c r="K415" s="1"/>
  <c r="B416"/>
  <c r="K416" s="1"/>
  <c r="B417"/>
  <c r="K417" s="1"/>
  <c r="B418"/>
  <c r="K418" s="1"/>
  <c r="B419"/>
  <c r="K419" s="1"/>
  <c r="B420"/>
  <c r="K420" s="1"/>
  <c r="B421"/>
  <c r="K421" s="1"/>
  <c r="B422"/>
  <c r="K422" s="1"/>
  <c r="B423"/>
  <c r="K423" s="1"/>
  <c r="B424"/>
  <c r="K424" s="1"/>
  <c r="B425"/>
  <c r="K425" s="1"/>
  <c r="B426"/>
  <c r="K426" s="1"/>
  <c r="B427"/>
  <c r="K427" s="1"/>
  <c r="B428"/>
  <c r="K428" s="1"/>
  <c r="B429"/>
  <c r="K429" s="1"/>
  <c r="B430"/>
  <c r="K430" s="1"/>
  <c r="B3"/>
  <c r="K3" s="1"/>
  <c r="N3" i="4"/>
  <c r="N6"/>
  <c r="N5"/>
  <c r="R4" i="1"/>
  <c r="D4" i="3" s="1"/>
  <c r="R5" i="1"/>
  <c r="D5" i="3" s="1"/>
  <c r="R6" i="1"/>
  <c r="D6" i="3" s="1"/>
  <c r="R7" i="1"/>
  <c r="D7" i="3" s="1"/>
  <c r="R8" i="1"/>
  <c r="D8" i="3" s="1"/>
  <c r="R9" i="1"/>
  <c r="D9" i="3" s="1"/>
  <c r="R10" i="1"/>
  <c r="D10" i="3" s="1"/>
  <c r="R11" i="1"/>
  <c r="D11" i="3" s="1"/>
  <c r="R12" i="1"/>
  <c r="D12" i="3" s="1"/>
  <c r="R13" i="1"/>
  <c r="D13" i="3" s="1"/>
  <c r="R14" i="1"/>
  <c r="D14" i="3" s="1"/>
  <c r="R15" i="1"/>
  <c r="D15" i="3" s="1"/>
  <c r="R16" i="1"/>
  <c r="D16" i="3" s="1"/>
  <c r="R17" i="1"/>
  <c r="D17" i="3" s="1"/>
  <c r="R18" i="1"/>
  <c r="D18" i="3" s="1"/>
  <c r="R19" i="1"/>
  <c r="D19" i="3" s="1"/>
  <c r="R20" i="1"/>
  <c r="D20" i="3" s="1"/>
  <c r="R21" i="1"/>
  <c r="D21" i="3" s="1"/>
  <c r="R22" i="1"/>
  <c r="D22" i="3" s="1"/>
  <c r="R23" i="1"/>
  <c r="D23" i="3" s="1"/>
  <c r="R24" i="1"/>
  <c r="D24" i="3" s="1"/>
  <c r="R25" i="1"/>
  <c r="D25" i="3" s="1"/>
  <c r="R26" i="1"/>
  <c r="D26" i="3" s="1"/>
  <c r="R27" i="1"/>
  <c r="D27" i="3" s="1"/>
  <c r="R28" i="1"/>
  <c r="D28" i="3" s="1"/>
  <c r="R29" i="1"/>
  <c r="D29" i="3" s="1"/>
  <c r="R30" i="1"/>
  <c r="D30" i="3" s="1"/>
  <c r="R31" i="1"/>
  <c r="D31" i="3" s="1"/>
  <c r="R32" i="1"/>
  <c r="D32" i="3" s="1"/>
  <c r="R33" i="1"/>
  <c r="D33" i="3" s="1"/>
  <c r="R34" i="1"/>
  <c r="D34" i="3" s="1"/>
  <c r="R35" i="1"/>
  <c r="D35" i="3" s="1"/>
  <c r="R36" i="1"/>
  <c r="D36" i="3" s="1"/>
  <c r="R37" i="1"/>
  <c r="D37" i="3" s="1"/>
  <c r="R38" i="1"/>
  <c r="D38" i="3" s="1"/>
  <c r="R39" i="1"/>
  <c r="D39" i="3" s="1"/>
  <c r="R40" i="1"/>
  <c r="D40" i="3" s="1"/>
  <c r="R41" i="1"/>
  <c r="D41" i="3" s="1"/>
  <c r="R42" i="1"/>
  <c r="D42" i="3" s="1"/>
  <c r="R43" i="1"/>
  <c r="D43" i="3" s="1"/>
  <c r="R44" i="1"/>
  <c r="D44" i="3" s="1"/>
  <c r="R45" i="1"/>
  <c r="D45" i="3" s="1"/>
  <c r="R46" i="1"/>
  <c r="D46" i="3" s="1"/>
  <c r="R47" i="1"/>
  <c r="D47" i="3" s="1"/>
  <c r="R48" i="1"/>
  <c r="D48" i="3" s="1"/>
  <c r="R49" i="1"/>
  <c r="D49" i="3" s="1"/>
  <c r="R50" i="1"/>
  <c r="D50" i="3" s="1"/>
  <c r="R51" i="1"/>
  <c r="D51" i="3" s="1"/>
  <c r="R52" i="1"/>
  <c r="D52" i="3" s="1"/>
  <c r="R53" i="1"/>
  <c r="D53" i="3" s="1"/>
  <c r="R54" i="1"/>
  <c r="D54" i="3" s="1"/>
  <c r="R55" i="1"/>
  <c r="D55" i="3" s="1"/>
  <c r="R56" i="1"/>
  <c r="D56" i="3" s="1"/>
  <c r="R57" i="1"/>
  <c r="D57" i="3" s="1"/>
  <c r="R58" i="1"/>
  <c r="D58" i="3" s="1"/>
  <c r="R59" i="1"/>
  <c r="D59" i="3" s="1"/>
  <c r="R60" i="1"/>
  <c r="D60" i="3" s="1"/>
  <c r="R61" i="1"/>
  <c r="D61" i="3" s="1"/>
  <c r="R62" i="1"/>
  <c r="D62" i="3" s="1"/>
  <c r="R63" i="1"/>
  <c r="D63" i="3" s="1"/>
  <c r="R64" i="1"/>
  <c r="D64" i="3" s="1"/>
  <c r="R65" i="1"/>
  <c r="D65" i="3" s="1"/>
  <c r="R66" i="1"/>
  <c r="D66" i="3" s="1"/>
  <c r="R67" i="1"/>
  <c r="D67" i="3" s="1"/>
  <c r="R68" i="1"/>
  <c r="D68" i="3" s="1"/>
  <c r="R69" i="1"/>
  <c r="D69" i="3" s="1"/>
  <c r="R70" i="1"/>
  <c r="D70" i="3" s="1"/>
  <c r="R71" i="1"/>
  <c r="D71" i="3" s="1"/>
  <c r="R72" i="1"/>
  <c r="D72" i="3" s="1"/>
  <c r="R73" i="1"/>
  <c r="D73" i="3" s="1"/>
  <c r="R74" i="1"/>
  <c r="D74" i="3" s="1"/>
  <c r="R75" i="1"/>
  <c r="D75" i="3" s="1"/>
  <c r="R76" i="1"/>
  <c r="D76" i="3" s="1"/>
  <c r="R77" i="1"/>
  <c r="D77" i="3" s="1"/>
  <c r="R78" i="1"/>
  <c r="D78" i="3" s="1"/>
  <c r="R79" i="1"/>
  <c r="D79" i="3" s="1"/>
  <c r="R80" i="1"/>
  <c r="D80" i="3" s="1"/>
  <c r="R81" i="1"/>
  <c r="D81" i="3" s="1"/>
  <c r="R82" i="1"/>
  <c r="D82" i="3" s="1"/>
  <c r="R83" i="1"/>
  <c r="D83" i="3" s="1"/>
  <c r="R84" i="1"/>
  <c r="D84" i="3" s="1"/>
  <c r="R85" i="1"/>
  <c r="D85" i="3" s="1"/>
  <c r="R86" i="1"/>
  <c r="D86" i="3" s="1"/>
  <c r="R87" i="1"/>
  <c r="D87" i="3" s="1"/>
  <c r="R88" i="1"/>
  <c r="D88" i="3" s="1"/>
  <c r="R89" i="1"/>
  <c r="D89" i="3" s="1"/>
  <c r="R90" i="1"/>
  <c r="D90" i="3" s="1"/>
  <c r="R91" i="1"/>
  <c r="D91" i="3" s="1"/>
  <c r="R92" i="1"/>
  <c r="D92" i="3" s="1"/>
  <c r="R93" i="1"/>
  <c r="D93" i="3" s="1"/>
  <c r="R94" i="1"/>
  <c r="D94" i="3" s="1"/>
  <c r="R95" i="1"/>
  <c r="D95" i="3" s="1"/>
  <c r="R96" i="1"/>
  <c r="D96" i="3" s="1"/>
  <c r="R97" i="1"/>
  <c r="D97" i="3" s="1"/>
  <c r="R98" i="1"/>
  <c r="D98" i="3" s="1"/>
  <c r="R99" i="1"/>
  <c r="D99" i="3" s="1"/>
  <c r="R100" i="1"/>
  <c r="D100" i="3" s="1"/>
  <c r="R101" i="1"/>
  <c r="D101" i="3" s="1"/>
  <c r="R102" i="1"/>
  <c r="D102" i="3" s="1"/>
  <c r="R103" i="1"/>
  <c r="D103" i="3" s="1"/>
  <c r="R104" i="1"/>
  <c r="D104" i="3" s="1"/>
  <c r="R105" i="1"/>
  <c r="D105" i="3" s="1"/>
  <c r="R106" i="1"/>
  <c r="D106" i="3" s="1"/>
  <c r="R107" i="1"/>
  <c r="D107" i="3" s="1"/>
  <c r="R108" i="1"/>
  <c r="D108" i="3" s="1"/>
  <c r="R109" i="1"/>
  <c r="D109" i="3" s="1"/>
  <c r="R110" i="1"/>
  <c r="D110" i="3" s="1"/>
  <c r="R111" i="1"/>
  <c r="D111" i="3" s="1"/>
  <c r="R112" i="1"/>
  <c r="D112" i="3" s="1"/>
  <c r="R113" i="1"/>
  <c r="D113" i="3" s="1"/>
  <c r="R114" i="1"/>
  <c r="D114" i="3" s="1"/>
  <c r="R115" i="1"/>
  <c r="D115" i="3" s="1"/>
  <c r="R116" i="1"/>
  <c r="D116" i="3" s="1"/>
  <c r="R117" i="1"/>
  <c r="D117" i="3" s="1"/>
  <c r="R118" i="1"/>
  <c r="D118" i="3" s="1"/>
  <c r="R119" i="1"/>
  <c r="D119" i="3" s="1"/>
  <c r="R120" i="1"/>
  <c r="D120" i="3" s="1"/>
  <c r="R121" i="1"/>
  <c r="D121" i="3" s="1"/>
  <c r="R122" i="1"/>
  <c r="D122" i="3" s="1"/>
  <c r="R123" i="1"/>
  <c r="D123" i="3" s="1"/>
  <c r="R124" i="1"/>
  <c r="D124" i="3" s="1"/>
  <c r="R125" i="1"/>
  <c r="D125" i="3" s="1"/>
  <c r="R126" i="1"/>
  <c r="D126" i="3" s="1"/>
  <c r="R127" i="1"/>
  <c r="D127" i="3" s="1"/>
  <c r="R128" i="1"/>
  <c r="D128" i="3" s="1"/>
  <c r="R129" i="1"/>
  <c r="D129" i="3" s="1"/>
  <c r="R130" i="1"/>
  <c r="D130" i="3" s="1"/>
  <c r="R131" i="1"/>
  <c r="D131" i="3" s="1"/>
  <c r="R132" i="1"/>
  <c r="D132" i="3" s="1"/>
  <c r="R133" i="1"/>
  <c r="D133" i="3" s="1"/>
  <c r="R134" i="1"/>
  <c r="D134" i="3" s="1"/>
  <c r="R135" i="1"/>
  <c r="D135" i="3" s="1"/>
  <c r="R136" i="1"/>
  <c r="D136" i="3" s="1"/>
  <c r="R137" i="1"/>
  <c r="D137" i="3" s="1"/>
  <c r="R138" i="1"/>
  <c r="D138" i="3" s="1"/>
  <c r="R139" i="1"/>
  <c r="D139" i="3" s="1"/>
  <c r="R140" i="1"/>
  <c r="D140" i="3" s="1"/>
  <c r="R141" i="1"/>
  <c r="D141" i="3" s="1"/>
  <c r="R142" i="1"/>
  <c r="D142" i="3" s="1"/>
  <c r="R143" i="1"/>
  <c r="D143" i="3" s="1"/>
  <c r="R144" i="1"/>
  <c r="D144" i="3" s="1"/>
  <c r="R145" i="1"/>
  <c r="D145" i="3" s="1"/>
  <c r="R146" i="1"/>
  <c r="D146" i="3" s="1"/>
  <c r="R147" i="1"/>
  <c r="D147" i="3" s="1"/>
  <c r="R148" i="1"/>
  <c r="D148" i="3" s="1"/>
  <c r="R149" i="1"/>
  <c r="D149" i="3" s="1"/>
  <c r="R150" i="1"/>
  <c r="D150" i="3" s="1"/>
  <c r="R151" i="1"/>
  <c r="D151" i="3" s="1"/>
  <c r="R152" i="1"/>
  <c r="D152" i="3" s="1"/>
  <c r="R153" i="1"/>
  <c r="D153" i="3" s="1"/>
  <c r="R154" i="1"/>
  <c r="D154" i="3" s="1"/>
  <c r="R155" i="1"/>
  <c r="D155" i="3" s="1"/>
  <c r="R156" i="1"/>
  <c r="D156" i="3" s="1"/>
  <c r="R157" i="1"/>
  <c r="D157" i="3" s="1"/>
  <c r="R158" i="1"/>
  <c r="D158" i="3" s="1"/>
  <c r="R159" i="1"/>
  <c r="D159" i="3" s="1"/>
  <c r="R160" i="1"/>
  <c r="D160" i="3" s="1"/>
  <c r="R161" i="1"/>
  <c r="D161" i="3" s="1"/>
  <c r="R162" i="1"/>
  <c r="D162" i="3" s="1"/>
  <c r="R163" i="1"/>
  <c r="D163" i="3" s="1"/>
  <c r="R164" i="1"/>
  <c r="D164" i="3" s="1"/>
  <c r="R165" i="1"/>
  <c r="D165" i="3" s="1"/>
  <c r="R166" i="1"/>
  <c r="D166" i="3" s="1"/>
  <c r="R167" i="1"/>
  <c r="D167" i="3" s="1"/>
  <c r="R168" i="1"/>
  <c r="D168" i="3" s="1"/>
  <c r="R169" i="1"/>
  <c r="D169" i="3" s="1"/>
  <c r="R170" i="1"/>
  <c r="D170" i="3" s="1"/>
  <c r="R171" i="1"/>
  <c r="D171" i="3" s="1"/>
  <c r="R172" i="1"/>
  <c r="D172" i="3" s="1"/>
  <c r="R173" i="1"/>
  <c r="D173" i="3" s="1"/>
  <c r="R174" i="1"/>
  <c r="D174" i="3" s="1"/>
  <c r="R175" i="1"/>
  <c r="D175" i="3" s="1"/>
  <c r="R176" i="1"/>
  <c r="D176" i="3" s="1"/>
  <c r="R177" i="1"/>
  <c r="D177" i="3" s="1"/>
  <c r="R178" i="1"/>
  <c r="D178" i="3" s="1"/>
  <c r="R179" i="1"/>
  <c r="D179" i="3" s="1"/>
  <c r="R180" i="1"/>
  <c r="D180" i="3" s="1"/>
  <c r="R181" i="1"/>
  <c r="D181" i="3" s="1"/>
  <c r="R182" i="1"/>
  <c r="D182" i="3" s="1"/>
  <c r="R183" i="1"/>
  <c r="D183" i="3" s="1"/>
  <c r="R184" i="1"/>
  <c r="D184" i="3" s="1"/>
  <c r="R185" i="1"/>
  <c r="D185" i="3" s="1"/>
  <c r="R186" i="1"/>
  <c r="D186" i="3" s="1"/>
  <c r="R187" i="1"/>
  <c r="D187" i="3" s="1"/>
  <c r="R188" i="1"/>
  <c r="D188" i="3" s="1"/>
  <c r="R189" i="1"/>
  <c r="D189" i="3" s="1"/>
  <c r="R190" i="1"/>
  <c r="D190" i="3" s="1"/>
  <c r="R191" i="1"/>
  <c r="D191" i="3" s="1"/>
  <c r="R192" i="1"/>
  <c r="D192" i="3" s="1"/>
  <c r="R193" i="1"/>
  <c r="D193" i="3" s="1"/>
  <c r="R194" i="1"/>
  <c r="D194" i="3" s="1"/>
  <c r="R195" i="1"/>
  <c r="D195" i="3" s="1"/>
  <c r="R196" i="1"/>
  <c r="D196" i="3" s="1"/>
  <c r="R197" i="1"/>
  <c r="D197" i="3" s="1"/>
  <c r="R198" i="1"/>
  <c r="D198" i="3" s="1"/>
  <c r="R199" i="1"/>
  <c r="D199" i="3" s="1"/>
  <c r="R200" i="1"/>
  <c r="D200" i="3" s="1"/>
  <c r="R201" i="1"/>
  <c r="D201" i="3" s="1"/>
  <c r="R202" i="1"/>
  <c r="D202" i="3" s="1"/>
  <c r="R203" i="1"/>
  <c r="D203" i="3" s="1"/>
  <c r="R204" i="1"/>
  <c r="D204" i="3" s="1"/>
  <c r="R205" i="1"/>
  <c r="D205" i="3" s="1"/>
  <c r="R206" i="1"/>
  <c r="D206" i="3" s="1"/>
  <c r="R207" i="1"/>
  <c r="D207" i="3" s="1"/>
  <c r="R208" i="1"/>
  <c r="D208" i="3" s="1"/>
  <c r="R209" i="1"/>
  <c r="D209" i="3" s="1"/>
  <c r="R210" i="1"/>
  <c r="D210" i="3" s="1"/>
  <c r="R211" i="1"/>
  <c r="D211" i="3" s="1"/>
  <c r="R212" i="1"/>
  <c r="D212" i="3" s="1"/>
  <c r="R213" i="1"/>
  <c r="D213" i="3" s="1"/>
  <c r="R214" i="1"/>
  <c r="D214" i="3" s="1"/>
  <c r="R215" i="1"/>
  <c r="D215" i="3" s="1"/>
  <c r="R216" i="1"/>
  <c r="D216" i="3" s="1"/>
  <c r="R217" i="1"/>
  <c r="D217" i="3" s="1"/>
  <c r="R218" i="1"/>
  <c r="D218" i="3" s="1"/>
  <c r="R219" i="1"/>
  <c r="D219" i="3" s="1"/>
  <c r="R220" i="1"/>
  <c r="D220" i="3" s="1"/>
  <c r="R221" i="1"/>
  <c r="D221" i="3" s="1"/>
  <c r="R222" i="1"/>
  <c r="D222" i="3" s="1"/>
  <c r="R223" i="1"/>
  <c r="D223" i="3" s="1"/>
  <c r="R224" i="1"/>
  <c r="D224" i="3" s="1"/>
  <c r="R225" i="1"/>
  <c r="D225" i="3" s="1"/>
  <c r="R226" i="1"/>
  <c r="D226" i="3" s="1"/>
  <c r="R227" i="1"/>
  <c r="D227" i="3" s="1"/>
  <c r="R228" i="1"/>
  <c r="D228" i="3" s="1"/>
  <c r="R229" i="1"/>
  <c r="D229" i="3" s="1"/>
  <c r="R230" i="1"/>
  <c r="D230" i="3" s="1"/>
  <c r="R231" i="1"/>
  <c r="D231" i="3" s="1"/>
  <c r="R232" i="1"/>
  <c r="D232" i="3" s="1"/>
  <c r="R233" i="1"/>
  <c r="D233" i="3" s="1"/>
  <c r="R234" i="1"/>
  <c r="D234" i="3" s="1"/>
  <c r="R235" i="1"/>
  <c r="D235" i="3" s="1"/>
  <c r="R236" i="1"/>
  <c r="D236" i="3" s="1"/>
  <c r="R237" i="1"/>
  <c r="D237" i="3" s="1"/>
  <c r="R238" i="1"/>
  <c r="D238" i="3" s="1"/>
  <c r="R239" i="1"/>
  <c r="D239" i="3" s="1"/>
  <c r="R240" i="1"/>
  <c r="D240" i="3" s="1"/>
  <c r="R241" i="1"/>
  <c r="D241" i="3" s="1"/>
  <c r="R242" i="1"/>
  <c r="D242" i="3" s="1"/>
  <c r="R243" i="1"/>
  <c r="D243" i="3" s="1"/>
  <c r="R244" i="1"/>
  <c r="D244" i="3" s="1"/>
  <c r="R245" i="1"/>
  <c r="D245" i="3" s="1"/>
  <c r="R246" i="1"/>
  <c r="D246" i="3" s="1"/>
  <c r="R247" i="1"/>
  <c r="D247" i="3" s="1"/>
  <c r="R248" i="1"/>
  <c r="D248" i="3" s="1"/>
  <c r="R249" i="1"/>
  <c r="D249" i="3" s="1"/>
  <c r="R250" i="1"/>
  <c r="D250" i="3" s="1"/>
  <c r="R251" i="1"/>
  <c r="D251" i="3" s="1"/>
  <c r="R252" i="1"/>
  <c r="D252" i="3" s="1"/>
  <c r="R253" i="1"/>
  <c r="D253" i="3" s="1"/>
  <c r="R254" i="1"/>
  <c r="D254" i="3" s="1"/>
  <c r="R255" i="1"/>
  <c r="D255" i="3" s="1"/>
  <c r="R256" i="1"/>
  <c r="D256" i="3" s="1"/>
  <c r="R257" i="1"/>
  <c r="D257" i="3" s="1"/>
  <c r="R258" i="1"/>
  <c r="D258" i="3" s="1"/>
  <c r="R259" i="1"/>
  <c r="D259" i="3" s="1"/>
  <c r="R260" i="1"/>
  <c r="D260" i="3" s="1"/>
  <c r="R261" i="1"/>
  <c r="D261" i="3" s="1"/>
  <c r="R262" i="1"/>
  <c r="D262" i="3" s="1"/>
  <c r="R263" i="1"/>
  <c r="D263" i="3" s="1"/>
  <c r="R264" i="1"/>
  <c r="D264" i="3" s="1"/>
  <c r="R265" i="1"/>
  <c r="D265" i="3" s="1"/>
  <c r="R266" i="1"/>
  <c r="D266" i="3" s="1"/>
  <c r="R267" i="1"/>
  <c r="D267" i="3" s="1"/>
  <c r="R268" i="1"/>
  <c r="D268" i="3" s="1"/>
  <c r="R269" i="1"/>
  <c r="D269" i="3" s="1"/>
  <c r="R270" i="1"/>
  <c r="D270" i="3" s="1"/>
  <c r="R271" i="1"/>
  <c r="D271" i="3" s="1"/>
  <c r="R272" i="1"/>
  <c r="D272" i="3" s="1"/>
  <c r="R273" i="1"/>
  <c r="D273" i="3" s="1"/>
  <c r="R274" i="1"/>
  <c r="D274" i="3" s="1"/>
  <c r="R275" i="1"/>
  <c r="D275" i="3" s="1"/>
  <c r="R276" i="1"/>
  <c r="D276" i="3" s="1"/>
  <c r="R277" i="1"/>
  <c r="D277" i="3" s="1"/>
  <c r="R278" i="1"/>
  <c r="D278" i="3" s="1"/>
  <c r="R279" i="1"/>
  <c r="D279" i="3" s="1"/>
  <c r="R280" i="1"/>
  <c r="D280" i="3" s="1"/>
  <c r="R281" i="1"/>
  <c r="D281" i="3" s="1"/>
  <c r="R282" i="1"/>
  <c r="D282" i="3" s="1"/>
  <c r="R283" i="1"/>
  <c r="D283" i="3" s="1"/>
  <c r="R284" i="1"/>
  <c r="D284" i="3" s="1"/>
  <c r="R285" i="1"/>
  <c r="D285" i="3" s="1"/>
  <c r="R286" i="1"/>
  <c r="D286" i="3" s="1"/>
  <c r="R287" i="1"/>
  <c r="D287" i="3" s="1"/>
  <c r="R288" i="1"/>
  <c r="D288" i="3" s="1"/>
  <c r="R289" i="1"/>
  <c r="D289" i="3" s="1"/>
  <c r="R290" i="1"/>
  <c r="D290" i="3" s="1"/>
  <c r="R291" i="1"/>
  <c r="D291" i="3" s="1"/>
  <c r="R292" i="1"/>
  <c r="D292" i="3" s="1"/>
  <c r="R293" i="1"/>
  <c r="D293" i="3" s="1"/>
  <c r="R294" i="1"/>
  <c r="D294" i="3" s="1"/>
  <c r="R295" i="1"/>
  <c r="D295" i="3" s="1"/>
  <c r="R296" i="1"/>
  <c r="D296" i="3" s="1"/>
  <c r="R297" i="1"/>
  <c r="D297" i="3" s="1"/>
  <c r="R298" i="1"/>
  <c r="D298" i="3" s="1"/>
  <c r="R299" i="1"/>
  <c r="D299" i="3" s="1"/>
  <c r="R300" i="1"/>
  <c r="D300" i="3" s="1"/>
  <c r="R301" i="1"/>
  <c r="D301" i="3" s="1"/>
  <c r="R302" i="1"/>
  <c r="D302" i="3" s="1"/>
  <c r="R303" i="1"/>
  <c r="D303" i="3" s="1"/>
  <c r="R304" i="1"/>
  <c r="D304" i="3" s="1"/>
  <c r="R305" i="1"/>
  <c r="D305" i="3" s="1"/>
  <c r="R306" i="1"/>
  <c r="D306" i="3" s="1"/>
  <c r="R307" i="1"/>
  <c r="D307" i="3" s="1"/>
  <c r="R308" i="1"/>
  <c r="D308" i="3" s="1"/>
  <c r="R309" i="1"/>
  <c r="D309" i="3" s="1"/>
  <c r="R310" i="1"/>
  <c r="D310" i="3" s="1"/>
  <c r="R311" i="1"/>
  <c r="D311" i="3" s="1"/>
  <c r="R312" i="1"/>
  <c r="D312" i="3" s="1"/>
  <c r="R313" i="1"/>
  <c r="D313" i="3" s="1"/>
  <c r="R314" i="1"/>
  <c r="D314" i="3" s="1"/>
  <c r="R315" i="1"/>
  <c r="D315" i="3" s="1"/>
  <c r="R316" i="1"/>
  <c r="D316" i="3" s="1"/>
  <c r="R317" i="1"/>
  <c r="D317" i="3" s="1"/>
  <c r="R318" i="1"/>
  <c r="D318" i="3" s="1"/>
  <c r="R319" i="1"/>
  <c r="D319" i="3" s="1"/>
  <c r="R320" i="1"/>
  <c r="D320" i="3" s="1"/>
  <c r="R321" i="1"/>
  <c r="D321" i="3" s="1"/>
  <c r="R322" i="1"/>
  <c r="D322" i="3" s="1"/>
  <c r="R323" i="1"/>
  <c r="D323" i="3" s="1"/>
  <c r="R324" i="1"/>
  <c r="D324" i="3" s="1"/>
  <c r="R325" i="1"/>
  <c r="D325" i="3" s="1"/>
  <c r="R326" i="1"/>
  <c r="D326" i="3" s="1"/>
  <c r="R327" i="1"/>
  <c r="D327" i="3" s="1"/>
  <c r="R328" i="1"/>
  <c r="D328" i="3" s="1"/>
  <c r="R329" i="1"/>
  <c r="D329" i="3" s="1"/>
  <c r="R330" i="1"/>
  <c r="D330" i="3" s="1"/>
  <c r="R331" i="1"/>
  <c r="D331" i="3" s="1"/>
  <c r="R332" i="1"/>
  <c r="D332" i="3" s="1"/>
  <c r="R333" i="1"/>
  <c r="D333" i="3" s="1"/>
  <c r="R334" i="1"/>
  <c r="D334" i="3" s="1"/>
  <c r="R335" i="1"/>
  <c r="D335" i="3" s="1"/>
  <c r="R336" i="1"/>
  <c r="D336" i="3" s="1"/>
  <c r="R337" i="1"/>
  <c r="D337" i="3" s="1"/>
  <c r="R338" i="1"/>
  <c r="D338" i="3" s="1"/>
  <c r="R339" i="1"/>
  <c r="D339" i="3" s="1"/>
  <c r="R340" i="1"/>
  <c r="D340" i="3" s="1"/>
  <c r="R341" i="1"/>
  <c r="D341" i="3" s="1"/>
  <c r="R342" i="1"/>
  <c r="D342" i="3" s="1"/>
  <c r="R343" i="1"/>
  <c r="D343" i="3" s="1"/>
  <c r="R344" i="1"/>
  <c r="D344" i="3" s="1"/>
  <c r="R345" i="1"/>
  <c r="D345" i="3" s="1"/>
  <c r="R346" i="1"/>
  <c r="D346" i="3" s="1"/>
  <c r="R347" i="1"/>
  <c r="D347" i="3" s="1"/>
  <c r="R348" i="1"/>
  <c r="D348" i="3" s="1"/>
  <c r="R349" i="1"/>
  <c r="D349" i="3" s="1"/>
  <c r="R350" i="1"/>
  <c r="D350" i="3" s="1"/>
  <c r="R351" i="1"/>
  <c r="D351" i="3" s="1"/>
  <c r="R352" i="1"/>
  <c r="D352" i="3" s="1"/>
  <c r="R353" i="1"/>
  <c r="D353" i="3" s="1"/>
  <c r="R354" i="1"/>
  <c r="D354" i="3" s="1"/>
  <c r="R355" i="1"/>
  <c r="D355" i="3" s="1"/>
  <c r="R356" i="1"/>
  <c r="D356" i="3" s="1"/>
  <c r="R357" i="1"/>
  <c r="D357" i="3" s="1"/>
  <c r="R358" i="1"/>
  <c r="D358" i="3" s="1"/>
  <c r="R359" i="1"/>
  <c r="D359" i="3" s="1"/>
  <c r="R360" i="1"/>
  <c r="D360" i="3" s="1"/>
  <c r="R361" i="1"/>
  <c r="D361" i="3" s="1"/>
  <c r="R362" i="1"/>
  <c r="D362" i="3" s="1"/>
  <c r="R363" i="1"/>
  <c r="D363" i="3" s="1"/>
  <c r="R364" i="1"/>
  <c r="D364" i="3" s="1"/>
  <c r="R365" i="1"/>
  <c r="D365" i="3" s="1"/>
  <c r="R366" i="1"/>
  <c r="D366" i="3" s="1"/>
  <c r="R367" i="1"/>
  <c r="D367" i="3" s="1"/>
  <c r="R368" i="1"/>
  <c r="D368" i="3" s="1"/>
  <c r="R369" i="1"/>
  <c r="D369" i="3" s="1"/>
  <c r="R370" i="1"/>
  <c r="D370" i="3" s="1"/>
  <c r="R371" i="1"/>
  <c r="D371" i="3" s="1"/>
  <c r="R372" i="1"/>
  <c r="D372" i="3" s="1"/>
  <c r="R373" i="1"/>
  <c r="D373" i="3" s="1"/>
  <c r="R374" i="1"/>
  <c r="D374" i="3" s="1"/>
  <c r="R375" i="1"/>
  <c r="D375" i="3" s="1"/>
  <c r="R376" i="1"/>
  <c r="D376" i="3" s="1"/>
  <c r="R377" i="1"/>
  <c r="D377" i="3" s="1"/>
  <c r="R378" i="1"/>
  <c r="D378" i="3" s="1"/>
  <c r="R379" i="1"/>
  <c r="D379" i="3" s="1"/>
  <c r="R380" i="1"/>
  <c r="D380" i="3" s="1"/>
  <c r="R381" i="1"/>
  <c r="D381" i="3" s="1"/>
  <c r="R382" i="1"/>
  <c r="D382" i="3" s="1"/>
  <c r="R383" i="1"/>
  <c r="D383" i="3" s="1"/>
  <c r="R384" i="1"/>
  <c r="D384" i="3" s="1"/>
  <c r="R385" i="1"/>
  <c r="D385" i="3" s="1"/>
  <c r="R386" i="1"/>
  <c r="D386" i="3" s="1"/>
  <c r="R387" i="1"/>
  <c r="D387" i="3" s="1"/>
  <c r="R388" i="1"/>
  <c r="D388" i="3" s="1"/>
  <c r="R389" i="1"/>
  <c r="D389" i="3" s="1"/>
  <c r="R390" i="1"/>
  <c r="D390" i="3" s="1"/>
  <c r="R391" i="1"/>
  <c r="D391" i="3" s="1"/>
  <c r="R392" i="1"/>
  <c r="D392" i="3" s="1"/>
  <c r="R393" i="1"/>
  <c r="D393" i="3" s="1"/>
  <c r="R394" i="1"/>
  <c r="D394" i="3" s="1"/>
  <c r="R395" i="1"/>
  <c r="D395" i="3" s="1"/>
  <c r="R396" i="1"/>
  <c r="D396" i="3" s="1"/>
  <c r="R397" i="1"/>
  <c r="D397" i="3" s="1"/>
  <c r="R398" i="1"/>
  <c r="D398" i="3" s="1"/>
  <c r="R399" i="1"/>
  <c r="D399" i="3" s="1"/>
  <c r="R400" i="1"/>
  <c r="D400" i="3" s="1"/>
  <c r="R401" i="1"/>
  <c r="D401" i="3" s="1"/>
  <c r="R402" i="1"/>
  <c r="D402" i="3" s="1"/>
  <c r="R403" i="1"/>
  <c r="D403" i="3" s="1"/>
  <c r="R404" i="1"/>
  <c r="D404" i="3" s="1"/>
  <c r="R405" i="1"/>
  <c r="D405" i="3" s="1"/>
  <c r="R406" i="1"/>
  <c r="D406" i="3" s="1"/>
  <c r="R407" i="1"/>
  <c r="D407" i="3" s="1"/>
  <c r="R408" i="1"/>
  <c r="D408" i="3" s="1"/>
  <c r="R409" i="1"/>
  <c r="D409" i="3" s="1"/>
  <c r="R410" i="1"/>
  <c r="D410" i="3" s="1"/>
  <c r="R411" i="1"/>
  <c r="D411" i="3" s="1"/>
  <c r="R412" i="1"/>
  <c r="D412" i="3" s="1"/>
  <c r="R413" i="1"/>
  <c r="D413" i="3" s="1"/>
  <c r="R414" i="1"/>
  <c r="D414" i="3" s="1"/>
  <c r="R415" i="1"/>
  <c r="D415" i="3" s="1"/>
  <c r="R416" i="1"/>
  <c r="D416" i="3" s="1"/>
  <c r="R417" i="1"/>
  <c r="D417" i="3" s="1"/>
  <c r="R418" i="1"/>
  <c r="D418" i="3" s="1"/>
  <c r="R419" i="1"/>
  <c r="D419" i="3" s="1"/>
  <c r="R420" i="1"/>
  <c r="D420" i="3" s="1"/>
  <c r="R421" i="1"/>
  <c r="D421" i="3" s="1"/>
  <c r="R422" i="1"/>
  <c r="D422" i="3" s="1"/>
  <c r="R423" i="1"/>
  <c r="D423" i="3" s="1"/>
  <c r="R424" i="1"/>
  <c r="D424" i="3" s="1"/>
  <c r="R425" i="1"/>
  <c r="D425" i="3" s="1"/>
  <c r="R426" i="1"/>
  <c r="D426" i="3" s="1"/>
  <c r="R427" i="1"/>
  <c r="D427" i="3" s="1"/>
  <c r="R428" i="1"/>
  <c r="D428" i="3" s="1"/>
  <c r="R429" i="1"/>
  <c r="D429" i="3" s="1"/>
  <c r="R430" i="1"/>
  <c r="D430" i="3" s="1"/>
  <c r="R3" i="1"/>
  <c r="D3" i="3" s="1"/>
  <c r="D434" l="1"/>
  <c r="D435"/>
  <c r="D436"/>
  <c r="D437"/>
  <c r="D433"/>
  <c r="M426" s="1"/>
  <c r="B435"/>
  <c r="B436"/>
  <c r="H433"/>
  <c r="Q429" s="1"/>
  <c r="I433"/>
  <c r="J433"/>
  <c r="C433"/>
  <c r="E433"/>
  <c r="F433"/>
  <c r="G433"/>
  <c r="K433"/>
  <c r="B433"/>
  <c r="B437"/>
  <c r="I437"/>
  <c r="G437"/>
  <c r="E437"/>
  <c r="C437"/>
  <c r="I436"/>
  <c r="G436"/>
  <c r="E436"/>
  <c r="C436"/>
  <c r="I435"/>
  <c r="I438" s="1"/>
  <c r="G435"/>
  <c r="G438" s="1"/>
  <c r="E435"/>
  <c r="C435"/>
  <c r="C438" s="1"/>
  <c r="I434"/>
  <c r="G434"/>
  <c r="E434"/>
  <c r="C434"/>
  <c r="B434"/>
  <c r="J437"/>
  <c r="H437"/>
  <c r="F437"/>
  <c r="J436"/>
  <c r="H436"/>
  <c r="F436"/>
  <c r="J435"/>
  <c r="H435"/>
  <c r="F435"/>
  <c r="J434"/>
  <c r="H434"/>
  <c r="F434"/>
  <c r="K437"/>
  <c r="K434"/>
  <c r="K436"/>
  <c r="K435"/>
  <c r="F438" l="1"/>
  <c r="J438"/>
  <c r="E438"/>
  <c r="M28"/>
  <c r="M60"/>
  <c r="M92"/>
  <c r="M124"/>
  <c r="M156"/>
  <c r="M188"/>
  <c r="M220"/>
  <c r="M252"/>
  <c r="M284"/>
  <c r="M316"/>
  <c r="M348"/>
  <c r="M380"/>
  <c r="M412"/>
  <c r="M419"/>
  <c r="M403"/>
  <c r="M371"/>
  <c r="M339"/>
  <c r="M307"/>
  <c r="M275"/>
  <c r="M243"/>
  <c r="M211"/>
  <c r="M179"/>
  <c r="M147"/>
  <c r="M115"/>
  <c r="M83"/>
  <c r="M51"/>
  <c r="M19"/>
  <c r="M42"/>
  <c r="M106"/>
  <c r="M170"/>
  <c r="M234"/>
  <c r="M298"/>
  <c r="M362"/>
  <c r="M424"/>
  <c r="M20"/>
  <c r="M52"/>
  <c r="M84"/>
  <c r="M116"/>
  <c r="M148"/>
  <c r="M180"/>
  <c r="M212"/>
  <c r="M244"/>
  <c r="M276"/>
  <c r="M308"/>
  <c r="M340"/>
  <c r="M372"/>
  <c r="M404"/>
  <c r="M429"/>
  <c r="M407"/>
  <c r="M379"/>
  <c r="M347"/>
  <c r="M315"/>
  <c r="M283"/>
  <c r="M251"/>
  <c r="M219"/>
  <c r="M187"/>
  <c r="M155"/>
  <c r="M123"/>
  <c r="M91"/>
  <c r="M59"/>
  <c r="M27"/>
  <c r="M26"/>
  <c r="M90"/>
  <c r="M154"/>
  <c r="M218"/>
  <c r="M282"/>
  <c r="M346"/>
  <c r="M410"/>
  <c r="M4"/>
  <c r="M36"/>
  <c r="M68"/>
  <c r="M100"/>
  <c r="M132"/>
  <c r="M164"/>
  <c r="M196"/>
  <c r="M228"/>
  <c r="M260"/>
  <c r="M292"/>
  <c r="M324"/>
  <c r="M356"/>
  <c r="M388"/>
  <c r="M420"/>
  <c r="M415"/>
  <c r="M395"/>
  <c r="M363"/>
  <c r="M331"/>
  <c r="M299"/>
  <c r="M267"/>
  <c r="M235"/>
  <c r="M203"/>
  <c r="M171"/>
  <c r="M139"/>
  <c r="M107"/>
  <c r="M75"/>
  <c r="M43"/>
  <c r="M11"/>
  <c r="M58"/>
  <c r="M122"/>
  <c r="M186"/>
  <c r="M250"/>
  <c r="M314"/>
  <c r="M378"/>
  <c r="M12"/>
  <c r="M44"/>
  <c r="M76"/>
  <c r="M108"/>
  <c r="M140"/>
  <c r="M172"/>
  <c r="M204"/>
  <c r="M236"/>
  <c r="M268"/>
  <c r="M300"/>
  <c r="M332"/>
  <c r="M364"/>
  <c r="M396"/>
  <c r="M425"/>
  <c r="M411"/>
  <c r="M387"/>
  <c r="M355"/>
  <c r="M323"/>
  <c r="M291"/>
  <c r="M259"/>
  <c r="M227"/>
  <c r="M195"/>
  <c r="M163"/>
  <c r="M131"/>
  <c r="M99"/>
  <c r="M67"/>
  <c r="M35"/>
  <c r="M10"/>
  <c r="M74"/>
  <c r="M138"/>
  <c r="M202"/>
  <c r="M266"/>
  <c r="M330"/>
  <c r="M394"/>
  <c r="M8"/>
  <c r="M24"/>
  <c r="M40"/>
  <c r="M56"/>
  <c r="M72"/>
  <c r="M88"/>
  <c r="M104"/>
  <c r="M120"/>
  <c r="M136"/>
  <c r="M152"/>
  <c r="M168"/>
  <c r="M184"/>
  <c r="M200"/>
  <c r="M216"/>
  <c r="M232"/>
  <c r="M248"/>
  <c r="M264"/>
  <c r="M280"/>
  <c r="M296"/>
  <c r="M312"/>
  <c r="M328"/>
  <c r="M344"/>
  <c r="M360"/>
  <c r="M376"/>
  <c r="M392"/>
  <c r="M408"/>
  <c r="M423"/>
  <c r="M421"/>
  <c r="M413"/>
  <c r="M405"/>
  <c r="M397"/>
  <c r="M389"/>
  <c r="M381"/>
  <c r="M373"/>
  <c r="M365"/>
  <c r="M357"/>
  <c r="M349"/>
  <c r="M341"/>
  <c r="M333"/>
  <c r="M325"/>
  <c r="M317"/>
  <c r="M309"/>
  <c r="M301"/>
  <c r="M293"/>
  <c r="M285"/>
  <c r="M277"/>
  <c r="M269"/>
  <c r="M261"/>
  <c r="M253"/>
  <c r="M245"/>
  <c r="M237"/>
  <c r="M229"/>
  <c r="M221"/>
  <c r="M213"/>
  <c r="M205"/>
  <c r="M197"/>
  <c r="M189"/>
  <c r="M181"/>
  <c r="M173"/>
  <c r="M165"/>
  <c r="M157"/>
  <c r="M149"/>
  <c r="M141"/>
  <c r="M133"/>
  <c r="M125"/>
  <c r="M117"/>
  <c r="M109"/>
  <c r="M101"/>
  <c r="M93"/>
  <c r="M85"/>
  <c r="M77"/>
  <c r="M69"/>
  <c r="M61"/>
  <c r="M53"/>
  <c r="M45"/>
  <c r="M37"/>
  <c r="M29"/>
  <c r="M21"/>
  <c r="M13"/>
  <c r="M5"/>
  <c r="M22"/>
  <c r="M38"/>
  <c r="M54"/>
  <c r="M70"/>
  <c r="M86"/>
  <c r="M102"/>
  <c r="M118"/>
  <c r="M134"/>
  <c r="M150"/>
  <c r="M166"/>
  <c r="M182"/>
  <c r="M198"/>
  <c r="M214"/>
  <c r="M230"/>
  <c r="M246"/>
  <c r="M262"/>
  <c r="M278"/>
  <c r="M294"/>
  <c r="M310"/>
  <c r="M326"/>
  <c r="M342"/>
  <c r="M358"/>
  <c r="M374"/>
  <c r="M390"/>
  <c r="M406"/>
  <c r="M422"/>
  <c r="M430"/>
  <c r="D438"/>
  <c r="M399"/>
  <c r="M391"/>
  <c r="M383"/>
  <c r="M375"/>
  <c r="M367"/>
  <c r="M359"/>
  <c r="M351"/>
  <c r="M343"/>
  <c r="M335"/>
  <c r="M327"/>
  <c r="M319"/>
  <c r="M311"/>
  <c r="M303"/>
  <c r="M295"/>
  <c r="M287"/>
  <c r="M279"/>
  <c r="M271"/>
  <c r="M263"/>
  <c r="M255"/>
  <c r="M247"/>
  <c r="M239"/>
  <c r="M231"/>
  <c r="M223"/>
  <c r="M215"/>
  <c r="M207"/>
  <c r="M199"/>
  <c r="M191"/>
  <c r="M183"/>
  <c r="M175"/>
  <c r="M167"/>
  <c r="M159"/>
  <c r="M151"/>
  <c r="M143"/>
  <c r="M135"/>
  <c r="M127"/>
  <c r="M119"/>
  <c r="M111"/>
  <c r="M103"/>
  <c r="M95"/>
  <c r="M87"/>
  <c r="M79"/>
  <c r="M71"/>
  <c r="M63"/>
  <c r="M55"/>
  <c r="M47"/>
  <c r="M39"/>
  <c r="M31"/>
  <c r="M23"/>
  <c r="M15"/>
  <c r="M7"/>
  <c r="M18"/>
  <c r="M34"/>
  <c r="M50"/>
  <c r="M66"/>
  <c r="M82"/>
  <c r="M98"/>
  <c r="M114"/>
  <c r="M130"/>
  <c r="M146"/>
  <c r="M162"/>
  <c r="M178"/>
  <c r="M194"/>
  <c r="M210"/>
  <c r="M226"/>
  <c r="M242"/>
  <c r="M258"/>
  <c r="M274"/>
  <c r="M290"/>
  <c r="M306"/>
  <c r="M322"/>
  <c r="M338"/>
  <c r="M354"/>
  <c r="M370"/>
  <c r="M386"/>
  <c r="M402"/>
  <c r="M418"/>
  <c r="M428"/>
  <c r="M16"/>
  <c r="M32"/>
  <c r="M48"/>
  <c r="M64"/>
  <c r="M80"/>
  <c r="M96"/>
  <c r="M112"/>
  <c r="M128"/>
  <c r="M144"/>
  <c r="M160"/>
  <c r="M176"/>
  <c r="M192"/>
  <c r="M208"/>
  <c r="M224"/>
  <c r="M240"/>
  <c r="M256"/>
  <c r="M272"/>
  <c r="M288"/>
  <c r="M304"/>
  <c r="M320"/>
  <c r="M336"/>
  <c r="M352"/>
  <c r="M368"/>
  <c r="M384"/>
  <c r="M400"/>
  <c r="M416"/>
  <c r="M427"/>
  <c r="M417"/>
  <c r="M409"/>
  <c r="M401"/>
  <c r="M393"/>
  <c r="M385"/>
  <c r="M377"/>
  <c r="M369"/>
  <c r="M361"/>
  <c r="M353"/>
  <c r="M345"/>
  <c r="M337"/>
  <c r="M329"/>
  <c r="M321"/>
  <c r="M313"/>
  <c r="M305"/>
  <c r="M297"/>
  <c r="M289"/>
  <c r="M281"/>
  <c r="M273"/>
  <c r="M265"/>
  <c r="M257"/>
  <c r="M249"/>
  <c r="M241"/>
  <c r="M233"/>
  <c r="M225"/>
  <c r="M217"/>
  <c r="M209"/>
  <c r="M201"/>
  <c r="M193"/>
  <c r="M185"/>
  <c r="M177"/>
  <c r="M169"/>
  <c r="M161"/>
  <c r="M153"/>
  <c r="M145"/>
  <c r="M137"/>
  <c r="M129"/>
  <c r="M121"/>
  <c r="M113"/>
  <c r="M105"/>
  <c r="M97"/>
  <c r="M89"/>
  <c r="M81"/>
  <c r="M73"/>
  <c r="M65"/>
  <c r="M57"/>
  <c r="M49"/>
  <c r="M41"/>
  <c r="M33"/>
  <c r="M25"/>
  <c r="M17"/>
  <c r="M9"/>
  <c r="M14"/>
  <c r="M30"/>
  <c r="M46"/>
  <c r="M62"/>
  <c r="M78"/>
  <c r="M94"/>
  <c r="M110"/>
  <c r="M126"/>
  <c r="M142"/>
  <c r="M158"/>
  <c r="M174"/>
  <c r="M190"/>
  <c r="M206"/>
  <c r="M222"/>
  <c r="M238"/>
  <c r="M254"/>
  <c r="M270"/>
  <c r="M286"/>
  <c r="M302"/>
  <c r="M318"/>
  <c r="M334"/>
  <c r="M350"/>
  <c r="M366"/>
  <c r="M382"/>
  <c r="M398"/>
  <c r="M414"/>
  <c r="M6"/>
  <c r="M3"/>
  <c r="H438"/>
  <c r="P425"/>
  <c r="S429"/>
  <c r="L430"/>
  <c r="K438"/>
  <c r="T19" s="1"/>
  <c r="AC19" s="1"/>
  <c r="O428"/>
  <c r="R429"/>
  <c r="N3"/>
  <c r="B438"/>
  <c r="O13"/>
  <c r="O27"/>
  <c r="O31"/>
  <c r="O45"/>
  <c r="O59"/>
  <c r="O63"/>
  <c r="O77"/>
  <c r="O91"/>
  <c r="O95"/>
  <c r="O109"/>
  <c r="O123"/>
  <c r="O127"/>
  <c r="O141"/>
  <c r="O155"/>
  <c r="O159"/>
  <c r="O173"/>
  <c r="O187"/>
  <c r="O191"/>
  <c r="O205"/>
  <c r="O219"/>
  <c r="O223"/>
  <c r="O237"/>
  <c r="O251"/>
  <c r="O255"/>
  <c r="O269"/>
  <c r="O283"/>
  <c r="O287"/>
  <c r="O301"/>
  <c r="O315"/>
  <c r="O319"/>
  <c r="O333"/>
  <c r="O347"/>
  <c r="O351"/>
  <c r="O365"/>
  <c r="O379"/>
  <c r="O383"/>
  <c r="O397"/>
  <c r="O411"/>
  <c r="O415"/>
  <c r="O429"/>
  <c r="S6"/>
  <c r="S10"/>
  <c r="S14"/>
  <c r="S18"/>
  <c r="S22"/>
  <c r="S26"/>
  <c r="S30"/>
  <c r="S34"/>
  <c r="S38"/>
  <c r="S42"/>
  <c r="S46"/>
  <c r="S50"/>
  <c r="S54"/>
  <c r="S58"/>
  <c r="S62"/>
  <c r="S66"/>
  <c r="S70"/>
  <c r="S74"/>
  <c r="S78"/>
  <c r="S82"/>
  <c r="S86"/>
  <c r="S90"/>
  <c r="S94"/>
  <c r="S98"/>
  <c r="S102"/>
  <c r="S106"/>
  <c r="S110"/>
  <c r="S114"/>
  <c r="S118"/>
  <c r="S122"/>
  <c r="S126"/>
  <c r="S130"/>
  <c r="S134"/>
  <c r="S138"/>
  <c r="S142"/>
  <c r="S146"/>
  <c r="S150"/>
  <c r="S154"/>
  <c r="S158"/>
  <c r="S162"/>
  <c r="S166"/>
  <c r="S170"/>
  <c r="S174"/>
  <c r="S178"/>
  <c r="S182"/>
  <c r="S186"/>
  <c r="S190"/>
  <c r="S194"/>
  <c r="S198"/>
  <c r="S202"/>
  <c r="S206"/>
  <c r="S210"/>
  <c r="S214"/>
  <c r="S218"/>
  <c r="S222"/>
  <c r="S226"/>
  <c r="S230"/>
  <c r="S234"/>
  <c r="S238"/>
  <c r="S242"/>
  <c r="S246"/>
  <c r="S250"/>
  <c r="S254"/>
  <c r="S258"/>
  <c r="S262"/>
  <c r="S266"/>
  <c r="S270"/>
  <c r="S274"/>
  <c r="S278"/>
  <c r="S282"/>
  <c r="S286"/>
  <c r="S290"/>
  <c r="S294"/>
  <c r="S298"/>
  <c r="S302"/>
  <c r="S306"/>
  <c r="S310"/>
  <c r="S314"/>
  <c r="S318"/>
  <c r="S322"/>
  <c r="S326"/>
  <c r="S330"/>
  <c r="S334"/>
  <c r="S338"/>
  <c r="S342"/>
  <c r="S346"/>
  <c r="S350"/>
  <c r="S354"/>
  <c r="S358"/>
  <c r="S362"/>
  <c r="S366"/>
  <c r="S370"/>
  <c r="S374"/>
  <c r="S378"/>
  <c r="S382"/>
  <c r="S386"/>
  <c r="S390"/>
  <c r="S394"/>
  <c r="S398"/>
  <c r="S402"/>
  <c r="S406"/>
  <c r="S410"/>
  <c r="S414"/>
  <c r="S418"/>
  <c r="S422"/>
  <c r="S426"/>
  <c r="S430"/>
  <c r="R6"/>
  <c r="R10"/>
  <c r="R14"/>
  <c r="R18"/>
  <c r="R22"/>
  <c r="R26"/>
  <c r="R30"/>
  <c r="R34"/>
  <c r="R38"/>
  <c r="R42"/>
  <c r="R46"/>
  <c r="R50"/>
  <c r="R54"/>
  <c r="R58"/>
  <c r="R62"/>
  <c r="R66"/>
  <c r="R70"/>
  <c r="R74"/>
  <c r="R78"/>
  <c r="R82"/>
  <c r="R86"/>
  <c r="R90"/>
  <c r="R94"/>
  <c r="R98"/>
  <c r="R102"/>
  <c r="R106"/>
  <c r="R110"/>
  <c r="R114"/>
  <c r="R118"/>
  <c r="R122"/>
  <c r="R126"/>
  <c r="R130"/>
  <c r="R134"/>
  <c r="R138"/>
  <c r="R142"/>
  <c r="R146"/>
  <c r="R150"/>
  <c r="R154"/>
  <c r="R158"/>
  <c r="R162"/>
  <c r="R166"/>
  <c r="R170"/>
  <c r="R174"/>
  <c r="R178"/>
  <c r="R182"/>
  <c r="R186"/>
  <c r="R190"/>
  <c r="R194"/>
  <c r="R198"/>
  <c r="R202"/>
  <c r="R206"/>
  <c r="R210"/>
  <c r="R214"/>
  <c r="R218"/>
  <c r="R222"/>
  <c r="R226"/>
  <c r="R230"/>
  <c r="R234"/>
  <c r="R238"/>
  <c r="R242"/>
  <c r="R246"/>
  <c r="R250"/>
  <c r="R254"/>
  <c r="R258"/>
  <c r="R262"/>
  <c r="R266"/>
  <c r="R270"/>
  <c r="R274"/>
  <c r="R278"/>
  <c r="R282"/>
  <c r="R286"/>
  <c r="R290"/>
  <c r="R294"/>
  <c r="R298"/>
  <c r="R302"/>
  <c r="R306"/>
  <c r="R310"/>
  <c r="R314"/>
  <c r="R318"/>
  <c r="R322"/>
  <c r="R326"/>
  <c r="R330"/>
  <c r="R334"/>
  <c r="R338"/>
  <c r="R342"/>
  <c r="R346"/>
  <c r="R350"/>
  <c r="R354"/>
  <c r="R358"/>
  <c r="R362"/>
  <c r="R366"/>
  <c r="R370"/>
  <c r="R374"/>
  <c r="R378"/>
  <c r="R382"/>
  <c r="R386"/>
  <c r="R390"/>
  <c r="R394"/>
  <c r="R398"/>
  <c r="R402"/>
  <c r="R406"/>
  <c r="R410"/>
  <c r="R414"/>
  <c r="R418"/>
  <c r="R422"/>
  <c r="R426"/>
  <c r="R430"/>
  <c r="Q6"/>
  <c r="Q10"/>
  <c r="Q14"/>
  <c r="Q18"/>
  <c r="Q22"/>
  <c r="Q26"/>
  <c r="Q30"/>
  <c r="Q34"/>
  <c r="Q38"/>
  <c r="Q42"/>
  <c r="Q46"/>
  <c r="Q50"/>
  <c r="Q54"/>
  <c r="Q58"/>
  <c r="Q62"/>
  <c r="Q66"/>
  <c r="Q70"/>
  <c r="Q74"/>
  <c r="Q78"/>
  <c r="Q82"/>
  <c r="Q86"/>
  <c r="Q90"/>
  <c r="Q94"/>
  <c r="Q98"/>
  <c r="Q102"/>
  <c r="Q106"/>
  <c r="Q110"/>
  <c r="Q114"/>
  <c r="Q118"/>
  <c r="Q122"/>
  <c r="Q126"/>
  <c r="Q130"/>
  <c r="Q134"/>
  <c r="Q138"/>
  <c r="Q142"/>
  <c r="Q146"/>
  <c r="Q150"/>
  <c r="Q154"/>
  <c r="Q158"/>
  <c r="Q162"/>
  <c r="Q166"/>
  <c r="Q170"/>
  <c r="Q174"/>
  <c r="Q178"/>
  <c r="Q182"/>
  <c r="Q186"/>
  <c r="Q190"/>
  <c r="Q194"/>
  <c r="Q198"/>
  <c r="Q202"/>
  <c r="Q206"/>
  <c r="Q210"/>
  <c r="Q214"/>
  <c r="Q218"/>
  <c r="Q222"/>
  <c r="Q226"/>
  <c r="Q230"/>
  <c r="Q234"/>
  <c r="Q238"/>
  <c r="Q242"/>
  <c r="Q246"/>
  <c r="Q250"/>
  <c r="Q254"/>
  <c r="Q258"/>
  <c r="Q262"/>
  <c r="Q266"/>
  <c r="Q270"/>
  <c r="Q274"/>
  <c r="Q278"/>
  <c r="Q282"/>
  <c r="Q286"/>
  <c r="Q290"/>
  <c r="Q294"/>
  <c r="Q298"/>
  <c r="Q302"/>
  <c r="Q306"/>
  <c r="Q310"/>
  <c r="Q314"/>
  <c r="Q318"/>
  <c r="Q322"/>
  <c r="Q326"/>
  <c r="Q330"/>
  <c r="Q334"/>
  <c r="Q338"/>
  <c r="Q342"/>
  <c r="Q346"/>
  <c r="Q350"/>
  <c r="Q354"/>
  <c r="Q358"/>
  <c r="Q362"/>
  <c r="Q366"/>
  <c r="Q370"/>
  <c r="Q374"/>
  <c r="Q378"/>
  <c r="Q382"/>
  <c r="Q386"/>
  <c r="Q390"/>
  <c r="Q394"/>
  <c r="Q398"/>
  <c r="Q402"/>
  <c r="Q406"/>
  <c r="Q410"/>
  <c r="Q414"/>
  <c r="Q418"/>
  <c r="Q422"/>
  <c r="Q426"/>
  <c r="Q430"/>
  <c r="P141"/>
  <c r="P173"/>
  <c r="P205"/>
  <c r="P237"/>
  <c r="P269"/>
  <c r="P301"/>
  <c r="P333"/>
  <c r="P365"/>
  <c r="P397"/>
  <c r="P429"/>
  <c r="O65"/>
  <c r="O129"/>
  <c r="O193"/>
  <c r="O257"/>
  <c r="O321"/>
  <c r="O385"/>
  <c r="P4"/>
  <c r="P8"/>
  <c r="P12"/>
  <c r="P16"/>
  <c r="P20"/>
  <c r="P24"/>
  <c r="P28"/>
  <c r="P32"/>
  <c r="P36"/>
  <c r="P40"/>
  <c r="P44"/>
  <c r="P48"/>
  <c r="P52"/>
  <c r="P56"/>
  <c r="P60"/>
  <c r="P64"/>
  <c r="P68"/>
  <c r="P72"/>
  <c r="P76"/>
  <c r="P80"/>
  <c r="P84"/>
  <c r="P88"/>
  <c r="P92"/>
  <c r="P96"/>
  <c r="P100"/>
  <c r="P104"/>
  <c r="P108"/>
  <c r="P112"/>
  <c r="P116"/>
  <c r="P120"/>
  <c r="P124"/>
  <c r="P128"/>
  <c r="P132"/>
  <c r="P136"/>
  <c r="P140"/>
  <c r="P144"/>
  <c r="P148"/>
  <c r="P152"/>
  <c r="P156"/>
  <c r="P160"/>
  <c r="P164"/>
  <c r="P168"/>
  <c r="P172"/>
  <c r="P176"/>
  <c r="P180"/>
  <c r="P184"/>
  <c r="P188"/>
  <c r="P192"/>
  <c r="P196"/>
  <c r="P200"/>
  <c r="P204"/>
  <c r="P208"/>
  <c r="P212"/>
  <c r="P216"/>
  <c r="P220"/>
  <c r="P224"/>
  <c r="P228"/>
  <c r="P232"/>
  <c r="P236"/>
  <c r="P240"/>
  <c r="P244"/>
  <c r="P248"/>
  <c r="P252"/>
  <c r="P256"/>
  <c r="P260"/>
  <c r="P264"/>
  <c r="P268"/>
  <c r="P272"/>
  <c r="P276"/>
  <c r="P280"/>
  <c r="P284"/>
  <c r="P288"/>
  <c r="P292"/>
  <c r="P296"/>
  <c r="P300"/>
  <c r="P304"/>
  <c r="P308"/>
  <c r="P312"/>
  <c r="P316"/>
  <c r="P320"/>
  <c r="P324"/>
  <c r="P328"/>
  <c r="P332"/>
  <c r="P336"/>
  <c r="P340"/>
  <c r="P344"/>
  <c r="P348"/>
  <c r="P352"/>
  <c r="P356"/>
  <c r="P360"/>
  <c r="P364"/>
  <c r="P368"/>
  <c r="P372"/>
  <c r="P376"/>
  <c r="P380"/>
  <c r="P384"/>
  <c r="P388"/>
  <c r="P392"/>
  <c r="P396"/>
  <c r="P400"/>
  <c r="P404"/>
  <c r="P408"/>
  <c r="P412"/>
  <c r="P416"/>
  <c r="P420"/>
  <c r="P424"/>
  <c r="P428"/>
  <c r="O4"/>
  <c r="O8"/>
  <c r="O14"/>
  <c r="O20"/>
  <c r="O24"/>
  <c r="O30"/>
  <c r="O36"/>
  <c r="O40"/>
  <c r="O46"/>
  <c r="O52"/>
  <c r="O56"/>
  <c r="O62"/>
  <c r="O68"/>
  <c r="O72"/>
  <c r="O78"/>
  <c r="O84"/>
  <c r="O88"/>
  <c r="O94"/>
  <c r="O100"/>
  <c r="O104"/>
  <c r="O110"/>
  <c r="O116"/>
  <c r="O120"/>
  <c r="O126"/>
  <c r="O132"/>
  <c r="O136"/>
  <c r="O142"/>
  <c r="O148"/>
  <c r="O152"/>
  <c r="O158"/>
  <c r="O164"/>
  <c r="O168"/>
  <c r="O174"/>
  <c r="O180"/>
  <c r="O184"/>
  <c r="O190"/>
  <c r="O196"/>
  <c r="O200"/>
  <c r="O206"/>
  <c r="O212"/>
  <c r="O216"/>
  <c r="O222"/>
  <c r="O228"/>
  <c r="O232"/>
  <c r="O238"/>
  <c r="O244"/>
  <c r="O248"/>
  <c r="O254"/>
  <c r="O260"/>
  <c r="O264"/>
  <c r="O270"/>
  <c r="O276"/>
  <c r="O280"/>
  <c r="O286"/>
  <c r="O292"/>
  <c r="O296"/>
  <c r="O302"/>
  <c r="O308"/>
  <c r="O312"/>
  <c r="O318"/>
  <c r="O324"/>
  <c r="O328"/>
  <c r="O334"/>
  <c r="O340"/>
  <c r="O344"/>
  <c r="O350"/>
  <c r="O356"/>
  <c r="O360"/>
  <c r="O366"/>
  <c r="O372"/>
  <c r="O376"/>
  <c r="O382"/>
  <c r="O388"/>
  <c r="O392"/>
  <c r="O398"/>
  <c r="O404"/>
  <c r="O408"/>
  <c r="O414"/>
  <c r="O420"/>
  <c r="O424"/>
  <c r="O430"/>
  <c r="N152"/>
  <c r="N328"/>
  <c r="N4"/>
  <c r="N10"/>
  <c r="N14"/>
  <c r="N18"/>
  <c r="N22"/>
  <c r="N26"/>
  <c r="N30"/>
  <c r="N34"/>
  <c r="N38"/>
  <c r="N42"/>
  <c r="N46"/>
  <c r="N50"/>
  <c r="N54"/>
  <c r="N58"/>
  <c r="N62"/>
  <c r="N66"/>
  <c r="N70"/>
  <c r="N76"/>
  <c r="N80"/>
  <c r="N84"/>
  <c r="N90"/>
  <c r="N94"/>
  <c r="N98"/>
  <c r="N102"/>
  <c r="N106"/>
  <c r="N110"/>
  <c r="N114"/>
  <c r="N118"/>
  <c r="N122"/>
  <c r="N126"/>
  <c r="N130"/>
  <c r="N134"/>
  <c r="N138"/>
  <c r="N142"/>
  <c r="N146"/>
  <c r="N150"/>
  <c r="N156"/>
  <c r="N160"/>
  <c r="N164"/>
  <c r="N170"/>
  <c r="N174"/>
  <c r="N178"/>
  <c r="N182"/>
  <c r="N186"/>
  <c r="N190"/>
  <c r="N194"/>
  <c r="N198"/>
  <c r="N202"/>
  <c r="N206"/>
  <c r="N210"/>
  <c r="N214"/>
  <c r="N218"/>
  <c r="N222"/>
  <c r="N226"/>
  <c r="N230"/>
  <c r="N236"/>
  <c r="N240"/>
  <c r="N244"/>
  <c r="N248"/>
  <c r="N252"/>
  <c r="N256"/>
  <c r="N260"/>
  <c r="N266"/>
  <c r="N270"/>
  <c r="N274"/>
  <c r="N278"/>
  <c r="N282"/>
  <c r="N286"/>
  <c r="N290"/>
  <c r="N294"/>
  <c r="N298"/>
  <c r="N302"/>
  <c r="N306"/>
  <c r="N310"/>
  <c r="N314"/>
  <c r="N318"/>
  <c r="N322"/>
  <c r="N326"/>
  <c r="N332"/>
  <c r="N336"/>
  <c r="N340"/>
  <c r="N346"/>
  <c r="N350"/>
  <c r="N354"/>
  <c r="N358"/>
  <c r="N362"/>
  <c r="N366"/>
  <c r="N370"/>
  <c r="N374"/>
  <c r="N378"/>
  <c r="N382"/>
  <c r="N386"/>
  <c r="N390"/>
  <c r="N394"/>
  <c r="N398"/>
  <c r="N402"/>
  <c r="N406"/>
  <c r="N412"/>
  <c r="N416"/>
  <c r="N420"/>
  <c r="N426"/>
  <c r="N430"/>
  <c r="L6"/>
  <c r="L10"/>
  <c r="L14"/>
  <c r="L18"/>
  <c r="L22"/>
  <c r="L26"/>
  <c r="L30"/>
  <c r="L34"/>
  <c r="L38"/>
  <c r="L42"/>
  <c r="L46"/>
  <c r="L50"/>
  <c r="L54"/>
  <c r="L58"/>
  <c r="L62"/>
  <c r="L66"/>
  <c r="L70"/>
  <c r="L74"/>
  <c r="L78"/>
  <c r="L82"/>
  <c r="L86"/>
  <c r="L90"/>
  <c r="L94"/>
  <c r="L98"/>
  <c r="L102"/>
  <c r="L106"/>
  <c r="L110"/>
  <c r="L114"/>
  <c r="L118"/>
  <c r="L122"/>
  <c r="L126"/>
  <c r="L130"/>
  <c r="L134"/>
  <c r="L138"/>
  <c r="L142"/>
  <c r="L146"/>
  <c r="L150"/>
  <c r="L154"/>
  <c r="L158"/>
  <c r="L162"/>
  <c r="L166"/>
  <c r="L170"/>
  <c r="L174"/>
  <c r="L178"/>
  <c r="L182"/>
  <c r="L186"/>
  <c r="L190"/>
  <c r="L194"/>
  <c r="L198"/>
  <c r="L202"/>
  <c r="L206"/>
  <c r="L210"/>
  <c r="L214"/>
  <c r="L218"/>
  <c r="L222"/>
  <c r="L226"/>
  <c r="L230"/>
  <c r="L234"/>
  <c r="L238"/>
  <c r="L242"/>
  <c r="L246"/>
  <c r="L250"/>
  <c r="L254"/>
  <c r="L258"/>
  <c r="L262"/>
  <c r="L266"/>
  <c r="L270"/>
  <c r="L274"/>
  <c r="L278"/>
  <c r="L284"/>
  <c r="L288"/>
  <c r="L292"/>
  <c r="L296"/>
  <c r="L300"/>
  <c r="L304"/>
  <c r="L308"/>
  <c r="L316"/>
  <c r="L324"/>
  <c r="L336"/>
  <c r="L346"/>
  <c r="S3"/>
  <c r="S7"/>
  <c r="S11"/>
  <c r="S15"/>
  <c r="S19"/>
  <c r="S23"/>
  <c r="S27"/>
  <c r="S31"/>
  <c r="S35"/>
  <c r="S39"/>
  <c r="S43"/>
  <c r="S47"/>
  <c r="S51"/>
  <c r="S55"/>
  <c r="S59"/>
  <c r="S63"/>
  <c r="S67"/>
  <c r="S71"/>
  <c r="S75"/>
  <c r="S79"/>
  <c r="S83"/>
  <c r="S87"/>
  <c r="S91"/>
  <c r="S95"/>
  <c r="S99"/>
  <c r="S103"/>
  <c r="S107"/>
  <c r="S111"/>
  <c r="S115"/>
  <c r="S119"/>
  <c r="S123"/>
  <c r="S127"/>
  <c r="S131"/>
  <c r="S135"/>
  <c r="S139"/>
  <c r="S143"/>
  <c r="S147"/>
  <c r="S151"/>
  <c r="S155"/>
  <c r="S159"/>
  <c r="S163"/>
  <c r="S167"/>
  <c r="S171"/>
  <c r="S175"/>
  <c r="S179"/>
  <c r="S183"/>
  <c r="S187"/>
  <c r="S191"/>
  <c r="S195"/>
  <c r="S199"/>
  <c r="S203"/>
  <c r="S207"/>
  <c r="S211"/>
  <c r="S215"/>
  <c r="S219"/>
  <c r="S223"/>
  <c r="S227"/>
  <c r="S231"/>
  <c r="S235"/>
  <c r="S239"/>
  <c r="S243"/>
  <c r="S247"/>
  <c r="S251"/>
  <c r="S255"/>
  <c r="S259"/>
  <c r="S263"/>
  <c r="S267"/>
  <c r="S271"/>
  <c r="S275"/>
  <c r="S279"/>
  <c r="S283"/>
  <c r="S287"/>
  <c r="S291"/>
  <c r="S295"/>
  <c r="S299"/>
  <c r="S303"/>
  <c r="S307"/>
  <c r="S311"/>
  <c r="S315"/>
  <c r="S319"/>
  <c r="S323"/>
  <c r="S327"/>
  <c r="S331"/>
  <c r="S335"/>
  <c r="S339"/>
  <c r="S343"/>
  <c r="S347"/>
  <c r="S351"/>
  <c r="S355"/>
  <c r="S359"/>
  <c r="S363"/>
  <c r="S367"/>
  <c r="S371"/>
  <c r="S375"/>
  <c r="S379"/>
  <c r="S383"/>
  <c r="S387"/>
  <c r="S391"/>
  <c r="S395"/>
  <c r="S399"/>
  <c r="S403"/>
  <c r="S407"/>
  <c r="S411"/>
  <c r="S415"/>
  <c r="S419"/>
  <c r="S423"/>
  <c r="S427"/>
  <c r="R3"/>
  <c r="R7"/>
  <c r="R11"/>
  <c r="R15"/>
  <c r="R19"/>
  <c r="R23"/>
  <c r="R27"/>
  <c r="R31"/>
  <c r="R35"/>
  <c r="R39"/>
  <c r="R43"/>
  <c r="R47"/>
  <c r="R51"/>
  <c r="R55"/>
  <c r="R59"/>
  <c r="R63"/>
  <c r="R67"/>
  <c r="R71"/>
  <c r="R75"/>
  <c r="R79"/>
  <c r="R83"/>
  <c r="R87"/>
  <c r="R91"/>
  <c r="R95"/>
  <c r="R99"/>
  <c r="R103"/>
  <c r="R107"/>
  <c r="R111"/>
  <c r="R115"/>
  <c r="R119"/>
  <c r="R123"/>
  <c r="R127"/>
  <c r="R131"/>
  <c r="R135"/>
  <c r="R139"/>
  <c r="R143"/>
  <c r="R147"/>
  <c r="R151"/>
  <c r="R155"/>
  <c r="R159"/>
  <c r="R163"/>
  <c r="R167"/>
  <c r="R171"/>
  <c r="R175"/>
  <c r="R179"/>
  <c r="R183"/>
  <c r="R187"/>
  <c r="R191"/>
  <c r="R195"/>
  <c r="R199"/>
  <c r="R203"/>
  <c r="R207"/>
  <c r="R211"/>
  <c r="R215"/>
  <c r="R219"/>
  <c r="R223"/>
  <c r="R227"/>
  <c r="R231"/>
  <c r="R235"/>
  <c r="R239"/>
  <c r="R243"/>
  <c r="R247"/>
  <c r="R251"/>
  <c r="R255"/>
  <c r="R259"/>
  <c r="R263"/>
  <c r="R267"/>
  <c r="R271"/>
  <c r="R275"/>
  <c r="R279"/>
  <c r="R283"/>
  <c r="R287"/>
  <c r="R291"/>
  <c r="R295"/>
  <c r="R299"/>
  <c r="R303"/>
  <c r="R307"/>
  <c r="R311"/>
  <c r="R315"/>
  <c r="R319"/>
  <c r="R323"/>
  <c r="R327"/>
  <c r="R331"/>
  <c r="R335"/>
  <c r="R339"/>
  <c r="R343"/>
  <c r="R347"/>
  <c r="R351"/>
  <c r="R355"/>
  <c r="R359"/>
  <c r="R363"/>
  <c r="R367"/>
  <c r="R371"/>
  <c r="R375"/>
  <c r="R379"/>
  <c r="R383"/>
  <c r="R387"/>
  <c r="R391"/>
  <c r="R395"/>
  <c r="R399"/>
  <c r="R403"/>
  <c r="R407"/>
  <c r="R411"/>
  <c r="R415"/>
  <c r="R419"/>
  <c r="R423"/>
  <c r="R427"/>
  <c r="Q3"/>
  <c r="Q7"/>
  <c r="Q11"/>
  <c r="Q15"/>
  <c r="Q19"/>
  <c r="Q23"/>
  <c r="Q27"/>
  <c r="Q31"/>
  <c r="Q35"/>
  <c r="Q39"/>
  <c r="Q43"/>
  <c r="Q47"/>
  <c r="Q51"/>
  <c r="Q55"/>
  <c r="Q59"/>
  <c r="Q63"/>
  <c r="Q67"/>
  <c r="Q71"/>
  <c r="Q75"/>
  <c r="Q79"/>
  <c r="Q83"/>
  <c r="Q87"/>
  <c r="Q91"/>
  <c r="Q95"/>
  <c r="Q99"/>
  <c r="Q103"/>
  <c r="Q107"/>
  <c r="Q111"/>
  <c r="Q115"/>
  <c r="Q119"/>
  <c r="Q123"/>
  <c r="Q127"/>
  <c r="Q131"/>
  <c r="Q135"/>
  <c r="Q139"/>
  <c r="Q143"/>
  <c r="Q147"/>
  <c r="Q151"/>
  <c r="Q155"/>
  <c r="Q159"/>
  <c r="Q163"/>
  <c r="Q167"/>
  <c r="Q171"/>
  <c r="Q175"/>
  <c r="Q179"/>
  <c r="Q183"/>
  <c r="Q187"/>
  <c r="Q191"/>
  <c r="Q195"/>
  <c r="Q199"/>
  <c r="Q203"/>
  <c r="Q207"/>
  <c r="Q211"/>
  <c r="Q215"/>
  <c r="Q219"/>
  <c r="Q223"/>
  <c r="Q227"/>
  <c r="Q231"/>
  <c r="Q235"/>
  <c r="Q239"/>
  <c r="Q243"/>
  <c r="Q247"/>
  <c r="Q251"/>
  <c r="Q255"/>
  <c r="Q259"/>
  <c r="Q263"/>
  <c r="Q267"/>
  <c r="Q271"/>
  <c r="Q275"/>
  <c r="Q279"/>
  <c r="Q283"/>
  <c r="Q287"/>
  <c r="Q291"/>
  <c r="Q295"/>
  <c r="Q299"/>
  <c r="Q303"/>
  <c r="Q307"/>
  <c r="Q311"/>
  <c r="Q315"/>
  <c r="Q319"/>
  <c r="Q323"/>
  <c r="Q327"/>
  <c r="Q331"/>
  <c r="Q335"/>
  <c r="Q339"/>
  <c r="Q343"/>
  <c r="Q347"/>
  <c r="Q351"/>
  <c r="Q355"/>
  <c r="Q359"/>
  <c r="Q363"/>
  <c r="Q367"/>
  <c r="Q371"/>
  <c r="Q375"/>
  <c r="Q379"/>
  <c r="Q383"/>
  <c r="Q387"/>
  <c r="Q391"/>
  <c r="Q395"/>
  <c r="Q399"/>
  <c r="Q403"/>
  <c r="Q407"/>
  <c r="Q411"/>
  <c r="Q415"/>
  <c r="Q419"/>
  <c r="Q423"/>
  <c r="Q427"/>
  <c r="P119"/>
  <c r="P151"/>
  <c r="P183"/>
  <c r="P215"/>
  <c r="P247"/>
  <c r="P279"/>
  <c r="P311"/>
  <c r="P343"/>
  <c r="P375"/>
  <c r="P407"/>
  <c r="O17"/>
  <c r="O81"/>
  <c r="O145"/>
  <c r="O209"/>
  <c r="O273"/>
  <c r="O337"/>
  <c r="O401"/>
  <c r="P5"/>
  <c r="P9"/>
  <c r="P13"/>
  <c r="P17"/>
  <c r="P21"/>
  <c r="P25"/>
  <c r="P29"/>
  <c r="P33"/>
  <c r="P37"/>
  <c r="P41"/>
  <c r="P45"/>
  <c r="P49"/>
  <c r="P53"/>
  <c r="P57"/>
  <c r="P61"/>
  <c r="P65"/>
  <c r="P69"/>
  <c r="P73"/>
  <c r="P77"/>
  <c r="P81"/>
  <c r="P85"/>
  <c r="P89"/>
  <c r="P93"/>
  <c r="P97"/>
  <c r="P101"/>
  <c r="P105"/>
  <c r="P109"/>
  <c r="P113"/>
  <c r="P117"/>
  <c r="P123"/>
  <c r="P129"/>
  <c r="P133"/>
  <c r="P139"/>
  <c r="P145"/>
  <c r="P149"/>
  <c r="P155"/>
  <c r="P161"/>
  <c r="P165"/>
  <c r="P171"/>
  <c r="P177"/>
  <c r="P181"/>
  <c r="P187"/>
  <c r="P193"/>
  <c r="P197"/>
  <c r="P203"/>
  <c r="P209"/>
  <c r="P213"/>
  <c r="P219"/>
  <c r="P225"/>
  <c r="P229"/>
  <c r="P235"/>
  <c r="P241"/>
  <c r="P245"/>
  <c r="P251"/>
  <c r="P257"/>
  <c r="P261"/>
  <c r="P267"/>
  <c r="P273"/>
  <c r="P277"/>
  <c r="P283"/>
  <c r="P289"/>
  <c r="P293"/>
  <c r="P299"/>
  <c r="P305"/>
  <c r="P309"/>
  <c r="P315"/>
  <c r="P321"/>
  <c r="P325"/>
  <c r="P331"/>
  <c r="P337"/>
  <c r="P341"/>
  <c r="P347"/>
  <c r="P353"/>
  <c r="P357"/>
  <c r="P363"/>
  <c r="P369"/>
  <c r="P373"/>
  <c r="P379"/>
  <c r="P385"/>
  <c r="P389"/>
  <c r="P395"/>
  <c r="P401"/>
  <c r="P405"/>
  <c r="P411"/>
  <c r="P417"/>
  <c r="P421"/>
  <c r="P427"/>
  <c r="O5"/>
  <c r="O9"/>
  <c r="O16"/>
  <c r="O21"/>
  <c r="O25"/>
  <c r="O32"/>
  <c r="O37"/>
  <c r="O41"/>
  <c r="O48"/>
  <c r="O53"/>
  <c r="O57"/>
  <c r="O64"/>
  <c r="O69"/>
  <c r="O73"/>
  <c r="O80"/>
  <c r="O85"/>
  <c r="O89"/>
  <c r="O96"/>
  <c r="O101"/>
  <c r="O105"/>
  <c r="O112"/>
  <c r="O117"/>
  <c r="O121"/>
  <c r="O128"/>
  <c r="O133"/>
  <c r="O137"/>
  <c r="O144"/>
  <c r="O149"/>
  <c r="O153"/>
  <c r="O160"/>
  <c r="O165"/>
  <c r="O169"/>
  <c r="O176"/>
  <c r="O181"/>
  <c r="O185"/>
  <c r="O192"/>
  <c r="O197"/>
  <c r="O201"/>
  <c r="O208"/>
  <c r="O213"/>
  <c r="O217"/>
  <c r="O224"/>
  <c r="O229"/>
  <c r="O233"/>
  <c r="O240"/>
  <c r="O245"/>
  <c r="O249"/>
  <c r="O256"/>
  <c r="O261"/>
  <c r="O265"/>
  <c r="O272"/>
  <c r="O277"/>
  <c r="O281"/>
  <c r="O288"/>
  <c r="O293"/>
  <c r="O297"/>
  <c r="O304"/>
  <c r="O309"/>
  <c r="O313"/>
  <c r="O320"/>
  <c r="O325"/>
  <c r="O329"/>
  <c r="O336"/>
  <c r="O341"/>
  <c r="O345"/>
  <c r="O352"/>
  <c r="O357"/>
  <c r="O361"/>
  <c r="O368"/>
  <c r="O373"/>
  <c r="O377"/>
  <c r="O384"/>
  <c r="O389"/>
  <c r="O393"/>
  <c r="O400"/>
  <c r="O405"/>
  <c r="O409"/>
  <c r="O416"/>
  <c r="O421"/>
  <c r="O425"/>
  <c r="N8"/>
  <c r="N168"/>
  <c r="N344"/>
  <c r="N5"/>
  <c r="N9"/>
  <c r="N13"/>
  <c r="N17"/>
  <c r="N21"/>
  <c r="N25"/>
  <c r="N29"/>
  <c r="N33"/>
  <c r="N37"/>
  <c r="N41"/>
  <c r="N45"/>
  <c r="N49"/>
  <c r="N53"/>
  <c r="N57"/>
  <c r="N61"/>
  <c r="N65"/>
  <c r="N69"/>
  <c r="N73"/>
  <c r="N77"/>
  <c r="N81"/>
  <c r="N85"/>
  <c r="N89"/>
  <c r="N93"/>
  <c r="N97"/>
  <c r="N101"/>
  <c r="N105"/>
  <c r="N109"/>
  <c r="N113"/>
  <c r="N117"/>
  <c r="N121"/>
  <c r="N125"/>
  <c r="N129"/>
  <c r="N133"/>
  <c r="N137"/>
  <c r="N141"/>
  <c r="N145"/>
  <c r="N149"/>
  <c r="N153"/>
  <c r="N157"/>
  <c r="N161"/>
  <c r="N165"/>
  <c r="N169"/>
  <c r="N173"/>
  <c r="N177"/>
  <c r="N181"/>
  <c r="N185"/>
  <c r="N189"/>
  <c r="N193"/>
  <c r="N197"/>
  <c r="N201"/>
  <c r="N205"/>
  <c r="N209"/>
  <c r="N213"/>
  <c r="N217"/>
  <c r="N221"/>
  <c r="N225"/>
  <c r="N229"/>
  <c r="N233"/>
  <c r="N237"/>
  <c r="N241"/>
  <c r="N245"/>
  <c r="N249"/>
  <c r="N253"/>
  <c r="N257"/>
  <c r="N261"/>
  <c r="N265"/>
  <c r="N269"/>
  <c r="N273"/>
  <c r="N277"/>
  <c r="N281"/>
  <c r="N285"/>
  <c r="N289"/>
  <c r="N293"/>
  <c r="N297"/>
  <c r="N301"/>
  <c r="N305"/>
  <c r="N309"/>
  <c r="N313"/>
  <c r="N317"/>
  <c r="N321"/>
  <c r="N325"/>
  <c r="N329"/>
  <c r="N333"/>
  <c r="N337"/>
  <c r="N341"/>
  <c r="N345"/>
  <c r="N349"/>
  <c r="N353"/>
  <c r="N357"/>
  <c r="N361"/>
  <c r="N365"/>
  <c r="N369"/>
  <c r="N373"/>
  <c r="N377"/>
  <c r="N381"/>
  <c r="N385"/>
  <c r="N389"/>
  <c r="N393"/>
  <c r="N397"/>
  <c r="N401"/>
  <c r="N405"/>
  <c r="N409"/>
  <c r="N413"/>
  <c r="N417"/>
  <c r="N421"/>
  <c r="N425"/>
  <c r="N429"/>
  <c r="L5"/>
  <c r="L9"/>
  <c r="L13"/>
  <c r="L17"/>
  <c r="L21"/>
  <c r="L25"/>
  <c r="L29"/>
  <c r="L33"/>
  <c r="L37"/>
  <c r="L41"/>
  <c r="L45"/>
  <c r="L49"/>
  <c r="L53"/>
  <c r="L57"/>
  <c r="L61"/>
  <c r="L65"/>
  <c r="L69"/>
  <c r="L73"/>
  <c r="L77"/>
  <c r="L81"/>
  <c r="L85"/>
  <c r="L89"/>
  <c r="L93"/>
  <c r="L97"/>
  <c r="L101"/>
  <c r="L105"/>
  <c r="L109"/>
  <c r="L113"/>
  <c r="L117"/>
  <c r="L121"/>
  <c r="L125"/>
  <c r="L129"/>
  <c r="L133"/>
  <c r="L137"/>
  <c r="L141"/>
  <c r="L145"/>
  <c r="L149"/>
  <c r="L153"/>
  <c r="L157"/>
  <c r="L161"/>
  <c r="L165"/>
  <c r="L169"/>
  <c r="L173"/>
  <c r="L177"/>
  <c r="L181"/>
  <c r="L185"/>
  <c r="L189"/>
  <c r="L193"/>
  <c r="L197"/>
  <c r="L201"/>
  <c r="L205"/>
  <c r="L209"/>
  <c r="L213"/>
  <c r="L217"/>
  <c r="L221"/>
  <c r="L225"/>
  <c r="L229"/>
  <c r="L233"/>
  <c r="L237"/>
  <c r="L241"/>
  <c r="L245"/>
  <c r="L249"/>
  <c r="L253"/>
  <c r="L257"/>
  <c r="L261"/>
  <c r="L265"/>
  <c r="L269"/>
  <c r="L273"/>
  <c r="L277"/>
  <c r="L281"/>
  <c r="L285"/>
  <c r="L289"/>
  <c r="L293"/>
  <c r="L3"/>
  <c r="L280"/>
  <c r="L314"/>
  <c r="L322"/>
  <c r="L328"/>
  <c r="L334"/>
  <c r="L342"/>
  <c r="L348"/>
  <c r="L297"/>
  <c r="L301"/>
  <c r="L305"/>
  <c r="L309"/>
  <c r="L313"/>
  <c r="L317"/>
  <c r="L321"/>
  <c r="L325"/>
  <c r="L329"/>
  <c r="L333"/>
  <c r="L337"/>
  <c r="L341"/>
  <c r="L345"/>
  <c r="L349"/>
  <c r="L353"/>
  <c r="L357"/>
  <c r="L361"/>
  <c r="L365"/>
  <c r="L369"/>
  <c r="L373"/>
  <c r="L377"/>
  <c r="L381"/>
  <c r="L385"/>
  <c r="L389"/>
  <c r="L393"/>
  <c r="L397"/>
  <c r="L401"/>
  <c r="L405"/>
  <c r="L409"/>
  <c r="L413"/>
  <c r="L417"/>
  <c r="L421"/>
  <c r="L425"/>
  <c r="L429"/>
  <c r="T27"/>
  <c r="AC27" s="1"/>
  <c r="T35"/>
  <c r="AC35" s="1"/>
  <c r="T43"/>
  <c r="AC43" s="1"/>
  <c r="T159"/>
  <c r="AC159" s="1"/>
  <c r="T199"/>
  <c r="AC199" s="1"/>
  <c r="T207"/>
  <c r="AC207" s="1"/>
  <c r="T243"/>
  <c r="AC243" s="1"/>
  <c r="T283"/>
  <c r="AC283" s="1"/>
  <c r="T307"/>
  <c r="AC307" s="1"/>
  <c r="T339"/>
  <c r="AC339" s="1"/>
  <c r="T363"/>
  <c r="AC363" s="1"/>
  <c r="T387"/>
  <c r="AC387" s="1"/>
  <c r="T411"/>
  <c r="AC411" s="1"/>
  <c r="L356"/>
  <c r="L360"/>
  <c r="L364"/>
  <c r="L368"/>
  <c r="L372"/>
  <c r="L376"/>
  <c r="L380"/>
  <c r="L384"/>
  <c r="L388"/>
  <c r="L392"/>
  <c r="L396"/>
  <c r="L400"/>
  <c r="L404"/>
  <c r="L408"/>
  <c r="L412"/>
  <c r="L416"/>
  <c r="L420"/>
  <c r="L424"/>
  <c r="L428"/>
  <c r="T28"/>
  <c r="AC28" s="1"/>
  <c r="T32"/>
  <c r="AC32" s="1"/>
  <c r="T36"/>
  <c r="AC36" s="1"/>
  <c r="T108"/>
  <c r="AC108" s="1"/>
  <c r="T232"/>
  <c r="AC232" s="1"/>
  <c r="T236"/>
  <c r="AC236" s="1"/>
  <c r="T320"/>
  <c r="AC320" s="1"/>
  <c r="T332"/>
  <c r="AC332" s="1"/>
  <c r="T356"/>
  <c r="AC356" s="1"/>
  <c r="T392"/>
  <c r="AC392" s="1"/>
  <c r="T408"/>
  <c r="AC408" s="1"/>
  <c r="T420"/>
  <c r="AC420" s="1"/>
  <c r="T424"/>
  <c r="AC424" s="1"/>
  <c r="O11"/>
  <c r="O15"/>
  <c r="O29"/>
  <c r="O43"/>
  <c r="O47"/>
  <c r="O61"/>
  <c r="O75"/>
  <c r="O79"/>
  <c r="O93"/>
  <c r="O107"/>
  <c r="O111"/>
  <c r="O125"/>
  <c r="O139"/>
  <c r="O143"/>
  <c r="O157"/>
  <c r="O171"/>
  <c r="O175"/>
  <c r="O189"/>
  <c r="O203"/>
  <c r="O207"/>
  <c r="O221"/>
  <c r="O235"/>
  <c r="O239"/>
  <c r="O253"/>
  <c r="O267"/>
  <c r="O271"/>
  <c r="O285"/>
  <c r="O299"/>
  <c r="O303"/>
  <c r="O317"/>
  <c r="O331"/>
  <c r="O335"/>
  <c r="O349"/>
  <c r="O363"/>
  <c r="O367"/>
  <c r="O381"/>
  <c r="O395"/>
  <c r="O399"/>
  <c r="O413"/>
  <c r="O427"/>
  <c r="S4"/>
  <c r="S8"/>
  <c r="S12"/>
  <c r="S16"/>
  <c r="S20"/>
  <c r="S24"/>
  <c r="S28"/>
  <c r="S32"/>
  <c r="S36"/>
  <c r="S40"/>
  <c r="S44"/>
  <c r="S48"/>
  <c r="S52"/>
  <c r="S56"/>
  <c r="S60"/>
  <c r="S64"/>
  <c r="S68"/>
  <c r="S72"/>
  <c r="S76"/>
  <c r="S80"/>
  <c r="S84"/>
  <c r="S88"/>
  <c r="S92"/>
  <c r="S96"/>
  <c r="S100"/>
  <c r="S104"/>
  <c r="S108"/>
  <c r="S112"/>
  <c r="S116"/>
  <c r="S120"/>
  <c r="S124"/>
  <c r="S128"/>
  <c r="S132"/>
  <c r="S136"/>
  <c r="S140"/>
  <c r="S144"/>
  <c r="S148"/>
  <c r="S152"/>
  <c r="S156"/>
  <c r="S160"/>
  <c r="S164"/>
  <c r="S168"/>
  <c r="S172"/>
  <c r="S176"/>
  <c r="S180"/>
  <c r="S184"/>
  <c r="S188"/>
  <c r="S192"/>
  <c r="S196"/>
  <c r="S200"/>
  <c r="S204"/>
  <c r="S208"/>
  <c r="S212"/>
  <c r="S216"/>
  <c r="S220"/>
  <c r="S224"/>
  <c r="S228"/>
  <c r="S232"/>
  <c r="S236"/>
  <c r="S240"/>
  <c r="S244"/>
  <c r="S248"/>
  <c r="S252"/>
  <c r="S256"/>
  <c r="S260"/>
  <c r="S264"/>
  <c r="S268"/>
  <c r="S272"/>
  <c r="S276"/>
  <c r="S280"/>
  <c r="S284"/>
  <c r="S288"/>
  <c r="S292"/>
  <c r="S296"/>
  <c r="S300"/>
  <c r="S304"/>
  <c r="S308"/>
  <c r="S312"/>
  <c r="S316"/>
  <c r="S320"/>
  <c r="S324"/>
  <c r="S328"/>
  <c r="S332"/>
  <c r="S336"/>
  <c r="S340"/>
  <c r="S344"/>
  <c r="S348"/>
  <c r="S352"/>
  <c r="S356"/>
  <c r="S360"/>
  <c r="S364"/>
  <c r="S368"/>
  <c r="S372"/>
  <c r="S376"/>
  <c r="S380"/>
  <c r="S384"/>
  <c r="S388"/>
  <c r="S392"/>
  <c r="S396"/>
  <c r="S400"/>
  <c r="S404"/>
  <c r="S408"/>
  <c r="S412"/>
  <c r="S416"/>
  <c r="S420"/>
  <c r="S424"/>
  <c r="S428"/>
  <c r="R4"/>
  <c r="R8"/>
  <c r="R12"/>
  <c r="R16"/>
  <c r="R20"/>
  <c r="R24"/>
  <c r="R28"/>
  <c r="R32"/>
  <c r="R36"/>
  <c r="R40"/>
  <c r="R44"/>
  <c r="R48"/>
  <c r="R52"/>
  <c r="R56"/>
  <c r="R60"/>
  <c r="R64"/>
  <c r="R68"/>
  <c r="R72"/>
  <c r="R76"/>
  <c r="R80"/>
  <c r="R84"/>
  <c r="R88"/>
  <c r="R92"/>
  <c r="R96"/>
  <c r="R100"/>
  <c r="R104"/>
  <c r="R108"/>
  <c r="R112"/>
  <c r="R116"/>
  <c r="R120"/>
  <c r="R124"/>
  <c r="R128"/>
  <c r="R132"/>
  <c r="R136"/>
  <c r="R140"/>
  <c r="R144"/>
  <c r="R148"/>
  <c r="R152"/>
  <c r="R156"/>
  <c r="R160"/>
  <c r="R164"/>
  <c r="R168"/>
  <c r="R172"/>
  <c r="R176"/>
  <c r="R180"/>
  <c r="R184"/>
  <c r="R188"/>
  <c r="R192"/>
  <c r="R196"/>
  <c r="R200"/>
  <c r="R204"/>
  <c r="R208"/>
  <c r="R212"/>
  <c r="R216"/>
  <c r="R220"/>
  <c r="R224"/>
  <c r="R228"/>
  <c r="R232"/>
  <c r="R236"/>
  <c r="R240"/>
  <c r="R244"/>
  <c r="R248"/>
  <c r="R252"/>
  <c r="R256"/>
  <c r="R260"/>
  <c r="R264"/>
  <c r="R268"/>
  <c r="R272"/>
  <c r="R276"/>
  <c r="R280"/>
  <c r="R284"/>
  <c r="R288"/>
  <c r="R292"/>
  <c r="R296"/>
  <c r="R300"/>
  <c r="R304"/>
  <c r="R308"/>
  <c r="R312"/>
  <c r="R316"/>
  <c r="R320"/>
  <c r="R324"/>
  <c r="R328"/>
  <c r="R332"/>
  <c r="R336"/>
  <c r="R340"/>
  <c r="R344"/>
  <c r="R348"/>
  <c r="R352"/>
  <c r="R356"/>
  <c r="R360"/>
  <c r="R364"/>
  <c r="R368"/>
  <c r="R372"/>
  <c r="R376"/>
  <c r="R380"/>
  <c r="R384"/>
  <c r="R388"/>
  <c r="R392"/>
  <c r="R396"/>
  <c r="R400"/>
  <c r="R404"/>
  <c r="R408"/>
  <c r="R412"/>
  <c r="R416"/>
  <c r="R420"/>
  <c r="R424"/>
  <c r="R428"/>
  <c r="Q4"/>
  <c r="Q8"/>
  <c r="Q12"/>
  <c r="Q16"/>
  <c r="Q20"/>
  <c r="Q24"/>
  <c r="Q28"/>
  <c r="Q32"/>
  <c r="Q36"/>
  <c r="Q40"/>
  <c r="Q44"/>
  <c r="Q48"/>
  <c r="Q52"/>
  <c r="Q56"/>
  <c r="Q60"/>
  <c r="Q64"/>
  <c r="Q68"/>
  <c r="Q72"/>
  <c r="Q76"/>
  <c r="Q80"/>
  <c r="Q84"/>
  <c r="Q88"/>
  <c r="Q92"/>
  <c r="Q96"/>
  <c r="Q100"/>
  <c r="Q104"/>
  <c r="Q108"/>
  <c r="Q112"/>
  <c r="Q116"/>
  <c r="Q120"/>
  <c r="Q124"/>
  <c r="Q128"/>
  <c r="Q132"/>
  <c r="Q136"/>
  <c r="Q140"/>
  <c r="Q144"/>
  <c r="Q148"/>
  <c r="Q152"/>
  <c r="Q156"/>
  <c r="Q160"/>
  <c r="Q164"/>
  <c r="Q168"/>
  <c r="Q172"/>
  <c r="Q176"/>
  <c r="Q180"/>
  <c r="Q184"/>
  <c r="Q188"/>
  <c r="Q192"/>
  <c r="Q196"/>
  <c r="Q200"/>
  <c r="Q204"/>
  <c r="Q208"/>
  <c r="Q212"/>
  <c r="Q216"/>
  <c r="Q220"/>
  <c r="Q224"/>
  <c r="Q228"/>
  <c r="Q232"/>
  <c r="Q236"/>
  <c r="Q240"/>
  <c r="Q244"/>
  <c r="Q248"/>
  <c r="Q252"/>
  <c r="Q256"/>
  <c r="Q260"/>
  <c r="Q264"/>
  <c r="Q268"/>
  <c r="Q272"/>
  <c r="Q276"/>
  <c r="Q280"/>
  <c r="Q284"/>
  <c r="Q288"/>
  <c r="Q292"/>
  <c r="Q296"/>
  <c r="Q300"/>
  <c r="Q304"/>
  <c r="Q308"/>
  <c r="Q312"/>
  <c r="Q316"/>
  <c r="Q320"/>
  <c r="Q324"/>
  <c r="Q328"/>
  <c r="Q332"/>
  <c r="Q336"/>
  <c r="Q340"/>
  <c r="Q344"/>
  <c r="Q348"/>
  <c r="Q352"/>
  <c r="Q356"/>
  <c r="Q360"/>
  <c r="Q364"/>
  <c r="Q368"/>
  <c r="Q372"/>
  <c r="Q376"/>
  <c r="Q380"/>
  <c r="Q384"/>
  <c r="Q388"/>
  <c r="Q392"/>
  <c r="Q396"/>
  <c r="Q400"/>
  <c r="Q404"/>
  <c r="Q408"/>
  <c r="Q412"/>
  <c r="Q416"/>
  <c r="Q420"/>
  <c r="Q424"/>
  <c r="Q428"/>
  <c r="P125"/>
  <c r="P157"/>
  <c r="P189"/>
  <c r="P221"/>
  <c r="P253"/>
  <c r="P285"/>
  <c r="P317"/>
  <c r="P349"/>
  <c r="P381"/>
  <c r="P413"/>
  <c r="O33"/>
  <c r="O97"/>
  <c r="O161"/>
  <c r="O225"/>
  <c r="O289"/>
  <c r="O353"/>
  <c r="O417"/>
  <c r="P6"/>
  <c r="P10"/>
  <c r="P14"/>
  <c r="P18"/>
  <c r="P22"/>
  <c r="P26"/>
  <c r="P30"/>
  <c r="P34"/>
  <c r="P38"/>
  <c r="P42"/>
  <c r="P46"/>
  <c r="P50"/>
  <c r="P54"/>
  <c r="P58"/>
  <c r="P62"/>
  <c r="P66"/>
  <c r="P70"/>
  <c r="P74"/>
  <c r="P78"/>
  <c r="P82"/>
  <c r="P86"/>
  <c r="P90"/>
  <c r="P94"/>
  <c r="P98"/>
  <c r="P102"/>
  <c r="P106"/>
  <c r="P110"/>
  <c r="P114"/>
  <c r="P118"/>
  <c r="P122"/>
  <c r="P126"/>
  <c r="P130"/>
  <c r="P134"/>
  <c r="P138"/>
  <c r="P142"/>
  <c r="P146"/>
  <c r="P150"/>
  <c r="P154"/>
  <c r="P158"/>
  <c r="P162"/>
  <c r="P166"/>
  <c r="P170"/>
  <c r="P174"/>
  <c r="P178"/>
  <c r="P182"/>
  <c r="P186"/>
  <c r="P190"/>
  <c r="P194"/>
  <c r="P198"/>
  <c r="P202"/>
  <c r="P206"/>
  <c r="P210"/>
  <c r="P214"/>
  <c r="P218"/>
  <c r="P222"/>
  <c r="P226"/>
  <c r="P230"/>
  <c r="P234"/>
  <c r="P238"/>
  <c r="P242"/>
  <c r="P246"/>
  <c r="P250"/>
  <c r="P254"/>
  <c r="P258"/>
  <c r="P262"/>
  <c r="P266"/>
  <c r="P270"/>
  <c r="P274"/>
  <c r="P278"/>
  <c r="P282"/>
  <c r="P286"/>
  <c r="P290"/>
  <c r="P294"/>
  <c r="P298"/>
  <c r="P302"/>
  <c r="P306"/>
  <c r="P310"/>
  <c r="P314"/>
  <c r="P318"/>
  <c r="P322"/>
  <c r="P326"/>
  <c r="P330"/>
  <c r="P334"/>
  <c r="P338"/>
  <c r="P342"/>
  <c r="P346"/>
  <c r="P350"/>
  <c r="P354"/>
  <c r="P358"/>
  <c r="P362"/>
  <c r="P366"/>
  <c r="P370"/>
  <c r="P374"/>
  <c r="P378"/>
  <c r="P382"/>
  <c r="P386"/>
  <c r="P390"/>
  <c r="P394"/>
  <c r="P398"/>
  <c r="P402"/>
  <c r="P406"/>
  <c r="P410"/>
  <c r="P414"/>
  <c r="P418"/>
  <c r="P422"/>
  <c r="P426"/>
  <c r="P430"/>
  <c r="O6"/>
  <c r="O10"/>
  <c r="O18"/>
  <c r="O22"/>
  <c r="O26"/>
  <c r="O34"/>
  <c r="O38"/>
  <c r="O42"/>
  <c r="O50"/>
  <c r="O54"/>
  <c r="O58"/>
  <c r="O66"/>
  <c r="O70"/>
  <c r="O74"/>
  <c r="O82"/>
  <c r="O86"/>
  <c r="O90"/>
  <c r="O98"/>
  <c r="O102"/>
  <c r="O106"/>
  <c r="O114"/>
  <c r="O118"/>
  <c r="O122"/>
  <c r="O130"/>
  <c r="O134"/>
  <c r="O138"/>
  <c r="O146"/>
  <c r="O150"/>
  <c r="O154"/>
  <c r="O162"/>
  <c r="O166"/>
  <c r="O170"/>
  <c r="O178"/>
  <c r="O182"/>
  <c r="O186"/>
  <c r="O194"/>
  <c r="O198"/>
  <c r="O202"/>
  <c r="O210"/>
  <c r="O214"/>
  <c r="O218"/>
  <c r="O226"/>
  <c r="O230"/>
  <c r="O234"/>
  <c r="O242"/>
  <c r="O246"/>
  <c r="O250"/>
  <c r="O258"/>
  <c r="O262"/>
  <c r="O266"/>
  <c r="O274"/>
  <c r="O278"/>
  <c r="O282"/>
  <c r="O290"/>
  <c r="O294"/>
  <c r="O298"/>
  <c r="O306"/>
  <c r="O310"/>
  <c r="O314"/>
  <c r="O322"/>
  <c r="O326"/>
  <c r="O330"/>
  <c r="O338"/>
  <c r="O342"/>
  <c r="O346"/>
  <c r="O354"/>
  <c r="O358"/>
  <c r="O362"/>
  <c r="O370"/>
  <c r="O374"/>
  <c r="O378"/>
  <c r="O386"/>
  <c r="O390"/>
  <c r="O394"/>
  <c r="O402"/>
  <c r="O406"/>
  <c r="O410"/>
  <c r="O418"/>
  <c r="O422"/>
  <c r="O426"/>
  <c r="N72"/>
  <c r="N232"/>
  <c r="N408"/>
  <c r="N6"/>
  <c r="N12"/>
  <c r="N16"/>
  <c r="N20"/>
  <c r="N24"/>
  <c r="N28"/>
  <c r="N32"/>
  <c r="N36"/>
  <c r="N40"/>
  <c r="N44"/>
  <c r="N48"/>
  <c r="N52"/>
  <c r="N56"/>
  <c r="N60"/>
  <c r="N64"/>
  <c r="N68"/>
  <c r="N74"/>
  <c r="N78"/>
  <c r="N82"/>
  <c r="N86"/>
  <c r="N92"/>
  <c r="N96"/>
  <c r="N100"/>
  <c r="N104"/>
  <c r="N108"/>
  <c r="N112"/>
  <c r="N116"/>
  <c r="N120"/>
  <c r="N124"/>
  <c r="N128"/>
  <c r="N132"/>
  <c r="N136"/>
  <c r="N140"/>
  <c r="N144"/>
  <c r="N148"/>
  <c r="N154"/>
  <c r="N158"/>
  <c r="N162"/>
  <c r="N166"/>
  <c r="N172"/>
  <c r="N176"/>
  <c r="N180"/>
  <c r="N184"/>
  <c r="N188"/>
  <c r="N192"/>
  <c r="N196"/>
  <c r="N200"/>
  <c r="N204"/>
  <c r="N208"/>
  <c r="N212"/>
  <c r="N216"/>
  <c r="N220"/>
  <c r="N224"/>
  <c r="N228"/>
  <c r="N234"/>
  <c r="N238"/>
  <c r="N242"/>
  <c r="N246"/>
  <c r="N250"/>
  <c r="N254"/>
  <c r="N258"/>
  <c r="N262"/>
  <c r="N268"/>
  <c r="N272"/>
  <c r="N276"/>
  <c r="N280"/>
  <c r="N284"/>
  <c r="N288"/>
  <c r="N292"/>
  <c r="N296"/>
  <c r="N300"/>
  <c r="N304"/>
  <c r="N308"/>
  <c r="N312"/>
  <c r="N316"/>
  <c r="N320"/>
  <c r="N324"/>
  <c r="N330"/>
  <c r="N334"/>
  <c r="N338"/>
  <c r="N342"/>
  <c r="N348"/>
  <c r="N352"/>
  <c r="N356"/>
  <c r="N360"/>
  <c r="N364"/>
  <c r="N368"/>
  <c r="N372"/>
  <c r="N376"/>
  <c r="N380"/>
  <c r="N384"/>
  <c r="N388"/>
  <c r="N392"/>
  <c r="N396"/>
  <c r="N400"/>
  <c r="N404"/>
  <c r="N410"/>
  <c r="N414"/>
  <c r="N418"/>
  <c r="N422"/>
  <c r="N428"/>
  <c r="L4"/>
  <c r="L8"/>
  <c r="L12"/>
  <c r="L16"/>
  <c r="L20"/>
  <c r="L24"/>
  <c r="L28"/>
  <c r="L32"/>
  <c r="L36"/>
  <c r="L40"/>
  <c r="L44"/>
  <c r="L48"/>
  <c r="L52"/>
  <c r="L56"/>
  <c r="L60"/>
  <c r="L64"/>
  <c r="L68"/>
  <c r="L72"/>
  <c r="L76"/>
  <c r="L80"/>
  <c r="L84"/>
  <c r="L88"/>
  <c r="L92"/>
  <c r="L96"/>
  <c r="L100"/>
  <c r="L104"/>
  <c r="L108"/>
  <c r="L112"/>
  <c r="L116"/>
  <c r="L120"/>
  <c r="L124"/>
  <c r="L128"/>
  <c r="L132"/>
  <c r="L136"/>
  <c r="L140"/>
  <c r="L144"/>
  <c r="L148"/>
  <c r="L152"/>
  <c r="L156"/>
  <c r="L160"/>
  <c r="L164"/>
  <c r="L168"/>
  <c r="L172"/>
  <c r="L176"/>
  <c r="L180"/>
  <c r="L184"/>
  <c r="L188"/>
  <c r="L192"/>
  <c r="L196"/>
  <c r="L200"/>
  <c r="L204"/>
  <c r="L208"/>
  <c r="L212"/>
  <c r="L216"/>
  <c r="L220"/>
  <c r="L224"/>
  <c r="L228"/>
  <c r="L232"/>
  <c r="L236"/>
  <c r="L240"/>
  <c r="L244"/>
  <c r="L248"/>
  <c r="L252"/>
  <c r="L256"/>
  <c r="L260"/>
  <c r="L264"/>
  <c r="L268"/>
  <c r="L272"/>
  <c r="L276"/>
  <c r="L282"/>
  <c r="L286"/>
  <c r="L290"/>
  <c r="L294"/>
  <c r="L298"/>
  <c r="L302"/>
  <c r="L306"/>
  <c r="L312"/>
  <c r="L320"/>
  <c r="L330"/>
  <c r="L340"/>
  <c r="L352"/>
  <c r="S5"/>
  <c r="S9"/>
  <c r="S13"/>
  <c r="S17"/>
  <c r="S21"/>
  <c r="S25"/>
  <c r="S29"/>
  <c r="S33"/>
  <c r="S37"/>
  <c r="S41"/>
  <c r="S45"/>
  <c r="S49"/>
  <c r="S53"/>
  <c r="S57"/>
  <c r="S61"/>
  <c r="S65"/>
  <c r="S69"/>
  <c r="S73"/>
  <c r="S77"/>
  <c r="S81"/>
  <c r="S85"/>
  <c r="S89"/>
  <c r="S93"/>
  <c r="S97"/>
  <c r="S101"/>
  <c r="S105"/>
  <c r="S109"/>
  <c r="S113"/>
  <c r="S117"/>
  <c r="S121"/>
  <c r="S125"/>
  <c r="S129"/>
  <c r="S133"/>
  <c r="S137"/>
  <c r="S141"/>
  <c r="S145"/>
  <c r="S149"/>
  <c r="S153"/>
  <c r="S157"/>
  <c r="S161"/>
  <c r="S165"/>
  <c r="S169"/>
  <c r="S173"/>
  <c r="S177"/>
  <c r="S181"/>
  <c r="S185"/>
  <c r="S189"/>
  <c r="S193"/>
  <c r="S197"/>
  <c r="S201"/>
  <c r="S205"/>
  <c r="S209"/>
  <c r="S213"/>
  <c r="S217"/>
  <c r="S221"/>
  <c r="S225"/>
  <c r="S229"/>
  <c r="S233"/>
  <c r="S237"/>
  <c r="S241"/>
  <c r="S245"/>
  <c r="S249"/>
  <c r="S253"/>
  <c r="S257"/>
  <c r="S261"/>
  <c r="S265"/>
  <c r="S269"/>
  <c r="S273"/>
  <c r="S277"/>
  <c r="S281"/>
  <c r="S285"/>
  <c r="S289"/>
  <c r="S293"/>
  <c r="S297"/>
  <c r="S301"/>
  <c r="S305"/>
  <c r="S309"/>
  <c r="S313"/>
  <c r="S317"/>
  <c r="S321"/>
  <c r="S325"/>
  <c r="S329"/>
  <c r="S333"/>
  <c r="S337"/>
  <c r="S341"/>
  <c r="S345"/>
  <c r="S349"/>
  <c r="S353"/>
  <c r="S357"/>
  <c r="S361"/>
  <c r="S365"/>
  <c r="S369"/>
  <c r="S373"/>
  <c r="S377"/>
  <c r="S381"/>
  <c r="S385"/>
  <c r="S389"/>
  <c r="S393"/>
  <c r="S397"/>
  <c r="S401"/>
  <c r="S405"/>
  <c r="S409"/>
  <c r="S413"/>
  <c r="S417"/>
  <c r="S421"/>
  <c r="S425"/>
  <c r="R5"/>
  <c r="R9"/>
  <c r="R13"/>
  <c r="R17"/>
  <c r="R21"/>
  <c r="R25"/>
  <c r="R29"/>
  <c r="R33"/>
  <c r="R37"/>
  <c r="R41"/>
  <c r="R45"/>
  <c r="R49"/>
  <c r="R53"/>
  <c r="R57"/>
  <c r="R61"/>
  <c r="R65"/>
  <c r="R69"/>
  <c r="R73"/>
  <c r="R77"/>
  <c r="R81"/>
  <c r="R85"/>
  <c r="R89"/>
  <c r="R93"/>
  <c r="R97"/>
  <c r="R101"/>
  <c r="R105"/>
  <c r="R109"/>
  <c r="R113"/>
  <c r="R117"/>
  <c r="R121"/>
  <c r="R125"/>
  <c r="R129"/>
  <c r="R133"/>
  <c r="R137"/>
  <c r="R141"/>
  <c r="R145"/>
  <c r="R149"/>
  <c r="R153"/>
  <c r="R157"/>
  <c r="R161"/>
  <c r="R165"/>
  <c r="R169"/>
  <c r="R173"/>
  <c r="R177"/>
  <c r="R181"/>
  <c r="R185"/>
  <c r="R189"/>
  <c r="R193"/>
  <c r="R197"/>
  <c r="R201"/>
  <c r="R205"/>
  <c r="R209"/>
  <c r="R213"/>
  <c r="R217"/>
  <c r="R221"/>
  <c r="R225"/>
  <c r="R229"/>
  <c r="R233"/>
  <c r="R237"/>
  <c r="R241"/>
  <c r="R245"/>
  <c r="R249"/>
  <c r="R253"/>
  <c r="R257"/>
  <c r="R261"/>
  <c r="R265"/>
  <c r="R269"/>
  <c r="R273"/>
  <c r="R277"/>
  <c r="R281"/>
  <c r="R285"/>
  <c r="R289"/>
  <c r="R293"/>
  <c r="R297"/>
  <c r="R301"/>
  <c r="R305"/>
  <c r="R309"/>
  <c r="R313"/>
  <c r="R317"/>
  <c r="R321"/>
  <c r="R325"/>
  <c r="R329"/>
  <c r="R333"/>
  <c r="R337"/>
  <c r="R341"/>
  <c r="R345"/>
  <c r="R349"/>
  <c r="R353"/>
  <c r="R357"/>
  <c r="R361"/>
  <c r="R365"/>
  <c r="R369"/>
  <c r="R373"/>
  <c r="R377"/>
  <c r="R381"/>
  <c r="R385"/>
  <c r="R389"/>
  <c r="R393"/>
  <c r="R397"/>
  <c r="R401"/>
  <c r="R405"/>
  <c r="R409"/>
  <c r="R413"/>
  <c r="R417"/>
  <c r="R421"/>
  <c r="R425"/>
  <c r="Q5"/>
  <c r="Q9"/>
  <c r="Q13"/>
  <c r="Q17"/>
  <c r="Q21"/>
  <c r="Q25"/>
  <c r="Q29"/>
  <c r="Q33"/>
  <c r="Q37"/>
  <c r="Q41"/>
  <c r="Q45"/>
  <c r="Q49"/>
  <c r="Q53"/>
  <c r="Q57"/>
  <c r="Q61"/>
  <c r="Q65"/>
  <c r="Q69"/>
  <c r="Q73"/>
  <c r="Q77"/>
  <c r="Q81"/>
  <c r="Q85"/>
  <c r="Q89"/>
  <c r="Q93"/>
  <c r="Q97"/>
  <c r="Q101"/>
  <c r="Q105"/>
  <c r="Q109"/>
  <c r="Q113"/>
  <c r="Q117"/>
  <c r="Q121"/>
  <c r="Q125"/>
  <c r="Q129"/>
  <c r="Q133"/>
  <c r="Q137"/>
  <c r="Q141"/>
  <c r="Q145"/>
  <c r="Q149"/>
  <c r="Q153"/>
  <c r="Q157"/>
  <c r="Q161"/>
  <c r="Q165"/>
  <c r="Q169"/>
  <c r="Q173"/>
  <c r="Q177"/>
  <c r="Q181"/>
  <c r="Q185"/>
  <c r="Q189"/>
  <c r="Q193"/>
  <c r="Q197"/>
  <c r="Q201"/>
  <c r="Q205"/>
  <c r="Q209"/>
  <c r="Q213"/>
  <c r="Q217"/>
  <c r="Q221"/>
  <c r="Q225"/>
  <c r="Q229"/>
  <c r="Q233"/>
  <c r="Q237"/>
  <c r="Q241"/>
  <c r="Q245"/>
  <c r="Q249"/>
  <c r="Q253"/>
  <c r="Q257"/>
  <c r="Q261"/>
  <c r="Q265"/>
  <c r="Q269"/>
  <c r="Q273"/>
  <c r="Q277"/>
  <c r="Q281"/>
  <c r="Q285"/>
  <c r="Q289"/>
  <c r="Q293"/>
  <c r="Q297"/>
  <c r="Q301"/>
  <c r="Q305"/>
  <c r="Q309"/>
  <c r="Q313"/>
  <c r="Q317"/>
  <c r="Q321"/>
  <c r="Q325"/>
  <c r="Q329"/>
  <c r="Q333"/>
  <c r="Q337"/>
  <c r="Q341"/>
  <c r="Q345"/>
  <c r="Q349"/>
  <c r="Q353"/>
  <c r="Q357"/>
  <c r="Q361"/>
  <c r="Q365"/>
  <c r="Q369"/>
  <c r="Q373"/>
  <c r="Q377"/>
  <c r="Q381"/>
  <c r="Q385"/>
  <c r="Q389"/>
  <c r="Q393"/>
  <c r="Q397"/>
  <c r="Q401"/>
  <c r="Q405"/>
  <c r="Q409"/>
  <c r="Q413"/>
  <c r="Q417"/>
  <c r="Q421"/>
  <c r="Q425"/>
  <c r="P135"/>
  <c r="P167"/>
  <c r="P199"/>
  <c r="P231"/>
  <c r="P263"/>
  <c r="P295"/>
  <c r="P327"/>
  <c r="P359"/>
  <c r="P391"/>
  <c r="P423"/>
  <c r="O49"/>
  <c r="O113"/>
  <c r="O177"/>
  <c r="O241"/>
  <c r="O305"/>
  <c r="O369"/>
  <c r="P3"/>
  <c r="P7"/>
  <c r="P11"/>
  <c r="P15"/>
  <c r="P19"/>
  <c r="P23"/>
  <c r="P27"/>
  <c r="P31"/>
  <c r="P35"/>
  <c r="P39"/>
  <c r="P43"/>
  <c r="P47"/>
  <c r="P51"/>
  <c r="P55"/>
  <c r="P59"/>
  <c r="P63"/>
  <c r="P67"/>
  <c r="P71"/>
  <c r="P75"/>
  <c r="P79"/>
  <c r="P83"/>
  <c r="P87"/>
  <c r="P91"/>
  <c r="P95"/>
  <c r="P99"/>
  <c r="P103"/>
  <c r="P107"/>
  <c r="P111"/>
  <c r="P115"/>
  <c r="P121"/>
  <c r="P127"/>
  <c r="P131"/>
  <c r="P137"/>
  <c r="P143"/>
  <c r="P147"/>
  <c r="P153"/>
  <c r="P159"/>
  <c r="P163"/>
  <c r="P169"/>
  <c r="P175"/>
  <c r="P179"/>
  <c r="P185"/>
  <c r="P191"/>
  <c r="P195"/>
  <c r="P201"/>
  <c r="P207"/>
  <c r="P211"/>
  <c r="P217"/>
  <c r="P223"/>
  <c r="P227"/>
  <c r="P233"/>
  <c r="P239"/>
  <c r="P243"/>
  <c r="P249"/>
  <c r="P255"/>
  <c r="P259"/>
  <c r="P265"/>
  <c r="P271"/>
  <c r="P275"/>
  <c r="P281"/>
  <c r="P287"/>
  <c r="P291"/>
  <c r="P297"/>
  <c r="P303"/>
  <c r="P307"/>
  <c r="P313"/>
  <c r="P319"/>
  <c r="P323"/>
  <c r="P329"/>
  <c r="P335"/>
  <c r="P339"/>
  <c r="P345"/>
  <c r="P351"/>
  <c r="P355"/>
  <c r="P361"/>
  <c r="P367"/>
  <c r="P371"/>
  <c r="P377"/>
  <c r="P383"/>
  <c r="P387"/>
  <c r="P393"/>
  <c r="P399"/>
  <c r="P403"/>
  <c r="P409"/>
  <c r="P415"/>
  <c r="P419"/>
  <c r="O3"/>
  <c r="O7"/>
  <c r="O12"/>
  <c r="O19"/>
  <c r="O23"/>
  <c r="O28"/>
  <c r="O35"/>
  <c r="O39"/>
  <c r="O44"/>
  <c r="O51"/>
  <c r="O55"/>
  <c r="O60"/>
  <c r="O67"/>
  <c r="O71"/>
  <c r="O76"/>
  <c r="O83"/>
  <c r="O87"/>
  <c r="O92"/>
  <c r="O99"/>
  <c r="O103"/>
  <c r="O108"/>
  <c r="O115"/>
  <c r="O119"/>
  <c r="O124"/>
  <c r="O131"/>
  <c r="O135"/>
  <c r="O140"/>
  <c r="O147"/>
  <c r="O151"/>
  <c r="O156"/>
  <c r="O163"/>
  <c r="O167"/>
  <c r="O172"/>
  <c r="O179"/>
  <c r="O183"/>
  <c r="O188"/>
  <c r="O195"/>
  <c r="O199"/>
  <c r="O204"/>
  <c r="O211"/>
  <c r="O215"/>
  <c r="O220"/>
  <c r="O227"/>
  <c r="O231"/>
  <c r="O236"/>
  <c r="O243"/>
  <c r="O247"/>
  <c r="O252"/>
  <c r="O259"/>
  <c r="O263"/>
  <c r="O268"/>
  <c r="O275"/>
  <c r="O279"/>
  <c r="O284"/>
  <c r="O291"/>
  <c r="O295"/>
  <c r="O300"/>
  <c r="O307"/>
  <c r="O311"/>
  <c r="O316"/>
  <c r="O323"/>
  <c r="O327"/>
  <c r="O332"/>
  <c r="O339"/>
  <c r="O343"/>
  <c r="O348"/>
  <c r="O355"/>
  <c r="O359"/>
  <c r="O364"/>
  <c r="O371"/>
  <c r="O375"/>
  <c r="O380"/>
  <c r="O387"/>
  <c r="O391"/>
  <c r="O396"/>
  <c r="O403"/>
  <c r="O407"/>
  <c r="O412"/>
  <c r="O419"/>
  <c r="O423"/>
  <c r="N88"/>
  <c r="N264"/>
  <c r="N424"/>
  <c r="N7"/>
  <c r="N11"/>
  <c r="N15"/>
  <c r="N19"/>
  <c r="N23"/>
  <c r="N27"/>
  <c r="N31"/>
  <c r="N35"/>
  <c r="N39"/>
  <c r="N43"/>
  <c r="N47"/>
  <c r="N51"/>
  <c r="N55"/>
  <c r="N59"/>
  <c r="N63"/>
  <c r="N67"/>
  <c r="N71"/>
  <c r="N75"/>
  <c r="N79"/>
  <c r="N83"/>
  <c r="N87"/>
  <c r="N91"/>
  <c r="N95"/>
  <c r="N99"/>
  <c r="N103"/>
  <c r="N107"/>
  <c r="N111"/>
  <c r="N115"/>
  <c r="N119"/>
  <c r="N123"/>
  <c r="N127"/>
  <c r="N131"/>
  <c r="N135"/>
  <c r="N139"/>
  <c r="N143"/>
  <c r="N147"/>
  <c r="N151"/>
  <c r="N155"/>
  <c r="N159"/>
  <c r="N163"/>
  <c r="N167"/>
  <c r="N171"/>
  <c r="N175"/>
  <c r="N179"/>
  <c r="N183"/>
  <c r="N187"/>
  <c r="N191"/>
  <c r="N195"/>
  <c r="N199"/>
  <c r="N203"/>
  <c r="N207"/>
  <c r="N211"/>
  <c r="N215"/>
  <c r="N219"/>
  <c r="N223"/>
  <c r="N227"/>
  <c r="N231"/>
  <c r="N235"/>
  <c r="N239"/>
  <c r="N243"/>
  <c r="N247"/>
  <c r="N251"/>
  <c r="N255"/>
  <c r="N259"/>
  <c r="N263"/>
  <c r="N267"/>
  <c r="N271"/>
  <c r="N275"/>
  <c r="N279"/>
  <c r="N283"/>
  <c r="N287"/>
  <c r="N291"/>
  <c r="N295"/>
  <c r="N299"/>
  <c r="N303"/>
  <c r="N307"/>
  <c r="N311"/>
  <c r="N315"/>
  <c r="N319"/>
  <c r="N323"/>
  <c r="N327"/>
  <c r="N331"/>
  <c r="N335"/>
  <c r="N339"/>
  <c r="N343"/>
  <c r="N347"/>
  <c r="N351"/>
  <c r="N355"/>
  <c r="N359"/>
  <c r="N363"/>
  <c r="N367"/>
  <c r="N371"/>
  <c r="N375"/>
  <c r="N379"/>
  <c r="N383"/>
  <c r="N387"/>
  <c r="N391"/>
  <c r="N395"/>
  <c r="N399"/>
  <c r="N403"/>
  <c r="N407"/>
  <c r="N411"/>
  <c r="N415"/>
  <c r="N419"/>
  <c r="N423"/>
  <c r="N427"/>
  <c r="L7"/>
  <c r="L11"/>
  <c r="L15"/>
  <c r="L19"/>
  <c r="L23"/>
  <c r="L27"/>
  <c r="L31"/>
  <c r="L35"/>
  <c r="L39"/>
  <c r="L43"/>
  <c r="L47"/>
  <c r="L51"/>
  <c r="L55"/>
  <c r="L59"/>
  <c r="L63"/>
  <c r="L67"/>
  <c r="L71"/>
  <c r="L75"/>
  <c r="L79"/>
  <c r="L83"/>
  <c r="L87"/>
  <c r="L91"/>
  <c r="L95"/>
  <c r="L99"/>
  <c r="L103"/>
  <c r="L107"/>
  <c r="L111"/>
  <c r="L115"/>
  <c r="L119"/>
  <c r="L123"/>
  <c r="L127"/>
  <c r="L131"/>
  <c r="L135"/>
  <c r="L139"/>
  <c r="L143"/>
  <c r="L147"/>
  <c r="L151"/>
  <c r="L155"/>
  <c r="L159"/>
  <c r="L163"/>
  <c r="L167"/>
  <c r="L171"/>
  <c r="L175"/>
  <c r="L179"/>
  <c r="L183"/>
  <c r="L187"/>
  <c r="L191"/>
  <c r="L195"/>
  <c r="L199"/>
  <c r="L203"/>
  <c r="L207"/>
  <c r="L211"/>
  <c r="L215"/>
  <c r="L219"/>
  <c r="L223"/>
  <c r="L227"/>
  <c r="L231"/>
  <c r="L235"/>
  <c r="L239"/>
  <c r="L243"/>
  <c r="L247"/>
  <c r="L251"/>
  <c r="L255"/>
  <c r="L259"/>
  <c r="L263"/>
  <c r="L267"/>
  <c r="L271"/>
  <c r="L275"/>
  <c r="L279"/>
  <c r="L283"/>
  <c r="L287"/>
  <c r="L291"/>
  <c r="L295"/>
  <c r="L310"/>
  <c r="L318"/>
  <c r="L326"/>
  <c r="L332"/>
  <c r="L338"/>
  <c r="L344"/>
  <c r="L350"/>
  <c r="L299"/>
  <c r="L303"/>
  <c r="L307"/>
  <c r="L311"/>
  <c r="L315"/>
  <c r="L319"/>
  <c r="L323"/>
  <c r="L327"/>
  <c r="L331"/>
  <c r="L335"/>
  <c r="L339"/>
  <c r="L343"/>
  <c r="L347"/>
  <c r="L351"/>
  <c r="L355"/>
  <c r="L359"/>
  <c r="L363"/>
  <c r="L367"/>
  <c r="L371"/>
  <c r="L375"/>
  <c r="L379"/>
  <c r="L383"/>
  <c r="L387"/>
  <c r="L391"/>
  <c r="L395"/>
  <c r="L399"/>
  <c r="L403"/>
  <c r="L407"/>
  <c r="L411"/>
  <c r="L415"/>
  <c r="L419"/>
  <c r="L423"/>
  <c r="L427"/>
  <c r="T141"/>
  <c r="AC141" s="1"/>
  <c r="T333"/>
  <c r="AC333" s="1"/>
  <c r="T361"/>
  <c r="AC361" s="1"/>
  <c r="T377"/>
  <c r="AC377" s="1"/>
  <c r="T401"/>
  <c r="AC401" s="1"/>
  <c r="T417"/>
  <c r="AC417" s="1"/>
  <c r="T425"/>
  <c r="AC425" s="1"/>
  <c r="L354"/>
  <c r="L358"/>
  <c r="L362"/>
  <c r="L366"/>
  <c r="L370"/>
  <c r="L374"/>
  <c r="L378"/>
  <c r="L382"/>
  <c r="L386"/>
  <c r="L390"/>
  <c r="L394"/>
  <c r="L398"/>
  <c r="L402"/>
  <c r="L406"/>
  <c r="L410"/>
  <c r="L414"/>
  <c r="L418"/>
  <c r="L422"/>
  <c r="L426"/>
  <c r="T22"/>
  <c r="AC22" s="1"/>
  <c r="T26"/>
  <c r="AC26" s="1"/>
  <c r="T30"/>
  <c r="AC30" s="1"/>
  <c r="T34"/>
  <c r="AC34" s="1"/>
  <c r="T142"/>
  <c r="AC142" s="1"/>
  <c r="T158"/>
  <c r="AC158" s="1"/>
  <c r="T294"/>
  <c r="AC294" s="1"/>
  <c r="T306"/>
  <c r="AC306" s="1"/>
  <c r="T334"/>
  <c r="AC334" s="1"/>
  <c r="T342"/>
  <c r="AC342" s="1"/>
  <c r="T346"/>
  <c r="AC346" s="1"/>
  <c r="T362"/>
  <c r="AC362" s="1"/>
  <c r="T366"/>
  <c r="AC366" s="1"/>
  <c r="T370"/>
  <c r="AC370" s="1"/>
  <c r="T378"/>
  <c r="AC378" s="1"/>
  <c r="T394"/>
  <c r="AC394" s="1"/>
  <c r="T402"/>
  <c r="AC402" s="1"/>
  <c r="T418"/>
  <c r="AC418" s="1"/>
  <c r="T426"/>
  <c r="AC426" s="1"/>
  <c r="T349" l="1"/>
  <c r="AC349" s="1"/>
  <c r="T60"/>
  <c r="AC60" s="1"/>
  <c r="T407"/>
  <c r="AC407" s="1"/>
  <c r="T154"/>
  <c r="AC154" s="1"/>
  <c r="T233"/>
  <c r="AC233" s="1"/>
  <c r="T336"/>
  <c r="AC336" s="1"/>
  <c r="T255"/>
  <c r="AC255" s="1"/>
  <c r="M437"/>
  <c r="T350"/>
  <c r="AC350" s="1"/>
  <c r="T91"/>
  <c r="AC91" s="1"/>
  <c r="M433"/>
  <c r="M434"/>
  <c r="M435"/>
  <c r="M436"/>
  <c r="T3"/>
  <c r="AC3" s="1"/>
  <c r="T305"/>
  <c r="AC305" s="1"/>
  <c r="T20"/>
  <c r="AC20" s="1"/>
  <c r="T371"/>
  <c r="AC371" s="1"/>
  <c r="T33"/>
  <c r="AC33" s="1"/>
  <c r="T415"/>
  <c r="AC415" s="1"/>
  <c r="T295"/>
  <c r="AC295" s="1"/>
  <c r="T202"/>
  <c r="AC202" s="1"/>
  <c r="T31"/>
  <c r="AC31" s="1"/>
  <c r="T406"/>
  <c r="AC406" s="1"/>
  <c r="T37"/>
  <c r="AC37" s="1"/>
  <c r="T396"/>
  <c r="AC396" s="1"/>
  <c r="T21"/>
  <c r="AC21" s="1"/>
  <c r="T264"/>
  <c r="AC264" s="1"/>
  <c r="T263"/>
  <c r="AC263" s="1"/>
  <c r="T23"/>
  <c r="AC23" s="1"/>
  <c r="T24"/>
  <c r="AC24" s="1"/>
  <c r="T190"/>
  <c r="AC190" s="1"/>
  <c r="T58"/>
  <c r="AC58" s="1"/>
  <c r="T25"/>
  <c r="AC25" s="1"/>
  <c r="T372"/>
  <c r="AC372" s="1"/>
  <c r="T112"/>
  <c r="AC112" s="1"/>
  <c r="T239"/>
  <c r="AC239" s="1"/>
  <c r="T338"/>
  <c r="AC338" s="1"/>
  <c r="T86"/>
  <c r="AC86" s="1"/>
  <c r="T357"/>
  <c r="AC357" s="1"/>
  <c r="T157"/>
  <c r="AC157" s="1"/>
  <c r="T300"/>
  <c r="AC300" s="1"/>
  <c r="T383"/>
  <c r="AC383" s="1"/>
  <c r="T174"/>
  <c r="AC174" s="1"/>
  <c r="T102"/>
  <c r="AC102" s="1"/>
  <c r="T313"/>
  <c r="AC313" s="1"/>
  <c r="T289"/>
  <c r="AC289" s="1"/>
  <c r="T209"/>
  <c r="AC209" s="1"/>
  <c r="T400"/>
  <c r="AC400" s="1"/>
  <c r="T240"/>
  <c r="AC240" s="1"/>
  <c r="T212"/>
  <c r="AC212" s="1"/>
  <c r="T68"/>
  <c r="AC68" s="1"/>
  <c r="T355"/>
  <c r="AC355" s="1"/>
  <c r="T271"/>
  <c r="AC271" s="1"/>
  <c r="T358"/>
  <c r="AC358" s="1"/>
  <c r="T282"/>
  <c r="AC282" s="1"/>
  <c r="T393"/>
  <c r="AC393" s="1"/>
  <c r="T309"/>
  <c r="AC309" s="1"/>
  <c r="T273"/>
  <c r="AC273" s="1"/>
  <c r="T64"/>
  <c r="AC64" s="1"/>
  <c r="T351"/>
  <c r="AC351" s="1"/>
  <c r="T299"/>
  <c r="AC299" s="1"/>
  <c r="T107"/>
  <c r="AC107" s="1"/>
  <c r="T365"/>
  <c r="AC365" s="1"/>
  <c r="T293"/>
  <c r="AC293" s="1"/>
  <c r="T213"/>
  <c r="AC213" s="1"/>
  <c r="T69"/>
  <c r="AC69" s="1"/>
  <c r="T376"/>
  <c r="AC376" s="1"/>
  <c r="T244"/>
  <c r="AC244" s="1"/>
  <c r="T220"/>
  <c r="AC220" s="1"/>
  <c r="T96"/>
  <c r="AC96" s="1"/>
  <c r="T419"/>
  <c r="AC419" s="1"/>
  <c r="T399"/>
  <c r="AC399" s="1"/>
  <c r="T323"/>
  <c r="AC323" s="1"/>
  <c r="T247"/>
  <c r="AC247" s="1"/>
  <c r="T59"/>
  <c r="AC59" s="1"/>
  <c r="T217"/>
  <c r="AC217" s="1"/>
  <c r="T9"/>
  <c r="AC9" s="1"/>
  <c r="T422"/>
  <c r="AC422" s="1"/>
  <c r="T368"/>
  <c r="AC368" s="1"/>
  <c r="T187"/>
  <c r="AC187" s="1"/>
  <c r="R434"/>
  <c r="T322"/>
  <c r="AC322" s="1"/>
  <c r="T162"/>
  <c r="AC162" s="1"/>
  <c r="T118"/>
  <c r="AC118" s="1"/>
  <c r="T18"/>
  <c r="AC18" s="1"/>
  <c r="T169"/>
  <c r="AC169" s="1"/>
  <c r="T73"/>
  <c r="AC73" s="1"/>
  <c r="T103"/>
  <c r="AC103" s="1"/>
  <c r="T290"/>
  <c r="AC290" s="1"/>
  <c r="T105"/>
  <c r="AC105" s="1"/>
  <c r="T284"/>
  <c r="AC284" s="1"/>
  <c r="T124"/>
  <c r="AC124" s="1"/>
  <c r="T92"/>
  <c r="AC92" s="1"/>
  <c r="T327"/>
  <c r="AC327" s="1"/>
  <c r="T374"/>
  <c r="AC374" s="1"/>
  <c r="T230"/>
  <c r="AC230" s="1"/>
  <c r="T146"/>
  <c r="AC146" s="1"/>
  <c r="T413"/>
  <c r="AC413" s="1"/>
  <c r="T201"/>
  <c r="AC201" s="1"/>
  <c r="T137"/>
  <c r="AC137" s="1"/>
  <c r="T45"/>
  <c r="AC45" s="1"/>
  <c r="T348"/>
  <c r="AC348" s="1"/>
  <c r="T316"/>
  <c r="AC316" s="1"/>
  <c r="T256"/>
  <c r="AC256" s="1"/>
  <c r="T156"/>
  <c r="AC156" s="1"/>
  <c r="T347"/>
  <c r="AC347" s="1"/>
  <c r="T279"/>
  <c r="AC279" s="1"/>
  <c r="T135"/>
  <c r="AC135" s="1"/>
  <c r="T71"/>
  <c r="AC71" s="1"/>
  <c r="Q436"/>
  <c r="T262"/>
  <c r="AC262" s="1"/>
  <c r="T182"/>
  <c r="AC182" s="1"/>
  <c r="T249"/>
  <c r="AC249" s="1"/>
  <c r="T29"/>
  <c r="AC29" s="1"/>
  <c r="T384"/>
  <c r="AC384" s="1"/>
  <c r="T188"/>
  <c r="AC188" s="1"/>
  <c r="T215"/>
  <c r="AC215" s="1"/>
  <c r="T39"/>
  <c r="AC39" s="1"/>
  <c r="T326"/>
  <c r="AC326" s="1"/>
  <c r="T242"/>
  <c r="AC242" s="1"/>
  <c r="T150"/>
  <c r="AC150" s="1"/>
  <c r="T98"/>
  <c r="AC98" s="1"/>
  <c r="T38"/>
  <c r="AC38" s="1"/>
  <c r="T397"/>
  <c r="AC397" s="1"/>
  <c r="T281"/>
  <c r="AC281" s="1"/>
  <c r="T253"/>
  <c r="AC253" s="1"/>
  <c r="T205"/>
  <c r="AC205" s="1"/>
  <c r="T77"/>
  <c r="AC77" s="1"/>
  <c r="T13"/>
  <c r="AC13" s="1"/>
  <c r="P435"/>
  <c r="T428"/>
  <c r="AC428" s="1"/>
  <c r="T352"/>
  <c r="AC352" s="1"/>
  <c r="T160"/>
  <c r="AC160" s="1"/>
  <c r="T44"/>
  <c r="AC44" s="1"/>
  <c r="T423"/>
  <c r="AC423" s="1"/>
  <c r="T311"/>
  <c r="AC311" s="1"/>
  <c r="T139"/>
  <c r="AC139" s="1"/>
  <c r="T390"/>
  <c r="AC390" s="1"/>
  <c r="T354"/>
  <c r="AC354" s="1"/>
  <c r="T310"/>
  <c r="AC310" s="1"/>
  <c r="T258"/>
  <c r="AC258" s="1"/>
  <c r="T226"/>
  <c r="AC226" s="1"/>
  <c r="T198"/>
  <c r="AC198" s="1"/>
  <c r="T178"/>
  <c r="AC178" s="1"/>
  <c r="T114"/>
  <c r="AC114" s="1"/>
  <c r="T82"/>
  <c r="AC82" s="1"/>
  <c r="T54"/>
  <c r="AC54" s="1"/>
  <c r="T6"/>
  <c r="AC6" s="1"/>
  <c r="T429"/>
  <c r="AC429" s="1"/>
  <c r="T409"/>
  <c r="AC409" s="1"/>
  <c r="T381"/>
  <c r="AC381" s="1"/>
  <c r="T329"/>
  <c r="AC329" s="1"/>
  <c r="T269"/>
  <c r="AC269" s="1"/>
  <c r="T237"/>
  <c r="AC237" s="1"/>
  <c r="T189"/>
  <c r="AC189" s="1"/>
  <c r="T125"/>
  <c r="AC125" s="1"/>
  <c r="T93"/>
  <c r="AC93" s="1"/>
  <c r="T41"/>
  <c r="AC41" s="1"/>
  <c r="T380"/>
  <c r="AC380" s="1"/>
  <c r="T364"/>
  <c r="AC364" s="1"/>
  <c r="T304"/>
  <c r="AC304" s="1"/>
  <c r="T272"/>
  <c r="AC272" s="1"/>
  <c r="T252"/>
  <c r="AC252" s="1"/>
  <c r="T208"/>
  <c r="AC208" s="1"/>
  <c r="T176"/>
  <c r="AC176" s="1"/>
  <c r="T144"/>
  <c r="AC144" s="1"/>
  <c r="T80"/>
  <c r="AC80" s="1"/>
  <c r="T16"/>
  <c r="AC16" s="1"/>
  <c r="T395"/>
  <c r="AC395" s="1"/>
  <c r="T379"/>
  <c r="AC379" s="1"/>
  <c r="T359"/>
  <c r="AC359" s="1"/>
  <c r="T343"/>
  <c r="AC343" s="1"/>
  <c r="T251"/>
  <c r="AC251" s="1"/>
  <c r="T235"/>
  <c r="AC235" s="1"/>
  <c r="T183"/>
  <c r="AC183" s="1"/>
  <c r="T155"/>
  <c r="AC155" s="1"/>
  <c r="T123"/>
  <c r="AC123" s="1"/>
  <c r="T11"/>
  <c r="AC11" s="1"/>
  <c r="N435"/>
  <c r="T274"/>
  <c r="AC274" s="1"/>
  <c r="T210"/>
  <c r="AC210" s="1"/>
  <c r="T166"/>
  <c r="AC166" s="1"/>
  <c r="T130"/>
  <c r="AC130" s="1"/>
  <c r="T66"/>
  <c r="AC66" s="1"/>
  <c r="T345"/>
  <c r="AC345" s="1"/>
  <c r="T297"/>
  <c r="AC297" s="1"/>
  <c r="T221"/>
  <c r="AC221" s="1"/>
  <c r="T173"/>
  <c r="AC173" s="1"/>
  <c r="T109"/>
  <c r="AC109" s="1"/>
  <c r="T57"/>
  <c r="AC57" s="1"/>
  <c r="S437"/>
  <c r="T412"/>
  <c r="AC412" s="1"/>
  <c r="T288"/>
  <c r="AC288" s="1"/>
  <c r="T192"/>
  <c r="AC192" s="1"/>
  <c r="T128"/>
  <c r="AC128" s="1"/>
  <c r="T331"/>
  <c r="AC331" s="1"/>
  <c r="T219"/>
  <c r="AC219" s="1"/>
  <c r="T167"/>
  <c r="AC167" s="1"/>
  <c r="T75"/>
  <c r="AC75" s="1"/>
  <c r="T386"/>
  <c r="AC386" s="1"/>
  <c r="T278"/>
  <c r="AC278" s="1"/>
  <c r="T246"/>
  <c r="AC246" s="1"/>
  <c r="T214"/>
  <c r="AC214" s="1"/>
  <c r="T194"/>
  <c r="AC194" s="1"/>
  <c r="T134"/>
  <c r="AC134" s="1"/>
  <c r="T70"/>
  <c r="AC70" s="1"/>
  <c r="T50"/>
  <c r="AC50" s="1"/>
  <c r="T317"/>
  <c r="AC317" s="1"/>
  <c r="T301"/>
  <c r="AC301" s="1"/>
  <c r="T285"/>
  <c r="AC285" s="1"/>
  <c r="T265"/>
  <c r="AC265" s="1"/>
  <c r="T185"/>
  <c r="AC185" s="1"/>
  <c r="T153"/>
  <c r="AC153" s="1"/>
  <c r="T121"/>
  <c r="AC121" s="1"/>
  <c r="T89"/>
  <c r="AC89" s="1"/>
  <c r="T61"/>
  <c r="AC61" s="1"/>
  <c r="T416"/>
  <c r="AC416" s="1"/>
  <c r="T268"/>
  <c r="AC268" s="1"/>
  <c r="T224"/>
  <c r="AC224" s="1"/>
  <c r="T204"/>
  <c r="AC204" s="1"/>
  <c r="T172"/>
  <c r="AC172" s="1"/>
  <c r="T140"/>
  <c r="AC140" s="1"/>
  <c r="T76"/>
  <c r="AC76" s="1"/>
  <c r="T48"/>
  <c r="AC48" s="1"/>
  <c r="T12"/>
  <c r="AC12" s="1"/>
  <c r="T427"/>
  <c r="AC427" s="1"/>
  <c r="T391"/>
  <c r="AC391" s="1"/>
  <c r="T375"/>
  <c r="AC375" s="1"/>
  <c r="T315"/>
  <c r="AC315" s="1"/>
  <c r="T267"/>
  <c r="AC267" s="1"/>
  <c r="T231"/>
  <c r="AC231" s="1"/>
  <c r="T203"/>
  <c r="AC203" s="1"/>
  <c r="T171"/>
  <c r="AC171" s="1"/>
  <c r="T151"/>
  <c r="AC151" s="1"/>
  <c r="T119"/>
  <c r="AC119" s="1"/>
  <c r="T87"/>
  <c r="AC87" s="1"/>
  <c r="T55"/>
  <c r="AC55" s="1"/>
  <c r="T7"/>
  <c r="AC7" s="1"/>
  <c r="Q434"/>
  <c r="S434"/>
  <c r="T410"/>
  <c r="AC410" s="1"/>
  <c r="T330"/>
  <c r="AC330" s="1"/>
  <c r="T314"/>
  <c r="AC314" s="1"/>
  <c r="T298"/>
  <c r="AC298" s="1"/>
  <c r="T266"/>
  <c r="AC266" s="1"/>
  <c r="T250"/>
  <c r="AC250" s="1"/>
  <c r="T234"/>
  <c r="AC234" s="1"/>
  <c r="T218"/>
  <c r="AC218" s="1"/>
  <c r="T186"/>
  <c r="AC186" s="1"/>
  <c r="T170"/>
  <c r="AC170" s="1"/>
  <c r="T138"/>
  <c r="AC138" s="1"/>
  <c r="T122"/>
  <c r="AC122" s="1"/>
  <c r="T106"/>
  <c r="AC106" s="1"/>
  <c r="T90"/>
  <c r="AC90" s="1"/>
  <c r="T74"/>
  <c r="AC74" s="1"/>
  <c r="T42"/>
  <c r="AC42" s="1"/>
  <c r="T10"/>
  <c r="AC10" s="1"/>
  <c r="T385"/>
  <c r="AC385" s="1"/>
  <c r="T369"/>
  <c r="AC369" s="1"/>
  <c r="T353"/>
  <c r="AC353" s="1"/>
  <c r="T337"/>
  <c r="AC337" s="1"/>
  <c r="T321"/>
  <c r="AC321" s="1"/>
  <c r="T257"/>
  <c r="AC257" s="1"/>
  <c r="T241"/>
  <c r="AC241" s="1"/>
  <c r="T225"/>
  <c r="AC225" s="1"/>
  <c r="T193"/>
  <c r="AC193" s="1"/>
  <c r="T177"/>
  <c r="AC177" s="1"/>
  <c r="T161"/>
  <c r="AC161" s="1"/>
  <c r="T145"/>
  <c r="AC145" s="1"/>
  <c r="T129"/>
  <c r="AC129" s="1"/>
  <c r="T113"/>
  <c r="AC113" s="1"/>
  <c r="T97"/>
  <c r="AC97" s="1"/>
  <c r="T81"/>
  <c r="AC81" s="1"/>
  <c r="T65"/>
  <c r="AC65" s="1"/>
  <c r="T49"/>
  <c r="AC49" s="1"/>
  <c r="T17"/>
  <c r="AC17" s="1"/>
  <c r="Q437"/>
  <c r="N433"/>
  <c r="P433"/>
  <c r="R437"/>
  <c r="T404"/>
  <c r="AC404" s="1"/>
  <c r="T388"/>
  <c r="AC388" s="1"/>
  <c r="T340"/>
  <c r="AC340" s="1"/>
  <c r="T324"/>
  <c r="AC324" s="1"/>
  <c r="T308"/>
  <c r="AC308" s="1"/>
  <c r="T292"/>
  <c r="AC292" s="1"/>
  <c r="T276"/>
  <c r="AC276" s="1"/>
  <c r="T260"/>
  <c r="AC260" s="1"/>
  <c r="T228"/>
  <c r="AC228" s="1"/>
  <c r="T196"/>
  <c r="AC196" s="1"/>
  <c r="T180"/>
  <c r="AC180" s="1"/>
  <c r="T164"/>
  <c r="AC164" s="1"/>
  <c r="T148"/>
  <c r="AC148" s="1"/>
  <c r="T132"/>
  <c r="AC132" s="1"/>
  <c r="T116"/>
  <c r="AC116" s="1"/>
  <c r="T100"/>
  <c r="AC100" s="1"/>
  <c r="T84"/>
  <c r="AC84" s="1"/>
  <c r="T52"/>
  <c r="AC52" s="1"/>
  <c r="T4"/>
  <c r="AC4" s="1"/>
  <c r="T367"/>
  <c r="AC367" s="1"/>
  <c r="T335"/>
  <c r="AC335" s="1"/>
  <c r="T319"/>
  <c r="AC319" s="1"/>
  <c r="T303"/>
  <c r="AC303" s="1"/>
  <c r="T287"/>
  <c r="AC287" s="1"/>
  <c r="T223"/>
  <c r="AC223" s="1"/>
  <c r="T191"/>
  <c r="AC191" s="1"/>
  <c r="T175"/>
  <c r="AC175" s="1"/>
  <c r="T143"/>
  <c r="AC143" s="1"/>
  <c r="T127"/>
  <c r="AC127" s="1"/>
  <c r="T111"/>
  <c r="AC111" s="1"/>
  <c r="T95"/>
  <c r="AC95" s="1"/>
  <c r="T79"/>
  <c r="AC79" s="1"/>
  <c r="T63"/>
  <c r="AC63" s="1"/>
  <c r="T47"/>
  <c r="AC47" s="1"/>
  <c r="T15"/>
  <c r="AC15" s="1"/>
  <c r="S433"/>
  <c r="T430"/>
  <c r="AC430" s="1"/>
  <c r="T414"/>
  <c r="AC414" s="1"/>
  <c r="T398"/>
  <c r="AC398" s="1"/>
  <c r="T382"/>
  <c r="AC382" s="1"/>
  <c r="T318"/>
  <c r="AC318" s="1"/>
  <c r="T302"/>
  <c r="AC302" s="1"/>
  <c r="T286"/>
  <c r="AC286" s="1"/>
  <c r="T270"/>
  <c r="AC270" s="1"/>
  <c r="T254"/>
  <c r="AC254" s="1"/>
  <c r="T238"/>
  <c r="AC238" s="1"/>
  <c r="T222"/>
  <c r="AC222" s="1"/>
  <c r="T206"/>
  <c r="AC206" s="1"/>
  <c r="T126"/>
  <c r="AC126" s="1"/>
  <c r="T110"/>
  <c r="AC110" s="1"/>
  <c r="T94"/>
  <c r="AC94" s="1"/>
  <c r="T78"/>
  <c r="AC78" s="1"/>
  <c r="T62"/>
  <c r="AC62" s="1"/>
  <c r="T46"/>
  <c r="AC46" s="1"/>
  <c r="T14"/>
  <c r="AC14" s="1"/>
  <c r="T421"/>
  <c r="AC421" s="1"/>
  <c r="T405"/>
  <c r="AC405" s="1"/>
  <c r="T389"/>
  <c r="AC389" s="1"/>
  <c r="T373"/>
  <c r="AC373" s="1"/>
  <c r="T341"/>
  <c r="AC341" s="1"/>
  <c r="T325"/>
  <c r="AC325" s="1"/>
  <c r="T277"/>
  <c r="AC277" s="1"/>
  <c r="T261"/>
  <c r="AC261" s="1"/>
  <c r="T245"/>
  <c r="AC245" s="1"/>
  <c r="T229"/>
  <c r="AC229" s="1"/>
  <c r="T197"/>
  <c r="AC197" s="1"/>
  <c r="T181"/>
  <c r="AC181" s="1"/>
  <c r="T165"/>
  <c r="AC165" s="1"/>
  <c r="T149"/>
  <c r="AC149" s="1"/>
  <c r="T133"/>
  <c r="AC133" s="1"/>
  <c r="T117"/>
  <c r="AC117" s="1"/>
  <c r="T101"/>
  <c r="AC101" s="1"/>
  <c r="T85"/>
  <c r="AC85" s="1"/>
  <c r="T53"/>
  <c r="AC53" s="1"/>
  <c r="T5"/>
  <c r="AC5" s="1"/>
  <c r="N434"/>
  <c r="T360"/>
  <c r="AC360" s="1"/>
  <c r="T344"/>
  <c r="AC344" s="1"/>
  <c r="T328"/>
  <c r="AC328" s="1"/>
  <c r="T312"/>
  <c r="AC312" s="1"/>
  <c r="T296"/>
  <c r="AC296" s="1"/>
  <c r="T280"/>
  <c r="AC280" s="1"/>
  <c r="T248"/>
  <c r="AC248" s="1"/>
  <c r="T216"/>
  <c r="AC216" s="1"/>
  <c r="T200"/>
  <c r="AC200" s="1"/>
  <c r="T184"/>
  <c r="AC184" s="1"/>
  <c r="T168"/>
  <c r="AC168" s="1"/>
  <c r="T152"/>
  <c r="AC152" s="1"/>
  <c r="T136"/>
  <c r="AC136" s="1"/>
  <c r="T120"/>
  <c r="AC120" s="1"/>
  <c r="T104"/>
  <c r="AC104" s="1"/>
  <c r="T88"/>
  <c r="AC88" s="1"/>
  <c r="T72"/>
  <c r="AC72" s="1"/>
  <c r="T56"/>
  <c r="AC56" s="1"/>
  <c r="T40"/>
  <c r="AC40" s="1"/>
  <c r="T8"/>
  <c r="AC8" s="1"/>
  <c r="T403"/>
  <c r="AC403" s="1"/>
  <c r="T291"/>
  <c r="AC291" s="1"/>
  <c r="T275"/>
  <c r="AC275" s="1"/>
  <c r="T259"/>
  <c r="AC259" s="1"/>
  <c r="T227"/>
  <c r="AC227" s="1"/>
  <c r="T211"/>
  <c r="AC211" s="1"/>
  <c r="T195"/>
  <c r="AC195" s="1"/>
  <c r="T179"/>
  <c r="AC179" s="1"/>
  <c r="T163"/>
  <c r="AC163" s="1"/>
  <c r="T147"/>
  <c r="AC147" s="1"/>
  <c r="T131"/>
  <c r="AC131" s="1"/>
  <c r="T115"/>
  <c r="AC115" s="1"/>
  <c r="T99"/>
  <c r="AC99" s="1"/>
  <c r="T83"/>
  <c r="AC83" s="1"/>
  <c r="T67"/>
  <c r="AC67" s="1"/>
  <c r="T51"/>
  <c r="AC51" s="1"/>
  <c r="O434"/>
  <c r="P434"/>
  <c r="Q433"/>
  <c r="R435"/>
  <c r="S435"/>
  <c r="S436"/>
  <c r="R433"/>
  <c r="N437"/>
  <c r="O435"/>
  <c r="Q435"/>
  <c r="R436"/>
  <c r="P436"/>
  <c r="P437"/>
  <c r="N436"/>
  <c r="O437"/>
  <c r="L435"/>
  <c r="L434"/>
  <c r="O433"/>
  <c r="O436"/>
  <c r="L436"/>
  <c r="L437"/>
  <c r="L433"/>
  <c r="P438" l="1"/>
  <c r="Y18" s="1"/>
  <c r="AH18" s="1"/>
  <c r="M438"/>
  <c r="V41" s="1"/>
  <c r="AE41" s="1"/>
  <c r="N438"/>
  <c r="W8" s="1"/>
  <c r="AF8" s="1"/>
  <c r="S438"/>
  <c r="AB409" s="1"/>
  <c r="AK409" s="1"/>
  <c r="O438"/>
  <c r="X19" s="1"/>
  <c r="AG19" s="1"/>
  <c r="R438"/>
  <c r="AA67" s="1"/>
  <c r="AJ67" s="1"/>
  <c r="Q438"/>
  <c r="Z423" s="1"/>
  <c r="AI423" s="1"/>
  <c r="L438"/>
  <c r="U4" s="1"/>
  <c r="AD4" s="1"/>
  <c r="Y364" l="1"/>
  <c r="AH364" s="1"/>
  <c r="Y300"/>
  <c r="AH300" s="1"/>
  <c r="Y22"/>
  <c r="AH22" s="1"/>
  <c r="Y77"/>
  <c r="AH77" s="1"/>
  <c r="Y84"/>
  <c r="AH84" s="1"/>
  <c r="Y242"/>
  <c r="AH242" s="1"/>
  <c r="V45"/>
  <c r="AE45" s="1"/>
  <c r="Y349"/>
  <c r="AH349" s="1"/>
  <c r="Y152"/>
  <c r="AH152" s="1"/>
  <c r="Y235"/>
  <c r="AH235" s="1"/>
  <c r="Y307"/>
  <c r="AH307" s="1"/>
  <c r="V211"/>
  <c r="AE211" s="1"/>
  <c r="V115"/>
  <c r="AE115" s="1"/>
  <c r="Y171"/>
  <c r="AH171" s="1"/>
  <c r="Y377"/>
  <c r="AH377" s="1"/>
  <c r="Y106"/>
  <c r="AH106" s="1"/>
  <c r="V99"/>
  <c r="AE99" s="1"/>
  <c r="V40"/>
  <c r="AE40" s="1"/>
  <c r="Y419"/>
  <c r="AH419" s="1"/>
  <c r="Y285"/>
  <c r="AH285" s="1"/>
  <c r="Y148"/>
  <c r="AH148" s="1"/>
  <c r="Y428"/>
  <c r="AH428" s="1"/>
  <c r="Y258"/>
  <c r="AH258" s="1"/>
  <c r="Y216"/>
  <c r="AH216" s="1"/>
  <c r="Y41"/>
  <c r="AH41" s="1"/>
  <c r="Y402"/>
  <c r="AH402" s="1"/>
  <c r="Y228"/>
  <c r="AH228" s="1"/>
  <c r="Y194"/>
  <c r="AH194" s="1"/>
  <c r="Y19"/>
  <c r="AH19" s="1"/>
  <c r="Y322"/>
  <c r="AH322" s="1"/>
  <c r="Y193"/>
  <c r="AH193" s="1"/>
  <c r="Y99"/>
  <c r="AH99" s="1"/>
  <c r="Y347"/>
  <c r="AH347" s="1"/>
  <c r="Y316"/>
  <c r="AH316" s="1"/>
  <c r="Y301"/>
  <c r="AH301" s="1"/>
  <c r="Y187"/>
  <c r="AH187" s="1"/>
  <c r="Y143"/>
  <c r="AH143" s="1"/>
  <c r="Y93"/>
  <c r="AH93" s="1"/>
  <c r="Y35"/>
  <c r="AH35" s="1"/>
  <c r="Y393"/>
  <c r="AH393" s="1"/>
  <c r="Y274"/>
  <c r="AH274" s="1"/>
  <c r="Y259"/>
  <c r="AH259" s="1"/>
  <c r="Y141"/>
  <c r="AH141" s="1"/>
  <c r="Y54"/>
  <c r="AH54" s="1"/>
  <c r="Y38"/>
  <c r="AH38" s="1"/>
  <c r="Y370"/>
  <c r="AH370" s="1"/>
  <c r="Y268"/>
  <c r="AH268" s="1"/>
  <c r="Y203"/>
  <c r="AH203" s="1"/>
  <c r="Y116"/>
  <c r="AH116" s="1"/>
  <c r="Y32"/>
  <c r="AH32" s="1"/>
  <c r="Y354"/>
  <c r="AH354" s="1"/>
  <c r="Y275"/>
  <c r="AH275" s="1"/>
  <c r="Y138"/>
  <c r="AH138" s="1"/>
  <c r="AA26"/>
  <c r="AJ26" s="1"/>
  <c r="Y418"/>
  <c r="AH418" s="1"/>
  <c r="Y371"/>
  <c r="AH371" s="1"/>
  <c r="Y252"/>
  <c r="AH252" s="1"/>
  <c r="Y230"/>
  <c r="AH230" s="1"/>
  <c r="Y210"/>
  <c r="AH210" s="1"/>
  <c r="Y100"/>
  <c r="AH100" s="1"/>
  <c r="Y16"/>
  <c r="AH16" s="1"/>
  <c r="Y380"/>
  <c r="AH380" s="1"/>
  <c r="Y338"/>
  <c r="AH338" s="1"/>
  <c r="Y323"/>
  <c r="AH323" s="1"/>
  <c r="Y209"/>
  <c r="AH209" s="1"/>
  <c r="Y168"/>
  <c r="AH168" s="1"/>
  <c r="Y122"/>
  <c r="AH122" s="1"/>
  <c r="Y57"/>
  <c r="AH57" s="1"/>
  <c r="Y387"/>
  <c r="AH387" s="1"/>
  <c r="Y332"/>
  <c r="AH332" s="1"/>
  <c r="Y317"/>
  <c r="AH317" s="1"/>
  <c r="Y253"/>
  <c r="AH253" s="1"/>
  <c r="Y129"/>
  <c r="AH129" s="1"/>
  <c r="Y162"/>
  <c r="AH162" s="1"/>
  <c r="Y109"/>
  <c r="AH109" s="1"/>
  <c r="Y51"/>
  <c r="AH51" s="1"/>
  <c r="Y396"/>
  <c r="AH396" s="1"/>
  <c r="Y409"/>
  <c r="AH409" s="1"/>
  <c r="Y290"/>
  <c r="AH290" s="1"/>
  <c r="Y339"/>
  <c r="AH339" s="1"/>
  <c r="Y225"/>
  <c r="AH225" s="1"/>
  <c r="Y161"/>
  <c r="AH161" s="1"/>
  <c r="Y184"/>
  <c r="AH184" s="1"/>
  <c r="Y74"/>
  <c r="AH74" s="1"/>
  <c r="Y67"/>
  <c r="AH67" s="1"/>
  <c r="Y9"/>
  <c r="AH9" s="1"/>
  <c r="Y386"/>
  <c r="AH386" s="1"/>
  <c r="Y403"/>
  <c r="AH403" s="1"/>
  <c r="Y348"/>
  <c r="AH348" s="1"/>
  <c r="Y284"/>
  <c r="AH284" s="1"/>
  <c r="Y333"/>
  <c r="AH333" s="1"/>
  <c r="Y269"/>
  <c r="AH269" s="1"/>
  <c r="Y219"/>
  <c r="AH219" s="1"/>
  <c r="Y155"/>
  <c r="AH155" s="1"/>
  <c r="Y178"/>
  <c r="AH178" s="1"/>
  <c r="Y132"/>
  <c r="AH132" s="1"/>
  <c r="Y68"/>
  <c r="AH68" s="1"/>
  <c r="Y61"/>
  <c r="AH61" s="1"/>
  <c r="Y48"/>
  <c r="AH48" s="1"/>
  <c r="Y412"/>
  <c r="AH412" s="1"/>
  <c r="Y425"/>
  <c r="AH425" s="1"/>
  <c r="Y361"/>
  <c r="AH361" s="1"/>
  <c r="Y306"/>
  <c r="AH306" s="1"/>
  <c r="Y240"/>
  <c r="AH240" s="1"/>
  <c r="Y291"/>
  <c r="AH291" s="1"/>
  <c r="Y241"/>
  <c r="AH241" s="1"/>
  <c r="Y177"/>
  <c r="AH177" s="1"/>
  <c r="Y200"/>
  <c r="AH200" s="1"/>
  <c r="Y123"/>
  <c r="AH123" s="1"/>
  <c r="Y90"/>
  <c r="AH90" s="1"/>
  <c r="Y83"/>
  <c r="AH83" s="1"/>
  <c r="Y25"/>
  <c r="AH25" s="1"/>
  <c r="Y6"/>
  <c r="AH6" s="1"/>
  <c r="V77"/>
  <c r="AE77" s="1"/>
  <c r="V227"/>
  <c r="AE227" s="1"/>
  <c r="V16"/>
  <c r="AE16" s="1"/>
  <c r="V147"/>
  <c r="AE147" s="1"/>
  <c r="V275"/>
  <c r="AE275" s="1"/>
  <c r="AB73"/>
  <c r="AK73" s="1"/>
  <c r="V29"/>
  <c r="AE29" s="1"/>
  <c r="V48"/>
  <c r="AE48" s="1"/>
  <c r="V179"/>
  <c r="AE179" s="1"/>
  <c r="V291"/>
  <c r="AE291" s="1"/>
  <c r="Y406"/>
  <c r="AH406" s="1"/>
  <c r="Y374"/>
  <c r="AH374" s="1"/>
  <c r="Y423"/>
  <c r="AH423" s="1"/>
  <c r="Y391"/>
  <c r="AH391" s="1"/>
  <c r="Y357"/>
  <c r="AH357" s="1"/>
  <c r="Y336"/>
  <c r="AH336" s="1"/>
  <c r="Y304"/>
  <c r="AH304" s="1"/>
  <c r="Y272"/>
  <c r="AH272" s="1"/>
  <c r="Y236"/>
  <c r="AH236" s="1"/>
  <c r="Y321"/>
  <c r="AH321" s="1"/>
  <c r="Y289"/>
  <c r="AH289" s="1"/>
  <c r="Y273"/>
  <c r="AH273" s="1"/>
  <c r="Y238"/>
  <c r="AH238" s="1"/>
  <c r="Y223"/>
  <c r="AH223" s="1"/>
  <c r="Y191"/>
  <c r="AH191" s="1"/>
  <c r="Y159"/>
  <c r="AH159" s="1"/>
  <c r="Y137"/>
  <c r="AH137" s="1"/>
  <c r="Y198"/>
  <c r="AH198" s="1"/>
  <c r="Y166"/>
  <c r="AH166" s="1"/>
  <c r="Y119"/>
  <c r="AH119" s="1"/>
  <c r="Y120"/>
  <c r="AH120" s="1"/>
  <c r="Y88"/>
  <c r="AH88" s="1"/>
  <c r="Y50"/>
  <c r="AH50" s="1"/>
  <c r="Y81"/>
  <c r="AH81" s="1"/>
  <c r="Y55"/>
  <c r="AH55" s="1"/>
  <c r="Y39"/>
  <c r="AH39" s="1"/>
  <c r="Y7"/>
  <c r="AH7" s="1"/>
  <c r="Y20"/>
  <c r="AH20" s="1"/>
  <c r="Y416"/>
  <c r="AH416" s="1"/>
  <c r="Y384"/>
  <c r="AH384" s="1"/>
  <c r="Y429"/>
  <c r="AH429" s="1"/>
  <c r="Y397"/>
  <c r="AH397" s="1"/>
  <c r="Y381"/>
  <c r="AH381" s="1"/>
  <c r="Y358"/>
  <c r="AH358" s="1"/>
  <c r="Y326"/>
  <c r="AH326" s="1"/>
  <c r="Y294"/>
  <c r="AH294" s="1"/>
  <c r="Y343"/>
  <c r="AH343" s="1"/>
  <c r="Y311"/>
  <c r="AH311" s="1"/>
  <c r="Y295"/>
  <c r="AH295" s="1"/>
  <c r="Y263"/>
  <c r="AH263" s="1"/>
  <c r="Y218"/>
  <c r="AH218" s="1"/>
  <c r="Y213"/>
  <c r="AH213" s="1"/>
  <c r="Y181"/>
  <c r="AH181" s="1"/>
  <c r="Y149"/>
  <c r="AH149" s="1"/>
  <c r="Y204"/>
  <c r="AH204" s="1"/>
  <c r="Y172"/>
  <c r="AH172" s="1"/>
  <c r="Y131"/>
  <c r="AH131" s="1"/>
  <c r="Y142"/>
  <c r="AH142" s="1"/>
  <c r="Y110"/>
  <c r="AH110" s="1"/>
  <c r="Y78"/>
  <c r="AH78" s="1"/>
  <c r="Y103"/>
  <c r="AH103" s="1"/>
  <c r="Y71"/>
  <c r="AH71" s="1"/>
  <c r="Y45"/>
  <c r="AH45" s="1"/>
  <c r="Y13"/>
  <c r="AH13" s="1"/>
  <c r="Y26"/>
  <c r="AH26" s="1"/>
  <c r="AA147"/>
  <c r="AJ147" s="1"/>
  <c r="Y426"/>
  <c r="AH426" s="1"/>
  <c r="Y410"/>
  <c r="AH410" s="1"/>
  <c r="Y394"/>
  <c r="AH394" s="1"/>
  <c r="Y378"/>
  <c r="AH378" s="1"/>
  <c r="Y362"/>
  <c r="AH362" s="1"/>
  <c r="Y427"/>
  <c r="AH427" s="1"/>
  <c r="Y411"/>
  <c r="AH411" s="1"/>
  <c r="Y395"/>
  <c r="AH395" s="1"/>
  <c r="Y379"/>
  <c r="AH379" s="1"/>
  <c r="Y363"/>
  <c r="AH363" s="1"/>
  <c r="Y356"/>
  <c r="AH356" s="1"/>
  <c r="Y340"/>
  <c r="AH340" s="1"/>
  <c r="Y324"/>
  <c r="AH324" s="1"/>
  <c r="Y308"/>
  <c r="AH308" s="1"/>
  <c r="Y292"/>
  <c r="AH292" s="1"/>
  <c r="Y276"/>
  <c r="AH276" s="1"/>
  <c r="Y260"/>
  <c r="AH260" s="1"/>
  <c r="Y244"/>
  <c r="AH244" s="1"/>
  <c r="Y341"/>
  <c r="AH341" s="1"/>
  <c r="Y325"/>
  <c r="AH325" s="1"/>
  <c r="Y309"/>
  <c r="AH309" s="1"/>
  <c r="Y293"/>
  <c r="AH293" s="1"/>
  <c r="Y277"/>
  <c r="AH277" s="1"/>
  <c r="Y261"/>
  <c r="AH261" s="1"/>
  <c r="Y245"/>
  <c r="AH245" s="1"/>
  <c r="Y243"/>
  <c r="AH243" s="1"/>
  <c r="Y227"/>
  <c r="AH227" s="1"/>
  <c r="Y211"/>
  <c r="AH211" s="1"/>
  <c r="Y195"/>
  <c r="AH195" s="1"/>
  <c r="Y179"/>
  <c r="AH179" s="1"/>
  <c r="Y163"/>
  <c r="AH163" s="1"/>
  <c r="Y145"/>
  <c r="AH145" s="1"/>
  <c r="Y113"/>
  <c r="AH113" s="1"/>
  <c r="Y202"/>
  <c r="AH202" s="1"/>
  <c r="Y186"/>
  <c r="AH186" s="1"/>
  <c r="Y170"/>
  <c r="AH170" s="1"/>
  <c r="Y154"/>
  <c r="AH154" s="1"/>
  <c r="Y127"/>
  <c r="AH127" s="1"/>
  <c r="Y140"/>
  <c r="AH140" s="1"/>
  <c r="Y124"/>
  <c r="AH124" s="1"/>
  <c r="Y108"/>
  <c r="AH108" s="1"/>
  <c r="Y92"/>
  <c r="AH92" s="1"/>
  <c r="Y76"/>
  <c r="AH76" s="1"/>
  <c r="Y58"/>
  <c r="AH58" s="1"/>
  <c r="Y101"/>
  <c r="AH101" s="1"/>
  <c r="Y85"/>
  <c r="AH85" s="1"/>
  <c r="Y69"/>
  <c r="AH69" s="1"/>
  <c r="Y59"/>
  <c r="AH59" s="1"/>
  <c r="Y43"/>
  <c r="AH43" s="1"/>
  <c r="Y27"/>
  <c r="AH27" s="1"/>
  <c r="Y11"/>
  <c r="AH11" s="1"/>
  <c r="Y40"/>
  <c r="AH40" s="1"/>
  <c r="Y24"/>
  <c r="AH24" s="1"/>
  <c r="Y8"/>
  <c r="AH8" s="1"/>
  <c r="Y420"/>
  <c r="AH420" s="1"/>
  <c r="Y404"/>
  <c r="AH404" s="1"/>
  <c r="Y388"/>
  <c r="AH388" s="1"/>
  <c r="Y372"/>
  <c r="AH372" s="1"/>
  <c r="Y351"/>
  <c r="AH351" s="1"/>
  <c r="Y417"/>
  <c r="AH417" s="1"/>
  <c r="Y401"/>
  <c r="AH401" s="1"/>
  <c r="Y385"/>
  <c r="AH385" s="1"/>
  <c r="Y369"/>
  <c r="AH369" s="1"/>
  <c r="Y345"/>
  <c r="AH345" s="1"/>
  <c r="Y346"/>
  <c r="AH346" s="1"/>
  <c r="Y330"/>
  <c r="AH330" s="1"/>
  <c r="Y314"/>
  <c r="AH314" s="1"/>
  <c r="Y298"/>
  <c r="AH298" s="1"/>
  <c r="Y282"/>
  <c r="AH282" s="1"/>
  <c r="Y266"/>
  <c r="AH266" s="1"/>
  <c r="Y250"/>
  <c r="AH250" s="1"/>
  <c r="Y224"/>
  <c r="AH224" s="1"/>
  <c r="Y331"/>
  <c r="AH331" s="1"/>
  <c r="Y315"/>
  <c r="AH315" s="1"/>
  <c r="Y299"/>
  <c r="AH299" s="1"/>
  <c r="Y283"/>
  <c r="AH283" s="1"/>
  <c r="Y267"/>
  <c r="AH267" s="1"/>
  <c r="Y251"/>
  <c r="AH251" s="1"/>
  <c r="Y226"/>
  <c r="AH226" s="1"/>
  <c r="Y233"/>
  <c r="AH233" s="1"/>
  <c r="Y217"/>
  <c r="AH217" s="1"/>
  <c r="Y201"/>
  <c r="AH201" s="1"/>
  <c r="Y185"/>
  <c r="AH185" s="1"/>
  <c r="Y169"/>
  <c r="AH169" s="1"/>
  <c r="Y153"/>
  <c r="AH153" s="1"/>
  <c r="Y125"/>
  <c r="AH125" s="1"/>
  <c r="Y208"/>
  <c r="AH208" s="1"/>
  <c r="Y192"/>
  <c r="AH192" s="1"/>
  <c r="Y176"/>
  <c r="AH176" s="1"/>
  <c r="Y160"/>
  <c r="AH160" s="1"/>
  <c r="Y139"/>
  <c r="AH139" s="1"/>
  <c r="Y146"/>
  <c r="AH146" s="1"/>
  <c r="Y130"/>
  <c r="AH130" s="1"/>
  <c r="Y114"/>
  <c r="AH114" s="1"/>
  <c r="Y98"/>
  <c r="AH98" s="1"/>
  <c r="Y82"/>
  <c r="AH82" s="1"/>
  <c r="Y66"/>
  <c r="AH66" s="1"/>
  <c r="Y107"/>
  <c r="AH107" s="1"/>
  <c r="Y91"/>
  <c r="AH91" s="1"/>
  <c r="Y75"/>
  <c r="AH75" s="1"/>
  <c r="Y60"/>
  <c r="AH60" s="1"/>
  <c r="Y49"/>
  <c r="AH49" s="1"/>
  <c r="Y33"/>
  <c r="AH33" s="1"/>
  <c r="Y17"/>
  <c r="AH17" s="1"/>
  <c r="Y46"/>
  <c r="AH46" s="1"/>
  <c r="Y30"/>
  <c r="AH30" s="1"/>
  <c r="Y14"/>
  <c r="AH14" s="1"/>
  <c r="AA226"/>
  <c r="AJ226" s="1"/>
  <c r="X348"/>
  <c r="AG348" s="1"/>
  <c r="V61"/>
  <c r="AE61" s="1"/>
  <c r="V80"/>
  <c r="AE80" s="1"/>
  <c r="V163"/>
  <c r="AE163" s="1"/>
  <c r="V243"/>
  <c r="AE243" s="1"/>
  <c r="Y422"/>
  <c r="AH422" s="1"/>
  <c r="Y390"/>
  <c r="AH390" s="1"/>
  <c r="Y355"/>
  <c r="AH355" s="1"/>
  <c r="Y407"/>
  <c r="AH407" s="1"/>
  <c r="Y375"/>
  <c r="AH375" s="1"/>
  <c r="Y352"/>
  <c r="AH352" s="1"/>
  <c r="Y320"/>
  <c r="AH320" s="1"/>
  <c r="Y288"/>
  <c r="AH288" s="1"/>
  <c r="Y256"/>
  <c r="AH256" s="1"/>
  <c r="Y337"/>
  <c r="AH337" s="1"/>
  <c r="Y305"/>
  <c r="AH305" s="1"/>
  <c r="Y257"/>
  <c r="AH257" s="1"/>
  <c r="Y239"/>
  <c r="AH239" s="1"/>
  <c r="Y207"/>
  <c r="AH207" s="1"/>
  <c r="Y175"/>
  <c r="AH175" s="1"/>
  <c r="Y214"/>
  <c r="AH214" s="1"/>
  <c r="Y182"/>
  <c r="AH182" s="1"/>
  <c r="Y150"/>
  <c r="AH150" s="1"/>
  <c r="Y136"/>
  <c r="AH136" s="1"/>
  <c r="Y104"/>
  <c r="AH104" s="1"/>
  <c r="Y72"/>
  <c r="AH72" s="1"/>
  <c r="Y97"/>
  <c r="AH97" s="1"/>
  <c r="Y65"/>
  <c r="AH65" s="1"/>
  <c r="Y23"/>
  <c r="AH23" s="1"/>
  <c r="Y36"/>
  <c r="AH36" s="1"/>
  <c r="Y4"/>
  <c r="AH4" s="1"/>
  <c r="Y400"/>
  <c r="AH400" s="1"/>
  <c r="Y368"/>
  <c r="AH368" s="1"/>
  <c r="Y413"/>
  <c r="AH413" s="1"/>
  <c r="Y365"/>
  <c r="AH365" s="1"/>
  <c r="Y342"/>
  <c r="AH342" s="1"/>
  <c r="Y310"/>
  <c r="AH310" s="1"/>
  <c r="Y278"/>
  <c r="AH278" s="1"/>
  <c r="Y262"/>
  <c r="AH262" s="1"/>
  <c r="Y246"/>
  <c r="AH246" s="1"/>
  <c r="Y327"/>
  <c r="AH327" s="1"/>
  <c r="Y279"/>
  <c r="AH279" s="1"/>
  <c r="Y247"/>
  <c r="AH247" s="1"/>
  <c r="Y229"/>
  <c r="AH229" s="1"/>
  <c r="Y197"/>
  <c r="AH197" s="1"/>
  <c r="Y165"/>
  <c r="AH165" s="1"/>
  <c r="Y117"/>
  <c r="AH117" s="1"/>
  <c r="Y188"/>
  <c r="AH188" s="1"/>
  <c r="Y156"/>
  <c r="AH156" s="1"/>
  <c r="Y126"/>
  <c r="AH126" s="1"/>
  <c r="Y94"/>
  <c r="AH94" s="1"/>
  <c r="Y62"/>
  <c r="AH62" s="1"/>
  <c r="Y87"/>
  <c r="AH87" s="1"/>
  <c r="Y52"/>
  <c r="AH52" s="1"/>
  <c r="Y29"/>
  <c r="AH29" s="1"/>
  <c r="Y42"/>
  <c r="AH42" s="1"/>
  <c r="Y10"/>
  <c r="AH10" s="1"/>
  <c r="Y430"/>
  <c r="AH430" s="1"/>
  <c r="Y414"/>
  <c r="AH414" s="1"/>
  <c r="Y398"/>
  <c r="AH398" s="1"/>
  <c r="Y382"/>
  <c r="AH382" s="1"/>
  <c r="Y366"/>
  <c r="AH366" s="1"/>
  <c r="Y3"/>
  <c r="AH3" s="1"/>
  <c r="Y415"/>
  <c r="AH415" s="1"/>
  <c r="Y399"/>
  <c r="AH399" s="1"/>
  <c r="Y383"/>
  <c r="AH383" s="1"/>
  <c r="Y367"/>
  <c r="AH367" s="1"/>
  <c r="Y360"/>
  <c r="AH360" s="1"/>
  <c r="Y344"/>
  <c r="AH344" s="1"/>
  <c r="Y328"/>
  <c r="AH328" s="1"/>
  <c r="Y312"/>
  <c r="AH312" s="1"/>
  <c r="Y296"/>
  <c r="AH296" s="1"/>
  <c r="Y280"/>
  <c r="AH280" s="1"/>
  <c r="Y264"/>
  <c r="AH264" s="1"/>
  <c r="Y248"/>
  <c r="AH248" s="1"/>
  <c r="Y220"/>
  <c r="AH220" s="1"/>
  <c r="Y329"/>
  <c r="AH329" s="1"/>
  <c r="Y313"/>
  <c r="AH313" s="1"/>
  <c r="Y297"/>
  <c r="AH297" s="1"/>
  <c r="Y281"/>
  <c r="AH281" s="1"/>
  <c r="Y265"/>
  <c r="AH265" s="1"/>
  <c r="Y249"/>
  <c r="AH249" s="1"/>
  <c r="Y222"/>
  <c r="AH222" s="1"/>
  <c r="Y231"/>
  <c r="AH231" s="1"/>
  <c r="Y215"/>
  <c r="AH215" s="1"/>
  <c r="Y199"/>
  <c r="AH199" s="1"/>
  <c r="Y183"/>
  <c r="AH183" s="1"/>
  <c r="Y167"/>
  <c r="AH167" s="1"/>
  <c r="Y151"/>
  <c r="AH151" s="1"/>
  <c r="Y121"/>
  <c r="AH121" s="1"/>
  <c r="Y206"/>
  <c r="AH206" s="1"/>
  <c r="Y190"/>
  <c r="AH190" s="1"/>
  <c r="Y174"/>
  <c r="AH174" s="1"/>
  <c r="Y158"/>
  <c r="AH158" s="1"/>
  <c r="Y135"/>
  <c r="AH135" s="1"/>
  <c r="Y144"/>
  <c r="AH144" s="1"/>
  <c r="Y128"/>
  <c r="AH128" s="1"/>
  <c r="Y112"/>
  <c r="AH112" s="1"/>
  <c r="Y96"/>
  <c r="AH96" s="1"/>
  <c r="Y80"/>
  <c r="AH80" s="1"/>
  <c r="Y64"/>
  <c r="AH64" s="1"/>
  <c r="Y105"/>
  <c r="AH105" s="1"/>
  <c r="Y89"/>
  <c r="AH89" s="1"/>
  <c r="Y73"/>
  <c r="AH73" s="1"/>
  <c r="Y56"/>
  <c r="AH56" s="1"/>
  <c r="Y47"/>
  <c r="AH47" s="1"/>
  <c r="Y31"/>
  <c r="AH31" s="1"/>
  <c r="Y15"/>
  <c r="AH15" s="1"/>
  <c r="Y44"/>
  <c r="AH44" s="1"/>
  <c r="Y28"/>
  <c r="AH28" s="1"/>
  <c r="Y12"/>
  <c r="AH12" s="1"/>
  <c r="Y424"/>
  <c r="AH424" s="1"/>
  <c r="Y408"/>
  <c r="AH408" s="1"/>
  <c r="Y392"/>
  <c r="AH392" s="1"/>
  <c r="Y376"/>
  <c r="AH376" s="1"/>
  <c r="Y359"/>
  <c r="AH359" s="1"/>
  <c r="Y421"/>
  <c r="AH421" s="1"/>
  <c r="Y405"/>
  <c r="AH405" s="1"/>
  <c r="Y389"/>
  <c r="AH389" s="1"/>
  <c r="Y373"/>
  <c r="AH373" s="1"/>
  <c r="Y353"/>
  <c r="AH353" s="1"/>
  <c r="Y350"/>
  <c r="AH350" s="1"/>
  <c r="Y334"/>
  <c r="AH334" s="1"/>
  <c r="Y318"/>
  <c r="AH318" s="1"/>
  <c r="Y302"/>
  <c r="AH302" s="1"/>
  <c r="Y286"/>
  <c r="AH286" s="1"/>
  <c r="Y270"/>
  <c r="AH270" s="1"/>
  <c r="Y254"/>
  <c r="AH254" s="1"/>
  <c r="Y232"/>
  <c r="AH232" s="1"/>
  <c r="Y335"/>
  <c r="AH335" s="1"/>
  <c r="Y319"/>
  <c r="AH319" s="1"/>
  <c r="Y303"/>
  <c r="AH303" s="1"/>
  <c r="Y287"/>
  <c r="AH287" s="1"/>
  <c r="Y271"/>
  <c r="AH271" s="1"/>
  <c r="Y255"/>
  <c r="AH255" s="1"/>
  <c r="Y234"/>
  <c r="AH234" s="1"/>
  <c r="Y237"/>
  <c r="AH237" s="1"/>
  <c r="Y221"/>
  <c r="AH221" s="1"/>
  <c r="Y205"/>
  <c r="AH205" s="1"/>
  <c r="Y189"/>
  <c r="AH189" s="1"/>
  <c r="Y173"/>
  <c r="AH173" s="1"/>
  <c r="Y157"/>
  <c r="AH157" s="1"/>
  <c r="Y133"/>
  <c r="AH133" s="1"/>
  <c r="Y212"/>
  <c r="AH212" s="1"/>
  <c r="Y196"/>
  <c r="AH196" s="1"/>
  <c r="Y180"/>
  <c r="AH180" s="1"/>
  <c r="Y164"/>
  <c r="AH164" s="1"/>
  <c r="Y147"/>
  <c r="AH147" s="1"/>
  <c r="Y115"/>
  <c r="AH115" s="1"/>
  <c r="Y134"/>
  <c r="AH134" s="1"/>
  <c r="Y118"/>
  <c r="AH118" s="1"/>
  <c r="Y102"/>
  <c r="AH102" s="1"/>
  <c r="Y86"/>
  <c r="AH86" s="1"/>
  <c r="Y70"/>
  <c r="AH70" s="1"/>
  <c r="Y111"/>
  <c r="AH111" s="1"/>
  <c r="Y95"/>
  <c r="AH95" s="1"/>
  <c r="Y79"/>
  <c r="AH79" s="1"/>
  <c r="Y63"/>
  <c r="AH63" s="1"/>
  <c r="Y53"/>
  <c r="AH53" s="1"/>
  <c r="Y37"/>
  <c r="AH37" s="1"/>
  <c r="Y21"/>
  <c r="AH21" s="1"/>
  <c r="Y5"/>
  <c r="AH5" s="1"/>
  <c r="Y34"/>
  <c r="AH34" s="1"/>
  <c r="AA387"/>
  <c r="AJ387" s="1"/>
  <c r="AA339"/>
  <c r="AJ339" s="1"/>
  <c r="V307"/>
  <c r="AE307" s="1"/>
  <c r="V323"/>
  <c r="AE323" s="1"/>
  <c r="V339"/>
  <c r="AE339" s="1"/>
  <c r="V355"/>
  <c r="AE355" s="1"/>
  <c r="V371"/>
  <c r="AE371" s="1"/>
  <c r="V387"/>
  <c r="AE387" s="1"/>
  <c r="V403"/>
  <c r="AE403" s="1"/>
  <c r="V419"/>
  <c r="AE419" s="1"/>
  <c r="V26"/>
  <c r="AE26" s="1"/>
  <c r="V88"/>
  <c r="AE88" s="1"/>
  <c r="V120"/>
  <c r="AE120" s="1"/>
  <c r="V152"/>
  <c r="AE152" s="1"/>
  <c r="V184"/>
  <c r="AE184" s="1"/>
  <c r="V216"/>
  <c r="AE216" s="1"/>
  <c r="V248"/>
  <c r="AE248" s="1"/>
  <c r="V280"/>
  <c r="AE280" s="1"/>
  <c r="V312"/>
  <c r="AE312" s="1"/>
  <c r="V344"/>
  <c r="AE344" s="1"/>
  <c r="V376"/>
  <c r="AE376" s="1"/>
  <c r="V408"/>
  <c r="AE408" s="1"/>
  <c r="V22"/>
  <c r="AE22" s="1"/>
  <c r="V86"/>
  <c r="AE86" s="1"/>
  <c r="V118"/>
  <c r="AE118" s="1"/>
  <c r="V150"/>
  <c r="AE150" s="1"/>
  <c r="V182"/>
  <c r="AE182" s="1"/>
  <c r="V214"/>
  <c r="AE214" s="1"/>
  <c r="V246"/>
  <c r="AE246" s="1"/>
  <c r="V278"/>
  <c r="AE278" s="1"/>
  <c r="V310"/>
  <c r="AE310" s="1"/>
  <c r="V342"/>
  <c r="AE342" s="1"/>
  <c r="V374"/>
  <c r="AE374" s="1"/>
  <c r="V406"/>
  <c r="AE406" s="1"/>
  <c r="V7"/>
  <c r="AE7" s="1"/>
  <c r="V23"/>
  <c r="AE23" s="1"/>
  <c r="V39"/>
  <c r="AE39" s="1"/>
  <c r="V55"/>
  <c r="AE55" s="1"/>
  <c r="V71"/>
  <c r="AE71" s="1"/>
  <c r="V4"/>
  <c r="AE4" s="1"/>
  <c r="V36"/>
  <c r="AE36" s="1"/>
  <c r="V68"/>
  <c r="AE68" s="1"/>
  <c r="V93"/>
  <c r="AE93" s="1"/>
  <c r="V109"/>
  <c r="AE109" s="1"/>
  <c r="V125"/>
  <c r="AE125" s="1"/>
  <c r="V141"/>
  <c r="AE141" s="1"/>
  <c r="V157"/>
  <c r="AE157" s="1"/>
  <c r="V173"/>
  <c r="AE173" s="1"/>
  <c r="V189"/>
  <c r="AE189" s="1"/>
  <c r="V205"/>
  <c r="AE205" s="1"/>
  <c r="V221"/>
  <c r="AE221" s="1"/>
  <c r="V237"/>
  <c r="AE237" s="1"/>
  <c r="V253"/>
  <c r="AE253" s="1"/>
  <c r="V269"/>
  <c r="AE269" s="1"/>
  <c r="V285"/>
  <c r="AE285" s="1"/>
  <c r="V301"/>
  <c r="AE301" s="1"/>
  <c r="V317"/>
  <c r="AE317" s="1"/>
  <c r="V333"/>
  <c r="AE333" s="1"/>
  <c r="V349"/>
  <c r="AE349" s="1"/>
  <c r="V365"/>
  <c r="AE365" s="1"/>
  <c r="V381"/>
  <c r="AE381" s="1"/>
  <c r="V397"/>
  <c r="AE397" s="1"/>
  <c r="V413"/>
  <c r="AE413" s="1"/>
  <c r="V429"/>
  <c r="AE429" s="1"/>
  <c r="V66"/>
  <c r="AE66" s="1"/>
  <c r="V108"/>
  <c r="AE108" s="1"/>
  <c r="V140"/>
  <c r="AE140" s="1"/>
  <c r="V172"/>
  <c r="AE172" s="1"/>
  <c r="V204"/>
  <c r="AE204" s="1"/>
  <c r="V236"/>
  <c r="AE236" s="1"/>
  <c r="V268"/>
  <c r="AE268" s="1"/>
  <c r="V300"/>
  <c r="AE300" s="1"/>
  <c r="V332"/>
  <c r="AE332" s="1"/>
  <c r="V364"/>
  <c r="AE364" s="1"/>
  <c r="V396"/>
  <c r="AE396" s="1"/>
  <c r="V428"/>
  <c r="AE428" s="1"/>
  <c r="V62"/>
  <c r="AE62" s="1"/>
  <c r="V106"/>
  <c r="AE106" s="1"/>
  <c r="V138"/>
  <c r="AE138" s="1"/>
  <c r="V170"/>
  <c r="AE170" s="1"/>
  <c r="V202"/>
  <c r="AE202" s="1"/>
  <c r="V234"/>
  <c r="AE234" s="1"/>
  <c r="V266"/>
  <c r="AE266" s="1"/>
  <c r="V298"/>
  <c r="AE298" s="1"/>
  <c r="V330"/>
  <c r="AE330" s="1"/>
  <c r="V362"/>
  <c r="AE362" s="1"/>
  <c r="V394"/>
  <c r="AE394" s="1"/>
  <c r="V426"/>
  <c r="AE426" s="1"/>
  <c r="V72"/>
  <c r="AE72" s="1"/>
  <c r="V95"/>
  <c r="AE95" s="1"/>
  <c r="V111"/>
  <c r="AE111" s="1"/>
  <c r="V127"/>
  <c r="AE127" s="1"/>
  <c r="V143"/>
  <c r="AE143" s="1"/>
  <c r="V159"/>
  <c r="AE159" s="1"/>
  <c r="V175"/>
  <c r="AE175" s="1"/>
  <c r="V191"/>
  <c r="AE191" s="1"/>
  <c r="V207"/>
  <c r="AE207" s="1"/>
  <c r="V223"/>
  <c r="AE223" s="1"/>
  <c r="V239"/>
  <c r="AE239" s="1"/>
  <c r="V255"/>
  <c r="AE255" s="1"/>
  <c r="V271"/>
  <c r="AE271" s="1"/>
  <c r="V287"/>
  <c r="AE287" s="1"/>
  <c r="V303"/>
  <c r="AE303" s="1"/>
  <c r="V319"/>
  <c r="AE319" s="1"/>
  <c r="V335"/>
  <c r="AE335" s="1"/>
  <c r="V351"/>
  <c r="AE351" s="1"/>
  <c r="V367"/>
  <c r="AE367" s="1"/>
  <c r="V383"/>
  <c r="AE383" s="1"/>
  <c r="V399"/>
  <c r="AE399" s="1"/>
  <c r="V415"/>
  <c r="AE415" s="1"/>
  <c r="V10"/>
  <c r="AE10" s="1"/>
  <c r="V74"/>
  <c r="AE74" s="1"/>
  <c r="V112"/>
  <c r="AE112" s="1"/>
  <c r="V144"/>
  <c r="AE144" s="1"/>
  <c r="V176"/>
  <c r="AE176" s="1"/>
  <c r="V208"/>
  <c r="AE208" s="1"/>
  <c r="V240"/>
  <c r="AE240" s="1"/>
  <c r="V272"/>
  <c r="AE272" s="1"/>
  <c r="V304"/>
  <c r="AE304" s="1"/>
  <c r="V336"/>
  <c r="AE336" s="1"/>
  <c r="V368"/>
  <c r="AE368" s="1"/>
  <c r="V400"/>
  <c r="AE400" s="1"/>
  <c r="V6"/>
  <c r="AE6" s="1"/>
  <c r="V70"/>
  <c r="AE70" s="1"/>
  <c r="V110"/>
  <c r="AE110" s="1"/>
  <c r="V142"/>
  <c r="AE142" s="1"/>
  <c r="V174"/>
  <c r="AE174" s="1"/>
  <c r="V206"/>
  <c r="AE206" s="1"/>
  <c r="V238"/>
  <c r="AE238" s="1"/>
  <c r="V270"/>
  <c r="AE270" s="1"/>
  <c r="V302"/>
  <c r="AE302" s="1"/>
  <c r="V334"/>
  <c r="AE334" s="1"/>
  <c r="V366"/>
  <c r="AE366" s="1"/>
  <c r="V398"/>
  <c r="AE398" s="1"/>
  <c r="V430"/>
  <c r="AE430" s="1"/>
  <c r="V19"/>
  <c r="AE19" s="1"/>
  <c r="V35"/>
  <c r="AE35" s="1"/>
  <c r="V51"/>
  <c r="AE51" s="1"/>
  <c r="V67"/>
  <c r="AE67" s="1"/>
  <c r="V83"/>
  <c r="AE83" s="1"/>
  <c r="V28"/>
  <c r="AE28" s="1"/>
  <c r="V60"/>
  <c r="AE60" s="1"/>
  <c r="V89"/>
  <c r="AE89" s="1"/>
  <c r="V105"/>
  <c r="AE105" s="1"/>
  <c r="V121"/>
  <c r="AE121" s="1"/>
  <c r="V137"/>
  <c r="AE137" s="1"/>
  <c r="V153"/>
  <c r="AE153" s="1"/>
  <c r="V169"/>
  <c r="AE169" s="1"/>
  <c r="V185"/>
  <c r="AE185" s="1"/>
  <c r="V201"/>
  <c r="AE201" s="1"/>
  <c r="V217"/>
  <c r="AE217" s="1"/>
  <c r="V233"/>
  <c r="AE233" s="1"/>
  <c r="V249"/>
  <c r="AE249" s="1"/>
  <c r="V265"/>
  <c r="AE265" s="1"/>
  <c r="V281"/>
  <c r="AE281" s="1"/>
  <c r="V297"/>
  <c r="AE297" s="1"/>
  <c r="V313"/>
  <c r="AE313" s="1"/>
  <c r="V329"/>
  <c r="AE329" s="1"/>
  <c r="V345"/>
  <c r="AE345" s="1"/>
  <c r="V361"/>
  <c r="AE361" s="1"/>
  <c r="V377"/>
  <c r="AE377" s="1"/>
  <c r="V393"/>
  <c r="AE393" s="1"/>
  <c r="V409"/>
  <c r="AE409" s="1"/>
  <c r="V425"/>
  <c r="AE425" s="1"/>
  <c r="V50"/>
  <c r="AE50" s="1"/>
  <c r="V100"/>
  <c r="AE100" s="1"/>
  <c r="V132"/>
  <c r="AE132" s="1"/>
  <c r="V164"/>
  <c r="AE164" s="1"/>
  <c r="V196"/>
  <c r="AE196" s="1"/>
  <c r="V228"/>
  <c r="AE228" s="1"/>
  <c r="V260"/>
  <c r="AE260" s="1"/>
  <c r="V292"/>
  <c r="AE292" s="1"/>
  <c r="V324"/>
  <c r="AE324" s="1"/>
  <c r="V356"/>
  <c r="AE356" s="1"/>
  <c r="V388"/>
  <c r="AE388" s="1"/>
  <c r="V420"/>
  <c r="AE420" s="1"/>
  <c r="V46"/>
  <c r="AE46" s="1"/>
  <c r="V98"/>
  <c r="AE98" s="1"/>
  <c r="V130"/>
  <c r="AE130" s="1"/>
  <c r="V162"/>
  <c r="AE162" s="1"/>
  <c r="V194"/>
  <c r="AE194" s="1"/>
  <c r="V226"/>
  <c r="AE226" s="1"/>
  <c r="V258"/>
  <c r="AE258" s="1"/>
  <c r="V290"/>
  <c r="AE290" s="1"/>
  <c r="V322"/>
  <c r="AE322" s="1"/>
  <c r="V354"/>
  <c r="AE354" s="1"/>
  <c r="V386"/>
  <c r="AE386" s="1"/>
  <c r="V418"/>
  <c r="AE418" s="1"/>
  <c r="V5"/>
  <c r="AE5" s="1"/>
  <c r="V21"/>
  <c r="AE21" s="1"/>
  <c r="V37"/>
  <c r="AE37" s="1"/>
  <c r="V53"/>
  <c r="AE53" s="1"/>
  <c r="V69"/>
  <c r="AE69" s="1"/>
  <c r="V85"/>
  <c r="AE85" s="1"/>
  <c r="V32"/>
  <c r="AE32" s="1"/>
  <c r="V64"/>
  <c r="AE64" s="1"/>
  <c r="V91"/>
  <c r="AE91" s="1"/>
  <c r="V107"/>
  <c r="AE107" s="1"/>
  <c r="V123"/>
  <c r="AE123" s="1"/>
  <c r="V139"/>
  <c r="AE139" s="1"/>
  <c r="V155"/>
  <c r="AE155" s="1"/>
  <c r="V171"/>
  <c r="AE171" s="1"/>
  <c r="V187"/>
  <c r="AE187" s="1"/>
  <c r="V203"/>
  <c r="AE203" s="1"/>
  <c r="V219"/>
  <c r="AE219" s="1"/>
  <c r="V235"/>
  <c r="AE235" s="1"/>
  <c r="V251"/>
  <c r="AE251" s="1"/>
  <c r="V267"/>
  <c r="AE267" s="1"/>
  <c r="V283"/>
  <c r="AE283" s="1"/>
  <c r="V299"/>
  <c r="AE299" s="1"/>
  <c r="V315"/>
  <c r="AE315" s="1"/>
  <c r="V331"/>
  <c r="AE331" s="1"/>
  <c r="V347"/>
  <c r="AE347" s="1"/>
  <c r="V363"/>
  <c r="AE363" s="1"/>
  <c r="V379"/>
  <c r="AE379" s="1"/>
  <c r="V395"/>
  <c r="AE395" s="1"/>
  <c r="V411"/>
  <c r="AE411" s="1"/>
  <c r="V427"/>
  <c r="AE427" s="1"/>
  <c r="V58"/>
  <c r="AE58" s="1"/>
  <c r="V104"/>
  <c r="AE104" s="1"/>
  <c r="V136"/>
  <c r="AE136" s="1"/>
  <c r="V168"/>
  <c r="AE168" s="1"/>
  <c r="V200"/>
  <c r="AE200" s="1"/>
  <c r="V232"/>
  <c r="AE232" s="1"/>
  <c r="V264"/>
  <c r="AE264" s="1"/>
  <c r="V296"/>
  <c r="AE296" s="1"/>
  <c r="V328"/>
  <c r="AE328" s="1"/>
  <c r="V360"/>
  <c r="AE360" s="1"/>
  <c r="V392"/>
  <c r="AE392" s="1"/>
  <c r="V424"/>
  <c r="AE424" s="1"/>
  <c r="V54"/>
  <c r="AE54" s="1"/>
  <c r="V102"/>
  <c r="AE102" s="1"/>
  <c r="V134"/>
  <c r="AE134" s="1"/>
  <c r="V166"/>
  <c r="AE166" s="1"/>
  <c r="V198"/>
  <c r="AE198" s="1"/>
  <c r="V230"/>
  <c r="AE230" s="1"/>
  <c r="V262"/>
  <c r="AE262" s="1"/>
  <c r="V294"/>
  <c r="AE294" s="1"/>
  <c r="V326"/>
  <c r="AE326" s="1"/>
  <c r="V358"/>
  <c r="AE358" s="1"/>
  <c r="V390"/>
  <c r="AE390" s="1"/>
  <c r="V422"/>
  <c r="AE422" s="1"/>
  <c r="V15"/>
  <c r="AE15" s="1"/>
  <c r="V31"/>
  <c r="AE31" s="1"/>
  <c r="V47"/>
  <c r="AE47" s="1"/>
  <c r="V63"/>
  <c r="AE63" s="1"/>
  <c r="V79"/>
  <c r="AE79" s="1"/>
  <c r="V20"/>
  <c r="AE20" s="1"/>
  <c r="V52"/>
  <c r="AE52" s="1"/>
  <c r="V84"/>
  <c r="AE84" s="1"/>
  <c r="V101"/>
  <c r="AE101" s="1"/>
  <c r="V117"/>
  <c r="AE117" s="1"/>
  <c r="V133"/>
  <c r="AE133" s="1"/>
  <c r="V149"/>
  <c r="AE149" s="1"/>
  <c r="V165"/>
  <c r="AE165" s="1"/>
  <c r="V181"/>
  <c r="AE181" s="1"/>
  <c r="V197"/>
  <c r="AE197" s="1"/>
  <c r="V213"/>
  <c r="AE213" s="1"/>
  <c r="V229"/>
  <c r="AE229" s="1"/>
  <c r="V245"/>
  <c r="AE245" s="1"/>
  <c r="V261"/>
  <c r="AE261" s="1"/>
  <c r="V277"/>
  <c r="AE277" s="1"/>
  <c r="V293"/>
  <c r="AE293" s="1"/>
  <c r="V309"/>
  <c r="AE309" s="1"/>
  <c r="V325"/>
  <c r="AE325" s="1"/>
  <c r="V341"/>
  <c r="AE341" s="1"/>
  <c r="V357"/>
  <c r="AE357" s="1"/>
  <c r="V373"/>
  <c r="AE373" s="1"/>
  <c r="V389"/>
  <c r="AE389" s="1"/>
  <c r="V405"/>
  <c r="AE405" s="1"/>
  <c r="V421"/>
  <c r="AE421" s="1"/>
  <c r="V34"/>
  <c r="AE34" s="1"/>
  <c r="V92"/>
  <c r="AE92" s="1"/>
  <c r="V124"/>
  <c r="AE124" s="1"/>
  <c r="V156"/>
  <c r="AE156" s="1"/>
  <c r="V188"/>
  <c r="AE188" s="1"/>
  <c r="V220"/>
  <c r="AE220" s="1"/>
  <c r="V252"/>
  <c r="AE252" s="1"/>
  <c r="V284"/>
  <c r="AE284" s="1"/>
  <c r="V316"/>
  <c r="AE316" s="1"/>
  <c r="V348"/>
  <c r="AE348" s="1"/>
  <c r="V380"/>
  <c r="AE380" s="1"/>
  <c r="V412"/>
  <c r="AE412" s="1"/>
  <c r="V30"/>
  <c r="AE30" s="1"/>
  <c r="V90"/>
  <c r="AE90" s="1"/>
  <c r="V122"/>
  <c r="AE122" s="1"/>
  <c r="V154"/>
  <c r="AE154" s="1"/>
  <c r="V186"/>
  <c r="AE186" s="1"/>
  <c r="V218"/>
  <c r="AE218" s="1"/>
  <c r="V250"/>
  <c r="AE250" s="1"/>
  <c r="V282"/>
  <c r="AE282" s="1"/>
  <c r="V314"/>
  <c r="AE314" s="1"/>
  <c r="V346"/>
  <c r="AE346" s="1"/>
  <c r="V378"/>
  <c r="AE378" s="1"/>
  <c r="V410"/>
  <c r="AE410" s="1"/>
  <c r="V17"/>
  <c r="AE17" s="1"/>
  <c r="V33"/>
  <c r="AE33" s="1"/>
  <c r="V49"/>
  <c r="AE49" s="1"/>
  <c r="V65"/>
  <c r="AE65" s="1"/>
  <c r="V81"/>
  <c r="AE81" s="1"/>
  <c r="V24"/>
  <c r="AE24" s="1"/>
  <c r="V56"/>
  <c r="AE56" s="1"/>
  <c r="V87"/>
  <c r="AE87" s="1"/>
  <c r="V103"/>
  <c r="AE103" s="1"/>
  <c r="V119"/>
  <c r="AE119" s="1"/>
  <c r="V135"/>
  <c r="AE135" s="1"/>
  <c r="V151"/>
  <c r="AE151" s="1"/>
  <c r="V167"/>
  <c r="AE167" s="1"/>
  <c r="V183"/>
  <c r="AE183" s="1"/>
  <c r="V199"/>
  <c r="AE199" s="1"/>
  <c r="V215"/>
  <c r="AE215" s="1"/>
  <c r="V231"/>
  <c r="AE231" s="1"/>
  <c r="V247"/>
  <c r="AE247" s="1"/>
  <c r="V263"/>
  <c r="AE263" s="1"/>
  <c r="V279"/>
  <c r="AE279" s="1"/>
  <c r="V295"/>
  <c r="AE295" s="1"/>
  <c r="V311"/>
  <c r="AE311" s="1"/>
  <c r="V327"/>
  <c r="AE327" s="1"/>
  <c r="V343"/>
  <c r="AE343" s="1"/>
  <c r="V359"/>
  <c r="AE359" s="1"/>
  <c r="V375"/>
  <c r="AE375" s="1"/>
  <c r="V391"/>
  <c r="AE391" s="1"/>
  <c r="V407"/>
  <c r="AE407" s="1"/>
  <c r="V423"/>
  <c r="AE423" s="1"/>
  <c r="V42"/>
  <c r="AE42" s="1"/>
  <c r="V96"/>
  <c r="AE96" s="1"/>
  <c r="V128"/>
  <c r="AE128" s="1"/>
  <c r="V160"/>
  <c r="AE160" s="1"/>
  <c r="V192"/>
  <c r="AE192" s="1"/>
  <c r="V224"/>
  <c r="AE224" s="1"/>
  <c r="V256"/>
  <c r="AE256" s="1"/>
  <c r="V288"/>
  <c r="AE288" s="1"/>
  <c r="V320"/>
  <c r="AE320" s="1"/>
  <c r="V352"/>
  <c r="AE352" s="1"/>
  <c r="V384"/>
  <c r="AE384" s="1"/>
  <c r="V416"/>
  <c r="AE416" s="1"/>
  <c r="V38"/>
  <c r="AE38" s="1"/>
  <c r="V94"/>
  <c r="AE94" s="1"/>
  <c r="V126"/>
  <c r="AE126" s="1"/>
  <c r="V158"/>
  <c r="AE158" s="1"/>
  <c r="V190"/>
  <c r="AE190" s="1"/>
  <c r="V222"/>
  <c r="AE222" s="1"/>
  <c r="V254"/>
  <c r="AE254" s="1"/>
  <c r="V286"/>
  <c r="AE286" s="1"/>
  <c r="V318"/>
  <c r="AE318" s="1"/>
  <c r="V350"/>
  <c r="AE350" s="1"/>
  <c r="V382"/>
  <c r="AE382" s="1"/>
  <c r="V414"/>
  <c r="AE414" s="1"/>
  <c r="V11"/>
  <c r="AE11" s="1"/>
  <c r="V27"/>
  <c r="AE27" s="1"/>
  <c r="V43"/>
  <c r="AE43" s="1"/>
  <c r="V59"/>
  <c r="AE59" s="1"/>
  <c r="V75"/>
  <c r="AE75" s="1"/>
  <c r="V12"/>
  <c r="AE12" s="1"/>
  <c r="V44"/>
  <c r="AE44" s="1"/>
  <c r="V76"/>
  <c r="AE76" s="1"/>
  <c r="V97"/>
  <c r="AE97" s="1"/>
  <c r="V113"/>
  <c r="AE113" s="1"/>
  <c r="V129"/>
  <c r="AE129" s="1"/>
  <c r="V145"/>
  <c r="AE145" s="1"/>
  <c r="V161"/>
  <c r="AE161" s="1"/>
  <c r="V177"/>
  <c r="AE177" s="1"/>
  <c r="V193"/>
  <c r="AE193" s="1"/>
  <c r="V209"/>
  <c r="AE209" s="1"/>
  <c r="V225"/>
  <c r="AE225" s="1"/>
  <c r="V241"/>
  <c r="AE241" s="1"/>
  <c r="V257"/>
  <c r="AE257" s="1"/>
  <c r="V273"/>
  <c r="AE273" s="1"/>
  <c r="V289"/>
  <c r="AE289" s="1"/>
  <c r="V305"/>
  <c r="AE305" s="1"/>
  <c r="V321"/>
  <c r="AE321" s="1"/>
  <c r="V337"/>
  <c r="AE337" s="1"/>
  <c r="V353"/>
  <c r="AE353" s="1"/>
  <c r="V369"/>
  <c r="AE369" s="1"/>
  <c r="V385"/>
  <c r="AE385" s="1"/>
  <c r="V401"/>
  <c r="AE401" s="1"/>
  <c r="V417"/>
  <c r="AE417" s="1"/>
  <c r="V18"/>
  <c r="AE18" s="1"/>
  <c r="V82"/>
  <c r="AE82" s="1"/>
  <c r="V116"/>
  <c r="AE116" s="1"/>
  <c r="V148"/>
  <c r="AE148" s="1"/>
  <c r="V180"/>
  <c r="AE180" s="1"/>
  <c r="V212"/>
  <c r="AE212" s="1"/>
  <c r="V244"/>
  <c r="AE244" s="1"/>
  <c r="V276"/>
  <c r="AE276" s="1"/>
  <c r="V308"/>
  <c r="AE308" s="1"/>
  <c r="V340"/>
  <c r="AE340" s="1"/>
  <c r="V372"/>
  <c r="AE372" s="1"/>
  <c r="V404"/>
  <c r="AE404" s="1"/>
  <c r="V14"/>
  <c r="AE14" s="1"/>
  <c r="V78"/>
  <c r="AE78" s="1"/>
  <c r="V114"/>
  <c r="AE114" s="1"/>
  <c r="V146"/>
  <c r="AE146" s="1"/>
  <c r="V178"/>
  <c r="AE178" s="1"/>
  <c r="V210"/>
  <c r="AE210" s="1"/>
  <c r="V242"/>
  <c r="AE242" s="1"/>
  <c r="V274"/>
  <c r="AE274" s="1"/>
  <c r="V306"/>
  <c r="AE306" s="1"/>
  <c r="V338"/>
  <c r="AE338" s="1"/>
  <c r="V370"/>
  <c r="AE370" s="1"/>
  <c r="V402"/>
  <c r="AE402" s="1"/>
  <c r="V3"/>
  <c r="AE3" s="1"/>
  <c r="V57"/>
  <c r="AE57" s="1"/>
  <c r="V13"/>
  <c r="AE13" s="1"/>
  <c r="V25"/>
  <c r="AE25" s="1"/>
  <c r="V8"/>
  <c r="AE8" s="1"/>
  <c r="AA90"/>
  <c r="AJ90" s="1"/>
  <c r="V131"/>
  <c r="AE131" s="1"/>
  <c r="V195"/>
  <c r="AE195" s="1"/>
  <c r="V259"/>
  <c r="AE259" s="1"/>
  <c r="V9"/>
  <c r="AE9" s="1"/>
  <c r="V73"/>
  <c r="AE73" s="1"/>
  <c r="AA406"/>
  <c r="AJ406" s="1"/>
  <c r="AA310"/>
  <c r="AJ310" s="1"/>
  <c r="AA253"/>
  <c r="AJ253" s="1"/>
  <c r="AA112"/>
  <c r="AJ112" s="1"/>
  <c r="AA359"/>
  <c r="AJ359" s="1"/>
  <c r="AA159"/>
  <c r="AJ159" s="1"/>
  <c r="AA9"/>
  <c r="AJ9" s="1"/>
  <c r="X396"/>
  <c r="AG396" s="1"/>
  <c r="X188"/>
  <c r="AG188" s="1"/>
  <c r="X127"/>
  <c r="AG127" s="1"/>
  <c r="AA349"/>
  <c r="AJ349" s="1"/>
  <c r="AA347"/>
  <c r="AJ347" s="1"/>
  <c r="AA266"/>
  <c r="AJ266" s="1"/>
  <c r="AA297"/>
  <c r="AJ297" s="1"/>
  <c r="AA233"/>
  <c r="AJ233" s="1"/>
  <c r="AA156"/>
  <c r="AJ156" s="1"/>
  <c r="AA54"/>
  <c r="AJ54" s="1"/>
  <c r="AA392"/>
  <c r="AJ392" s="1"/>
  <c r="AA288"/>
  <c r="AJ288" s="1"/>
  <c r="AA239"/>
  <c r="AJ239" s="1"/>
  <c r="AA182"/>
  <c r="AJ182" s="1"/>
  <c r="AA20"/>
  <c r="AJ20" s="1"/>
  <c r="AA25"/>
  <c r="AJ25" s="1"/>
  <c r="AA74"/>
  <c r="AJ74" s="1"/>
  <c r="AA138"/>
  <c r="AJ138" s="1"/>
  <c r="AA198"/>
  <c r="AJ198" s="1"/>
  <c r="AA223"/>
  <c r="AJ223" s="1"/>
  <c r="AA275"/>
  <c r="AJ275" s="1"/>
  <c r="AA238"/>
  <c r="AJ238" s="1"/>
  <c r="AA352"/>
  <c r="AJ352" s="1"/>
  <c r="AA409"/>
  <c r="AJ409" s="1"/>
  <c r="AA408"/>
  <c r="AJ408" s="1"/>
  <c r="AA47"/>
  <c r="AJ47" s="1"/>
  <c r="AA105"/>
  <c r="AJ105" s="1"/>
  <c r="AA128"/>
  <c r="AJ128" s="1"/>
  <c r="AA115"/>
  <c r="AJ115" s="1"/>
  <c r="AA197"/>
  <c r="AJ197" s="1"/>
  <c r="AA220"/>
  <c r="AJ220" s="1"/>
  <c r="AA285"/>
  <c r="AJ285" s="1"/>
  <c r="AA317"/>
  <c r="AJ317" s="1"/>
  <c r="AA246"/>
  <c r="AJ246" s="1"/>
  <c r="AA298"/>
  <c r="AJ298" s="1"/>
  <c r="AA330"/>
  <c r="AJ330" s="1"/>
  <c r="AA367"/>
  <c r="AJ367" s="1"/>
  <c r="AA419"/>
  <c r="AJ419" s="1"/>
  <c r="AA374"/>
  <c r="AJ374" s="1"/>
  <c r="AA418"/>
  <c r="AJ418" s="1"/>
  <c r="X315"/>
  <c r="AG315" s="1"/>
  <c r="X94"/>
  <c r="AG94" s="1"/>
  <c r="X277"/>
  <c r="AG277" s="1"/>
  <c r="X11"/>
  <c r="AG11" s="1"/>
  <c r="AB391"/>
  <c r="AK391" s="1"/>
  <c r="X140"/>
  <c r="AG140" s="1"/>
  <c r="X264"/>
  <c r="AG264" s="1"/>
  <c r="AB324"/>
  <c r="AK324" s="1"/>
  <c r="Z213"/>
  <c r="AI213" s="1"/>
  <c r="Z47"/>
  <c r="AI47" s="1"/>
  <c r="Z369"/>
  <c r="AI369" s="1"/>
  <c r="X302"/>
  <c r="AG302" s="1"/>
  <c r="X17"/>
  <c r="AG17" s="1"/>
  <c r="X150"/>
  <c r="AG150" s="1"/>
  <c r="Z147"/>
  <c r="AI147" s="1"/>
  <c r="W261"/>
  <c r="AF261" s="1"/>
  <c r="Z67"/>
  <c r="AI67" s="1"/>
  <c r="AB8"/>
  <c r="AK8" s="1"/>
  <c r="Z159"/>
  <c r="AI159" s="1"/>
  <c r="AB377"/>
  <c r="AK377" s="1"/>
  <c r="W95"/>
  <c r="AF95" s="1"/>
  <c r="AA386"/>
  <c r="AJ386" s="1"/>
  <c r="AA399"/>
  <c r="AJ399" s="1"/>
  <c r="AA342"/>
  <c r="AJ342" s="1"/>
  <c r="AA278"/>
  <c r="AJ278" s="1"/>
  <c r="AA329"/>
  <c r="AJ329" s="1"/>
  <c r="AA265"/>
  <c r="AJ265" s="1"/>
  <c r="AA213"/>
  <c r="AJ213" s="1"/>
  <c r="AA172"/>
  <c r="AJ172" s="1"/>
  <c r="AA64"/>
  <c r="AJ64" s="1"/>
  <c r="AA42"/>
  <c r="AJ42" s="1"/>
  <c r="AA425"/>
  <c r="AJ425" s="1"/>
  <c r="AA304"/>
  <c r="AJ304" s="1"/>
  <c r="AA291"/>
  <c r="AJ291" s="1"/>
  <c r="AA175"/>
  <c r="AJ175" s="1"/>
  <c r="AA121"/>
  <c r="AJ121" s="1"/>
  <c r="AA83"/>
  <c r="AJ83" s="1"/>
  <c r="AA4"/>
  <c r="AJ4" s="1"/>
  <c r="Z314"/>
  <c r="AI314" s="1"/>
  <c r="Z59"/>
  <c r="AI59" s="1"/>
  <c r="Z210"/>
  <c r="AI210" s="1"/>
  <c r="Z29"/>
  <c r="AI29" s="1"/>
  <c r="W318"/>
  <c r="AF318" s="1"/>
  <c r="Z50"/>
  <c r="AI50" s="1"/>
  <c r="Z123"/>
  <c r="AI123" s="1"/>
  <c r="Z190"/>
  <c r="AI190" s="1"/>
  <c r="Z250"/>
  <c r="AI250" s="1"/>
  <c r="W353"/>
  <c r="AF353" s="1"/>
  <c r="W276"/>
  <c r="AF276" s="1"/>
  <c r="Z15"/>
  <c r="AI15" s="1"/>
  <c r="Z34"/>
  <c r="AI34" s="1"/>
  <c r="Z92"/>
  <c r="AI92" s="1"/>
  <c r="Z103"/>
  <c r="AI103" s="1"/>
  <c r="Z169"/>
  <c r="AI169" s="1"/>
  <c r="Z170"/>
  <c r="AI170" s="1"/>
  <c r="Z237"/>
  <c r="AI237" s="1"/>
  <c r="AB338"/>
  <c r="AK338" s="1"/>
  <c r="Z106"/>
  <c r="AI106" s="1"/>
  <c r="Z200"/>
  <c r="AI200" s="1"/>
  <c r="Z327"/>
  <c r="AI327" s="1"/>
  <c r="AB167"/>
  <c r="AK167" s="1"/>
  <c r="W189"/>
  <c r="AF189" s="1"/>
  <c r="W395"/>
  <c r="AF395" s="1"/>
  <c r="W124"/>
  <c r="AF124" s="1"/>
  <c r="Z31"/>
  <c r="AI31" s="1"/>
  <c r="Z108"/>
  <c r="AI108" s="1"/>
  <c r="Z193"/>
  <c r="AI193" s="1"/>
  <c r="Z113"/>
  <c r="AI113" s="1"/>
  <c r="Z382"/>
  <c r="AI382" s="1"/>
  <c r="W145"/>
  <c r="AF145" s="1"/>
  <c r="W59"/>
  <c r="AF59" s="1"/>
  <c r="Z18"/>
  <c r="AI18" s="1"/>
  <c r="Z76"/>
  <c r="AI76" s="1"/>
  <c r="Z83"/>
  <c r="AI83" s="1"/>
  <c r="Z146"/>
  <c r="AI146" s="1"/>
  <c r="Z144"/>
  <c r="AI144" s="1"/>
  <c r="Z234"/>
  <c r="AI234" s="1"/>
  <c r="AB181"/>
  <c r="AK181" s="1"/>
  <c r="Z48"/>
  <c r="AI48" s="1"/>
  <c r="Z124"/>
  <c r="AI124" s="1"/>
  <c r="Z263"/>
  <c r="AI263" s="1"/>
  <c r="AB39"/>
  <c r="AK39" s="1"/>
  <c r="W303"/>
  <c r="AF303" s="1"/>
  <c r="W18"/>
  <c r="AF18" s="1"/>
  <c r="W143"/>
  <c r="AF143" s="1"/>
  <c r="Z11"/>
  <c r="AI11" s="1"/>
  <c r="Z43"/>
  <c r="AI43" s="1"/>
  <c r="Z30"/>
  <c r="AI30" s="1"/>
  <c r="Z51"/>
  <c r="AI51" s="1"/>
  <c r="Z88"/>
  <c r="AI88" s="1"/>
  <c r="Z63"/>
  <c r="AI63" s="1"/>
  <c r="Z99"/>
  <c r="AI99" s="1"/>
  <c r="Z139"/>
  <c r="AI139" s="1"/>
  <c r="Z165"/>
  <c r="AI165" s="1"/>
  <c r="Z209"/>
  <c r="AI209" s="1"/>
  <c r="Z162"/>
  <c r="AI162" s="1"/>
  <c r="Z206"/>
  <c r="AI206" s="1"/>
  <c r="Z229"/>
  <c r="AI229" s="1"/>
  <c r="Z4"/>
  <c r="AI4" s="1"/>
  <c r="Z69"/>
  <c r="AI69" s="1"/>
  <c r="Z179"/>
  <c r="AI179" s="1"/>
  <c r="Z220"/>
  <c r="AI220" s="1"/>
  <c r="Z334"/>
  <c r="AI334" s="1"/>
  <c r="Z347"/>
  <c r="AI347" s="1"/>
  <c r="Z389"/>
  <c r="AI389" s="1"/>
  <c r="W422"/>
  <c r="AF422" s="1"/>
  <c r="W254"/>
  <c r="AF254" s="1"/>
  <c r="W210"/>
  <c r="AF210" s="1"/>
  <c r="W37"/>
  <c r="AF37" s="1"/>
  <c r="W340"/>
  <c r="AF340" s="1"/>
  <c r="W211"/>
  <c r="AF211" s="1"/>
  <c r="W60"/>
  <c r="AF60" s="1"/>
  <c r="X370"/>
  <c r="AG370" s="1"/>
  <c r="X231"/>
  <c r="AG231" s="1"/>
  <c r="X101"/>
  <c r="AG101" s="1"/>
  <c r="X381"/>
  <c r="AG381" s="1"/>
  <c r="X328"/>
  <c r="AG328" s="1"/>
  <c r="X171"/>
  <c r="AG171" s="1"/>
  <c r="Z265"/>
  <c r="AI265" s="1"/>
  <c r="Z27"/>
  <c r="AI27" s="1"/>
  <c r="Z14"/>
  <c r="AI14" s="1"/>
  <c r="Z46"/>
  <c r="AI46" s="1"/>
  <c r="Z72"/>
  <c r="AI72" s="1"/>
  <c r="Z104"/>
  <c r="AI104" s="1"/>
  <c r="Z79"/>
  <c r="AI79" s="1"/>
  <c r="Z119"/>
  <c r="AI119" s="1"/>
  <c r="Z138"/>
  <c r="AI138" s="1"/>
  <c r="Z185"/>
  <c r="AI185" s="1"/>
  <c r="Z136"/>
  <c r="AI136" s="1"/>
  <c r="Z186"/>
  <c r="AI186" s="1"/>
  <c r="Z226"/>
  <c r="AI226" s="1"/>
  <c r="Z62"/>
  <c r="AI62" s="1"/>
  <c r="Z133"/>
  <c r="AI133" s="1"/>
  <c r="Z156"/>
  <c r="AI156" s="1"/>
  <c r="Z270"/>
  <c r="AI270" s="1"/>
  <c r="Z283"/>
  <c r="AI283" s="1"/>
  <c r="Z402"/>
  <c r="AI402" s="1"/>
  <c r="U408"/>
  <c r="AD408" s="1"/>
  <c r="W373"/>
  <c r="AF373" s="1"/>
  <c r="W236"/>
  <c r="AF236" s="1"/>
  <c r="W102"/>
  <c r="AF102" s="1"/>
  <c r="W384"/>
  <c r="AF384" s="1"/>
  <c r="W325"/>
  <c r="AF325" s="1"/>
  <c r="W168"/>
  <c r="AF168" s="1"/>
  <c r="W40"/>
  <c r="AF40" s="1"/>
  <c r="X419"/>
  <c r="AG419" s="1"/>
  <c r="X251"/>
  <c r="AG251" s="1"/>
  <c r="X209"/>
  <c r="AG209" s="1"/>
  <c r="X36"/>
  <c r="AG36" s="1"/>
  <c r="X341"/>
  <c r="AG341" s="1"/>
  <c r="X214"/>
  <c r="AG214" s="1"/>
  <c r="X88"/>
  <c r="AG88" s="1"/>
  <c r="AA402"/>
  <c r="AJ402" s="1"/>
  <c r="AA370"/>
  <c r="AJ370" s="1"/>
  <c r="AA415"/>
  <c r="AJ415" s="1"/>
  <c r="AA383"/>
  <c r="AJ383" s="1"/>
  <c r="AA358"/>
  <c r="AJ358" s="1"/>
  <c r="AA326"/>
  <c r="AJ326" s="1"/>
  <c r="AA294"/>
  <c r="AJ294" s="1"/>
  <c r="AA262"/>
  <c r="AJ262" s="1"/>
  <c r="AA218"/>
  <c r="AJ218" s="1"/>
  <c r="AA313"/>
  <c r="AJ313" s="1"/>
  <c r="AA281"/>
  <c r="AJ281" s="1"/>
  <c r="AA249"/>
  <c r="AJ249" s="1"/>
  <c r="AA229"/>
  <c r="AJ229" s="1"/>
  <c r="AA181"/>
  <c r="AJ181" s="1"/>
  <c r="AA204"/>
  <c r="AJ204" s="1"/>
  <c r="AA133"/>
  <c r="AJ133" s="1"/>
  <c r="AA96"/>
  <c r="AJ96" s="1"/>
  <c r="AA89"/>
  <c r="AJ89" s="1"/>
  <c r="AA31"/>
  <c r="AJ31" s="1"/>
  <c r="AA10"/>
  <c r="AJ10" s="1"/>
  <c r="AA376"/>
  <c r="AJ376" s="1"/>
  <c r="AA393"/>
  <c r="AJ393" s="1"/>
  <c r="AA336"/>
  <c r="AJ336" s="1"/>
  <c r="AA272"/>
  <c r="AJ272" s="1"/>
  <c r="AA323"/>
  <c r="AJ323" s="1"/>
  <c r="AA259"/>
  <c r="AJ259" s="1"/>
  <c r="AA207"/>
  <c r="AJ207" s="1"/>
  <c r="AA135"/>
  <c r="AJ135" s="1"/>
  <c r="AA166"/>
  <c r="AJ166" s="1"/>
  <c r="AA122"/>
  <c r="AJ122" s="1"/>
  <c r="AA56"/>
  <c r="AJ56" s="1"/>
  <c r="AA57"/>
  <c r="AJ57" s="1"/>
  <c r="AA36"/>
  <c r="AJ36" s="1"/>
  <c r="X407"/>
  <c r="AG407" s="1"/>
  <c r="X422"/>
  <c r="AG422" s="1"/>
  <c r="X354"/>
  <c r="AG354" s="1"/>
  <c r="X303"/>
  <c r="AG303" s="1"/>
  <c r="X233"/>
  <c r="AG233" s="1"/>
  <c r="X290"/>
  <c r="AG290" s="1"/>
  <c r="X240"/>
  <c r="AG240" s="1"/>
  <c r="X176"/>
  <c r="AG176" s="1"/>
  <c r="X197"/>
  <c r="AG197" s="1"/>
  <c r="X116"/>
  <c r="AG116" s="1"/>
  <c r="X89"/>
  <c r="AG89" s="1"/>
  <c r="X82"/>
  <c r="AG82" s="1"/>
  <c r="X24"/>
  <c r="AG24" s="1"/>
  <c r="X5"/>
  <c r="AG5" s="1"/>
  <c r="X369"/>
  <c r="AG369" s="1"/>
  <c r="X384"/>
  <c r="AG384" s="1"/>
  <c r="X329"/>
  <c r="AG329" s="1"/>
  <c r="X265"/>
  <c r="AG265" s="1"/>
  <c r="X316"/>
  <c r="AG316" s="1"/>
  <c r="X252"/>
  <c r="AG252" s="1"/>
  <c r="X202"/>
  <c r="AG202" s="1"/>
  <c r="X126"/>
  <c r="AG126" s="1"/>
  <c r="X159"/>
  <c r="AG159" s="1"/>
  <c r="X115"/>
  <c r="AG115" s="1"/>
  <c r="X57"/>
  <c r="AG57" s="1"/>
  <c r="X375"/>
  <c r="AG375" s="1"/>
  <c r="X390"/>
  <c r="AG390" s="1"/>
  <c r="X335"/>
  <c r="AG335" s="1"/>
  <c r="X271"/>
  <c r="AG271" s="1"/>
  <c r="X322"/>
  <c r="AG322" s="1"/>
  <c r="X258"/>
  <c r="AG258" s="1"/>
  <c r="X208"/>
  <c r="AG208" s="1"/>
  <c r="X138"/>
  <c r="AG138" s="1"/>
  <c r="X165"/>
  <c r="AG165" s="1"/>
  <c r="X121"/>
  <c r="AG121" s="1"/>
  <c r="X55"/>
  <c r="AG55" s="1"/>
  <c r="X56"/>
  <c r="AG56" s="1"/>
  <c r="X37"/>
  <c r="AG37" s="1"/>
  <c r="X401"/>
  <c r="AG401" s="1"/>
  <c r="X416"/>
  <c r="AG416" s="1"/>
  <c r="X361"/>
  <c r="AG361" s="1"/>
  <c r="X297"/>
  <c r="AG297" s="1"/>
  <c r="X221"/>
  <c r="AG221" s="1"/>
  <c r="X284"/>
  <c r="AG284" s="1"/>
  <c r="X234"/>
  <c r="AG234" s="1"/>
  <c r="X170"/>
  <c r="AG170" s="1"/>
  <c r="X191"/>
  <c r="AG191" s="1"/>
  <c r="X147"/>
  <c r="AG147" s="1"/>
  <c r="X67"/>
  <c r="AG67" s="1"/>
  <c r="X47"/>
  <c r="AG47" s="1"/>
  <c r="AA422"/>
  <c r="AJ422" s="1"/>
  <c r="AA390"/>
  <c r="AJ390" s="1"/>
  <c r="AA357"/>
  <c r="AJ357" s="1"/>
  <c r="AA403"/>
  <c r="AJ403" s="1"/>
  <c r="AA371"/>
  <c r="AJ371" s="1"/>
  <c r="AA346"/>
  <c r="AJ346" s="1"/>
  <c r="AA314"/>
  <c r="AJ314" s="1"/>
  <c r="AA282"/>
  <c r="AJ282" s="1"/>
  <c r="AA250"/>
  <c r="AJ250" s="1"/>
  <c r="AA333"/>
  <c r="AJ333" s="1"/>
  <c r="AA301"/>
  <c r="AJ301" s="1"/>
  <c r="AA269"/>
  <c r="AJ269" s="1"/>
  <c r="AA228"/>
  <c r="AJ228" s="1"/>
  <c r="AA217"/>
  <c r="AJ217" s="1"/>
  <c r="AA165"/>
  <c r="AJ165" s="1"/>
  <c r="AA188"/>
  <c r="AJ188" s="1"/>
  <c r="AA144"/>
  <c r="AJ144" s="1"/>
  <c r="AA80"/>
  <c r="AJ80" s="1"/>
  <c r="AA73"/>
  <c r="AJ73" s="1"/>
  <c r="AA15"/>
  <c r="AJ15" s="1"/>
  <c r="AA424"/>
  <c r="AJ424" s="1"/>
  <c r="AA361"/>
  <c r="AJ361" s="1"/>
  <c r="AA377"/>
  <c r="AJ377" s="1"/>
  <c r="AA320"/>
  <c r="AJ320" s="1"/>
  <c r="AA256"/>
  <c r="AJ256" s="1"/>
  <c r="AA307"/>
  <c r="AJ307" s="1"/>
  <c r="AA240"/>
  <c r="AJ240" s="1"/>
  <c r="AA191"/>
  <c r="AJ191" s="1"/>
  <c r="AA214"/>
  <c r="AJ214" s="1"/>
  <c r="AA150"/>
  <c r="AJ150" s="1"/>
  <c r="AA106"/>
  <c r="AJ106" s="1"/>
  <c r="AA99"/>
  <c r="AJ99" s="1"/>
  <c r="AA41"/>
  <c r="AJ41" s="1"/>
  <c r="X387"/>
  <c r="AG387" s="1"/>
  <c r="X402"/>
  <c r="AG402" s="1"/>
  <c r="X347"/>
  <c r="AG347" s="1"/>
  <c r="X283"/>
  <c r="AG283" s="1"/>
  <c r="X334"/>
  <c r="AG334" s="1"/>
  <c r="X270"/>
  <c r="AG270" s="1"/>
  <c r="X220"/>
  <c r="AG220" s="1"/>
  <c r="X156"/>
  <c r="AG156" s="1"/>
  <c r="X177"/>
  <c r="AG177" s="1"/>
  <c r="X133"/>
  <c r="AG133" s="1"/>
  <c r="X69"/>
  <c r="AG69" s="1"/>
  <c r="X62"/>
  <c r="AG62" s="1"/>
  <c r="X4"/>
  <c r="AG4" s="1"/>
  <c r="X413"/>
  <c r="AG413" s="1"/>
  <c r="X428"/>
  <c r="AG428" s="1"/>
  <c r="X364"/>
  <c r="AG364" s="1"/>
  <c r="X309"/>
  <c r="AG309" s="1"/>
  <c r="X245"/>
  <c r="AG245" s="1"/>
  <c r="X296"/>
  <c r="AG296" s="1"/>
  <c r="X219"/>
  <c r="AG219" s="1"/>
  <c r="X182"/>
  <c r="AG182" s="1"/>
  <c r="X203"/>
  <c r="AG203" s="1"/>
  <c r="X128"/>
  <c r="AG128" s="1"/>
  <c r="X95"/>
  <c r="AG95" s="1"/>
  <c r="X30"/>
  <c r="AG30" s="1"/>
  <c r="AB37"/>
  <c r="AK37" s="1"/>
  <c r="AB165"/>
  <c r="AK165" s="1"/>
  <c r="AB356"/>
  <c r="AK356" s="1"/>
  <c r="AB7"/>
  <c r="AK7" s="1"/>
  <c r="AB292"/>
  <c r="AK292" s="1"/>
  <c r="U416"/>
  <c r="AD416" s="1"/>
  <c r="AB56"/>
  <c r="AK56" s="1"/>
  <c r="AB121"/>
  <c r="AK121" s="1"/>
  <c r="AB192"/>
  <c r="AK192" s="1"/>
  <c r="AB321"/>
  <c r="AK321" s="1"/>
  <c r="AB84"/>
  <c r="AK84" s="1"/>
  <c r="AB178"/>
  <c r="AK178" s="1"/>
  <c r="AB307"/>
  <c r="AK307" s="1"/>
  <c r="U400"/>
  <c r="AD400" s="1"/>
  <c r="X403"/>
  <c r="AG403" s="1"/>
  <c r="X371"/>
  <c r="AG371" s="1"/>
  <c r="X418"/>
  <c r="AG418" s="1"/>
  <c r="X386"/>
  <c r="AG386" s="1"/>
  <c r="X346"/>
  <c r="AG346" s="1"/>
  <c r="X331"/>
  <c r="AG331" s="1"/>
  <c r="X299"/>
  <c r="AG299" s="1"/>
  <c r="X267"/>
  <c r="AG267" s="1"/>
  <c r="X225"/>
  <c r="AG225" s="1"/>
  <c r="X318"/>
  <c r="AG318" s="1"/>
  <c r="X286"/>
  <c r="AG286" s="1"/>
  <c r="X254"/>
  <c r="AG254" s="1"/>
  <c r="X236"/>
  <c r="AG236" s="1"/>
  <c r="X204"/>
  <c r="AG204" s="1"/>
  <c r="X172"/>
  <c r="AG172" s="1"/>
  <c r="X130"/>
  <c r="AG130" s="1"/>
  <c r="X193"/>
  <c r="AG193" s="1"/>
  <c r="X161"/>
  <c r="AG161" s="1"/>
  <c r="X149"/>
  <c r="AG149" s="1"/>
  <c r="X117"/>
  <c r="AG117" s="1"/>
  <c r="X85"/>
  <c r="AG85" s="1"/>
  <c r="X110"/>
  <c r="AG110" s="1"/>
  <c r="X78"/>
  <c r="AG78" s="1"/>
  <c r="X52"/>
  <c r="AG52" s="1"/>
  <c r="X20"/>
  <c r="AG20" s="1"/>
  <c r="X33"/>
  <c r="AG33" s="1"/>
  <c r="X429"/>
  <c r="AG429" s="1"/>
  <c r="X397"/>
  <c r="AG397" s="1"/>
  <c r="X365"/>
  <c r="AG365" s="1"/>
  <c r="X412"/>
  <c r="AG412" s="1"/>
  <c r="X380"/>
  <c r="AG380" s="1"/>
  <c r="X357"/>
  <c r="AG357" s="1"/>
  <c r="X325"/>
  <c r="AG325" s="1"/>
  <c r="X293"/>
  <c r="AG293" s="1"/>
  <c r="X261"/>
  <c r="AG261" s="1"/>
  <c r="X344"/>
  <c r="AG344" s="1"/>
  <c r="X312"/>
  <c r="AG312" s="1"/>
  <c r="X280"/>
  <c r="AG280" s="1"/>
  <c r="X248"/>
  <c r="AG248" s="1"/>
  <c r="X230"/>
  <c r="AG230" s="1"/>
  <c r="X198"/>
  <c r="AG198" s="1"/>
  <c r="X166"/>
  <c r="AG166" s="1"/>
  <c r="X118"/>
  <c r="AG118" s="1"/>
  <c r="X187"/>
  <c r="AG187" s="1"/>
  <c r="X155"/>
  <c r="AG155" s="1"/>
  <c r="X143"/>
  <c r="AG143" s="1"/>
  <c r="X111"/>
  <c r="AG111" s="1"/>
  <c r="X63"/>
  <c r="AG63" s="1"/>
  <c r="X49"/>
  <c r="AG49" s="1"/>
  <c r="X43"/>
  <c r="AG43" s="1"/>
  <c r="AB55"/>
  <c r="AK55" s="1"/>
  <c r="AB306"/>
  <c r="AK306" s="1"/>
  <c r="AB120"/>
  <c r="AK120" s="1"/>
  <c r="AB426"/>
  <c r="AK426" s="1"/>
  <c r="U384"/>
  <c r="AD384" s="1"/>
  <c r="AB66"/>
  <c r="AK66" s="1"/>
  <c r="AB137"/>
  <c r="AK137" s="1"/>
  <c r="AB224"/>
  <c r="AK224" s="1"/>
  <c r="AB353"/>
  <c r="AK353" s="1"/>
  <c r="AB59"/>
  <c r="AK59" s="1"/>
  <c r="AB210"/>
  <c r="AK210" s="1"/>
  <c r="AB339"/>
  <c r="AK339" s="1"/>
  <c r="U424"/>
  <c r="AD424" s="1"/>
  <c r="U392"/>
  <c r="AD392" s="1"/>
  <c r="X423"/>
  <c r="AG423" s="1"/>
  <c r="X391"/>
  <c r="AG391" s="1"/>
  <c r="X356"/>
  <c r="AG356" s="1"/>
  <c r="X406"/>
  <c r="AG406" s="1"/>
  <c r="X374"/>
  <c r="AG374" s="1"/>
  <c r="X351"/>
  <c r="AG351" s="1"/>
  <c r="X319"/>
  <c r="AG319" s="1"/>
  <c r="X287"/>
  <c r="AG287" s="1"/>
  <c r="X255"/>
  <c r="AG255" s="1"/>
  <c r="X338"/>
  <c r="AG338" s="1"/>
  <c r="X306"/>
  <c r="AG306" s="1"/>
  <c r="X274"/>
  <c r="AG274" s="1"/>
  <c r="X239"/>
  <c r="AG239" s="1"/>
  <c r="X224"/>
  <c r="AG224" s="1"/>
  <c r="X192"/>
  <c r="AG192" s="1"/>
  <c r="X160"/>
  <c r="AG160" s="1"/>
  <c r="X213"/>
  <c r="AG213" s="1"/>
  <c r="X181"/>
  <c r="AG181" s="1"/>
  <c r="X148"/>
  <c r="AG148" s="1"/>
  <c r="X137"/>
  <c r="AG137" s="1"/>
  <c r="X105"/>
  <c r="AG105" s="1"/>
  <c r="X73"/>
  <c r="AG73" s="1"/>
  <c r="X98"/>
  <c r="AG98" s="1"/>
  <c r="X66"/>
  <c r="AG66" s="1"/>
  <c r="X40"/>
  <c r="AG40" s="1"/>
  <c r="X8"/>
  <c r="AG8" s="1"/>
  <c r="X21"/>
  <c r="AG21" s="1"/>
  <c r="X417"/>
  <c r="AG417" s="1"/>
  <c r="X385"/>
  <c r="AG385" s="1"/>
  <c r="X3"/>
  <c r="AG3" s="1"/>
  <c r="X400"/>
  <c r="AG400" s="1"/>
  <c r="X368"/>
  <c r="AG368" s="1"/>
  <c r="X345"/>
  <c r="AG345" s="1"/>
  <c r="X313"/>
  <c r="AG313" s="1"/>
  <c r="X281"/>
  <c r="AG281" s="1"/>
  <c r="X249"/>
  <c r="AG249" s="1"/>
  <c r="X332"/>
  <c r="AG332" s="1"/>
  <c r="X300"/>
  <c r="AG300" s="1"/>
  <c r="X268"/>
  <c r="AG268" s="1"/>
  <c r="X227"/>
  <c r="AG227" s="1"/>
  <c r="X218"/>
  <c r="AG218" s="1"/>
  <c r="X186"/>
  <c r="AG186" s="1"/>
  <c r="X154"/>
  <c r="AG154" s="1"/>
  <c r="X207"/>
  <c r="AG207" s="1"/>
  <c r="X175"/>
  <c r="AG175" s="1"/>
  <c r="X136"/>
  <c r="AG136" s="1"/>
  <c r="X131"/>
  <c r="AG131" s="1"/>
  <c r="X99"/>
  <c r="AG99" s="1"/>
  <c r="X92"/>
  <c r="AG92" s="1"/>
  <c r="X34"/>
  <c r="AG34" s="1"/>
  <c r="X15"/>
  <c r="AG15" s="1"/>
  <c r="W361"/>
  <c r="AF361" s="1"/>
  <c r="W322"/>
  <c r="AF322" s="1"/>
  <c r="W307"/>
  <c r="AF307" s="1"/>
  <c r="W193"/>
  <c r="AF193" s="1"/>
  <c r="W150"/>
  <c r="AF150" s="1"/>
  <c r="W99"/>
  <c r="AF99" s="1"/>
  <c r="W22"/>
  <c r="AF22" s="1"/>
  <c r="W399"/>
  <c r="AF399" s="1"/>
  <c r="W280"/>
  <c r="AF280" s="1"/>
  <c r="W265"/>
  <c r="AF265" s="1"/>
  <c r="W151"/>
  <c r="AF151" s="1"/>
  <c r="W128"/>
  <c r="AF128" s="1"/>
  <c r="W54"/>
  <c r="AF54" s="1"/>
  <c r="W390"/>
  <c r="AF390" s="1"/>
  <c r="W405"/>
  <c r="AF405" s="1"/>
  <c r="W350"/>
  <c r="AF350" s="1"/>
  <c r="W286"/>
  <c r="AF286" s="1"/>
  <c r="W335"/>
  <c r="AF335" s="1"/>
  <c r="W271"/>
  <c r="AF271" s="1"/>
  <c r="W221"/>
  <c r="AF221" s="1"/>
  <c r="W157"/>
  <c r="AF157" s="1"/>
  <c r="W178"/>
  <c r="AF178" s="1"/>
  <c r="W134"/>
  <c r="AF134" s="1"/>
  <c r="W70"/>
  <c r="AF70" s="1"/>
  <c r="W63"/>
  <c r="AF63" s="1"/>
  <c r="W5"/>
  <c r="AF5" s="1"/>
  <c r="W416"/>
  <c r="AF416" s="1"/>
  <c r="W427"/>
  <c r="AF427" s="1"/>
  <c r="W363"/>
  <c r="AF363" s="1"/>
  <c r="W308"/>
  <c r="AF308" s="1"/>
  <c r="W242"/>
  <c r="AF242" s="1"/>
  <c r="W293"/>
  <c r="AF293" s="1"/>
  <c r="W243"/>
  <c r="AF243" s="1"/>
  <c r="W179"/>
  <c r="AF179" s="1"/>
  <c r="W200"/>
  <c r="AF200" s="1"/>
  <c r="W125"/>
  <c r="AF125" s="1"/>
  <c r="W92"/>
  <c r="AF92" s="1"/>
  <c r="W85"/>
  <c r="AF85" s="1"/>
  <c r="W27"/>
  <c r="AF27" s="1"/>
  <c r="W28"/>
  <c r="AF28" s="1"/>
  <c r="W15"/>
  <c r="AF15" s="1"/>
  <c r="W47"/>
  <c r="AF47" s="1"/>
  <c r="W73"/>
  <c r="AF73" s="1"/>
  <c r="W105"/>
  <c r="AF105" s="1"/>
  <c r="W80"/>
  <c r="AF80" s="1"/>
  <c r="W112"/>
  <c r="AF112" s="1"/>
  <c r="W144"/>
  <c r="AF144" s="1"/>
  <c r="W156"/>
  <c r="AF156" s="1"/>
  <c r="W188"/>
  <c r="AF188" s="1"/>
  <c r="W119"/>
  <c r="AF119" s="1"/>
  <c r="W167"/>
  <c r="AF167" s="1"/>
  <c r="W199"/>
  <c r="AF199" s="1"/>
  <c r="W231"/>
  <c r="AF231" s="1"/>
  <c r="W249"/>
  <c r="AF249" s="1"/>
  <c r="W281"/>
  <c r="AF281" s="1"/>
  <c r="W313"/>
  <c r="AF313" s="1"/>
  <c r="W218"/>
  <c r="AF218" s="1"/>
  <c r="W264"/>
  <c r="AF264" s="1"/>
  <c r="W296"/>
  <c r="AF296" s="1"/>
  <c r="W328"/>
  <c r="AF328" s="1"/>
  <c r="W360"/>
  <c r="AF360" s="1"/>
  <c r="W383"/>
  <c r="AF383" s="1"/>
  <c r="W415"/>
  <c r="AF415" s="1"/>
  <c r="W372"/>
  <c r="AF372" s="1"/>
  <c r="W404"/>
  <c r="AF404" s="1"/>
  <c r="W6"/>
  <c r="AF6" s="1"/>
  <c r="W38"/>
  <c r="AF38" s="1"/>
  <c r="W25"/>
  <c r="AF25" s="1"/>
  <c r="W57"/>
  <c r="AF57" s="1"/>
  <c r="W83"/>
  <c r="AF83" s="1"/>
  <c r="W56"/>
  <c r="AF56" s="1"/>
  <c r="W90"/>
  <c r="AF90" s="1"/>
  <c r="W122"/>
  <c r="AF122" s="1"/>
  <c r="W121"/>
  <c r="AF121" s="1"/>
  <c r="W166"/>
  <c r="AF166" s="1"/>
  <c r="W198"/>
  <c r="AF198" s="1"/>
  <c r="W139"/>
  <c r="AF139" s="1"/>
  <c r="W177"/>
  <c r="AF177" s="1"/>
  <c r="W209"/>
  <c r="AF209" s="1"/>
  <c r="W241"/>
  <c r="AF241" s="1"/>
  <c r="W259"/>
  <c r="AF259" s="1"/>
  <c r="W291"/>
  <c r="AF291" s="1"/>
  <c r="W323"/>
  <c r="AF323" s="1"/>
  <c r="W238"/>
  <c r="AF238" s="1"/>
  <c r="W274"/>
  <c r="AF274" s="1"/>
  <c r="W306"/>
  <c r="AF306" s="1"/>
  <c r="W338"/>
  <c r="AF338" s="1"/>
  <c r="W359"/>
  <c r="AF359" s="1"/>
  <c r="W393"/>
  <c r="AF393" s="1"/>
  <c r="W425"/>
  <c r="AF425" s="1"/>
  <c r="W378"/>
  <c r="AF378" s="1"/>
  <c r="W410"/>
  <c r="AF410" s="1"/>
  <c r="W24"/>
  <c r="AF24" s="1"/>
  <c r="W11"/>
  <c r="AF11" s="1"/>
  <c r="W43"/>
  <c r="AF43" s="1"/>
  <c r="W69"/>
  <c r="AF69" s="1"/>
  <c r="W101"/>
  <c r="AF101" s="1"/>
  <c r="W76"/>
  <c r="AF76" s="1"/>
  <c r="W108"/>
  <c r="AF108" s="1"/>
  <c r="W140"/>
  <c r="AF140" s="1"/>
  <c r="W152"/>
  <c r="AF152" s="1"/>
  <c r="W184"/>
  <c r="AF184" s="1"/>
  <c r="W216"/>
  <c r="AF216" s="1"/>
  <c r="W163"/>
  <c r="AF163" s="1"/>
  <c r="W195"/>
  <c r="AF195" s="1"/>
  <c r="W227"/>
  <c r="AF227" s="1"/>
  <c r="W245"/>
  <c r="AF245" s="1"/>
  <c r="W277"/>
  <c r="AF277" s="1"/>
  <c r="W309"/>
  <c r="AF309" s="1"/>
  <c r="W341"/>
  <c r="AF341" s="1"/>
  <c r="W260"/>
  <c r="AF260" s="1"/>
  <c r="W292"/>
  <c r="AF292" s="1"/>
  <c r="W324"/>
  <c r="AF324" s="1"/>
  <c r="W356"/>
  <c r="AF356" s="1"/>
  <c r="W379"/>
  <c r="AF379" s="1"/>
  <c r="W411"/>
  <c r="AF411" s="1"/>
  <c r="W368"/>
  <c r="AF368" s="1"/>
  <c r="W400"/>
  <c r="AF400" s="1"/>
  <c r="W3"/>
  <c r="AF3" s="1"/>
  <c r="W34"/>
  <c r="AF34" s="1"/>
  <c r="W21"/>
  <c r="AF21" s="1"/>
  <c r="W53"/>
  <c r="AF53" s="1"/>
  <c r="W79"/>
  <c r="AF79" s="1"/>
  <c r="W111"/>
  <c r="AF111" s="1"/>
  <c r="W86"/>
  <c r="AF86" s="1"/>
  <c r="W118"/>
  <c r="AF118" s="1"/>
  <c r="W113"/>
  <c r="AF113" s="1"/>
  <c r="W162"/>
  <c r="AF162" s="1"/>
  <c r="W194"/>
  <c r="AF194" s="1"/>
  <c r="W131"/>
  <c r="AF131" s="1"/>
  <c r="W173"/>
  <c r="AF173" s="1"/>
  <c r="W205"/>
  <c r="AF205" s="1"/>
  <c r="W237"/>
  <c r="AF237" s="1"/>
  <c r="W255"/>
  <c r="AF255" s="1"/>
  <c r="W287"/>
  <c r="AF287" s="1"/>
  <c r="W319"/>
  <c r="AF319" s="1"/>
  <c r="W230"/>
  <c r="AF230" s="1"/>
  <c r="W270"/>
  <c r="AF270" s="1"/>
  <c r="W302"/>
  <c r="AF302" s="1"/>
  <c r="W334"/>
  <c r="AF334" s="1"/>
  <c r="W351"/>
  <c r="AF351" s="1"/>
  <c r="W389"/>
  <c r="AF389" s="1"/>
  <c r="W421"/>
  <c r="AF421" s="1"/>
  <c r="W374"/>
  <c r="AF374" s="1"/>
  <c r="W406"/>
  <c r="AF406" s="1"/>
  <c r="AA16"/>
  <c r="AJ16" s="1"/>
  <c r="AA32"/>
  <c r="AJ32" s="1"/>
  <c r="AA5"/>
  <c r="AJ5" s="1"/>
  <c r="AA21"/>
  <c r="AJ21" s="1"/>
  <c r="AA37"/>
  <c r="AJ37" s="1"/>
  <c r="AA53"/>
  <c r="AJ53" s="1"/>
  <c r="AA63"/>
  <c r="AJ63" s="1"/>
  <c r="AA79"/>
  <c r="AJ79" s="1"/>
  <c r="AA95"/>
  <c r="AJ95" s="1"/>
  <c r="AA48"/>
  <c r="AJ48" s="1"/>
  <c r="AA70"/>
  <c r="AJ70" s="1"/>
  <c r="AA86"/>
  <c r="AJ86" s="1"/>
  <c r="AA102"/>
  <c r="AJ102" s="1"/>
  <c r="AA118"/>
  <c r="AJ118" s="1"/>
  <c r="AA134"/>
  <c r="AJ134" s="1"/>
  <c r="AA113"/>
  <c r="AJ113" s="1"/>
  <c r="AA145"/>
  <c r="AJ145" s="1"/>
  <c r="AA162"/>
  <c r="AJ162" s="1"/>
  <c r="AA178"/>
  <c r="AJ178" s="1"/>
  <c r="AA194"/>
  <c r="AJ194" s="1"/>
  <c r="AA210"/>
  <c r="AJ210" s="1"/>
  <c r="AA127"/>
  <c r="AJ127" s="1"/>
  <c r="AA155"/>
  <c r="AJ155" s="1"/>
  <c r="AA171"/>
  <c r="AJ171" s="1"/>
  <c r="AA187"/>
  <c r="AJ187" s="1"/>
  <c r="AA203"/>
  <c r="AJ203" s="1"/>
  <c r="AA219"/>
  <c r="AJ219" s="1"/>
  <c r="AA235"/>
  <c r="AJ235" s="1"/>
  <c r="AA232"/>
  <c r="AJ232" s="1"/>
  <c r="AA255"/>
  <c r="AJ255" s="1"/>
  <c r="AA271"/>
  <c r="AJ271" s="1"/>
  <c r="AA287"/>
  <c r="AJ287" s="1"/>
  <c r="AA303"/>
  <c r="AJ303" s="1"/>
  <c r="AA319"/>
  <c r="AJ319" s="1"/>
  <c r="AA335"/>
  <c r="AJ335" s="1"/>
  <c r="AA230"/>
  <c r="AJ230" s="1"/>
  <c r="AA252"/>
  <c r="AJ252" s="1"/>
  <c r="AA268"/>
  <c r="AJ268" s="1"/>
  <c r="AA284"/>
  <c r="AJ284" s="1"/>
  <c r="AA300"/>
  <c r="AJ300" s="1"/>
  <c r="AA316"/>
  <c r="AJ316" s="1"/>
  <c r="AA332"/>
  <c r="AJ332" s="1"/>
  <c r="AA348"/>
  <c r="AJ348" s="1"/>
  <c r="AA351"/>
  <c r="AJ351" s="1"/>
  <c r="AA373"/>
  <c r="AJ373" s="1"/>
  <c r="AA389"/>
  <c r="AJ389" s="1"/>
  <c r="AA405"/>
  <c r="AJ405" s="1"/>
  <c r="AA421"/>
  <c r="AJ421" s="1"/>
  <c r="AA353"/>
  <c r="AJ353" s="1"/>
  <c r="AA372"/>
  <c r="AJ372" s="1"/>
  <c r="AA388"/>
  <c r="AJ388" s="1"/>
  <c r="AA404"/>
  <c r="AJ404" s="1"/>
  <c r="AA420"/>
  <c r="AJ420" s="1"/>
  <c r="AA6"/>
  <c r="AJ6" s="1"/>
  <c r="AA22"/>
  <c r="AJ22" s="1"/>
  <c r="AA38"/>
  <c r="AJ38" s="1"/>
  <c r="AA11"/>
  <c r="AJ11" s="1"/>
  <c r="AA27"/>
  <c r="AJ27" s="1"/>
  <c r="AA43"/>
  <c r="AJ43" s="1"/>
  <c r="AA59"/>
  <c r="AJ59" s="1"/>
  <c r="AA69"/>
  <c r="AJ69" s="1"/>
  <c r="AA85"/>
  <c r="AJ85" s="1"/>
  <c r="AA101"/>
  <c r="AJ101" s="1"/>
  <c r="AA60"/>
  <c r="AJ60" s="1"/>
  <c r="AA76"/>
  <c r="AJ76" s="1"/>
  <c r="AA92"/>
  <c r="AJ92" s="1"/>
  <c r="AA108"/>
  <c r="AJ108" s="1"/>
  <c r="AA124"/>
  <c r="AJ124" s="1"/>
  <c r="AA140"/>
  <c r="AJ140" s="1"/>
  <c r="AA125"/>
  <c r="AJ125" s="1"/>
  <c r="AA152"/>
  <c r="AJ152" s="1"/>
  <c r="AA168"/>
  <c r="AJ168" s="1"/>
  <c r="AA184"/>
  <c r="AJ184" s="1"/>
  <c r="AA200"/>
  <c r="AJ200" s="1"/>
  <c r="AA216"/>
  <c r="AJ216" s="1"/>
  <c r="AA139"/>
  <c r="AJ139" s="1"/>
  <c r="AA161"/>
  <c r="AJ161" s="1"/>
  <c r="AA177"/>
  <c r="AJ177" s="1"/>
  <c r="AA193"/>
  <c r="AJ193" s="1"/>
  <c r="AA209"/>
  <c r="AJ209" s="1"/>
  <c r="AA225"/>
  <c r="AJ225" s="1"/>
  <c r="AA241"/>
  <c r="AJ241" s="1"/>
  <c r="AA245"/>
  <c r="AJ245" s="1"/>
  <c r="AA261"/>
  <c r="AJ261" s="1"/>
  <c r="AA277"/>
  <c r="AJ277" s="1"/>
  <c r="AA293"/>
  <c r="AJ293" s="1"/>
  <c r="AA309"/>
  <c r="AJ309" s="1"/>
  <c r="AA325"/>
  <c r="AJ325" s="1"/>
  <c r="AA341"/>
  <c r="AJ341" s="1"/>
  <c r="AA242"/>
  <c r="AJ242" s="1"/>
  <c r="AA258"/>
  <c r="AJ258" s="1"/>
  <c r="AA274"/>
  <c r="AJ274" s="1"/>
  <c r="AA290"/>
  <c r="AJ290" s="1"/>
  <c r="AA306"/>
  <c r="AJ306" s="1"/>
  <c r="AA322"/>
  <c r="AJ322" s="1"/>
  <c r="AA338"/>
  <c r="AJ338" s="1"/>
  <c r="AA354"/>
  <c r="AJ354" s="1"/>
  <c r="AA363"/>
  <c r="AJ363" s="1"/>
  <c r="AA379"/>
  <c r="AJ379" s="1"/>
  <c r="AA395"/>
  <c r="AJ395" s="1"/>
  <c r="AA411"/>
  <c r="AJ411" s="1"/>
  <c r="AA427"/>
  <c r="AJ427" s="1"/>
  <c r="AA366"/>
  <c r="AJ366" s="1"/>
  <c r="AA382"/>
  <c r="AJ382" s="1"/>
  <c r="AA398"/>
  <c r="AJ398" s="1"/>
  <c r="AA414"/>
  <c r="AJ414" s="1"/>
  <c r="AA430"/>
  <c r="AJ430" s="1"/>
  <c r="AA24"/>
  <c r="AJ24" s="1"/>
  <c r="AA13"/>
  <c r="AJ13" s="1"/>
  <c r="AA45"/>
  <c r="AJ45" s="1"/>
  <c r="AA71"/>
  <c r="AJ71" s="1"/>
  <c r="AA103"/>
  <c r="AJ103" s="1"/>
  <c r="AA78"/>
  <c r="AJ78" s="1"/>
  <c r="AA110"/>
  <c r="AJ110" s="1"/>
  <c r="AA142"/>
  <c r="AJ142" s="1"/>
  <c r="AA154"/>
  <c r="AJ154" s="1"/>
  <c r="AA186"/>
  <c r="AJ186" s="1"/>
  <c r="AA111"/>
  <c r="AJ111" s="1"/>
  <c r="AA163"/>
  <c r="AJ163" s="1"/>
  <c r="AA195"/>
  <c r="AJ195" s="1"/>
  <c r="AA227"/>
  <c r="AJ227" s="1"/>
  <c r="AA247"/>
  <c r="AJ247" s="1"/>
  <c r="AA279"/>
  <c r="AJ279" s="1"/>
  <c r="AA311"/>
  <c r="AJ311" s="1"/>
  <c r="AA343"/>
  <c r="AJ343" s="1"/>
  <c r="AA244"/>
  <c r="AJ244" s="1"/>
  <c r="AA276"/>
  <c r="AJ276" s="1"/>
  <c r="AA308"/>
  <c r="AJ308" s="1"/>
  <c r="AA340"/>
  <c r="AJ340" s="1"/>
  <c r="AA365"/>
  <c r="AJ365" s="1"/>
  <c r="AA397"/>
  <c r="AJ397" s="1"/>
  <c r="AA429"/>
  <c r="AJ429" s="1"/>
  <c r="AA380"/>
  <c r="AJ380" s="1"/>
  <c r="AA412"/>
  <c r="AJ412" s="1"/>
  <c r="AA14"/>
  <c r="AJ14" s="1"/>
  <c r="AA46"/>
  <c r="AJ46" s="1"/>
  <c r="AA35"/>
  <c r="AJ35" s="1"/>
  <c r="AA61"/>
  <c r="AJ61" s="1"/>
  <c r="AA93"/>
  <c r="AJ93" s="1"/>
  <c r="AA68"/>
  <c r="AJ68" s="1"/>
  <c r="AA100"/>
  <c r="AJ100" s="1"/>
  <c r="AA132"/>
  <c r="AJ132" s="1"/>
  <c r="AA141"/>
  <c r="AJ141" s="1"/>
  <c r="AA176"/>
  <c r="AJ176" s="1"/>
  <c r="AA208"/>
  <c r="AJ208" s="1"/>
  <c r="AA153"/>
  <c r="AJ153" s="1"/>
  <c r="AA185"/>
  <c r="AJ185" s="1"/>
  <c r="AA12"/>
  <c r="AJ12" s="1"/>
  <c r="AA28"/>
  <c r="AJ28" s="1"/>
  <c r="AA44"/>
  <c r="AJ44" s="1"/>
  <c r="AA17"/>
  <c r="AJ17" s="1"/>
  <c r="AA33"/>
  <c r="AJ33" s="1"/>
  <c r="AA49"/>
  <c r="AJ49" s="1"/>
  <c r="AA58"/>
  <c r="AJ58" s="1"/>
  <c r="AA75"/>
  <c r="AJ75" s="1"/>
  <c r="AA91"/>
  <c r="AJ91" s="1"/>
  <c r="AA107"/>
  <c r="AJ107" s="1"/>
  <c r="AA66"/>
  <c r="AJ66" s="1"/>
  <c r="AA82"/>
  <c r="AJ82" s="1"/>
  <c r="AA98"/>
  <c r="AJ98" s="1"/>
  <c r="AA114"/>
  <c r="AJ114" s="1"/>
  <c r="AA130"/>
  <c r="AJ130" s="1"/>
  <c r="AA146"/>
  <c r="AJ146" s="1"/>
  <c r="AA137"/>
  <c r="AJ137" s="1"/>
  <c r="AA158"/>
  <c r="AJ158" s="1"/>
  <c r="AA174"/>
  <c r="AJ174" s="1"/>
  <c r="AA190"/>
  <c r="AJ190" s="1"/>
  <c r="AA206"/>
  <c r="AJ206" s="1"/>
  <c r="AA119"/>
  <c r="AJ119" s="1"/>
  <c r="AA151"/>
  <c r="AJ151" s="1"/>
  <c r="AA167"/>
  <c r="AJ167" s="1"/>
  <c r="AA183"/>
  <c r="AJ183" s="1"/>
  <c r="AA199"/>
  <c r="AJ199" s="1"/>
  <c r="AA215"/>
  <c r="AJ215" s="1"/>
  <c r="AA231"/>
  <c r="AJ231" s="1"/>
  <c r="AA224"/>
  <c r="AJ224" s="1"/>
  <c r="AA251"/>
  <c r="AJ251" s="1"/>
  <c r="AA267"/>
  <c r="AJ267" s="1"/>
  <c r="AA283"/>
  <c r="AJ283" s="1"/>
  <c r="AA299"/>
  <c r="AJ299" s="1"/>
  <c r="AA315"/>
  <c r="AJ315" s="1"/>
  <c r="AA331"/>
  <c r="AJ331" s="1"/>
  <c r="AA222"/>
  <c r="AJ222" s="1"/>
  <c r="AA248"/>
  <c r="AJ248" s="1"/>
  <c r="AA264"/>
  <c r="AJ264" s="1"/>
  <c r="AA280"/>
  <c r="AJ280" s="1"/>
  <c r="AA296"/>
  <c r="AJ296" s="1"/>
  <c r="AA312"/>
  <c r="AJ312" s="1"/>
  <c r="AA328"/>
  <c r="AJ328" s="1"/>
  <c r="AA344"/>
  <c r="AJ344" s="1"/>
  <c r="AA360"/>
  <c r="AJ360" s="1"/>
  <c r="AA369"/>
  <c r="AJ369" s="1"/>
  <c r="AA385"/>
  <c r="AJ385" s="1"/>
  <c r="AA401"/>
  <c r="AJ401" s="1"/>
  <c r="AA417"/>
  <c r="AJ417" s="1"/>
  <c r="AA345"/>
  <c r="AJ345" s="1"/>
  <c r="AA368"/>
  <c r="AJ368" s="1"/>
  <c r="AA384"/>
  <c r="AJ384" s="1"/>
  <c r="AA400"/>
  <c r="AJ400" s="1"/>
  <c r="AA416"/>
  <c r="AJ416" s="1"/>
  <c r="AA3"/>
  <c r="AJ3" s="1"/>
  <c r="AA18"/>
  <c r="AJ18" s="1"/>
  <c r="AA34"/>
  <c r="AJ34" s="1"/>
  <c r="AA7"/>
  <c r="AJ7" s="1"/>
  <c r="AA23"/>
  <c r="AJ23" s="1"/>
  <c r="AA39"/>
  <c r="AJ39" s="1"/>
  <c r="AA55"/>
  <c r="AJ55" s="1"/>
  <c r="AA65"/>
  <c r="AJ65" s="1"/>
  <c r="AA81"/>
  <c r="AJ81" s="1"/>
  <c r="AA97"/>
  <c r="AJ97" s="1"/>
  <c r="AA52"/>
  <c r="AJ52" s="1"/>
  <c r="AA72"/>
  <c r="AJ72" s="1"/>
  <c r="AA88"/>
  <c r="AJ88" s="1"/>
  <c r="AA104"/>
  <c r="AJ104" s="1"/>
  <c r="AA120"/>
  <c r="AJ120" s="1"/>
  <c r="AA136"/>
  <c r="AJ136" s="1"/>
  <c r="AA117"/>
  <c r="AJ117" s="1"/>
  <c r="AA149"/>
  <c r="AJ149" s="1"/>
  <c r="AA164"/>
  <c r="AJ164" s="1"/>
  <c r="AA180"/>
  <c r="AJ180" s="1"/>
  <c r="AA196"/>
  <c r="AJ196" s="1"/>
  <c r="AA212"/>
  <c r="AJ212" s="1"/>
  <c r="AA131"/>
  <c r="AJ131" s="1"/>
  <c r="AA157"/>
  <c r="AJ157" s="1"/>
  <c r="AA173"/>
  <c r="AJ173" s="1"/>
  <c r="AA189"/>
  <c r="AJ189" s="1"/>
  <c r="AA205"/>
  <c r="AJ205" s="1"/>
  <c r="AA221"/>
  <c r="AJ221" s="1"/>
  <c r="AA237"/>
  <c r="AJ237" s="1"/>
  <c r="AA236"/>
  <c r="AJ236" s="1"/>
  <c r="AA257"/>
  <c r="AJ257" s="1"/>
  <c r="AA273"/>
  <c r="AJ273" s="1"/>
  <c r="AA289"/>
  <c r="AJ289" s="1"/>
  <c r="AA305"/>
  <c r="AJ305" s="1"/>
  <c r="AA321"/>
  <c r="AJ321" s="1"/>
  <c r="AA337"/>
  <c r="AJ337" s="1"/>
  <c r="AA234"/>
  <c r="AJ234" s="1"/>
  <c r="AA254"/>
  <c r="AJ254" s="1"/>
  <c r="AA270"/>
  <c r="AJ270" s="1"/>
  <c r="AA286"/>
  <c r="AJ286" s="1"/>
  <c r="AA302"/>
  <c r="AJ302" s="1"/>
  <c r="AA318"/>
  <c r="AJ318" s="1"/>
  <c r="AA334"/>
  <c r="AJ334" s="1"/>
  <c r="AA350"/>
  <c r="AJ350" s="1"/>
  <c r="AA355"/>
  <c r="AJ355" s="1"/>
  <c r="AA375"/>
  <c r="AJ375" s="1"/>
  <c r="AA391"/>
  <c r="AJ391" s="1"/>
  <c r="AA407"/>
  <c r="AJ407" s="1"/>
  <c r="AA423"/>
  <c r="AJ423" s="1"/>
  <c r="AA362"/>
  <c r="AJ362" s="1"/>
  <c r="AA378"/>
  <c r="AJ378" s="1"/>
  <c r="AA394"/>
  <c r="AJ394" s="1"/>
  <c r="AA410"/>
  <c r="AJ410" s="1"/>
  <c r="AA426"/>
  <c r="AJ426" s="1"/>
  <c r="AA8"/>
  <c r="AJ8" s="1"/>
  <c r="AA40"/>
  <c r="AJ40" s="1"/>
  <c r="AA29"/>
  <c r="AJ29" s="1"/>
  <c r="AA50"/>
  <c r="AJ50" s="1"/>
  <c r="AA87"/>
  <c r="AJ87" s="1"/>
  <c r="AA62"/>
  <c r="AJ62" s="1"/>
  <c r="AA94"/>
  <c r="AJ94" s="1"/>
  <c r="AA126"/>
  <c r="AJ126" s="1"/>
  <c r="AA129"/>
  <c r="AJ129" s="1"/>
  <c r="AA170"/>
  <c r="AJ170" s="1"/>
  <c r="AA202"/>
  <c r="AJ202" s="1"/>
  <c r="AA143"/>
  <c r="AJ143" s="1"/>
  <c r="AA179"/>
  <c r="AJ179" s="1"/>
  <c r="AA211"/>
  <c r="AJ211" s="1"/>
  <c r="AA243"/>
  <c r="AJ243" s="1"/>
  <c r="AA263"/>
  <c r="AJ263" s="1"/>
  <c r="AA295"/>
  <c r="AJ295" s="1"/>
  <c r="AA327"/>
  <c r="AJ327" s="1"/>
  <c r="AA260"/>
  <c r="AJ260" s="1"/>
  <c r="AA292"/>
  <c r="AJ292" s="1"/>
  <c r="AA324"/>
  <c r="AJ324" s="1"/>
  <c r="AA356"/>
  <c r="AJ356" s="1"/>
  <c r="AA381"/>
  <c r="AJ381" s="1"/>
  <c r="AA413"/>
  <c r="AJ413" s="1"/>
  <c r="AA364"/>
  <c r="AJ364" s="1"/>
  <c r="AA396"/>
  <c r="AJ396" s="1"/>
  <c r="AA428"/>
  <c r="AJ428" s="1"/>
  <c r="AA30"/>
  <c r="AJ30" s="1"/>
  <c r="AA19"/>
  <c r="AJ19" s="1"/>
  <c r="AA51"/>
  <c r="AJ51" s="1"/>
  <c r="AA77"/>
  <c r="AJ77" s="1"/>
  <c r="AA109"/>
  <c r="AJ109" s="1"/>
  <c r="AA84"/>
  <c r="AJ84" s="1"/>
  <c r="AA116"/>
  <c r="AJ116" s="1"/>
  <c r="AA148"/>
  <c r="AJ148" s="1"/>
  <c r="AA160"/>
  <c r="AJ160" s="1"/>
  <c r="AA192"/>
  <c r="AJ192" s="1"/>
  <c r="AA123"/>
  <c r="AJ123" s="1"/>
  <c r="AA169"/>
  <c r="AJ169" s="1"/>
  <c r="AA201"/>
  <c r="AJ201" s="1"/>
  <c r="W426"/>
  <c r="AF426" s="1"/>
  <c r="W377"/>
  <c r="AF377" s="1"/>
  <c r="W258"/>
  <c r="AF258" s="1"/>
  <c r="W244"/>
  <c r="AF244" s="1"/>
  <c r="W214"/>
  <c r="AF214" s="1"/>
  <c r="W106"/>
  <c r="AF106" s="1"/>
  <c r="W41"/>
  <c r="AF41" s="1"/>
  <c r="W388"/>
  <c r="AF388" s="1"/>
  <c r="W344"/>
  <c r="AF344" s="1"/>
  <c r="W329"/>
  <c r="AF329" s="1"/>
  <c r="W215"/>
  <c r="AF215" s="1"/>
  <c r="W172"/>
  <c r="AF172" s="1"/>
  <c r="W64"/>
  <c r="AF64" s="1"/>
  <c r="W44"/>
  <c r="AF44" s="1"/>
  <c r="W394"/>
  <c r="AF394" s="1"/>
  <c r="W409"/>
  <c r="AF409" s="1"/>
  <c r="W354"/>
  <c r="AF354" s="1"/>
  <c r="W290"/>
  <c r="AF290" s="1"/>
  <c r="W339"/>
  <c r="AF339" s="1"/>
  <c r="W275"/>
  <c r="AF275" s="1"/>
  <c r="W225"/>
  <c r="AF225" s="1"/>
  <c r="W161"/>
  <c r="AF161" s="1"/>
  <c r="W182"/>
  <c r="AF182" s="1"/>
  <c r="W138"/>
  <c r="AF138" s="1"/>
  <c r="W74"/>
  <c r="AF74" s="1"/>
  <c r="W67"/>
  <c r="AF67" s="1"/>
  <c r="W9"/>
  <c r="AF9" s="1"/>
  <c r="W420"/>
  <c r="AF420" s="1"/>
  <c r="W349"/>
  <c r="AF349" s="1"/>
  <c r="W367"/>
  <c r="AF367" s="1"/>
  <c r="W312"/>
  <c r="AF312" s="1"/>
  <c r="W248"/>
  <c r="AF248" s="1"/>
  <c r="W297"/>
  <c r="AF297" s="1"/>
  <c r="W224"/>
  <c r="AF224" s="1"/>
  <c r="W183"/>
  <c r="AF183" s="1"/>
  <c r="W204"/>
  <c r="AF204" s="1"/>
  <c r="W133"/>
  <c r="AF133" s="1"/>
  <c r="W96"/>
  <c r="AF96" s="1"/>
  <c r="W89"/>
  <c r="AF89" s="1"/>
  <c r="W31"/>
  <c r="AF31" s="1"/>
  <c r="W12"/>
  <c r="AF12" s="1"/>
  <c r="Z332"/>
  <c r="AI332" s="1"/>
  <c r="Z23"/>
  <c r="AI23" s="1"/>
  <c r="Z39"/>
  <c r="AI39" s="1"/>
  <c r="Z10"/>
  <c r="AI10" s="1"/>
  <c r="Z26"/>
  <c r="AI26" s="1"/>
  <c r="Z42"/>
  <c r="AI42" s="1"/>
  <c r="Z58"/>
  <c r="AI58" s="1"/>
  <c r="Z68"/>
  <c r="AI68" s="1"/>
  <c r="Z84"/>
  <c r="AI84" s="1"/>
  <c r="Z100"/>
  <c r="AI100" s="1"/>
  <c r="Z57"/>
  <c r="AI57" s="1"/>
  <c r="Z75"/>
  <c r="AI75" s="1"/>
  <c r="Z91"/>
  <c r="AI91" s="1"/>
  <c r="Z115"/>
  <c r="AI115" s="1"/>
  <c r="Z135"/>
  <c r="AI135" s="1"/>
  <c r="Z122"/>
  <c r="AI122" s="1"/>
  <c r="Z161"/>
  <c r="AI161" s="1"/>
  <c r="Z181"/>
  <c r="AI181" s="1"/>
  <c r="Z201"/>
  <c r="AI201" s="1"/>
  <c r="Z128"/>
  <c r="AI128" s="1"/>
  <c r="Z158"/>
  <c r="AI158" s="1"/>
  <c r="Z178"/>
  <c r="AI178" s="1"/>
  <c r="Z202"/>
  <c r="AI202" s="1"/>
  <c r="Z222"/>
  <c r="AI222" s="1"/>
  <c r="Z242"/>
  <c r="AI242" s="1"/>
  <c r="AB21"/>
  <c r="AK21" s="1"/>
  <c r="AB40"/>
  <c r="AK40" s="1"/>
  <c r="AB98"/>
  <c r="AK98" s="1"/>
  <c r="AB105"/>
  <c r="AK105" s="1"/>
  <c r="AB148"/>
  <c r="AK148" s="1"/>
  <c r="AB160"/>
  <c r="AK160" s="1"/>
  <c r="AB274"/>
  <c r="AK274" s="1"/>
  <c r="AB289"/>
  <c r="AK289" s="1"/>
  <c r="AB408"/>
  <c r="AK408" s="1"/>
  <c r="Z17"/>
  <c r="AI17" s="1"/>
  <c r="Z36"/>
  <c r="AI36" s="1"/>
  <c r="Z94"/>
  <c r="AI94" s="1"/>
  <c r="Z101"/>
  <c r="AI101" s="1"/>
  <c r="Z142"/>
  <c r="AI142" s="1"/>
  <c r="Z211"/>
  <c r="AI211" s="1"/>
  <c r="Z188"/>
  <c r="AI188" s="1"/>
  <c r="Z233"/>
  <c r="AI233" s="1"/>
  <c r="Z302"/>
  <c r="AI302" s="1"/>
  <c r="Z251"/>
  <c r="AI251" s="1"/>
  <c r="Z315"/>
  <c r="AI315" s="1"/>
  <c r="Z370"/>
  <c r="AI370" s="1"/>
  <c r="Z350"/>
  <c r="AI350" s="1"/>
  <c r="Z421"/>
  <c r="AI421" s="1"/>
  <c r="AB58"/>
  <c r="AK58" s="1"/>
  <c r="AB123"/>
  <c r="AK123" s="1"/>
  <c r="AB142"/>
  <c r="AK142" s="1"/>
  <c r="AB260"/>
  <c r="AK260" s="1"/>
  <c r="AB275"/>
  <c r="AK275" s="1"/>
  <c r="AB394"/>
  <c r="AK394" s="1"/>
  <c r="Z416"/>
  <c r="AI416" s="1"/>
  <c r="Z388"/>
  <c r="AI388" s="1"/>
  <c r="Z19"/>
  <c r="AI19" s="1"/>
  <c r="Z35"/>
  <c r="AI35" s="1"/>
  <c r="Z6"/>
  <c r="AI6" s="1"/>
  <c r="Z22"/>
  <c r="AI22" s="1"/>
  <c r="Z38"/>
  <c r="AI38" s="1"/>
  <c r="Z54"/>
  <c r="AI54" s="1"/>
  <c r="Z64"/>
  <c r="AI64" s="1"/>
  <c r="Z80"/>
  <c r="AI80" s="1"/>
  <c r="Z96"/>
  <c r="AI96" s="1"/>
  <c r="Z49"/>
  <c r="AI49" s="1"/>
  <c r="Z71"/>
  <c r="AI71" s="1"/>
  <c r="Z87"/>
  <c r="AI87" s="1"/>
  <c r="Z107"/>
  <c r="AI107" s="1"/>
  <c r="Z131"/>
  <c r="AI131" s="1"/>
  <c r="Z114"/>
  <c r="AI114" s="1"/>
  <c r="Z153"/>
  <c r="AI153" s="1"/>
  <c r="Z177"/>
  <c r="AI177" s="1"/>
  <c r="Z197"/>
  <c r="AI197" s="1"/>
  <c r="Z112"/>
  <c r="AI112" s="1"/>
  <c r="Z154"/>
  <c r="AI154" s="1"/>
  <c r="Z174"/>
  <c r="AI174" s="1"/>
  <c r="Z194"/>
  <c r="AI194" s="1"/>
  <c r="Z218"/>
  <c r="AI218" s="1"/>
  <c r="Z238"/>
  <c r="AI238" s="1"/>
  <c r="Z244"/>
  <c r="AI244" s="1"/>
  <c r="AB24"/>
  <c r="AK24" s="1"/>
  <c r="AB82"/>
  <c r="AK82" s="1"/>
  <c r="AB89"/>
  <c r="AK89" s="1"/>
  <c r="AB116"/>
  <c r="AK116" s="1"/>
  <c r="AB213"/>
  <c r="AK213" s="1"/>
  <c r="AB243"/>
  <c r="AK243" s="1"/>
  <c r="AB257"/>
  <c r="AK257" s="1"/>
  <c r="AB376"/>
  <c r="AK376" s="1"/>
  <c r="AB423"/>
  <c r="AK423" s="1"/>
  <c r="Z16"/>
  <c r="AI16" s="1"/>
  <c r="Z74"/>
  <c r="AI74" s="1"/>
  <c r="Z81"/>
  <c r="AI81" s="1"/>
  <c r="Z145"/>
  <c r="AI145" s="1"/>
  <c r="Z191"/>
  <c r="AI191" s="1"/>
  <c r="Z168"/>
  <c r="AI168" s="1"/>
  <c r="Z232"/>
  <c r="AI232" s="1"/>
  <c r="Z282"/>
  <c r="AI282" s="1"/>
  <c r="Z219"/>
  <c r="AI219" s="1"/>
  <c r="Z295"/>
  <c r="AI295" s="1"/>
  <c r="Z359"/>
  <c r="AI359" s="1"/>
  <c r="Z414"/>
  <c r="AI414" s="1"/>
  <c r="Z401"/>
  <c r="AI401" s="1"/>
  <c r="AB26"/>
  <c r="AK26" s="1"/>
  <c r="AB91"/>
  <c r="AK91" s="1"/>
  <c r="AB199"/>
  <c r="AK199" s="1"/>
  <c r="AB242"/>
  <c r="AK242" s="1"/>
  <c r="AB241"/>
  <c r="AK241" s="1"/>
  <c r="AB362"/>
  <c r="AK362" s="1"/>
  <c r="U376"/>
  <c r="AD376" s="1"/>
  <c r="Z361"/>
  <c r="AI361" s="1"/>
  <c r="AB5"/>
  <c r="AK5" s="1"/>
  <c r="AB417"/>
  <c r="AK417" s="1"/>
  <c r="AB401"/>
  <c r="AK401" s="1"/>
  <c r="AB385"/>
  <c r="AK385" s="1"/>
  <c r="AB369"/>
  <c r="AK369" s="1"/>
  <c r="AB344"/>
  <c r="AK344" s="1"/>
  <c r="AB418"/>
  <c r="AK418" s="1"/>
  <c r="AB402"/>
  <c r="AK402" s="1"/>
  <c r="AB386"/>
  <c r="AK386" s="1"/>
  <c r="AB370"/>
  <c r="AK370" s="1"/>
  <c r="AB346"/>
  <c r="AK346" s="1"/>
  <c r="AB347"/>
  <c r="AK347" s="1"/>
  <c r="AB331"/>
  <c r="AK331" s="1"/>
  <c r="AB315"/>
  <c r="AK315" s="1"/>
  <c r="AB299"/>
  <c r="AK299" s="1"/>
  <c r="AB283"/>
  <c r="AK283" s="1"/>
  <c r="AB267"/>
  <c r="AK267" s="1"/>
  <c r="AB251"/>
  <c r="AK251" s="1"/>
  <c r="AB225"/>
  <c r="AK225" s="1"/>
  <c r="AB332"/>
  <c r="AK332" s="1"/>
  <c r="AB316"/>
  <c r="AK316" s="1"/>
  <c r="AB300"/>
  <c r="AK300" s="1"/>
  <c r="AB284"/>
  <c r="AK284" s="1"/>
  <c r="AB268"/>
  <c r="AK268" s="1"/>
  <c r="AB252"/>
  <c r="AK252" s="1"/>
  <c r="AB231"/>
  <c r="AK231" s="1"/>
  <c r="AB234"/>
  <c r="AK234" s="1"/>
  <c r="AB218"/>
  <c r="AK218" s="1"/>
  <c r="AB202"/>
  <c r="AK202" s="1"/>
  <c r="AB186"/>
  <c r="AK186" s="1"/>
  <c r="AB170"/>
  <c r="AK170" s="1"/>
  <c r="AB154"/>
  <c r="AK154" s="1"/>
  <c r="AB126"/>
  <c r="AK126" s="1"/>
  <c r="AB207"/>
  <c r="AK207" s="1"/>
  <c r="AB191"/>
  <c r="AK191" s="1"/>
  <c r="AB175"/>
  <c r="AK175" s="1"/>
  <c r="AB159"/>
  <c r="AK159" s="1"/>
  <c r="AB136"/>
  <c r="AK136" s="1"/>
  <c r="AB147"/>
  <c r="AK147" s="1"/>
  <c r="AB131"/>
  <c r="AK131" s="1"/>
  <c r="AB115"/>
  <c r="AK115" s="1"/>
  <c r="AB99"/>
  <c r="AK99" s="1"/>
  <c r="AB83"/>
  <c r="AK83" s="1"/>
  <c r="AB67"/>
  <c r="AK67" s="1"/>
  <c r="AB108"/>
  <c r="AK108" s="1"/>
  <c r="AB92"/>
  <c r="AK92" s="1"/>
  <c r="AB76"/>
  <c r="AK76" s="1"/>
  <c r="AB60"/>
  <c r="AK60" s="1"/>
  <c r="AB50"/>
  <c r="AK50" s="1"/>
  <c r="AB34"/>
  <c r="AK34" s="1"/>
  <c r="AB18"/>
  <c r="AK18" s="1"/>
  <c r="AB47"/>
  <c r="AK47" s="1"/>
  <c r="AB31"/>
  <c r="AK31" s="1"/>
  <c r="AB15"/>
  <c r="AK15" s="1"/>
  <c r="AB415"/>
  <c r="AK415" s="1"/>
  <c r="AB399"/>
  <c r="AK399" s="1"/>
  <c r="AB383"/>
  <c r="AK383" s="1"/>
  <c r="AB367"/>
  <c r="AK367" s="1"/>
  <c r="AB3"/>
  <c r="AK3" s="1"/>
  <c r="AB416"/>
  <c r="AK416" s="1"/>
  <c r="AB400"/>
  <c r="AK400" s="1"/>
  <c r="AB384"/>
  <c r="AK384" s="1"/>
  <c r="AB368"/>
  <c r="AK368" s="1"/>
  <c r="AB361"/>
  <c r="AK361" s="1"/>
  <c r="AB345"/>
  <c r="AK345" s="1"/>
  <c r="AB329"/>
  <c r="AK329" s="1"/>
  <c r="AB313"/>
  <c r="AK313" s="1"/>
  <c r="AB297"/>
  <c r="AK297" s="1"/>
  <c r="AB281"/>
  <c r="AK281" s="1"/>
  <c r="AB265"/>
  <c r="AK265" s="1"/>
  <c r="AB249"/>
  <c r="AK249" s="1"/>
  <c r="AB221"/>
  <c r="AK221" s="1"/>
  <c r="AB330"/>
  <c r="AK330" s="1"/>
  <c r="AB314"/>
  <c r="AK314" s="1"/>
  <c r="AB298"/>
  <c r="AK298" s="1"/>
  <c r="AB282"/>
  <c r="AK282" s="1"/>
  <c r="AB266"/>
  <c r="AK266" s="1"/>
  <c r="AB250"/>
  <c r="AK250" s="1"/>
  <c r="AB227"/>
  <c r="AK227" s="1"/>
  <c r="AB232"/>
  <c r="AK232" s="1"/>
  <c r="AB216"/>
  <c r="AK216" s="1"/>
  <c r="AB200"/>
  <c r="AK200" s="1"/>
  <c r="AB184"/>
  <c r="AK184" s="1"/>
  <c r="AB168"/>
  <c r="AK168" s="1"/>
  <c r="AB152"/>
  <c r="AK152" s="1"/>
  <c r="AB122"/>
  <c r="AK122" s="1"/>
  <c r="AB205"/>
  <c r="AK205" s="1"/>
  <c r="AB189"/>
  <c r="AK189" s="1"/>
  <c r="AB421"/>
  <c r="AK421" s="1"/>
  <c r="AB405"/>
  <c r="AK405" s="1"/>
  <c r="AB389"/>
  <c r="AK389" s="1"/>
  <c r="AB373"/>
  <c r="AK373" s="1"/>
  <c r="AB352"/>
  <c r="AK352" s="1"/>
  <c r="AB422"/>
  <c r="AK422" s="1"/>
  <c r="AB406"/>
  <c r="AK406" s="1"/>
  <c r="AB390"/>
  <c r="AK390" s="1"/>
  <c r="AB374"/>
  <c r="AK374" s="1"/>
  <c r="AB354"/>
  <c r="AK354" s="1"/>
  <c r="AB351"/>
  <c r="AK351" s="1"/>
  <c r="AB335"/>
  <c r="AK335" s="1"/>
  <c r="AB319"/>
  <c r="AK319" s="1"/>
  <c r="AB303"/>
  <c r="AK303" s="1"/>
  <c r="AB287"/>
  <c r="AK287" s="1"/>
  <c r="AB271"/>
  <c r="AK271" s="1"/>
  <c r="AB255"/>
  <c r="AK255" s="1"/>
  <c r="AB233"/>
  <c r="AK233" s="1"/>
  <c r="AB336"/>
  <c r="AK336" s="1"/>
  <c r="AB320"/>
  <c r="AK320" s="1"/>
  <c r="AB304"/>
  <c r="AK304" s="1"/>
  <c r="AB288"/>
  <c r="AK288" s="1"/>
  <c r="AB272"/>
  <c r="AK272" s="1"/>
  <c r="AB256"/>
  <c r="AK256" s="1"/>
  <c r="AB239"/>
  <c r="AK239" s="1"/>
  <c r="AB238"/>
  <c r="AK238" s="1"/>
  <c r="AB222"/>
  <c r="AK222" s="1"/>
  <c r="AB206"/>
  <c r="AK206" s="1"/>
  <c r="AB190"/>
  <c r="AK190" s="1"/>
  <c r="AB174"/>
  <c r="AK174" s="1"/>
  <c r="AB158"/>
  <c r="AK158" s="1"/>
  <c r="AB134"/>
  <c r="AK134" s="1"/>
  <c r="AB211"/>
  <c r="AK211" s="1"/>
  <c r="AB195"/>
  <c r="AK195" s="1"/>
  <c r="AB179"/>
  <c r="AK179" s="1"/>
  <c r="AB163"/>
  <c r="AK163" s="1"/>
  <c r="AB144"/>
  <c r="AK144" s="1"/>
  <c r="AB112"/>
  <c r="AK112" s="1"/>
  <c r="AB135"/>
  <c r="AK135" s="1"/>
  <c r="AB119"/>
  <c r="AK119" s="1"/>
  <c r="AB103"/>
  <c r="AK103" s="1"/>
  <c r="AB87"/>
  <c r="AK87" s="1"/>
  <c r="AB71"/>
  <c r="AK71" s="1"/>
  <c r="AB51"/>
  <c r="AK51" s="1"/>
  <c r="AB96"/>
  <c r="AK96" s="1"/>
  <c r="AB80"/>
  <c r="AK80" s="1"/>
  <c r="AB64"/>
  <c r="AK64" s="1"/>
  <c r="AB54"/>
  <c r="AK54" s="1"/>
  <c r="AB38"/>
  <c r="AK38" s="1"/>
  <c r="AB22"/>
  <c r="AK22" s="1"/>
  <c r="AB6"/>
  <c r="AK6" s="1"/>
  <c r="AB35"/>
  <c r="AK35" s="1"/>
  <c r="AB19"/>
  <c r="AK19" s="1"/>
  <c r="AB419"/>
  <c r="AK419" s="1"/>
  <c r="AB403"/>
  <c r="AK403" s="1"/>
  <c r="AB387"/>
  <c r="AK387" s="1"/>
  <c r="AB371"/>
  <c r="AK371" s="1"/>
  <c r="AB348"/>
  <c r="AK348" s="1"/>
  <c r="AB420"/>
  <c r="AK420" s="1"/>
  <c r="AB404"/>
  <c r="AK404" s="1"/>
  <c r="AB388"/>
  <c r="AK388" s="1"/>
  <c r="AB372"/>
  <c r="AK372" s="1"/>
  <c r="AB350"/>
  <c r="AK350" s="1"/>
  <c r="AB349"/>
  <c r="AK349" s="1"/>
  <c r="AB333"/>
  <c r="AK333" s="1"/>
  <c r="AB317"/>
  <c r="AK317" s="1"/>
  <c r="AB301"/>
  <c r="AK301" s="1"/>
  <c r="AB285"/>
  <c r="AK285" s="1"/>
  <c r="AB269"/>
  <c r="AK269" s="1"/>
  <c r="AB253"/>
  <c r="AK253" s="1"/>
  <c r="AB229"/>
  <c r="AK229" s="1"/>
  <c r="AB334"/>
  <c r="AK334" s="1"/>
  <c r="AB318"/>
  <c r="AK318" s="1"/>
  <c r="AB302"/>
  <c r="AK302" s="1"/>
  <c r="AB286"/>
  <c r="AK286" s="1"/>
  <c r="AB270"/>
  <c r="AK270" s="1"/>
  <c r="AB254"/>
  <c r="AK254" s="1"/>
  <c r="AB235"/>
  <c r="AK235" s="1"/>
  <c r="AB236"/>
  <c r="AK236" s="1"/>
  <c r="AB220"/>
  <c r="AK220" s="1"/>
  <c r="AB204"/>
  <c r="AK204" s="1"/>
  <c r="AB188"/>
  <c r="AK188" s="1"/>
  <c r="AB172"/>
  <c r="AK172" s="1"/>
  <c r="AB156"/>
  <c r="AK156" s="1"/>
  <c r="AB130"/>
  <c r="AK130" s="1"/>
  <c r="AB209"/>
  <c r="AK209" s="1"/>
  <c r="AB193"/>
  <c r="AK193" s="1"/>
  <c r="W4"/>
  <c r="AF4" s="1"/>
  <c r="W20"/>
  <c r="AF20" s="1"/>
  <c r="W36"/>
  <c r="AF36" s="1"/>
  <c r="W7"/>
  <c r="AF7" s="1"/>
  <c r="W23"/>
  <c r="AF23" s="1"/>
  <c r="W39"/>
  <c r="AF39" s="1"/>
  <c r="W55"/>
  <c r="AF55" s="1"/>
  <c r="W65"/>
  <c r="AF65" s="1"/>
  <c r="W81"/>
  <c r="AF81" s="1"/>
  <c r="W97"/>
  <c r="AF97" s="1"/>
  <c r="W52"/>
  <c r="AF52" s="1"/>
  <c r="W72"/>
  <c r="AF72" s="1"/>
  <c r="W88"/>
  <c r="AF88" s="1"/>
  <c r="W104"/>
  <c r="AF104" s="1"/>
  <c r="W120"/>
  <c r="AF120" s="1"/>
  <c r="W136"/>
  <c r="AF136" s="1"/>
  <c r="W117"/>
  <c r="AF117" s="1"/>
  <c r="W149"/>
  <c r="AF149" s="1"/>
  <c r="W164"/>
  <c r="AF164" s="1"/>
  <c r="W180"/>
  <c r="AF180" s="1"/>
  <c r="W196"/>
  <c r="AF196" s="1"/>
  <c r="W212"/>
  <c r="AF212" s="1"/>
  <c r="W135"/>
  <c r="AF135" s="1"/>
  <c r="W159"/>
  <c r="AF159" s="1"/>
  <c r="W175"/>
  <c r="AF175" s="1"/>
  <c r="W191"/>
  <c r="AF191" s="1"/>
  <c r="W207"/>
  <c r="AF207" s="1"/>
  <c r="W223"/>
  <c r="AF223" s="1"/>
  <c r="W239"/>
  <c r="AF239" s="1"/>
  <c r="W240"/>
  <c r="AF240" s="1"/>
  <c r="W257"/>
  <c r="AF257" s="1"/>
  <c r="W273"/>
  <c r="AF273" s="1"/>
  <c r="W289"/>
  <c r="AF289" s="1"/>
  <c r="W305"/>
  <c r="AF305" s="1"/>
  <c r="W321"/>
  <c r="AF321" s="1"/>
  <c r="W337"/>
  <c r="AF337" s="1"/>
  <c r="W234"/>
  <c r="AF234" s="1"/>
  <c r="W256"/>
  <c r="AF256" s="1"/>
  <c r="W272"/>
  <c r="AF272" s="1"/>
  <c r="W288"/>
  <c r="AF288" s="1"/>
  <c r="W304"/>
  <c r="AF304" s="1"/>
  <c r="W320"/>
  <c r="AF320" s="1"/>
  <c r="W336"/>
  <c r="AF336" s="1"/>
  <c r="W352"/>
  <c r="AF352" s="1"/>
  <c r="W355"/>
  <c r="AF355" s="1"/>
  <c r="W375"/>
  <c r="AF375" s="1"/>
  <c r="W391"/>
  <c r="AF391" s="1"/>
  <c r="W407"/>
  <c r="AF407" s="1"/>
  <c r="W423"/>
  <c r="AF423" s="1"/>
  <c r="W364"/>
  <c r="AF364" s="1"/>
  <c r="W380"/>
  <c r="AF380" s="1"/>
  <c r="W396"/>
  <c r="AF396" s="1"/>
  <c r="W412"/>
  <c r="AF412" s="1"/>
  <c r="W428"/>
  <c r="AF428" s="1"/>
  <c r="W14"/>
  <c r="AF14" s="1"/>
  <c r="W30"/>
  <c r="AF30" s="1"/>
  <c r="W46"/>
  <c r="AF46" s="1"/>
  <c r="W17"/>
  <c r="AF17" s="1"/>
  <c r="W33"/>
  <c r="AF33" s="1"/>
  <c r="W49"/>
  <c r="AF49" s="1"/>
  <c r="W58"/>
  <c r="AF58" s="1"/>
  <c r="W75"/>
  <c r="AF75" s="1"/>
  <c r="W91"/>
  <c r="AF91" s="1"/>
  <c r="W107"/>
  <c r="AF107" s="1"/>
  <c r="W66"/>
  <c r="AF66" s="1"/>
  <c r="W82"/>
  <c r="AF82" s="1"/>
  <c r="W98"/>
  <c r="AF98" s="1"/>
  <c r="W114"/>
  <c r="AF114" s="1"/>
  <c r="W130"/>
  <c r="AF130" s="1"/>
  <c r="W146"/>
  <c r="AF146" s="1"/>
  <c r="W137"/>
  <c r="AF137" s="1"/>
  <c r="W158"/>
  <c r="AF158" s="1"/>
  <c r="W174"/>
  <c r="AF174" s="1"/>
  <c r="W190"/>
  <c r="AF190" s="1"/>
  <c r="W206"/>
  <c r="AF206" s="1"/>
  <c r="W123"/>
  <c r="AF123" s="1"/>
  <c r="W153"/>
  <c r="AF153" s="1"/>
  <c r="W169"/>
  <c r="AF169" s="1"/>
  <c r="W185"/>
  <c r="AF185" s="1"/>
  <c r="W201"/>
  <c r="AF201" s="1"/>
  <c r="W217"/>
  <c r="AF217" s="1"/>
  <c r="W233"/>
  <c r="AF233" s="1"/>
  <c r="W228"/>
  <c r="AF228" s="1"/>
  <c r="W251"/>
  <c r="AF251" s="1"/>
  <c r="W267"/>
  <c r="AF267" s="1"/>
  <c r="W283"/>
  <c r="AF283" s="1"/>
  <c r="W299"/>
  <c r="AF299" s="1"/>
  <c r="W315"/>
  <c r="AF315" s="1"/>
  <c r="W331"/>
  <c r="AF331" s="1"/>
  <c r="W222"/>
  <c r="AF222" s="1"/>
  <c r="W250"/>
  <c r="AF250" s="1"/>
  <c r="W266"/>
  <c r="AF266" s="1"/>
  <c r="W282"/>
  <c r="AF282" s="1"/>
  <c r="W298"/>
  <c r="AF298" s="1"/>
  <c r="W314"/>
  <c r="AF314" s="1"/>
  <c r="W330"/>
  <c r="AF330" s="1"/>
  <c r="W346"/>
  <c r="AF346" s="1"/>
  <c r="W362"/>
  <c r="AF362" s="1"/>
  <c r="W369"/>
  <c r="AF369" s="1"/>
  <c r="W385"/>
  <c r="AF385" s="1"/>
  <c r="W401"/>
  <c r="AF401" s="1"/>
  <c r="W417"/>
  <c r="AF417" s="1"/>
  <c r="W345"/>
  <c r="AF345" s="1"/>
  <c r="W370"/>
  <c r="AF370" s="1"/>
  <c r="W386"/>
  <c r="AF386" s="1"/>
  <c r="W402"/>
  <c r="AF402" s="1"/>
  <c r="W418"/>
  <c r="AF418" s="1"/>
  <c r="W16"/>
  <c r="AF16" s="1"/>
  <c r="W32"/>
  <c r="AF32" s="1"/>
  <c r="W48"/>
  <c r="AF48" s="1"/>
  <c r="W19"/>
  <c r="AF19" s="1"/>
  <c r="W35"/>
  <c r="AF35" s="1"/>
  <c r="W51"/>
  <c r="AF51" s="1"/>
  <c r="W61"/>
  <c r="AF61" s="1"/>
  <c r="W77"/>
  <c r="AF77" s="1"/>
  <c r="W93"/>
  <c r="AF93" s="1"/>
  <c r="W109"/>
  <c r="AF109" s="1"/>
  <c r="W68"/>
  <c r="AF68" s="1"/>
  <c r="W84"/>
  <c r="AF84" s="1"/>
  <c r="W100"/>
  <c r="AF100" s="1"/>
  <c r="W116"/>
  <c r="AF116" s="1"/>
  <c r="W132"/>
  <c r="AF132" s="1"/>
  <c r="W148"/>
  <c r="AF148" s="1"/>
  <c r="W141"/>
  <c r="AF141" s="1"/>
  <c r="W160"/>
  <c r="AF160" s="1"/>
  <c r="W176"/>
  <c r="AF176" s="1"/>
  <c r="W192"/>
  <c r="AF192" s="1"/>
  <c r="W208"/>
  <c r="AF208" s="1"/>
  <c r="W127"/>
  <c r="AF127" s="1"/>
  <c r="W155"/>
  <c r="AF155" s="1"/>
  <c r="W171"/>
  <c r="AF171" s="1"/>
  <c r="W187"/>
  <c r="AF187" s="1"/>
  <c r="W203"/>
  <c r="AF203" s="1"/>
  <c r="W219"/>
  <c r="AF219" s="1"/>
  <c r="W235"/>
  <c r="AF235" s="1"/>
  <c r="W232"/>
  <c r="AF232" s="1"/>
  <c r="W253"/>
  <c r="AF253" s="1"/>
  <c r="W269"/>
  <c r="AF269" s="1"/>
  <c r="W285"/>
  <c r="AF285" s="1"/>
  <c r="W301"/>
  <c r="AF301" s="1"/>
  <c r="W317"/>
  <c r="AF317" s="1"/>
  <c r="W333"/>
  <c r="AF333" s="1"/>
  <c r="W226"/>
  <c r="AF226" s="1"/>
  <c r="W252"/>
  <c r="AF252" s="1"/>
  <c r="W268"/>
  <c r="AF268" s="1"/>
  <c r="W284"/>
  <c r="AF284" s="1"/>
  <c r="W300"/>
  <c r="AF300" s="1"/>
  <c r="W316"/>
  <c r="AF316" s="1"/>
  <c r="W332"/>
  <c r="AF332" s="1"/>
  <c r="W348"/>
  <c r="AF348" s="1"/>
  <c r="W347"/>
  <c r="AF347" s="1"/>
  <c r="W371"/>
  <c r="AF371" s="1"/>
  <c r="W387"/>
  <c r="AF387" s="1"/>
  <c r="W403"/>
  <c r="AF403" s="1"/>
  <c r="W419"/>
  <c r="AF419" s="1"/>
  <c r="W357"/>
  <c r="AF357" s="1"/>
  <c r="W376"/>
  <c r="AF376" s="1"/>
  <c r="W392"/>
  <c r="AF392" s="1"/>
  <c r="W408"/>
  <c r="AF408" s="1"/>
  <c r="W424"/>
  <c r="AF424" s="1"/>
  <c r="W10"/>
  <c r="AF10" s="1"/>
  <c r="W26"/>
  <c r="AF26" s="1"/>
  <c r="W42"/>
  <c r="AF42" s="1"/>
  <c r="W13"/>
  <c r="AF13" s="1"/>
  <c r="W29"/>
  <c r="AF29" s="1"/>
  <c r="W45"/>
  <c r="AF45" s="1"/>
  <c r="W50"/>
  <c r="AF50" s="1"/>
  <c r="W71"/>
  <c r="AF71" s="1"/>
  <c r="W87"/>
  <c r="AF87" s="1"/>
  <c r="W103"/>
  <c r="AF103" s="1"/>
  <c r="W62"/>
  <c r="AF62" s="1"/>
  <c r="W78"/>
  <c r="AF78" s="1"/>
  <c r="W94"/>
  <c r="AF94" s="1"/>
  <c r="W110"/>
  <c r="AF110" s="1"/>
  <c r="W126"/>
  <c r="AF126" s="1"/>
  <c r="W142"/>
  <c r="AF142" s="1"/>
  <c r="W129"/>
  <c r="AF129" s="1"/>
  <c r="W154"/>
  <c r="AF154" s="1"/>
  <c r="W170"/>
  <c r="AF170" s="1"/>
  <c r="W186"/>
  <c r="AF186" s="1"/>
  <c r="W202"/>
  <c r="AF202" s="1"/>
  <c r="W115"/>
  <c r="AF115" s="1"/>
  <c r="W147"/>
  <c r="AF147" s="1"/>
  <c r="W165"/>
  <c r="AF165" s="1"/>
  <c r="W181"/>
  <c r="AF181" s="1"/>
  <c r="W197"/>
  <c r="AF197" s="1"/>
  <c r="W213"/>
  <c r="AF213" s="1"/>
  <c r="W229"/>
  <c r="AF229" s="1"/>
  <c r="W220"/>
  <c r="AF220" s="1"/>
  <c r="W247"/>
  <c r="AF247" s="1"/>
  <c r="W263"/>
  <c r="AF263" s="1"/>
  <c r="W279"/>
  <c r="AF279" s="1"/>
  <c r="W295"/>
  <c r="AF295" s="1"/>
  <c r="W311"/>
  <c r="AF311" s="1"/>
  <c r="W327"/>
  <c r="AF327" s="1"/>
  <c r="W343"/>
  <c r="AF343" s="1"/>
  <c r="W246"/>
  <c r="AF246" s="1"/>
  <c r="W262"/>
  <c r="AF262" s="1"/>
  <c r="W278"/>
  <c r="AF278" s="1"/>
  <c r="W294"/>
  <c r="AF294" s="1"/>
  <c r="W310"/>
  <c r="AF310" s="1"/>
  <c r="W326"/>
  <c r="AF326" s="1"/>
  <c r="W342"/>
  <c r="AF342" s="1"/>
  <c r="W358"/>
  <c r="AF358" s="1"/>
  <c r="W365"/>
  <c r="AF365" s="1"/>
  <c r="W381"/>
  <c r="AF381" s="1"/>
  <c r="W397"/>
  <c r="AF397" s="1"/>
  <c r="W413"/>
  <c r="AF413" s="1"/>
  <c r="W429"/>
  <c r="AF429" s="1"/>
  <c r="W366"/>
  <c r="AF366" s="1"/>
  <c r="W382"/>
  <c r="AF382" s="1"/>
  <c r="W398"/>
  <c r="AF398" s="1"/>
  <c r="W414"/>
  <c r="AF414" s="1"/>
  <c r="W430"/>
  <c r="AF430" s="1"/>
  <c r="AB4"/>
  <c r="AK4" s="1"/>
  <c r="AB52"/>
  <c r="AK52" s="1"/>
  <c r="AB110"/>
  <c r="AK110" s="1"/>
  <c r="AB101"/>
  <c r="AK101" s="1"/>
  <c r="AB140"/>
  <c r="AK140" s="1"/>
  <c r="AB201"/>
  <c r="AK201" s="1"/>
  <c r="AB180"/>
  <c r="AK180" s="1"/>
  <c r="AB262"/>
  <c r="AK262" s="1"/>
  <c r="AB326"/>
  <c r="AK326" s="1"/>
  <c r="AB309"/>
  <c r="AK309" s="1"/>
  <c r="AB396"/>
  <c r="AK396" s="1"/>
  <c r="AB27"/>
  <c r="AK27" s="1"/>
  <c r="AB72"/>
  <c r="AK72" s="1"/>
  <c r="AB111"/>
  <c r="AK111" s="1"/>
  <c r="AB187"/>
  <c r="AK187" s="1"/>
  <c r="AB248"/>
  <c r="AK248" s="1"/>
  <c r="AB217"/>
  <c r="AK217" s="1"/>
  <c r="AB327"/>
  <c r="AK327" s="1"/>
  <c r="AB397"/>
  <c r="AK397" s="1"/>
  <c r="Z95"/>
  <c r="AI95" s="1"/>
  <c r="Z111"/>
  <c r="AI111" s="1"/>
  <c r="Z127"/>
  <c r="AI127" s="1"/>
  <c r="Z143"/>
  <c r="AI143" s="1"/>
  <c r="Z130"/>
  <c r="AI130" s="1"/>
  <c r="Z157"/>
  <c r="AI157" s="1"/>
  <c r="Z173"/>
  <c r="AI173" s="1"/>
  <c r="Z189"/>
  <c r="AI189" s="1"/>
  <c r="Z205"/>
  <c r="AI205" s="1"/>
  <c r="Z120"/>
  <c r="AI120" s="1"/>
  <c r="Z150"/>
  <c r="AI150" s="1"/>
  <c r="Z166"/>
  <c r="AI166" s="1"/>
  <c r="Z182"/>
  <c r="AI182" s="1"/>
  <c r="Z198"/>
  <c r="AI198" s="1"/>
  <c r="Z214"/>
  <c r="AI214" s="1"/>
  <c r="Z230"/>
  <c r="AI230" s="1"/>
  <c r="Z221"/>
  <c r="AI221" s="1"/>
  <c r="AB9"/>
  <c r="AK9" s="1"/>
  <c r="AB25"/>
  <c r="AK25" s="1"/>
  <c r="AB41"/>
  <c r="AK41" s="1"/>
  <c r="AB12"/>
  <c r="AK12" s="1"/>
  <c r="AB28"/>
  <c r="AK28" s="1"/>
  <c r="AB44"/>
  <c r="AK44" s="1"/>
  <c r="AB49"/>
  <c r="AK49" s="1"/>
  <c r="AB70"/>
  <c r="AK70" s="1"/>
  <c r="AB86"/>
  <c r="AK86" s="1"/>
  <c r="AB102"/>
  <c r="AK102" s="1"/>
  <c r="AB61"/>
  <c r="AK61" s="1"/>
  <c r="AB77"/>
  <c r="AK77" s="1"/>
  <c r="AB93"/>
  <c r="AK93" s="1"/>
  <c r="AB109"/>
  <c r="AK109" s="1"/>
  <c r="AB125"/>
  <c r="AK125" s="1"/>
  <c r="AB141"/>
  <c r="AK141" s="1"/>
  <c r="AB124"/>
  <c r="AK124" s="1"/>
  <c r="AB153"/>
  <c r="AK153" s="1"/>
  <c r="AB169"/>
  <c r="AK169" s="1"/>
  <c r="AB185"/>
  <c r="AK185" s="1"/>
  <c r="AB114"/>
  <c r="AK114" s="1"/>
  <c r="AB164"/>
  <c r="AK164" s="1"/>
  <c r="AB196"/>
  <c r="AK196" s="1"/>
  <c r="AB228"/>
  <c r="AK228" s="1"/>
  <c r="AB246"/>
  <c r="AK246" s="1"/>
  <c r="AB278"/>
  <c r="AK278" s="1"/>
  <c r="AB310"/>
  <c r="AK310" s="1"/>
  <c r="AB342"/>
  <c r="AK342" s="1"/>
  <c r="AB261"/>
  <c r="AK261" s="1"/>
  <c r="AB293"/>
  <c r="AK293" s="1"/>
  <c r="AB325"/>
  <c r="AK325" s="1"/>
  <c r="AB357"/>
  <c r="AK357" s="1"/>
  <c r="AB380"/>
  <c r="AK380" s="1"/>
  <c r="AB412"/>
  <c r="AK412" s="1"/>
  <c r="AB363"/>
  <c r="AK363" s="1"/>
  <c r="AB395"/>
  <c r="AK395" s="1"/>
  <c r="AB427"/>
  <c r="AK427" s="1"/>
  <c r="Z33"/>
  <c r="AI33" s="1"/>
  <c r="Z20"/>
  <c r="AI20" s="1"/>
  <c r="Z52"/>
  <c r="AI52" s="1"/>
  <c r="Z78"/>
  <c r="AI78" s="1"/>
  <c r="Z110"/>
  <c r="AI110" s="1"/>
  <c r="Z85"/>
  <c r="AI85" s="1"/>
  <c r="Z117"/>
  <c r="AI117" s="1"/>
  <c r="Z149"/>
  <c r="AI149" s="1"/>
  <c r="Z163"/>
  <c r="AI163" s="1"/>
  <c r="Z195"/>
  <c r="AI195" s="1"/>
  <c r="Z132"/>
  <c r="AI132" s="1"/>
  <c r="Z172"/>
  <c r="AI172" s="1"/>
  <c r="Z204"/>
  <c r="AI204" s="1"/>
  <c r="Z236"/>
  <c r="AI236" s="1"/>
  <c r="Z254"/>
  <c r="AI254" s="1"/>
  <c r="Z286"/>
  <c r="AI286" s="1"/>
  <c r="Z318"/>
  <c r="AI318" s="1"/>
  <c r="Z227"/>
  <c r="AI227" s="1"/>
  <c r="Z267"/>
  <c r="AI267" s="1"/>
  <c r="Z299"/>
  <c r="AI299" s="1"/>
  <c r="Z331"/>
  <c r="AI331" s="1"/>
  <c r="Z348"/>
  <c r="AI348" s="1"/>
  <c r="Z386"/>
  <c r="AI386" s="1"/>
  <c r="Z418"/>
  <c r="AI418" s="1"/>
  <c r="Z373"/>
  <c r="AI373" s="1"/>
  <c r="Z405"/>
  <c r="AI405" s="1"/>
  <c r="AB11"/>
  <c r="AK11" s="1"/>
  <c r="AB43"/>
  <c r="AK43" s="1"/>
  <c r="AB30"/>
  <c r="AK30" s="1"/>
  <c r="AB53"/>
  <c r="AK53" s="1"/>
  <c r="AB88"/>
  <c r="AK88" s="1"/>
  <c r="AB63"/>
  <c r="AK63" s="1"/>
  <c r="AB95"/>
  <c r="AK95" s="1"/>
  <c r="AB127"/>
  <c r="AK127" s="1"/>
  <c r="AB128"/>
  <c r="AK128" s="1"/>
  <c r="AB171"/>
  <c r="AK171" s="1"/>
  <c r="AB203"/>
  <c r="AK203" s="1"/>
  <c r="AB150"/>
  <c r="AK150" s="1"/>
  <c r="AB182"/>
  <c r="AK182" s="1"/>
  <c r="AB214"/>
  <c r="AK214" s="1"/>
  <c r="AB223"/>
  <c r="AK223" s="1"/>
  <c r="AB264"/>
  <c r="AK264" s="1"/>
  <c r="AB296"/>
  <c r="AK296" s="1"/>
  <c r="AB328"/>
  <c r="AK328" s="1"/>
  <c r="AB247"/>
  <c r="AK247" s="1"/>
  <c r="AB279"/>
  <c r="AK279" s="1"/>
  <c r="AB311"/>
  <c r="AK311" s="1"/>
  <c r="AB343"/>
  <c r="AK343" s="1"/>
  <c r="AB366"/>
  <c r="AK366" s="1"/>
  <c r="AB398"/>
  <c r="AK398" s="1"/>
  <c r="AB430"/>
  <c r="AK430" s="1"/>
  <c r="AB381"/>
  <c r="AK381" s="1"/>
  <c r="AB413"/>
  <c r="AK413" s="1"/>
  <c r="Z268"/>
  <c r="AI268" s="1"/>
  <c r="Z281"/>
  <c r="AI281" s="1"/>
  <c r="Z346"/>
  <c r="AI346" s="1"/>
  <c r="Z428"/>
  <c r="AI428" s="1"/>
  <c r="Z380"/>
  <c r="AI380" s="1"/>
  <c r="Z248"/>
  <c r="AI248" s="1"/>
  <c r="Z269"/>
  <c r="AI269" s="1"/>
  <c r="Z371"/>
  <c r="AI371" s="1"/>
  <c r="Z368"/>
  <c r="AI368" s="1"/>
  <c r="Z297"/>
  <c r="AI297" s="1"/>
  <c r="Z223"/>
  <c r="AI223" s="1"/>
  <c r="Z284"/>
  <c r="AI284" s="1"/>
  <c r="Z425"/>
  <c r="AI425" s="1"/>
  <c r="Z409"/>
  <c r="AI409" s="1"/>
  <c r="Z393"/>
  <c r="AI393" s="1"/>
  <c r="Z377"/>
  <c r="AI377" s="1"/>
  <c r="Z358"/>
  <c r="AI358" s="1"/>
  <c r="Z422"/>
  <c r="AI422" s="1"/>
  <c r="Z406"/>
  <c r="AI406" s="1"/>
  <c r="Z390"/>
  <c r="AI390" s="1"/>
  <c r="Z374"/>
  <c r="AI374" s="1"/>
  <c r="Z356"/>
  <c r="AI356" s="1"/>
  <c r="Z351"/>
  <c r="AI351" s="1"/>
  <c r="Z335"/>
  <c r="AI335" s="1"/>
  <c r="Z319"/>
  <c r="AI319" s="1"/>
  <c r="Z303"/>
  <c r="AI303" s="1"/>
  <c r="Z287"/>
  <c r="AI287" s="1"/>
  <c r="Z271"/>
  <c r="AI271" s="1"/>
  <c r="Z255"/>
  <c r="AI255" s="1"/>
  <c r="Z235"/>
  <c r="AI235" s="1"/>
  <c r="Z338"/>
  <c r="AI338" s="1"/>
  <c r="Z322"/>
  <c r="AI322" s="1"/>
  <c r="Z306"/>
  <c r="AI306" s="1"/>
  <c r="Z290"/>
  <c r="AI290" s="1"/>
  <c r="Z274"/>
  <c r="AI274" s="1"/>
  <c r="Z258"/>
  <c r="AI258" s="1"/>
  <c r="Z241"/>
  <c r="AI241" s="1"/>
  <c r="Z240"/>
  <c r="AI240" s="1"/>
  <c r="Z224"/>
  <c r="AI224" s="1"/>
  <c r="Z208"/>
  <c r="AI208" s="1"/>
  <c r="Z192"/>
  <c r="AI192" s="1"/>
  <c r="Z176"/>
  <c r="AI176" s="1"/>
  <c r="Z160"/>
  <c r="AI160" s="1"/>
  <c r="Z140"/>
  <c r="AI140" s="1"/>
  <c r="Z215"/>
  <c r="AI215" s="1"/>
  <c r="Z199"/>
  <c r="AI199" s="1"/>
  <c r="Z183"/>
  <c r="AI183" s="1"/>
  <c r="Z167"/>
  <c r="AI167" s="1"/>
  <c r="Z151"/>
  <c r="AI151" s="1"/>
  <c r="Z118"/>
  <c r="AI118" s="1"/>
  <c r="Z137"/>
  <c r="AI137" s="1"/>
  <c r="Z121"/>
  <c r="AI121" s="1"/>
  <c r="Z105"/>
  <c r="AI105" s="1"/>
  <c r="Z89"/>
  <c r="AI89" s="1"/>
  <c r="Z73"/>
  <c r="AI73" s="1"/>
  <c r="Z53"/>
  <c r="AI53" s="1"/>
  <c r="Z98"/>
  <c r="AI98" s="1"/>
  <c r="Z82"/>
  <c r="AI82" s="1"/>
  <c r="Z66"/>
  <c r="AI66" s="1"/>
  <c r="Z56"/>
  <c r="AI56" s="1"/>
  <c r="Z40"/>
  <c r="AI40" s="1"/>
  <c r="Z24"/>
  <c r="AI24" s="1"/>
  <c r="Z8"/>
  <c r="AI8" s="1"/>
  <c r="Z37"/>
  <c r="AI37" s="1"/>
  <c r="Z21"/>
  <c r="AI21" s="1"/>
  <c r="Z5"/>
  <c r="AI5" s="1"/>
  <c r="Z3"/>
  <c r="AI3" s="1"/>
  <c r="Z245"/>
  <c r="AI245" s="1"/>
  <c r="Z372"/>
  <c r="AI372" s="1"/>
  <c r="Z403"/>
  <c r="AI403" s="1"/>
  <c r="Z384"/>
  <c r="AI384" s="1"/>
  <c r="Z313"/>
  <c r="AI313" s="1"/>
  <c r="Z249"/>
  <c r="AI249" s="1"/>
  <c r="Z300"/>
  <c r="AI300" s="1"/>
  <c r="Z429"/>
  <c r="AI429" s="1"/>
  <c r="Z413"/>
  <c r="AI413" s="1"/>
  <c r="Z397"/>
  <c r="AI397" s="1"/>
  <c r="Z381"/>
  <c r="AI381" s="1"/>
  <c r="Z365"/>
  <c r="AI365" s="1"/>
  <c r="Z426"/>
  <c r="AI426" s="1"/>
  <c r="Z410"/>
  <c r="AI410" s="1"/>
  <c r="Z394"/>
  <c r="AI394" s="1"/>
  <c r="Z378"/>
  <c r="AI378" s="1"/>
  <c r="Z362"/>
  <c r="AI362" s="1"/>
  <c r="Z355"/>
  <c r="AI355" s="1"/>
  <c r="Z339"/>
  <c r="AI339" s="1"/>
  <c r="Z323"/>
  <c r="AI323" s="1"/>
  <c r="Z307"/>
  <c r="AI307" s="1"/>
  <c r="Z291"/>
  <c r="AI291" s="1"/>
  <c r="Z275"/>
  <c r="AI275" s="1"/>
  <c r="Z259"/>
  <c r="AI259" s="1"/>
  <c r="Z243"/>
  <c r="AI243" s="1"/>
  <c r="Z342"/>
  <c r="AI342" s="1"/>
  <c r="Z326"/>
  <c r="AI326" s="1"/>
  <c r="Z310"/>
  <c r="AI310" s="1"/>
  <c r="Z294"/>
  <c r="AI294" s="1"/>
  <c r="Z278"/>
  <c r="AI278" s="1"/>
  <c r="Z262"/>
  <c r="AI262" s="1"/>
  <c r="Z246"/>
  <c r="AI246" s="1"/>
  <c r="Z217"/>
  <c r="AI217" s="1"/>
  <c r="Z228"/>
  <c r="AI228" s="1"/>
  <c r="Z212"/>
  <c r="AI212" s="1"/>
  <c r="Z196"/>
  <c r="AI196" s="1"/>
  <c r="Z180"/>
  <c r="AI180" s="1"/>
  <c r="Z164"/>
  <c r="AI164" s="1"/>
  <c r="Z148"/>
  <c r="AI148" s="1"/>
  <c r="Z116"/>
  <c r="AI116" s="1"/>
  <c r="Z203"/>
  <c r="AI203" s="1"/>
  <c r="Z187"/>
  <c r="AI187" s="1"/>
  <c r="Z171"/>
  <c r="AI171" s="1"/>
  <c r="Z155"/>
  <c r="AI155" s="1"/>
  <c r="Z126"/>
  <c r="AI126" s="1"/>
  <c r="Z141"/>
  <c r="AI141" s="1"/>
  <c r="Z125"/>
  <c r="AI125" s="1"/>
  <c r="Z109"/>
  <c r="AI109" s="1"/>
  <c r="Z93"/>
  <c r="AI93" s="1"/>
  <c r="Z77"/>
  <c r="AI77" s="1"/>
  <c r="Z61"/>
  <c r="AI61" s="1"/>
  <c r="Z102"/>
  <c r="AI102" s="1"/>
  <c r="Z86"/>
  <c r="AI86" s="1"/>
  <c r="Z70"/>
  <c r="AI70" s="1"/>
  <c r="Z60"/>
  <c r="AI60" s="1"/>
  <c r="Z44"/>
  <c r="AI44" s="1"/>
  <c r="Z28"/>
  <c r="AI28" s="1"/>
  <c r="Z12"/>
  <c r="AI12" s="1"/>
  <c r="Z41"/>
  <c r="AI41" s="1"/>
  <c r="Z25"/>
  <c r="AI25" s="1"/>
  <c r="Z9"/>
  <c r="AI9" s="1"/>
  <c r="AB33"/>
  <c r="AK33" s="1"/>
  <c r="AB36"/>
  <c r="AK36" s="1"/>
  <c r="AB78"/>
  <c r="AK78" s="1"/>
  <c r="AB69"/>
  <c r="AK69" s="1"/>
  <c r="AB117"/>
  <c r="AK117" s="1"/>
  <c r="AB149"/>
  <c r="AK149" s="1"/>
  <c r="AB177"/>
  <c r="AK177" s="1"/>
  <c r="AB219"/>
  <c r="AK219" s="1"/>
  <c r="AB245"/>
  <c r="AK245" s="1"/>
  <c r="AB364"/>
  <c r="AK364" s="1"/>
  <c r="AB379"/>
  <c r="AK379" s="1"/>
  <c r="AB14"/>
  <c r="AK14" s="1"/>
  <c r="AB104"/>
  <c r="AK104" s="1"/>
  <c r="AB155"/>
  <c r="AK155" s="1"/>
  <c r="AB166"/>
  <c r="AK166" s="1"/>
  <c r="AB230"/>
  <c r="AK230" s="1"/>
  <c r="AB280"/>
  <c r="AK280" s="1"/>
  <c r="AB312"/>
  <c r="AK312" s="1"/>
  <c r="AB295"/>
  <c r="AK295" s="1"/>
  <c r="AB382"/>
  <c r="AK382" s="1"/>
  <c r="AB414"/>
  <c r="AK414" s="1"/>
  <c r="AB429"/>
  <c r="AK429" s="1"/>
  <c r="Z253"/>
  <c r="AI253" s="1"/>
  <c r="Z364"/>
  <c r="AI364" s="1"/>
  <c r="AB17"/>
  <c r="AK17" s="1"/>
  <c r="AB20"/>
  <c r="AK20" s="1"/>
  <c r="AB62"/>
  <c r="AK62" s="1"/>
  <c r="AB94"/>
  <c r="AK94" s="1"/>
  <c r="AB85"/>
  <c r="AK85" s="1"/>
  <c r="AB133"/>
  <c r="AK133" s="1"/>
  <c r="AB161"/>
  <c r="AK161" s="1"/>
  <c r="AB146"/>
  <c r="AK146" s="1"/>
  <c r="AB212"/>
  <c r="AK212" s="1"/>
  <c r="AB294"/>
  <c r="AK294" s="1"/>
  <c r="AB277"/>
  <c r="AK277" s="1"/>
  <c r="AB341"/>
  <c r="AK341" s="1"/>
  <c r="AB428"/>
  <c r="AK428" s="1"/>
  <c r="AB411"/>
  <c r="AK411" s="1"/>
  <c r="AB46"/>
  <c r="AK46" s="1"/>
  <c r="AB79"/>
  <c r="AK79" s="1"/>
  <c r="AB143"/>
  <c r="AK143" s="1"/>
  <c r="AB118"/>
  <c r="AK118" s="1"/>
  <c r="AB198"/>
  <c r="AK198" s="1"/>
  <c r="AB263"/>
  <c r="AK263" s="1"/>
  <c r="AB359"/>
  <c r="AK359" s="1"/>
  <c r="AB365"/>
  <c r="AK365" s="1"/>
  <c r="AB13"/>
  <c r="AK13" s="1"/>
  <c r="AB29"/>
  <c r="AK29" s="1"/>
  <c r="AB45"/>
  <c r="AK45" s="1"/>
  <c r="AB16"/>
  <c r="AK16" s="1"/>
  <c r="AB32"/>
  <c r="AK32" s="1"/>
  <c r="AB48"/>
  <c r="AK48" s="1"/>
  <c r="AB57"/>
  <c r="AK57" s="1"/>
  <c r="AB74"/>
  <c r="AK74" s="1"/>
  <c r="AB90"/>
  <c r="AK90" s="1"/>
  <c r="AB106"/>
  <c r="AK106" s="1"/>
  <c r="AB65"/>
  <c r="AK65" s="1"/>
  <c r="AB81"/>
  <c r="AK81" s="1"/>
  <c r="AB97"/>
  <c r="AK97" s="1"/>
  <c r="AB113"/>
  <c r="AK113" s="1"/>
  <c r="AB129"/>
  <c r="AK129" s="1"/>
  <c r="AB145"/>
  <c r="AK145" s="1"/>
  <c r="AB132"/>
  <c r="AK132" s="1"/>
  <c r="AB157"/>
  <c r="AK157" s="1"/>
  <c r="AB173"/>
  <c r="AK173" s="1"/>
  <c r="AB197"/>
  <c r="AK197" s="1"/>
  <c r="AB138"/>
  <c r="AK138" s="1"/>
  <c r="AB176"/>
  <c r="AK176" s="1"/>
  <c r="AB208"/>
  <c r="AK208" s="1"/>
  <c r="AB240"/>
  <c r="AK240" s="1"/>
  <c r="AB258"/>
  <c r="AK258" s="1"/>
  <c r="AB290"/>
  <c r="AK290" s="1"/>
  <c r="AB322"/>
  <c r="AK322" s="1"/>
  <c r="AB237"/>
  <c r="AK237" s="1"/>
  <c r="AB273"/>
  <c r="AK273" s="1"/>
  <c r="AB305"/>
  <c r="AK305" s="1"/>
  <c r="AB337"/>
  <c r="AK337" s="1"/>
  <c r="AB358"/>
  <c r="AK358" s="1"/>
  <c r="AB392"/>
  <c r="AK392" s="1"/>
  <c r="AB424"/>
  <c r="AK424" s="1"/>
  <c r="AB375"/>
  <c r="AK375" s="1"/>
  <c r="AB407"/>
  <c r="AK407" s="1"/>
  <c r="Z13"/>
  <c r="AI13" s="1"/>
  <c r="Z45"/>
  <c r="AI45" s="1"/>
  <c r="Z32"/>
  <c r="AI32" s="1"/>
  <c r="Z55"/>
  <c r="AI55" s="1"/>
  <c r="Z90"/>
  <c r="AI90" s="1"/>
  <c r="Z65"/>
  <c r="AI65" s="1"/>
  <c r="Z97"/>
  <c r="AI97" s="1"/>
  <c r="Z129"/>
  <c r="AI129" s="1"/>
  <c r="Z134"/>
  <c r="AI134" s="1"/>
  <c r="Z175"/>
  <c r="AI175" s="1"/>
  <c r="Z207"/>
  <c r="AI207" s="1"/>
  <c r="Z152"/>
  <c r="AI152" s="1"/>
  <c r="Z184"/>
  <c r="AI184" s="1"/>
  <c r="Z216"/>
  <c r="AI216" s="1"/>
  <c r="Z225"/>
  <c r="AI225" s="1"/>
  <c r="Z266"/>
  <c r="AI266" s="1"/>
  <c r="Z298"/>
  <c r="AI298" s="1"/>
  <c r="Z330"/>
  <c r="AI330" s="1"/>
  <c r="Z247"/>
  <c r="AI247" s="1"/>
  <c r="Z279"/>
  <c r="AI279" s="1"/>
  <c r="Z311"/>
  <c r="AI311" s="1"/>
  <c r="Z343"/>
  <c r="AI343" s="1"/>
  <c r="Z366"/>
  <c r="AI366" s="1"/>
  <c r="Z398"/>
  <c r="AI398" s="1"/>
  <c r="Z430"/>
  <c r="AI430" s="1"/>
  <c r="Z385"/>
  <c r="AI385" s="1"/>
  <c r="Z417"/>
  <c r="AI417" s="1"/>
  <c r="AB23"/>
  <c r="AK23" s="1"/>
  <c r="AB10"/>
  <c r="AK10" s="1"/>
  <c r="AB42"/>
  <c r="AK42" s="1"/>
  <c r="AB68"/>
  <c r="AK68" s="1"/>
  <c r="AB100"/>
  <c r="AK100" s="1"/>
  <c r="AB75"/>
  <c r="AK75" s="1"/>
  <c r="AB107"/>
  <c r="AK107" s="1"/>
  <c r="AB139"/>
  <c r="AK139" s="1"/>
  <c r="AB151"/>
  <c r="AK151" s="1"/>
  <c r="AB183"/>
  <c r="AK183" s="1"/>
  <c r="AB215"/>
  <c r="AK215" s="1"/>
  <c r="AB162"/>
  <c r="AK162" s="1"/>
  <c r="AB194"/>
  <c r="AK194" s="1"/>
  <c r="AB226"/>
  <c r="AK226" s="1"/>
  <c r="AB244"/>
  <c r="AK244" s="1"/>
  <c r="AB276"/>
  <c r="AK276" s="1"/>
  <c r="AB308"/>
  <c r="AK308" s="1"/>
  <c r="AB340"/>
  <c r="AK340" s="1"/>
  <c r="AB259"/>
  <c r="AK259" s="1"/>
  <c r="AB291"/>
  <c r="AK291" s="1"/>
  <c r="AB323"/>
  <c r="AK323" s="1"/>
  <c r="AB355"/>
  <c r="AK355" s="1"/>
  <c r="AB378"/>
  <c r="AK378" s="1"/>
  <c r="AB410"/>
  <c r="AK410" s="1"/>
  <c r="AB360"/>
  <c r="AK360" s="1"/>
  <c r="AB393"/>
  <c r="AK393" s="1"/>
  <c r="AB425"/>
  <c r="AK425" s="1"/>
  <c r="Z316"/>
  <c r="AI316" s="1"/>
  <c r="Z329"/>
  <c r="AI329" s="1"/>
  <c r="Z419"/>
  <c r="AI419" s="1"/>
  <c r="Z256"/>
  <c r="AI256" s="1"/>
  <c r="Z261"/>
  <c r="AI261" s="1"/>
  <c r="U366"/>
  <c r="AD366" s="1"/>
  <c r="U411"/>
  <c r="AD411" s="1"/>
  <c r="U326"/>
  <c r="AD326" s="1"/>
  <c r="U262"/>
  <c r="AD262" s="1"/>
  <c r="U279"/>
  <c r="AD279" s="1"/>
  <c r="U229"/>
  <c r="AD229" s="1"/>
  <c r="U165"/>
  <c r="AD165" s="1"/>
  <c r="U188"/>
  <c r="AD188" s="1"/>
  <c r="U110"/>
  <c r="AD110" s="1"/>
  <c r="U103"/>
  <c r="AD103" s="1"/>
  <c r="U45"/>
  <c r="AD45" s="1"/>
  <c r="U26"/>
  <c r="AD26" s="1"/>
  <c r="U426"/>
  <c r="AD426" s="1"/>
  <c r="U418"/>
  <c r="AD418" s="1"/>
  <c r="U410"/>
  <c r="AD410" s="1"/>
  <c r="U402"/>
  <c r="AD402" s="1"/>
  <c r="U394"/>
  <c r="AD394" s="1"/>
  <c r="U386"/>
  <c r="AD386" s="1"/>
  <c r="U378"/>
  <c r="AD378" s="1"/>
  <c r="U368"/>
  <c r="AD368" s="1"/>
  <c r="U351"/>
  <c r="AD351" s="1"/>
  <c r="U415"/>
  <c r="AD415" s="1"/>
  <c r="U383"/>
  <c r="AD383" s="1"/>
  <c r="U362"/>
  <c r="AD362" s="1"/>
  <c r="U330"/>
  <c r="AD330" s="1"/>
  <c r="U298"/>
  <c r="AD298" s="1"/>
  <c r="U266"/>
  <c r="AD266" s="1"/>
  <c r="U224"/>
  <c r="AD224" s="1"/>
  <c r="U315"/>
  <c r="AD315" s="1"/>
  <c r="U283"/>
  <c r="AD283" s="1"/>
  <c r="U251"/>
  <c r="AD251" s="1"/>
  <c r="U233"/>
  <c r="AD233" s="1"/>
  <c r="U201"/>
  <c r="AD201" s="1"/>
  <c r="U169"/>
  <c r="AD169" s="1"/>
  <c r="U125"/>
  <c r="AD125" s="1"/>
  <c r="U192"/>
  <c r="AD192" s="1"/>
  <c r="U160"/>
  <c r="AD160" s="1"/>
  <c r="U146"/>
  <c r="AD146" s="1"/>
  <c r="U114"/>
  <c r="AD114" s="1"/>
  <c r="U82"/>
  <c r="AD82" s="1"/>
  <c r="U107"/>
  <c r="AD107" s="1"/>
  <c r="U75"/>
  <c r="AD75" s="1"/>
  <c r="U49"/>
  <c r="AD49" s="1"/>
  <c r="U17"/>
  <c r="AD17" s="1"/>
  <c r="U30"/>
  <c r="AD30" s="1"/>
  <c r="Z415"/>
  <c r="AI415" s="1"/>
  <c r="U379"/>
  <c r="AD379" s="1"/>
  <c r="U294"/>
  <c r="AD294" s="1"/>
  <c r="U311"/>
  <c r="AD311" s="1"/>
  <c r="U197"/>
  <c r="AD197" s="1"/>
  <c r="U156"/>
  <c r="AD156" s="1"/>
  <c r="U78"/>
  <c r="AD78" s="1"/>
  <c r="U13"/>
  <c r="AD13" s="1"/>
  <c r="U428"/>
  <c r="AD428" s="1"/>
  <c r="U420"/>
  <c r="AD420" s="1"/>
  <c r="U412"/>
  <c r="AD412" s="1"/>
  <c r="U404"/>
  <c r="AD404" s="1"/>
  <c r="U396"/>
  <c r="AD396" s="1"/>
  <c r="U388"/>
  <c r="AD388" s="1"/>
  <c r="U380"/>
  <c r="AD380" s="1"/>
  <c r="U370"/>
  <c r="AD370" s="1"/>
  <c r="U355"/>
  <c r="AD355" s="1"/>
  <c r="U427"/>
  <c r="AD427" s="1"/>
  <c r="U395"/>
  <c r="AD395" s="1"/>
  <c r="U363"/>
  <c r="AD363" s="1"/>
  <c r="U342"/>
  <c r="AD342" s="1"/>
  <c r="U310"/>
  <c r="AD310" s="1"/>
  <c r="U278"/>
  <c r="AD278" s="1"/>
  <c r="U246"/>
  <c r="AD246" s="1"/>
  <c r="U327"/>
  <c r="AD327" s="1"/>
  <c r="U295"/>
  <c r="AD295" s="1"/>
  <c r="U263"/>
  <c r="AD263" s="1"/>
  <c r="U218"/>
  <c r="AD218" s="1"/>
  <c r="U213"/>
  <c r="AD213" s="1"/>
  <c r="U181"/>
  <c r="AD181" s="1"/>
  <c r="U149"/>
  <c r="AD149" s="1"/>
  <c r="U204"/>
  <c r="AD204" s="1"/>
  <c r="U172"/>
  <c r="AD172" s="1"/>
  <c r="U131"/>
  <c r="AD131" s="1"/>
  <c r="U126"/>
  <c r="AD126" s="1"/>
  <c r="U94"/>
  <c r="AD94" s="1"/>
  <c r="U62"/>
  <c r="AD62" s="1"/>
  <c r="U87"/>
  <c r="AD87" s="1"/>
  <c r="U52"/>
  <c r="AD52" s="1"/>
  <c r="U29"/>
  <c r="AD29" s="1"/>
  <c r="U42"/>
  <c r="AD42" s="1"/>
  <c r="U10"/>
  <c r="AD10" s="1"/>
  <c r="X79"/>
  <c r="AG79" s="1"/>
  <c r="X104"/>
  <c r="AG104" s="1"/>
  <c r="X72"/>
  <c r="AG72" s="1"/>
  <c r="X46"/>
  <c r="AG46" s="1"/>
  <c r="X14"/>
  <c r="AG14" s="1"/>
  <c r="X27"/>
  <c r="AG27" s="1"/>
  <c r="Z320"/>
  <c r="AI320" s="1"/>
  <c r="Z333"/>
  <c r="AI333" s="1"/>
  <c r="Z375"/>
  <c r="AI375" s="1"/>
  <c r="Z312"/>
  <c r="AI312" s="1"/>
  <c r="Z325"/>
  <c r="AI325" s="1"/>
  <c r="Z367"/>
  <c r="AI367" s="1"/>
  <c r="U358"/>
  <c r="AD358" s="1"/>
  <c r="U343"/>
  <c r="AD343" s="1"/>
  <c r="U247"/>
  <c r="AD247" s="1"/>
  <c r="U117"/>
  <c r="AD117" s="1"/>
  <c r="U142"/>
  <c r="AD142" s="1"/>
  <c r="U71"/>
  <c r="AD71" s="1"/>
  <c r="U430"/>
  <c r="AD430" s="1"/>
  <c r="U422"/>
  <c r="AD422" s="1"/>
  <c r="U414"/>
  <c r="AD414" s="1"/>
  <c r="U406"/>
  <c r="AD406" s="1"/>
  <c r="U398"/>
  <c r="AD398" s="1"/>
  <c r="U390"/>
  <c r="AD390" s="1"/>
  <c r="U382"/>
  <c r="AD382" s="1"/>
  <c r="U374"/>
  <c r="AD374" s="1"/>
  <c r="U359"/>
  <c r="AD359" s="1"/>
  <c r="U3"/>
  <c r="AD3" s="1"/>
  <c r="U399"/>
  <c r="AD399" s="1"/>
  <c r="U367"/>
  <c r="AD367" s="1"/>
  <c r="U346"/>
  <c r="AD346" s="1"/>
  <c r="U314"/>
  <c r="AD314" s="1"/>
  <c r="U282"/>
  <c r="AD282" s="1"/>
  <c r="U250"/>
  <c r="AD250" s="1"/>
  <c r="U331"/>
  <c r="AD331" s="1"/>
  <c r="U299"/>
  <c r="AD299" s="1"/>
  <c r="U267"/>
  <c r="AD267" s="1"/>
  <c r="U226"/>
  <c r="AD226" s="1"/>
  <c r="U217"/>
  <c r="AD217" s="1"/>
  <c r="U185"/>
  <c r="AD185" s="1"/>
  <c r="U153"/>
  <c r="AD153" s="1"/>
  <c r="U208"/>
  <c r="AD208" s="1"/>
  <c r="U176"/>
  <c r="AD176" s="1"/>
  <c r="U139"/>
  <c r="AD139" s="1"/>
  <c r="U130"/>
  <c r="AD130" s="1"/>
  <c r="U98"/>
  <c r="AD98" s="1"/>
  <c r="U66"/>
  <c r="AD66" s="1"/>
  <c r="U91"/>
  <c r="AD91" s="1"/>
  <c r="U60"/>
  <c r="AD60" s="1"/>
  <c r="U33"/>
  <c r="AD33" s="1"/>
  <c r="U46"/>
  <c r="AD46" s="1"/>
  <c r="U14"/>
  <c r="AD14" s="1"/>
  <c r="X83"/>
  <c r="AG83" s="1"/>
  <c r="X108"/>
  <c r="AG108" s="1"/>
  <c r="X76"/>
  <c r="AG76" s="1"/>
  <c r="X50"/>
  <c r="AG50" s="1"/>
  <c r="X18"/>
  <c r="AG18" s="1"/>
  <c r="X31"/>
  <c r="AG31" s="1"/>
  <c r="Z304"/>
  <c r="AI304" s="1"/>
  <c r="Z317"/>
  <c r="AI317" s="1"/>
  <c r="Z354"/>
  <c r="AI354" s="1"/>
  <c r="Z296"/>
  <c r="AI296" s="1"/>
  <c r="Z309"/>
  <c r="AI309" s="1"/>
  <c r="Z7"/>
  <c r="AI7" s="1"/>
  <c r="Z260"/>
  <c r="AI260" s="1"/>
  <c r="Z276"/>
  <c r="AI276" s="1"/>
  <c r="Z292"/>
  <c r="AI292" s="1"/>
  <c r="Z308"/>
  <c r="AI308" s="1"/>
  <c r="Z324"/>
  <c r="AI324" s="1"/>
  <c r="Z340"/>
  <c r="AI340" s="1"/>
  <c r="Z239"/>
  <c r="AI239" s="1"/>
  <c r="Z257"/>
  <c r="AI257" s="1"/>
  <c r="Z273"/>
  <c r="AI273" s="1"/>
  <c r="Z289"/>
  <c r="AI289" s="1"/>
  <c r="Z305"/>
  <c r="AI305" s="1"/>
  <c r="Z321"/>
  <c r="AI321" s="1"/>
  <c r="Z337"/>
  <c r="AI337" s="1"/>
  <c r="Z353"/>
  <c r="AI353" s="1"/>
  <c r="Z360"/>
  <c r="AI360" s="1"/>
  <c r="Z376"/>
  <c r="AI376" s="1"/>
  <c r="Z392"/>
  <c r="AI392" s="1"/>
  <c r="Z408"/>
  <c r="AI408" s="1"/>
  <c r="Z424"/>
  <c r="AI424" s="1"/>
  <c r="Z363"/>
  <c r="AI363" s="1"/>
  <c r="Z379"/>
  <c r="AI379" s="1"/>
  <c r="Z395"/>
  <c r="AI395" s="1"/>
  <c r="Z411"/>
  <c r="AI411" s="1"/>
  <c r="Z427"/>
  <c r="AI427" s="1"/>
  <c r="U372"/>
  <c r="AD372" s="1"/>
  <c r="U364"/>
  <c r="AD364" s="1"/>
  <c r="U347"/>
  <c r="AD347" s="1"/>
  <c r="U423"/>
  <c r="AD423" s="1"/>
  <c r="U407"/>
  <c r="AD407" s="1"/>
  <c r="U391"/>
  <c r="AD391" s="1"/>
  <c r="U375"/>
  <c r="AD375" s="1"/>
  <c r="U357"/>
  <c r="AD357" s="1"/>
  <c r="U354"/>
  <c r="AD354" s="1"/>
  <c r="U338"/>
  <c r="AD338" s="1"/>
  <c r="U322"/>
  <c r="AD322" s="1"/>
  <c r="U306"/>
  <c r="AD306" s="1"/>
  <c r="U290"/>
  <c r="AD290" s="1"/>
  <c r="U274"/>
  <c r="AD274" s="1"/>
  <c r="U258"/>
  <c r="AD258" s="1"/>
  <c r="U240"/>
  <c r="AD240" s="1"/>
  <c r="U339"/>
  <c r="AD339" s="1"/>
  <c r="U323"/>
  <c r="AD323" s="1"/>
  <c r="U307"/>
  <c r="AD307" s="1"/>
  <c r="U291"/>
  <c r="AD291" s="1"/>
  <c r="U275"/>
  <c r="AD275" s="1"/>
  <c r="U259"/>
  <c r="AD259" s="1"/>
  <c r="U242"/>
  <c r="AD242" s="1"/>
  <c r="U241"/>
  <c r="AD241" s="1"/>
  <c r="U225"/>
  <c r="AD225" s="1"/>
  <c r="U209"/>
  <c r="AD209" s="1"/>
  <c r="U193"/>
  <c r="AD193" s="1"/>
  <c r="U177"/>
  <c r="AD177" s="1"/>
  <c r="U161"/>
  <c r="AD161" s="1"/>
  <c r="U141"/>
  <c r="AD141" s="1"/>
  <c r="U216"/>
  <c r="AD216" s="1"/>
  <c r="U200"/>
  <c r="AD200" s="1"/>
  <c r="U184"/>
  <c r="AD184" s="1"/>
  <c r="U168"/>
  <c r="AD168" s="1"/>
  <c r="U152"/>
  <c r="AD152" s="1"/>
  <c r="U123"/>
  <c r="AD123" s="1"/>
  <c r="U138"/>
  <c r="AD138" s="1"/>
  <c r="U122"/>
  <c r="AD122" s="1"/>
  <c r="U106"/>
  <c r="AD106" s="1"/>
  <c r="U90"/>
  <c r="AD90" s="1"/>
  <c r="U74"/>
  <c r="AD74" s="1"/>
  <c r="U54"/>
  <c r="AD54" s="1"/>
  <c r="U99"/>
  <c r="AD99" s="1"/>
  <c r="U83"/>
  <c r="AD83" s="1"/>
  <c r="U67"/>
  <c r="AD67" s="1"/>
  <c r="U57"/>
  <c r="AD57" s="1"/>
  <c r="U41"/>
  <c r="AD41" s="1"/>
  <c r="U25"/>
  <c r="AD25" s="1"/>
  <c r="U9"/>
  <c r="AD9" s="1"/>
  <c r="U38"/>
  <c r="AD38" s="1"/>
  <c r="U22"/>
  <c r="AD22" s="1"/>
  <c r="U6"/>
  <c r="AD6" s="1"/>
  <c r="X415"/>
  <c r="AG415" s="1"/>
  <c r="X399"/>
  <c r="AG399" s="1"/>
  <c r="X383"/>
  <c r="AG383" s="1"/>
  <c r="X367"/>
  <c r="AG367" s="1"/>
  <c r="X430"/>
  <c r="AG430" s="1"/>
  <c r="X414"/>
  <c r="AG414" s="1"/>
  <c r="X398"/>
  <c r="AG398" s="1"/>
  <c r="X382"/>
  <c r="AG382" s="1"/>
  <c r="X366"/>
  <c r="AG366" s="1"/>
  <c r="X359"/>
  <c r="AG359" s="1"/>
  <c r="X343"/>
  <c r="AG343" s="1"/>
  <c r="X327"/>
  <c r="AG327" s="1"/>
  <c r="X311"/>
  <c r="AG311" s="1"/>
  <c r="X295"/>
  <c r="AG295" s="1"/>
  <c r="X279"/>
  <c r="AG279" s="1"/>
  <c r="X263"/>
  <c r="AG263" s="1"/>
  <c r="X247"/>
  <c r="AG247" s="1"/>
  <c r="X217"/>
  <c r="AG217" s="1"/>
  <c r="X330"/>
  <c r="AG330" s="1"/>
  <c r="X314"/>
  <c r="AG314" s="1"/>
  <c r="X298"/>
  <c r="AG298" s="1"/>
  <c r="X282"/>
  <c r="AG282" s="1"/>
  <c r="X266"/>
  <c r="AG266" s="1"/>
  <c r="X250"/>
  <c r="AG250" s="1"/>
  <c r="X223"/>
  <c r="AG223" s="1"/>
  <c r="X232"/>
  <c r="AG232" s="1"/>
  <c r="X216"/>
  <c r="AG216" s="1"/>
  <c r="X200"/>
  <c r="AG200" s="1"/>
  <c r="X184"/>
  <c r="AG184" s="1"/>
  <c r="X168"/>
  <c r="AG168" s="1"/>
  <c r="X152"/>
  <c r="AG152" s="1"/>
  <c r="X122"/>
  <c r="AG122" s="1"/>
  <c r="X205"/>
  <c r="AG205" s="1"/>
  <c r="X189"/>
  <c r="AG189" s="1"/>
  <c r="X173"/>
  <c r="AG173" s="1"/>
  <c r="X157"/>
  <c r="AG157" s="1"/>
  <c r="X132"/>
  <c r="AG132" s="1"/>
  <c r="X145"/>
  <c r="AG145" s="1"/>
  <c r="X129"/>
  <c r="AG129" s="1"/>
  <c r="X113"/>
  <c r="AG113" s="1"/>
  <c r="X97"/>
  <c r="AG97" s="1"/>
  <c r="X81"/>
  <c r="AG81" s="1"/>
  <c r="X65"/>
  <c r="AG65" s="1"/>
  <c r="X106"/>
  <c r="AG106" s="1"/>
  <c r="X90"/>
  <c r="AG90" s="1"/>
  <c r="X74"/>
  <c r="AG74" s="1"/>
  <c r="X53"/>
  <c r="AG53" s="1"/>
  <c r="X48"/>
  <c r="AG48" s="1"/>
  <c r="X32"/>
  <c r="AG32" s="1"/>
  <c r="X16"/>
  <c r="AG16" s="1"/>
  <c r="X45"/>
  <c r="AG45" s="1"/>
  <c r="X29"/>
  <c r="AG29" s="1"/>
  <c r="X13"/>
  <c r="AG13" s="1"/>
  <c r="X425"/>
  <c r="AG425" s="1"/>
  <c r="X409"/>
  <c r="AG409" s="1"/>
  <c r="X393"/>
  <c r="AG393" s="1"/>
  <c r="X377"/>
  <c r="AG377" s="1"/>
  <c r="X360"/>
  <c r="AG360" s="1"/>
  <c r="X424"/>
  <c r="AG424" s="1"/>
  <c r="X408"/>
  <c r="AG408" s="1"/>
  <c r="X392"/>
  <c r="AG392" s="1"/>
  <c r="X376"/>
  <c r="AG376" s="1"/>
  <c r="X358"/>
  <c r="AG358" s="1"/>
  <c r="X353"/>
  <c r="AG353" s="1"/>
  <c r="X337"/>
  <c r="AG337" s="1"/>
  <c r="X321"/>
  <c r="AG321" s="1"/>
  <c r="X305"/>
  <c r="AG305" s="1"/>
  <c r="X289"/>
  <c r="AG289" s="1"/>
  <c r="X273"/>
  <c r="AG273" s="1"/>
  <c r="X257"/>
  <c r="AG257" s="1"/>
  <c r="X237"/>
  <c r="AG237" s="1"/>
  <c r="X340"/>
  <c r="AG340" s="1"/>
  <c r="X324"/>
  <c r="AG324" s="1"/>
  <c r="X308"/>
  <c r="AG308" s="1"/>
  <c r="X292"/>
  <c r="AG292" s="1"/>
  <c r="X276"/>
  <c r="AG276" s="1"/>
  <c r="X260"/>
  <c r="AG260" s="1"/>
  <c r="X243"/>
  <c r="AG243" s="1"/>
  <c r="X242"/>
  <c r="AG242" s="1"/>
  <c r="X226"/>
  <c r="AG226" s="1"/>
  <c r="X210"/>
  <c r="AG210" s="1"/>
  <c r="X194"/>
  <c r="AG194" s="1"/>
  <c r="X178"/>
  <c r="AG178" s="1"/>
  <c r="X162"/>
  <c r="AG162" s="1"/>
  <c r="X142"/>
  <c r="AG142" s="1"/>
  <c r="X215"/>
  <c r="AG215" s="1"/>
  <c r="X199"/>
  <c r="AG199" s="1"/>
  <c r="X183"/>
  <c r="AG183" s="1"/>
  <c r="X167"/>
  <c r="AG167" s="1"/>
  <c r="X151"/>
  <c r="AG151" s="1"/>
  <c r="X120"/>
  <c r="AG120" s="1"/>
  <c r="X139"/>
  <c r="AG139" s="1"/>
  <c r="X123"/>
  <c r="AG123" s="1"/>
  <c r="X107"/>
  <c r="AG107" s="1"/>
  <c r="X91"/>
  <c r="AG91" s="1"/>
  <c r="X75"/>
  <c r="AG75" s="1"/>
  <c r="X59"/>
  <c r="AG59" s="1"/>
  <c r="X100"/>
  <c r="AG100" s="1"/>
  <c r="X84"/>
  <c r="AG84" s="1"/>
  <c r="X68"/>
  <c r="AG68" s="1"/>
  <c r="X58"/>
  <c r="AG58" s="1"/>
  <c r="X42"/>
  <c r="AG42" s="1"/>
  <c r="X26"/>
  <c r="AG26" s="1"/>
  <c r="X10"/>
  <c r="AG10" s="1"/>
  <c r="X39"/>
  <c r="AG39" s="1"/>
  <c r="X23"/>
  <c r="AG23" s="1"/>
  <c r="X7"/>
  <c r="AG7" s="1"/>
  <c r="Z272"/>
  <c r="AI272" s="1"/>
  <c r="Z336"/>
  <c r="AI336" s="1"/>
  <c r="Z285"/>
  <c r="AI285" s="1"/>
  <c r="Z349"/>
  <c r="AI349" s="1"/>
  <c r="Z404"/>
  <c r="AI404" s="1"/>
  <c r="Z391"/>
  <c r="AI391" s="1"/>
  <c r="Z264"/>
  <c r="AI264" s="1"/>
  <c r="Z328"/>
  <c r="AI328" s="1"/>
  <c r="Z277"/>
  <c r="AI277" s="1"/>
  <c r="Z341"/>
  <c r="AI341" s="1"/>
  <c r="Z396"/>
  <c r="AI396" s="1"/>
  <c r="Z383"/>
  <c r="AI383" s="1"/>
  <c r="Z252"/>
  <c r="AI252" s="1"/>
  <c r="U419"/>
  <c r="AD419" s="1"/>
  <c r="U403"/>
  <c r="AD403" s="1"/>
  <c r="U387"/>
  <c r="AD387" s="1"/>
  <c r="U371"/>
  <c r="AD371" s="1"/>
  <c r="U349"/>
  <c r="AD349" s="1"/>
  <c r="U350"/>
  <c r="AD350" s="1"/>
  <c r="U334"/>
  <c r="AD334" s="1"/>
  <c r="U318"/>
  <c r="AD318" s="1"/>
  <c r="U302"/>
  <c r="AD302" s="1"/>
  <c r="U286"/>
  <c r="AD286" s="1"/>
  <c r="U270"/>
  <c r="AD270" s="1"/>
  <c r="U254"/>
  <c r="AD254" s="1"/>
  <c r="U232"/>
  <c r="AD232" s="1"/>
  <c r="U335"/>
  <c r="AD335" s="1"/>
  <c r="U319"/>
  <c r="AD319" s="1"/>
  <c r="U303"/>
  <c r="AD303" s="1"/>
  <c r="U287"/>
  <c r="AD287" s="1"/>
  <c r="U271"/>
  <c r="AD271" s="1"/>
  <c r="U255"/>
  <c r="AD255" s="1"/>
  <c r="U234"/>
  <c r="AD234" s="1"/>
  <c r="U237"/>
  <c r="AD237" s="1"/>
  <c r="U221"/>
  <c r="AD221" s="1"/>
  <c r="U205"/>
  <c r="AD205" s="1"/>
  <c r="U189"/>
  <c r="AD189" s="1"/>
  <c r="U173"/>
  <c r="AD173" s="1"/>
  <c r="U157"/>
  <c r="AD157" s="1"/>
  <c r="U133"/>
  <c r="AD133" s="1"/>
  <c r="U212"/>
  <c r="AD212" s="1"/>
  <c r="U196"/>
  <c r="AD196" s="1"/>
  <c r="U180"/>
  <c r="AD180" s="1"/>
  <c r="U164"/>
  <c r="AD164" s="1"/>
  <c r="U147"/>
  <c r="AD147" s="1"/>
  <c r="U115"/>
  <c r="AD115" s="1"/>
  <c r="U134"/>
  <c r="AD134" s="1"/>
  <c r="U118"/>
  <c r="AD118" s="1"/>
  <c r="U102"/>
  <c r="AD102" s="1"/>
  <c r="U86"/>
  <c r="AD86" s="1"/>
  <c r="U70"/>
  <c r="AD70" s="1"/>
  <c r="U111"/>
  <c r="AD111" s="1"/>
  <c r="U95"/>
  <c r="AD95" s="1"/>
  <c r="U79"/>
  <c r="AD79" s="1"/>
  <c r="U63"/>
  <c r="AD63" s="1"/>
  <c r="U53"/>
  <c r="AD53" s="1"/>
  <c r="U37"/>
  <c r="AD37" s="1"/>
  <c r="U21"/>
  <c r="AD21" s="1"/>
  <c r="U5"/>
  <c r="AD5" s="1"/>
  <c r="U34"/>
  <c r="AD34" s="1"/>
  <c r="U18"/>
  <c r="AD18" s="1"/>
  <c r="X427"/>
  <c r="AG427" s="1"/>
  <c r="X411"/>
  <c r="AG411" s="1"/>
  <c r="X395"/>
  <c r="AG395" s="1"/>
  <c r="X379"/>
  <c r="AG379" s="1"/>
  <c r="X363"/>
  <c r="AG363" s="1"/>
  <c r="X426"/>
  <c r="AG426" s="1"/>
  <c r="X410"/>
  <c r="AG410" s="1"/>
  <c r="X394"/>
  <c r="AG394" s="1"/>
  <c r="X378"/>
  <c r="AG378" s="1"/>
  <c r="X362"/>
  <c r="AG362" s="1"/>
  <c r="X355"/>
  <c r="AG355" s="1"/>
  <c r="X339"/>
  <c r="AG339" s="1"/>
  <c r="X323"/>
  <c r="AG323" s="1"/>
  <c r="X307"/>
  <c r="AG307" s="1"/>
  <c r="X291"/>
  <c r="AG291" s="1"/>
  <c r="X275"/>
  <c r="AG275" s="1"/>
  <c r="X259"/>
  <c r="AG259" s="1"/>
  <c r="X241"/>
  <c r="AG241" s="1"/>
  <c r="X342"/>
  <c r="AG342" s="1"/>
  <c r="X326"/>
  <c r="AG326" s="1"/>
  <c r="X310"/>
  <c r="AG310" s="1"/>
  <c r="X294"/>
  <c r="AG294" s="1"/>
  <c r="X278"/>
  <c r="AG278" s="1"/>
  <c r="X262"/>
  <c r="AG262" s="1"/>
  <c r="X246"/>
  <c r="AG246" s="1"/>
  <c r="X244"/>
  <c r="AG244" s="1"/>
  <c r="X228"/>
  <c r="AG228" s="1"/>
  <c r="X212"/>
  <c r="AG212" s="1"/>
  <c r="X196"/>
  <c r="AG196" s="1"/>
  <c r="X180"/>
  <c r="AG180" s="1"/>
  <c r="X164"/>
  <c r="AG164" s="1"/>
  <c r="X146"/>
  <c r="AG146" s="1"/>
  <c r="X114"/>
  <c r="AG114" s="1"/>
  <c r="X201"/>
  <c r="AG201" s="1"/>
  <c r="X185"/>
  <c r="AG185" s="1"/>
  <c r="X169"/>
  <c r="AG169" s="1"/>
  <c r="X153"/>
  <c r="AG153" s="1"/>
  <c r="X124"/>
  <c r="AG124" s="1"/>
  <c r="X141"/>
  <c r="AG141" s="1"/>
  <c r="X125"/>
  <c r="AG125" s="1"/>
  <c r="X109"/>
  <c r="AG109" s="1"/>
  <c r="X93"/>
  <c r="AG93" s="1"/>
  <c r="X77"/>
  <c r="AG77" s="1"/>
  <c r="X61"/>
  <c r="AG61" s="1"/>
  <c r="X102"/>
  <c r="AG102" s="1"/>
  <c r="X86"/>
  <c r="AG86" s="1"/>
  <c r="X70"/>
  <c r="AG70" s="1"/>
  <c r="X60"/>
  <c r="AG60" s="1"/>
  <c r="X44"/>
  <c r="AG44" s="1"/>
  <c r="X28"/>
  <c r="AG28" s="1"/>
  <c r="X12"/>
  <c r="AG12" s="1"/>
  <c r="X41"/>
  <c r="AG41" s="1"/>
  <c r="X25"/>
  <c r="AG25" s="1"/>
  <c r="X9"/>
  <c r="AG9" s="1"/>
  <c r="X421"/>
  <c r="AG421" s="1"/>
  <c r="X405"/>
  <c r="AG405" s="1"/>
  <c r="X389"/>
  <c r="AG389" s="1"/>
  <c r="X373"/>
  <c r="AG373" s="1"/>
  <c r="X352"/>
  <c r="AG352" s="1"/>
  <c r="X420"/>
  <c r="AG420" s="1"/>
  <c r="X404"/>
  <c r="AG404" s="1"/>
  <c r="X388"/>
  <c r="AG388" s="1"/>
  <c r="X372"/>
  <c r="AG372" s="1"/>
  <c r="X350"/>
  <c r="AG350" s="1"/>
  <c r="X349"/>
  <c r="AG349" s="1"/>
  <c r="X333"/>
  <c r="AG333" s="1"/>
  <c r="X317"/>
  <c r="AG317" s="1"/>
  <c r="X301"/>
  <c r="AG301" s="1"/>
  <c r="X285"/>
  <c r="AG285" s="1"/>
  <c r="X269"/>
  <c r="AG269" s="1"/>
  <c r="X253"/>
  <c r="AG253" s="1"/>
  <c r="X229"/>
  <c r="AG229" s="1"/>
  <c r="X336"/>
  <c r="AG336" s="1"/>
  <c r="X320"/>
  <c r="AG320" s="1"/>
  <c r="X304"/>
  <c r="AG304" s="1"/>
  <c r="X288"/>
  <c r="AG288" s="1"/>
  <c r="X272"/>
  <c r="AG272" s="1"/>
  <c r="X256"/>
  <c r="AG256" s="1"/>
  <c r="X235"/>
  <c r="AG235" s="1"/>
  <c r="X238"/>
  <c r="AG238" s="1"/>
  <c r="X222"/>
  <c r="AG222" s="1"/>
  <c r="X206"/>
  <c r="AG206" s="1"/>
  <c r="X190"/>
  <c r="AG190" s="1"/>
  <c r="X174"/>
  <c r="AG174" s="1"/>
  <c r="X158"/>
  <c r="AG158" s="1"/>
  <c r="X134"/>
  <c r="AG134" s="1"/>
  <c r="X211"/>
  <c r="AG211" s="1"/>
  <c r="X195"/>
  <c r="AG195" s="1"/>
  <c r="X179"/>
  <c r="AG179" s="1"/>
  <c r="X163"/>
  <c r="AG163" s="1"/>
  <c r="X144"/>
  <c r="AG144" s="1"/>
  <c r="X112"/>
  <c r="AG112" s="1"/>
  <c r="X135"/>
  <c r="AG135" s="1"/>
  <c r="X119"/>
  <c r="AG119" s="1"/>
  <c r="X103"/>
  <c r="AG103" s="1"/>
  <c r="X87"/>
  <c r="AG87" s="1"/>
  <c r="X71"/>
  <c r="AG71" s="1"/>
  <c r="X51"/>
  <c r="AG51" s="1"/>
  <c r="X96"/>
  <c r="AG96" s="1"/>
  <c r="X80"/>
  <c r="AG80" s="1"/>
  <c r="X64"/>
  <c r="AG64" s="1"/>
  <c r="X54"/>
  <c r="AG54" s="1"/>
  <c r="X38"/>
  <c r="AG38" s="1"/>
  <c r="X22"/>
  <c r="AG22" s="1"/>
  <c r="X6"/>
  <c r="AG6" s="1"/>
  <c r="X35"/>
  <c r="AG35" s="1"/>
  <c r="Z345"/>
  <c r="AI345" s="1"/>
  <c r="Z400"/>
  <c r="AI400" s="1"/>
  <c r="Z387"/>
  <c r="AI387" s="1"/>
  <c r="Z288"/>
  <c r="AI288" s="1"/>
  <c r="Z231"/>
  <c r="AI231" s="1"/>
  <c r="Z301"/>
  <c r="AI301" s="1"/>
  <c r="Z352"/>
  <c r="AI352" s="1"/>
  <c r="Z420"/>
  <c r="AI420" s="1"/>
  <c r="Z407"/>
  <c r="AI407" s="1"/>
  <c r="Z280"/>
  <c r="AI280" s="1"/>
  <c r="Z344"/>
  <c r="AI344" s="1"/>
  <c r="Z293"/>
  <c r="AI293" s="1"/>
  <c r="Z357"/>
  <c r="AI357" s="1"/>
  <c r="Z412"/>
  <c r="AI412" s="1"/>
  <c r="Z399"/>
  <c r="AI399" s="1"/>
  <c r="U429"/>
  <c r="AD429" s="1"/>
  <c r="U425"/>
  <c r="AD425" s="1"/>
  <c r="U421"/>
  <c r="AD421" s="1"/>
  <c r="U417"/>
  <c r="AD417" s="1"/>
  <c r="U413"/>
  <c r="AD413" s="1"/>
  <c r="U409"/>
  <c r="AD409" s="1"/>
  <c r="U405"/>
  <c r="AD405" s="1"/>
  <c r="U401"/>
  <c r="AD401" s="1"/>
  <c r="U397"/>
  <c r="AD397" s="1"/>
  <c r="U393"/>
  <c r="AD393" s="1"/>
  <c r="U389"/>
  <c r="AD389" s="1"/>
  <c r="U385"/>
  <c r="AD385" s="1"/>
  <c r="U381"/>
  <c r="AD381" s="1"/>
  <c r="U377"/>
  <c r="AD377" s="1"/>
  <c r="U373"/>
  <c r="AD373" s="1"/>
  <c r="U369"/>
  <c r="AD369" s="1"/>
  <c r="U365"/>
  <c r="AD365" s="1"/>
  <c r="U361"/>
  <c r="AD361" s="1"/>
  <c r="U353"/>
  <c r="AD353" s="1"/>
  <c r="U345"/>
  <c r="AD345" s="1"/>
  <c r="U360"/>
  <c r="AD360" s="1"/>
  <c r="U356"/>
  <c r="AD356" s="1"/>
  <c r="U352"/>
  <c r="AD352" s="1"/>
  <c r="U348"/>
  <c r="AD348" s="1"/>
  <c r="U344"/>
  <c r="AD344" s="1"/>
  <c r="U340"/>
  <c r="AD340" s="1"/>
  <c r="U336"/>
  <c r="AD336" s="1"/>
  <c r="U332"/>
  <c r="AD332" s="1"/>
  <c r="U328"/>
  <c r="AD328" s="1"/>
  <c r="U324"/>
  <c r="AD324" s="1"/>
  <c r="U320"/>
  <c r="AD320" s="1"/>
  <c r="U316"/>
  <c r="AD316" s="1"/>
  <c r="U312"/>
  <c r="AD312" s="1"/>
  <c r="U308"/>
  <c r="AD308" s="1"/>
  <c r="U304"/>
  <c r="AD304" s="1"/>
  <c r="U300"/>
  <c r="AD300" s="1"/>
  <c r="U296"/>
  <c r="AD296" s="1"/>
  <c r="U292"/>
  <c r="AD292" s="1"/>
  <c r="U288"/>
  <c r="AD288" s="1"/>
  <c r="U284"/>
  <c r="AD284" s="1"/>
  <c r="U280"/>
  <c r="AD280" s="1"/>
  <c r="U276"/>
  <c r="AD276" s="1"/>
  <c r="U272"/>
  <c r="AD272" s="1"/>
  <c r="U268"/>
  <c r="AD268" s="1"/>
  <c r="U264"/>
  <c r="AD264" s="1"/>
  <c r="U260"/>
  <c r="AD260" s="1"/>
  <c r="U256"/>
  <c r="AD256" s="1"/>
  <c r="U252"/>
  <c r="AD252" s="1"/>
  <c r="U248"/>
  <c r="AD248" s="1"/>
  <c r="U244"/>
  <c r="AD244" s="1"/>
  <c r="U236"/>
  <c r="AD236" s="1"/>
  <c r="U228"/>
  <c r="AD228" s="1"/>
  <c r="U220"/>
  <c r="AD220" s="1"/>
  <c r="U341"/>
  <c r="AD341" s="1"/>
  <c r="U337"/>
  <c r="AD337" s="1"/>
  <c r="U333"/>
  <c r="AD333" s="1"/>
  <c r="U329"/>
  <c r="AD329" s="1"/>
  <c r="U325"/>
  <c r="AD325" s="1"/>
  <c r="U321"/>
  <c r="AD321" s="1"/>
  <c r="U317"/>
  <c r="AD317" s="1"/>
  <c r="U313"/>
  <c r="AD313" s="1"/>
  <c r="U309"/>
  <c r="AD309" s="1"/>
  <c r="U305"/>
  <c r="AD305" s="1"/>
  <c r="U301"/>
  <c r="AD301" s="1"/>
  <c r="U297"/>
  <c r="AD297" s="1"/>
  <c r="U293"/>
  <c r="AD293" s="1"/>
  <c r="U289"/>
  <c r="AD289" s="1"/>
  <c r="U285"/>
  <c r="AD285" s="1"/>
  <c r="U281"/>
  <c r="AD281" s="1"/>
  <c r="U277"/>
  <c r="AD277" s="1"/>
  <c r="U273"/>
  <c r="AD273" s="1"/>
  <c r="U269"/>
  <c r="AD269" s="1"/>
  <c r="U265"/>
  <c r="AD265" s="1"/>
  <c r="U261"/>
  <c r="AD261" s="1"/>
  <c r="U257"/>
  <c r="AD257" s="1"/>
  <c r="U253"/>
  <c r="AD253" s="1"/>
  <c r="U249"/>
  <c r="AD249" s="1"/>
  <c r="U245"/>
  <c r="AD245" s="1"/>
  <c r="U238"/>
  <c r="AD238" s="1"/>
  <c r="U230"/>
  <c r="AD230" s="1"/>
  <c r="U222"/>
  <c r="AD222" s="1"/>
  <c r="U243"/>
  <c r="AD243" s="1"/>
  <c r="U239"/>
  <c r="AD239" s="1"/>
  <c r="U235"/>
  <c r="AD235" s="1"/>
  <c r="U231"/>
  <c r="AD231" s="1"/>
  <c r="U227"/>
  <c r="AD227" s="1"/>
  <c r="U223"/>
  <c r="AD223" s="1"/>
  <c r="U219"/>
  <c r="AD219" s="1"/>
  <c r="U215"/>
  <c r="AD215" s="1"/>
  <c r="U211"/>
  <c r="AD211" s="1"/>
  <c r="U207"/>
  <c r="AD207" s="1"/>
  <c r="U203"/>
  <c r="AD203" s="1"/>
  <c r="U199"/>
  <c r="AD199" s="1"/>
  <c r="U195"/>
  <c r="AD195" s="1"/>
  <c r="U191"/>
  <c r="AD191" s="1"/>
  <c r="U187"/>
  <c r="AD187" s="1"/>
  <c r="U183"/>
  <c r="AD183" s="1"/>
  <c r="U179"/>
  <c r="AD179" s="1"/>
  <c r="U175"/>
  <c r="AD175" s="1"/>
  <c r="U171"/>
  <c r="AD171" s="1"/>
  <c r="U167"/>
  <c r="AD167" s="1"/>
  <c r="U163"/>
  <c r="AD163" s="1"/>
  <c r="U159"/>
  <c r="AD159" s="1"/>
  <c r="U155"/>
  <c r="AD155" s="1"/>
  <c r="U151"/>
  <c r="AD151" s="1"/>
  <c r="U145"/>
  <c r="AD145" s="1"/>
  <c r="U137"/>
  <c r="AD137" s="1"/>
  <c r="U129"/>
  <c r="AD129" s="1"/>
  <c r="U121"/>
  <c r="AD121" s="1"/>
  <c r="U113"/>
  <c r="AD113" s="1"/>
  <c r="U214"/>
  <c r="AD214" s="1"/>
  <c r="U210"/>
  <c r="AD210" s="1"/>
  <c r="U206"/>
  <c r="AD206" s="1"/>
  <c r="U202"/>
  <c r="AD202" s="1"/>
  <c r="U198"/>
  <c r="AD198" s="1"/>
  <c r="U194"/>
  <c r="AD194" s="1"/>
  <c r="U190"/>
  <c r="AD190" s="1"/>
  <c r="U186"/>
  <c r="AD186" s="1"/>
  <c r="U182"/>
  <c r="AD182" s="1"/>
  <c r="U178"/>
  <c r="AD178" s="1"/>
  <c r="U174"/>
  <c r="AD174" s="1"/>
  <c r="U170"/>
  <c r="AD170" s="1"/>
  <c r="U166"/>
  <c r="AD166" s="1"/>
  <c r="U162"/>
  <c r="AD162" s="1"/>
  <c r="U158"/>
  <c r="AD158" s="1"/>
  <c r="U154"/>
  <c r="AD154" s="1"/>
  <c r="U150"/>
  <c r="AD150" s="1"/>
  <c r="U143"/>
  <c r="AD143" s="1"/>
  <c r="U135"/>
  <c r="AD135" s="1"/>
  <c r="U127"/>
  <c r="AD127" s="1"/>
  <c r="U119"/>
  <c r="AD119" s="1"/>
  <c r="U148"/>
  <c r="AD148" s="1"/>
  <c r="U144"/>
  <c r="AD144" s="1"/>
  <c r="U140"/>
  <c r="AD140" s="1"/>
  <c r="U136"/>
  <c r="AD136" s="1"/>
  <c r="U132"/>
  <c r="AD132" s="1"/>
  <c r="U128"/>
  <c r="AD128" s="1"/>
  <c r="U124"/>
  <c r="AD124" s="1"/>
  <c r="U120"/>
  <c r="AD120" s="1"/>
  <c r="U116"/>
  <c r="AD116" s="1"/>
  <c r="U112"/>
  <c r="AD112" s="1"/>
  <c r="U108"/>
  <c r="AD108" s="1"/>
  <c r="U104"/>
  <c r="AD104" s="1"/>
  <c r="U100"/>
  <c r="AD100" s="1"/>
  <c r="U96"/>
  <c r="AD96" s="1"/>
  <c r="U92"/>
  <c r="AD92" s="1"/>
  <c r="U88"/>
  <c r="AD88" s="1"/>
  <c r="U84"/>
  <c r="AD84" s="1"/>
  <c r="U80"/>
  <c r="AD80" s="1"/>
  <c r="U76"/>
  <c r="AD76" s="1"/>
  <c r="U72"/>
  <c r="AD72" s="1"/>
  <c r="U68"/>
  <c r="AD68" s="1"/>
  <c r="U64"/>
  <c r="AD64" s="1"/>
  <c r="U58"/>
  <c r="AD58" s="1"/>
  <c r="U50"/>
  <c r="AD50" s="1"/>
  <c r="U109"/>
  <c r="AD109" s="1"/>
  <c r="U105"/>
  <c r="AD105" s="1"/>
  <c r="U101"/>
  <c r="AD101" s="1"/>
  <c r="U97"/>
  <c r="AD97" s="1"/>
  <c r="U93"/>
  <c r="AD93" s="1"/>
  <c r="U89"/>
  <c r="AD89" s="1"/>
  <c r="U85"/>
  <c r="AD85" s="1"/>
  <c r="U81"/>
  <c r="AD81" s="1"/>
  <c r="U77"/>
  <c r="AD77" s="1"/>
  <c r="U73"/>
  <c r="AD73" s="1"/>
  <c r="U69"/>
  <c r="AD69" s="1"/>
  <c r="U65"/>
  <c r="AD65" s="1"/>
  <c r="U61"/>
  <c r="AD61" s="1"/>
  <c r="U56"/>
  <c r="AD56" s="1"/>
  <c r="U59"/>
  <c r="AD59" s="1"/>
  <c r="U55"/>
  <c r="AD55" s="1"/>
  <c r="U51"/>
  <c r="AD51" s="1"/>
  <c r="U47"/>
  <c r="AD47" s="1"/>
  <c r="U43"/>
  <c r="AD43" s="1"/>
  <c r="U39"/>
  <c r="AD39" s="1"/>
  <c r="U35"/>
  <c r="AD35" s="1"/>
  <c r="U31"/>
  <c r="AD31" s="1"/>
  <c r="U27"/>
  <c r="AD27" s="1"/>
  <c r="U23"/>
  <c r="AD23" s="1"/>
  <c r="U19"/>
  <c r="AD19" s="1"/>
  <c r="U15"/>
  <c r="AD15" s="1"/>
  <c r="U11"/>
  <c r="AD11" s="1"/>
  <c r="U7"/>
  <c r="AD7" s="1"/>
  <c r="U48"/>
  <c r="AD48" s="1"/>
  <c r="U44"/>
  <c r="AD44" s="1"/>
  <c r="U40"/>
  <c r="AD40" s="1"/>
  <c r="U36"/>
  <c r="AD36" s="1"/>
  <c r="U32"/>
  <c r="AD32" s="1"/>
  <c r="U28"/>
  <c r="AD28" s="1"/>
  <c r="U24"/>
  <c r="AD24" s="1"/>
  <c r="U20"/>
  <c r="AD20" s="1"/>
  <c r="U16"/>
  <c r="AD16" s="1"/>
  <c r="U12"/>
  <c r="AD12" s="1"/>
  <c r="U8"/>
  <c r="AD8" s="1"/>
  <c r="AL8" l="1"/>
  <c r="AL358"/>
  <c r="AL279"/>
  <c r="AL229"/>
  <c r="AL142"/>
  <c r="AL78"/>
  <c r="AL424"/>
  <c r="AL357"/>
  <c r="AL252"/>
  <c r="AL301"/>
  <c r="AL208"/>
  <c r="AL141"/>
  <c r="AL35"/>
  <c r="AL16"/>
  <c r="AL330"/>
  <c r="AL266"/>
  <c r="AL201"/>
  <c r="AL123"/>
  <c r="AL107"/>
  <c r="AL49"/>
  <c r="AL407"/>
  <c r="AL352"/>
  <c r="AL273"/>
  <c r="AL223"/>
  <c r="AL159"/>
  <c r="AL136"/>
  <c r="AL65"/>
  <c r="AL7"/>
  <c r="AL89"/>
  <c r="AL9"/>
  <c r="AL182"/>
  <c r="AL339"/>
  <c r="AL394"/>
  <c r="AL258"/>
  <c r="AL255"/>
  <c r="AL131"/>
  <c r="AL400"/>
  <c r="AL227"/>
  <c r="AL76"/>
  <c r="AL425"/>
  <c r="AL306"/>
  <c r="AL121"/>
  <c r="AL83"/>
  <c r="AL6"/>
  <c r="AL249"/>
  <c r="AL119"/>
  <c r="AL112"/>
  <c r="AL47"/>
  <c r="AL85"/>
  <c r="AL179"/>
  <c r="AL308"/>
  <c r="AL178"/>
  <c r="AL390"/>
  <c r="AL265"/>
  <c r="AL99"/>
  <c r="AL322"/>
  <c r="AL168"/>
  <c r="AL236"/>
  <c r="AL60"/>
  <c r="AL210"/>
  <c r="AL18"/>
  <c r="AL124"/>
  <c r="AL353"/>
  <c r="AL261"/>
  <c r="AL414"/>
  <c r="AL429"/>
  <c r="AL365"/>
  <c r="AL310"/>
  <c r="AL246"/>
  <c r="AL295"/>
  <c r="AL220"/>
  <c r="AL181"/>
  <c r="AL202"/>
  <c r="AL129"/>
  <c r="AL94"/>
  <c r="AL87"/>
  <c r="AL29"/>
  <c r="AL10"/>
  <c r="AL376"/>
  <c r="AL387"/>
  <c r="AL332"/>
  <c r="AL268"/>
  <c r="AL317"/>
  <c r="AL253"/>
  <c r="AL203"/>
  <c r="AL127"/>
  <c r="AL160"/>
  <c r="AL116"/>
  <c r="AL109"/>
  <c r="AL51"/>
  <c r="AL32"/>
  <c r="AL386"/>
  <c r="AL401"/>
  <c r="AL346"/>
  <c r="AL282"/>
  <c r="AL331"/>
  <c r="AL267"/>
  <c r="AL217"/>
  <c r="AL153"/>
  <c r="AL174"/>
  <c r="AL130"/>
  <c r="AL66"/>
  <c r="AL58"/>
  <c r="AL46"/>
  <c r="AL412"/>
  <c r="AL423"/>
  <c r="AL355"/>
  <c r="AL304"/>
  <c r="AL234"/>
  <c r="AL289"/>
  <c r="AL239"/>
  <c r="AL175"/>
  <c r="AL196"/>
  <c r="AL117"/>
  <c r="AL88"/>
  <c r="AL81"/>
  <c r="AL23"/>
  <c r="AL4"/>
  <c r="AL31"/>
  <c r="AL204"/>
  <c r="AL248"/>
  <c r="AL420"/>
  <c r="AL138"/>
  <c r="AL275"/>
  <c r="AL409"/>
  <c r="AL172"/>
  <c r="AL388"/>
  <c r="AL244"/>
  <c r="AL421"/>
  <c r="AL302"/>
  <c r="AL287"/>
  <c r="AL173"/>
  <c r="AL113"/>
  <c r="AL79"/>
  <c r="AL3"/>
  <c r="AL379"/>
  <c r="AL260"/>
  <c r="AL245"/>
  <c r="AL216"/>
  <c r="AL108"/>
  <c r="AL43"/>
  <c r="AL378"/>
  <c r="AL338"/>
  <c r="AL323"/>
  <c r="AL209"/>
  <c r="AL166"/>
  <c r="AL56"/>
  <c r="AL38"/>
  <c r="AL415"/>
  <c r="AL296"/>
  <c r="AL281"/>
  <c r="AL167"/>
  <c r="AL144"/>
  <c r="AL73"/>
  <c r="AL27"/>
  <c r="AL200"/>
  <c r="AL242"/>
  <c r="AL416"/>
  <c r="AL134"/>
  <c r="AL271"/>
  <c r="AL405"/>
  <c r="AL151"/>
  <c r="AL22"/>
  <c r="AL307"/>
  <c r="AL40"/>
  <c r="AL102"/>
  <c r="AL37"/>
  <c r="AL143"/>
  <c r="AL276"/>
  <c r="AL95"/>
  <c r="AL413"/>
  <c r="AL343"/>
  <c r="AL186"/>
  <c r="AL13"/>
  <c r="AL316"/>
  <c r="AL187"/>
  <c r="AL93"/>
  <c r="AL385"/>
  <c r="AL251"/>
  <c r="AL114"/>
  <c r="AL30"/>
  <c r="AL337"/>
  <c r="AL72"/>
  <c r="AL312"/>
  <c r="AL41"/>
  <c r="AL270"/>
  <c r="AL53"/>
  <c r="AL341"/>
  <c r="AL11"/>
  <c r="AL177"/>
  <c r="AL383"/>
  <c r="AL335"/>
  <c r="AL430"/>
  <c r="AL366"/>
  <c r="AL381"/>
  <c r="AL326"/>
  <c r="AL262"/>
  <c r="AL311"/>
  <c r="AL247"/>
  <c r="AL197"/>
  <c r="AL115"/>
  <c r="AL154"/>
  <c r="AL110"/>
  <c r="AL103"/>
  <c r="AL45"/>
  <c r="AL26"/>
  <c r="AL392"/>
  <c r="AL403"/>
  <c r="AL348"/>
  <c r="AL284"/>
  <c r="AL333"/>
  <c r="AL269"/>
  <c r="AL219"/>
  <c r="AL155"/>
  <c r="AL176"/>
  <c r="AL132"/>
  <c r="AL68"/>
  <c r="AL61"/>
  <c r="AL48"/>
  <c r="AL402"/>
  <c r="AL417"/>
  <c r="AL362"/>
  <c r="AL298"/>
  <c r="AL222"/>
  <c r="AL283"/>
  <c r="AL233"/>
  <c r="AL169"/>
  <c r="AL190"/>
  <c r="AL146"/>
  <c r="AL82"/>
  <c r="AL75"/>
  <c r="AL17"/>
  <c r="AL428"/>
  <c r="AL364"/>
  <c r="AL375"/>
  <c r="AL320"/>
  <c r="AL256"/>
  <c r="AL305"/>
  <c r="AL240"/>
  <c r="AL191"/>
  <c r="AL212"/>
  <c r="AL149"/>
  <c r="AL104"/>
  <c r="AL97"/>
  <c r="AL39"/>
  <c r="AL20"/>
  <c r="AL12"/>
  <c r="AL133"/>
  <c r="AL297"/>
  <c r="AL349"/>
  <c r="AL74"/>
  <c r="AL225"/>
  <c r="AL354"/>
  <c r="AL64"/>
  <c r="AL344"/>
  <c r="AL214"/>
  <c r="AL426"/>
  <c r="AL374"/>
  <c r="AL334"/>
  <c r="AL319"/>
  <c r="AL205"/>
  <c r="AL162"/>
  <c r="AL111"/>
  <c r="AL34"/>
  <c r="AL411"/>
  <c r="AL292"/>
  <c r="AL277"/>
  <c r="AL163"/>
  <c r="AL140"/>
  <c r="AL69"/>
  <c r="AL410"/>
  <c r="AL359"/>
  <c r="AL238"/>
  <c r="AL241"/>
  <c r="AL198"/>
  <c r="AL90"/>
  <c r="AL25"/>
  <c r="AL372"/>
  <c r="AL328"/>
  <c r="AL313"/>
  <c r="AL199"/>
  <c r="AL156"/>
  <c r="AL105"/>
  <c r="AL28"/>
  <c r="AL125"/>
  <c r="AL293"/>
  <c r="AL427"/>
  <c r="AL70"/>
  <c r="AL221"/>
  <c r="AL350"/>
  <c r="AL128"/>
  <c r="AL399"/>
  <c r="AL193"/>
  <c r="AL384"/>
  <c r="AL340"/>
  <c r="AL422"/>
  <c r="AL145"/>
  <c r="AL189"/>
  <c r="AL398"/>
  <c r="AL294"/>
  <c r="AL165"/>
  <c r="AL71"/>
  <c r="AL371"/>
  <c r="AL232"/>
  <c r="AL100"/>
  <c r="AL370"/>
  <c r="AL315"/>
  <c r="AL158"/>
  <c r="AL396"/>
  <c r="AL288"/>
  <c r="AL180"/>
  <c r="AL183"/>
  <c r="AL215"/>
  <c r="AL389"/>
  <c r="AL118"/>
  <c r="AL356"/>
  <c r="AL184"/>
  <c r="AL291"/>
  <c r="AL264"/>
  <c r="AL5"/>
  <c r="AL382"/>
  <c r="AL397"/>
  <c r="AL342"/>
  <c r="AL278"/>
  <c r="AL327"/>
  <c r="AL263"/>
  <c r="AL213"/>
  <c r="AL147"/>
  <c r="AL170"/>
  <c r="AL126"/>
  <c r="AL62"/>
  <c r="AL50"/>
  <c r="AL42"/>
  <c r="AL408"/>
  <c r="AL419"/>
  <c r="AL347"/>
  <c r="AL300"/>
  <c r="AL226"/>
  <c r="AL285"/>
  <c r="AL235"/>
  <c r="AL171"/>
  <c r="AL192"/>
  <c r="AL148"/>
  <c r="AL84"/>
  <c r="AL77"/>
  <c r="AL19"/>
  <c r="AL418"/>
  <c r="AL345"/>
  <c r="AL369"/>
  <c r="AL314"/>
  <c r="AL250"/>
  <c r="AL299"/>
  <c r="AL228"/>
  <c r="AL185"/>
  <c r="AL206"/>
  <c r="AL137"/>
  <c r="AL98"/>
  <c r="AL91"/>
  <c r="AL33"/>
  <c r="AL14"/>
  <c r="AL380"/>
  <c r="AL391"/>
  <c r="AL336"/>
  <c r="AL272"/>
  <c r="AL321"/>
  <c r="AL257"/>
  <c r="AL207"/>
  <c r="AL135"/>
  <c r="AL164"/>
  <c r="AL120"/>
  <c r="AL52"/>
  <c r="AL55"/>
  <c r="AL36"/>
  <c r="AL96"/>
  <c r="AL224"/>
  <c r="AL367"/>
  <c r="AL67"/>
  <c r="AL161"/>
  <c r="AL290"/>
  <c r="AL44"/>
  <c r="AL329"/>
  <c r="AL106"/>
  <c r="AL377"/>
  <c r="AL406"/>
  <c r="AL351"/>
  <c r="AL230"/>
  <c r="AL237"/>
  <c r="AL194"/>
  <c r="AL86"/>
  <c r="AL21"/>
  <c r="AL368"/>
  <c r="AL324"/>
  <c r="AL309"/>
  <c r="AL195"/>
  <c r="AL152"/>
  <c r="AL101"/>
  <c r="AL24"/>
  <c r="AL393"/>
  <c r="AL274"/>
  <c r="AL259"/>
  <c r="AL139"/>
  <c r="AL122"/>
  <c r="AL57"/>
  <c r="AL404"/>
  <c r="AL360"/>
  <c r="AL218"/>
  <c r="AL231"/>
  <c r="AL188"/>
  <c r="AL80"/>
  <c r="AL15"/>
  <c r="AL92"/>
  <c r="AL243"/>
  <c r="AL363"/>
  <c r="AL63"/>
  <c r="AL157"/>
  <c r="AL286"/>
  <c r="AL54"/>
  <c r="AL280"/>
  <c r="AL150"/>
  <c r="AL361"/>
  <c r="AL325"/>
  <c r="AL373"/>
  <c r="AL211"/>
  <c r="AL254"/>
  <c r="AL303"/>
  <c r="AL59"/>
  <c r="AL395"/>
  <c r="AL318"/>
</calcChain>
</file>

<file path=xl/sharedStrings.xml><?xml version="1.0" encoding="utf-8"?>
<sst xmlns="http://schemas.openxmlformats.org/spreadsheetml/2006/main" count="1442" uniqueCount="525">
  <si>
    <t>Kommunenavn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</si>
  <si>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</si>
  <si>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</si>
  <si>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</si>
  <si>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</si>
  <si>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</si>
  <si>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</si>
  <si>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</si>
  <si>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</si>
  <si>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</si>
  <si>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</si>
  <si>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</si>
  <si>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</si>
  <si>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</si>
  <si>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</si>
  <si>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</si>
  <si>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</si>
  <si>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</si>
  <si>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</si>
  <si>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</si>
  <si>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</si>
  <si>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</si>
  <si>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</si>
  <si>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</si>
  <si>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</si>
  <si>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</si>
  <si>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</si>
  <si>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</si>
  <si>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</si>
  <si>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</si>
  <si>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</si>
  <si>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</si>
  <si>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</si>
  <si>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</si>
  <si>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</si>
  <si>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</si>
  <si>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</si>
  <si>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</si>
  <si>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</si>
  <si>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</si>
  <si>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</si>
  <si>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</si>
  <si>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</si>
  <si>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</si>
  <si>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</si>
  <si>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</si>
  <si>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</si>
  <si>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</si>
  <si>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</si>
  <si>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</si>
  <si>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</si>
  <si>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</si>
  <si>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</si>
  <si>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</si>
  <si>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</si>
  <si>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</si>
  <si>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</si>
  <si>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</si>
  <si>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</si>
  <si>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</si>
  <si>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</si>
  <si>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</si>
  <si>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</si>
  <si>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</si>
  <si>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</si>
  <si>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</si>
  <si>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</si>
  <si>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</si>
  <si>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</si>
  <si>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</si>
  <si>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</si>
  <si>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</si>
  <si>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</si>
  <si>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</si>
  <si>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</si>
  <si>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</si>
  <si>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</si>
  <si>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</si>
  <si>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</si>
  <si>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</si>
  <si>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</si>
  <si>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</si>
  <si>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</si>
  <si>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</si>
  <si>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</si>
  <si>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</si>
  <si>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</si>
  <si>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</si>
  <si>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</si>
  <si>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</si>
  <si>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</si>
  <si>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</si>
  <si>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</si>
  <si>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</si>
  <si>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</si>
  <si>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</si>
  <si>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</si>
  <si>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</si>
  <si>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</si>
  <si>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</si>
  <si>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</si>
  <si>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</si>
  <si>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</si>
  <si>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</si>
  <si>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</si>
  <si>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</si>
  <si>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</si>
  <si>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</si>
  <si>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</si>
  <si>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</si>
  <si>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</si>
  <si>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</si>
  <si>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</si>
  <si>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</si>
  <si>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</si>
  <si>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</si>
  <si>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</si>
  <si>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</si>
  <si>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</si>
  <si>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</si>
  <si>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</si>
  <si>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</si>
  <si>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</si>
  <si>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</si>
  <si>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</si>
  <si>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</si>
  <si>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</si>
  <si>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</si>
  <si>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</si>
  <si>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</si>
  <si>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</si>
  <si>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</si>
  <si>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</si>
  <si>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</si>
  <si>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</si>
  <si>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</si>
  <si>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</si>
  <si>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</si>
  <si>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</si>
  <si>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</si>
  <si>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</si>
  <si>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</si>
  <si>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</si>
  <si>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</si>
  <si>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</si>
  <si>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</si>
  <si>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</si>
  <si>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</si>
  <si>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</si>
  <si>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</si>
  <si>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</si>
  <si>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</si>
  <si>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</si>
  <si>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</si>
  <si>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</si>
  <si>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</si>
  <si>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</si>
  <si>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</si>
  <si>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</si>
  <si>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</si>
  <si>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</si>
  <si>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</si>
  <si>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</si>
  <si>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</si>
  <si>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</si>
  <si>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</si>
  <si>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</si>
  <si>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</si>
  <si>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</si>
  <si>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</si>
  <si>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</si>
  <si>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</si>
  <si>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</si>
  <si>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</si>
  <si>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</si>
  <si>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</si>
  <si>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</si>
  <si>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</si>
  <si>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</si>
  <si>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</si>
  <si>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</si>
  <si>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</si>
  <si>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</si>
  <si>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</si>
  <si>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</si>
  <si>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</si>
  <si>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</si>
  <si>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</si>
  <si>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</si>
  <si>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</si>
  <si>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</si>
  <si>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</si>
  <si>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</si>
  <si>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</si>
  <si>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</si>
  <si>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</si>
  <si>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</si>
  <si>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</si>
  <si>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</si>
  <si>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</si>
  <si>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</si>
  <si>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</si>
  <si>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</si>
  <si>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</si>
  <si>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</si>
  <si>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</si>
  <si>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</si>
  <si>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</si>
  <si>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</si>
  <si>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</si>
  <si>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</si>
  <si>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</si>
  <si>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</si>
  <si>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</si>
  <si>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</si>
  <si>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</si>
  <si>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</si>
  <si>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</si>
  <si>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</si>
  <si>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</si>
  <si>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</si>
  <si>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</si>
  <si>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</si>
  <si>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</si>
  <si>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</si>
  <si>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</si>
  <si>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</si>
  <si>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</si>
  <si>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</si>
  <si>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</si>
  <si>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</si>
  <si>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</si>
  <si>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</si>
  <si>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</si>
  <si>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</si>
  <si>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</si>
  <si>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</si>
  <si>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</si>
  <si>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</si>
  <si>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</si>
  <si>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</si>
  <si>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</si>
  <si>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</si>
  <si>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</si>
  <si>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</si>
  <si>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</si>
  <si>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</si>
  <si>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</si>
  <si>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</si>
  <si>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</si>
  <si>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</si>
  <si>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</si>
  <si>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</si>
  <si>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</si>
  <si>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</si>
  <si>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</si>
  <si>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</si>
  <si>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</si>
  <si>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</si>
  <si>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</si>
  <si>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</si>
  <si>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</si>
  <si>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</si>
  <si>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</si>
  <si>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</si>
  <si>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</si>
  <si>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</si>
  <si>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</si>
  <si>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</si>
  <si>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</si>
  <si>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</si>
  <si>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</si>
  <si>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</si>
  <si>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</si>
  <si>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</si>
  <si>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</si>
  <si>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</si>
  <si>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</si>
  <si>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</si>
  <si>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</si>
  <si>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</si>
  <si>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</si>
  <si>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</si>
  <si>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</si>
  <si>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</si>
  <si>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</si>
  <si>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</si>
  <si>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</si>
  <si>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</si>
  <si>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</si>
  <si>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</si>
  <si>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</si>
  <si>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</si>
  <si>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</si>
  <si>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</si>
  <si>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</si>
  <si>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</si>
  <si>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</si>
  <si>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</si>
  <si>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</si>
  <si>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</si>
  <si>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</si>
  <si>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</si>
  <si>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</si>
  <si>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</si>
  <si>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</si>
  <si>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</si>
  <si>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</si>
  <si>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</si>
  <si>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</si>
  <si>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</si>
  <si>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</si>
  <si>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</si>
  <si>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</si>
  <si>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</si>
  <si>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</si>
  <si>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</si>
  <si>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</si>
  <si>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</si>
  <si>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</si>
  <si>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</si>
  <si>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</si>
  <si>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</si>
  <si>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</si>
  <si>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</si>
  <si>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</si>
  <si>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</si>
  <si>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</si>
  <si>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</si>
  <si>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</si>
  <si>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</si>
  <si>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</si>
  <si>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</si>
  <si>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</si>
  <si>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</si>
  <si>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</si>
  <si>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</si>
  <si>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</si>
  <si>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</si>
  <si>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</si>
  <si>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</si>
  <si>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</si>
  <si>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</si>
  <si>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</si>
  <si>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</si>
  <si>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</si>
  <si>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</si>
  <si>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</si>
  <si>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</si>
  <si>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</si>
  <si>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</si>
  <si>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</si>
  <si>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</si>
  <si>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</si>
  <si>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</si>
  <si>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</si>
  <si>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</si>
  <si>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</si>
  <si>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</si>
  <si>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</si>
  <si>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</si>
  <si>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</si>
  <si>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</si>
  <si>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</si>
  <si>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</si>
  <si>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</si>
  <si>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</si>
  <si>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</si>
  <si>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</si>
  <si>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</si>
  <si>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</si>
  <si>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</si>
  <si>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</si>
  <si>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</si>
  <si>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</si>
  <si>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</si>
  <si>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</si>
  <si>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</si>
  <si>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</si>
  <si>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</si>
  <si>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</si>
  <si>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</si>
  <si>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</si>
  <si>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</si>
  <si>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</si>
  <si>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</si>
  <si>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</si>
  <si>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</si>
  <si>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</si>
  <si>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</si>
  <si>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</si>
  <si>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</si>
  <si>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</si>
  <si>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</si>
  <si>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</si>
  <si>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</si>
  <si>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</si>
  <si>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</si>
  <si>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</si>
  <si>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</si>
  <si>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</si>
  <si>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</si>
  <si>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</si>
  <si>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</si>
  <si>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</si>
  <si>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</si>
  <si>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Gaivuotna -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</si>
  <si>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</si>
  <si>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</si>
  <si>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</si>
  <si>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</si>
  <si>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</si>
  <si>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</si>
  <si>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Guovdageaidnu -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</si>
  <si>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</si>
  <si>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</si>
  <si>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</si>
  <si>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</si>
  <si>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</si>
  <si>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</si>
  <si>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</si>
  <si>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Karasjohka - Karasjok</t>
  </si>
  <si>
    <t>2022 Lebesby</t>
  </si>
  <si>
    <t>2023 Gamvik</t>
  </si>
  <si>
    <t>2024 Berlevåg</t>
  </si>
  <si>
    <t>2025 Deatnu - Tana</t>
  </si>
  <si>
    <t>2027 Unjarga - Nesseby</t>
  </si>
  <si>
    <t>2028 Båtsfjord</t>
  </si>
  <si>
    <t>2030 Sør-Varanger</t>
  </si>
  <si>
    <t>Fylke</t>
  </si>
  <si>
    <t>DU2007-2014</t>
  </si>
  <si>
    <t>DA2007-2014</t>
  </si>
  <si>
    <t>I</t>
  </si>
  <si>
    <t>III</t>
  </si>
  <si>
    <t>II</t>
  </si>
  <si>
    <t>1a</t>
  </si>
  <si>
    <t>IV</t>
  </si>
  <si>
    <t>4a</t>
  </si>
  <si>
    <t>B02</t>
  </si>
  <si>
    <t>B12</t>
  </si>
  <si>
    <t>Y11</t>
  </si>
  <si>
    <t>Kvinner20-39</t>
  </si>
  <si>
    <t>Eldre67+</t>
  </si>
  <si>
    <t>Folk20-64</t>
  </si>
  <si>
    <t>S01</t>
  </si>
  <si>
    <t>S11</t>
  </si>
  <si>
    <t>Totalareal</t>
  </si>
  <si>
    <t>Bruttoinntekt2010</t>
  </si>
  <si>
    <t>ReisetidOslo</t>
  </si>
  <si>
    <t>NIBR 11</t>
  </si>
  <si>
    <t>KRD-ny/DI2006</t>
  </si>
  <si>
    <t>Vektingssett</t>
  </si>
  <si>
    <t>Reisetid</t>
  </si>
  <si>
    <t>Inntekt</t>
  </si>
  <si>
    <t>Sum vekt</t>
  </si>
  <si>
    <t>Geografi</t>
  </si>
  <si>
    <t>beftettotal</t>
  </si>
  <si>
    <t>Beftetthetland</t>
  </si>
  <si>
    <t>Beftetthettotal</t>
  </si>
  <si>
    <t>Befvekst10</t>
  </si>
  <si>
    <t>Kvinneandel</t>
  </si>
  <si>
    <t>Eldreandel</t>
  </si>
  <si>
    <t>Sysselsettingsvekst10</t>
  </si>
  <si>
    <t>Yrkesaktivandel</t>
  </si>
  <si>
    <t>TØI-NIBR/DI2006</t>
  </si>
  <si>
    <t>Syssvekst5</t>
  </si>
  <si>
    <t>Syssandel</t>
  </si>
  <si>
    <t>Demografi</t>
  </si>
  <si>
    <t>Arbeidsmarked</t>
  </si>
  <si>
    <t>Levekår</t>
  </si>
  <si>
    <t>Emneområde</t>
  </si>
  <si>
    <t>Trunkerte verdier</t>
  </si>
  <si>
    <t>befvekst10</t>
  </si>
  <si>
    <t>Syssvekst10</t>
  </si>
  <si>
    <t>Yrkesaktiveandel</t>
  </si>
  <si>
    <t>Persentil 0,1</t>
  </si>
  <si>
    <t>Persentil 0,9</t>
  </si>
  <si>
    <t>Maks</t>
  </si>
  <si>
    <t>Min</t>
  </si>
  <si>
    <t>Snitt</t>
  </si>
  <si>
    <t>Indekserte (og trunkerte) verdier</t>
  </si>
  <si>
    <t>Distriktsindeksen</t>
  </si>
  <si>
    <t>ReisetidOslo-T</t>
  </si>
  <si>
    <t>Befvekst10-T</t>
  </si>
  <si>
    <t>Kvinneandel-T</t>
  </si>
  <si>
    <t>Eldreandel-T</t>
  </si>
  <si>
    <t>Sysselsettingsvekst10-T</t>
  </si>
  <si>
    <t>Yrkesaktivandel-T</t>
  </si>
  <si>
    <t>Inntekt-T</t>
  </si>
  <si>
    <t>ReisetidOslo-I</t>
  </si>
  <si>
    <t>Befvekst10-I</t>
  </si>
  <si>
    <t>Kvinneandel-I</t>
  </si>
  <si>
    <t>Eldreandel-I</t>
  </si>
  <si>
    <t>Sysselsettingsvekst10-I</t>
  </si>
  <si>
    <t>Yrkesaktivandel-I</t>
  </si>
  <si>
    <t>Inntekt-I</t>
  </si>
  <si>
    <t>Bredde</t>
  </si>
  <si>
    <t>Merknader</t>
  </si>
  <si>
    <t>BA-2013</t>
  </si>
  <si>
    <t>Beftettotal-I</t>
  </si>
  <si>
    <t>Beftettotal</t>
  </si>
  <si>
    <t>Beftettotal-T</t>
  </si>
  <si>
    <t>DI2013 - Landareal</t>
  </si>
  <si>
    <t>DI2013 - Totalareal</t>
  </si>
  <si>
    <t>Gjeldende vekter - totalareal</t>
  </si>
  <si>
    <t>Gjeldende vekter - landareal</t>
  </si>
  <si>
    <t>NIBR11</t>
  </si>
  <si>
    <t>NIBR11-T</t>
  </si>
  <si>
    <t>NIBR11-I</t>
  </si>
  <si>
    <t>NIBR11-v</t>
  </si>
  <si>
    <t>ReisetidOslo-v</t>
  </si>
  <si>
    <t>Beftettotal-v</t>
  </si>
  <si>
    <t>Befvekst10-v</t>
  </si>
  <si>
    <t>Kvinneandel-v</t>
  </si>
  <si>
    <t>Eldreandel-v</t>
  </si>
  <si>
    <t>Sysselsettingsvekst10-v</t>
  </si>
  <si>
    <t>Yrkesaktivandel-v</t>
  </si>
  <si>
    <t>Inntekt-v</t>
  </si>
  <si>
    <t>Vektede verdier</t>
  </si>
  <si>
    <t>Distriktsindeksen 2013</t>
  </si>
  <si>
    <t>Geografisk tilknytning</t>
  </si>
  <si>
    <t>Grunnlagsdata</t>
  </si>
  <si>
    <t>Utregninger</t>
  </si>
  <si>
    <t>Data som brukes direkte</t>
  </si>
  <si>
    <t>Faktiske verdier (Hentet fra arket rådata)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</si>
</sst>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 * #,##0.000000000_ ;_ * \-#,##0.00000000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1"/>
      <color theme="9" tint="0.59999389629810485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Font="1" applyFill="1" applyBorder="1"/>
    <xf numFmtId="0" fontId="0" fillId="0" borderId="6" xfId="0" applyFont="1" applyFill="1" applyBorder="1"/>
    <xf numFmtId="165" fontId="0" fillId="2" borderId="0" xfId="1" applyNumberFormat="1" applyFont="1" applyFill="1"/>
    <xf numFmtId="2" fontId="0" fillId="2" borderId="0" xfId="0" applyNumberFormat="1" applyFill="1"/>
    <xf numFmtId="166" fontId="0" fillId="2" borderId="0" xfId="1" applyNumberFormat="1" applyFont="1" applyFill="1"/>
    <xf numFmtId="164" fontId="0" fillId="2" borderId="0" xfId="0" applyNumberFormat="1" applyFill="1"/>
    <xf numFmtId="0" fontId="0" fillId="0" borderId="5" xfId="0" applyFill="1" applyBorder="1"/>
    <xf numFmtId="167" fontId="0" fillId="2" borderId="0" xfId="1" applyNumberFormat="1" applyFont="1" applyFill="1"/>
    <xf numFmtId="0" fontId="0" fillId="0" borderId="6" xfId="0" applyFill="1" applyBorder="1"/>
    <xf numFmtId="166" fontId="0" fillId="0" borderId="0" xfId="1" applyNumberFormat="1" applyFont="1" applyFill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0" fontId="2" fillId="0" borderId="5" xfId="0" applyFont="1" applyFill="1" applyBorder="1"/>
    <xf numFmtId="0" fontId="8" fillId="4" borderId="0" xfId="0" applyFont="1" applyFill="1"/>
    <xf numFmtId="0" fontId="0" fillId="3" borderId="0" xfId="0" applyFill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 applyProtection="1">
      <alignment horizontal="right"/>
      <protection locked="0"/>
    </xf>
    <xf numFmtId="0" fontId="4" fillId="0" borderId="0" xfId="0" applyNumberFormat="1" applyFont="1"/>
    <xf numFmtId="0" fontId="9" fillId="0" borderId="0" xfId="0" applyFont="1" applyFill="1" applyAlignment="1"/>
    <xf numFmtId="0" fontId="9" fillId="0" borderId="0" xfId="0" applyFont="1" applyFill="1" applyBorder="1"/>
    <xf numFmtId="1" fontId="4" fillId="0" borderId="0" xfId="0" applyNumberFormat="1" applyFont="1"/>
    <xf numFmtId="164" fontId="4" fillId="0" borderId="0" xfId="0" applyNumberFormat="1" applyFont="1"/>
    <xf numFmtId="0" fontId="2" fillId="13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Tusenskille" xfId="1" builtinId="3"/>
  </cellStyles>
  <dxfs count="65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right" vertical="bottom" textRotation="0" wrapText="0" indent="0" relativeIndent="0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right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  <protection locked="0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Rådatakommune" displayName="Rådatakommune" ref="A2:W430" totalsRowShown="0" headerRowDxfId="64" dataDxfId="63">
  <autoFilter ref="A2:W430">
    <filterColumn colId="18"/>
    <filterColumn colId="19"/>
    <filterColumn colId="20"/>
    <filterColumn colId="21"/>
    <filterColumn colId="22"/>
  </autoFilter>
  <sortState ref="A2:AE429">
    <sortCondition ref="A1:A429"/>
  </sortState>
  <tableColumns count="23">
    <tableColumn id="1" name="Kommunenavn" dataDxfId="62"/>
    <tableColumn id="2" name="Fylke" dataDxfId="61"/>
    <tableColumn id="3" name="BA-2013" dataDxfId="60"/>
    <tableColumn id="4" name="DU2007-2014" dataDxfId="59"/>
    <tableColumn id="5" name="DA2007-2014" dataDxfId="58"/>
    <tableColumn id="7" name="B02" dataDxfId="57"/>
    <tableColumn id="9" name="B12" dataDxfId="56"/>
    <tableColumn id="11" name="Y11" dataDxfId="55"/>
    <tableColumn id="12" name="Eldre67+" dataDxfId="54"/>
    <tableColumn id="13" name="Kvinner20-39" dataDxfId="53"/>
    <tableColumn id="15" name="Folk20-64" dataDxfId="52"/>
    <tableColumn id="16" name="S01" dataDxfId="51"/>
    <tableColumn id="17" name="S11" dataDxfId="50"/>
    <tableColumn id="19" name="Totalareal" dataDxfId="49"/>
    <tableColumn id="20" name="Bruttoinntekt2010" dataDxfId="48"/>
    <tableColumn id="21" name="ReisetidOslo" dataDxfId="47"/>
    <tableColumn id="22" name="NIBR11" dataDxfId="46"/>
    <tableColumn id="24" name="beftettotal" dataDxfId="45">
      <calculatedColumnFormula>G3/N3</calculatedColumnFormula>
    </tableColumn>
    <tableColumn id="25" name="befvekst10" dataDxfId="44">
      <calculatedColumnFormula>Rådatakommune[[#This Row],[B12]]/Rådatakommune[[#This Row],[B02]]-1</calculatedColumnFormula>
    </tableColumn>
    <tableColumn id="26" name="Kvinneandel" dataDxfId="43">
      <calculatedColumnFormula>Rådatakommune[[#This Row],[Kvinner20-39]]/Rådatakommune[[#This Row],[B12]]</calculatedColumnFormula>
    </tableColumn>
    <tableColumn id="27" name="Eldreandel" dataDxfId="42">
      <calculatedColumnFormula>Rådatakommune[[#This Row],[Eldre67+]]/Rådatakommune[[#This Row],[B12]]</calculatedColumnFormula>
    </tableColumn>
    <tableColumn id="28" name="Syssvekst10" dataDxfId="41">
      <calculatedColumnFormula>Rådatakommune[[#This Row],[S11]]/Rådatakommune[[#This Row],[S01]]-1</calculatedColumnFormula>
    </tableColumn>
    <tableColumn id="29" name="Yrkesaktiveandel" dataDxfId="40">
      <calculatedColumnFormula>Rådatakommune[[#This Row],[Y11]]/Rådatakommune[[#This Row],[Folk20-64]]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2:AL430" totalsRowShown="0" headerRowDxfId="39" dataDxfId="38">
  <autoFilter ref="A2:AL430">
    <filterColumn colId="3"/>
    <filterColumn colId="12"/>
    <filterColumn colId="21"/>
    <filterColumn colId="28"/>
    <filterColumn colId="29"/>
    <filterColumn colId="30"/>
    <filterColumn colId="31"/>
    <filterColumn colId="32"/>
    <filterColumn colId="33"/>
    <filterColumn colId="34"/>
    <filterColumn colId="35"/>
    <filterColumn colId="36"/>
    <filterColumn colId="37"/>
  </autoFilter>
  <sortState ref="A3:AC430">
    <sortCondition ref="A2:A430"/>
  </sortState>
  <tableColumns count="38">
    <tableColumn id="1" name="Kommunenavn" dataDxfId="37"/>
    <tableColumn id="2" name="NIBR11" dataDxfId="36">
      <calculatedColumnFormula>'Rådata-K'!Q3</calculatedColumnFormula>
    </tableColumn>
    <tableColumn id="3" name="ReisetidOslo" dataDxfId="35">
      <calculatedColumnFormula>'Rådata-K'!P3</calculatedColumnFormula>
    </tableColumn>
    <tableColumn id="33" name="Beftettotal" dataDxfId="34">
      <calculatedColumnFormula>'Rådata-K'!R3</calculatedColumnFormula>
    </tableColumn>
    <tableColumn id="5" name="Befvekst10" dataDxfId="33">
      <calculatedColumnFormula>'Rådata-K'!S3</calculatedColumnFormula>
    </tableColumn>
    <tableColumn id="6" name="Kvinneandel" dataDxfId="32">
      <calculatedColumnFormula>'Rådata-K'!T3</calculatedColumnFormula>
    </tableColumn>
    <tableColumn id="7" name="Eldreandel" dataDxfId="31">
      <calculatedColumnFormula>'Rådata-K'!U3</calculatedColumnFormula>
    </tableColumn>
    <tableColumn id="8" name="Sysselsettingsvekst10" dataDxfId="30">
      <calculatedColumnFormula>'Rådata-K'!V3</calculatedColumnFormula>
    </tableColumn>
    <tableColumn id="9" name="Yrkesaktivandel" dataDxfId="29">
      <calculatedColumnFormula>'Rådata-K'!W3</calculatedColumnFormula>
    </tableColumn>
    <tableColumn id="10" name="Inntekt" dataDxfId="28">
      <calculatedColumnFormula>'Rådata-K'!O3</calculatedColumnFormula>
    </tableColumn>
    <tableColumn id="11" name="NIBR11-T" dataDxfId="27">
      <calculatedColumnFormula>Tabell2[[#This Row],[NIBR11]]</calculatedColumnFormula>
    </tableColumn>
    <tableColumn id="12" name="ReisetidOslo-T" dataDxfId="26">
      <calculatedColumnFormula>IF(Tabell2[[#This Row],[ReisetidOslo]]&lt;=C$433,C$433,IF(Tabell2[[#This Row],[ReisetidOslo]]&gt;=C$434,C$434,Tabell2[[#This Row],[ReisetidOslo]]))</calculatedColumnFormula>
    </tableColumn>
    <tableColumn id="32" name="Beftettotal-T" dataDxfId="25">
      <calculatedColumnFormula>IF(Tabell2[[#This Row],[Beftettotal]]&lt;=D$433,D$433,IF(Tabell2[[#This Row],[Beftettotal]]&gt;=D$434,D$434,Tabell2[[#This Row],[Beftettotal]]))</calculatedColumnFormula>
    </tableColumn>
    <tableColumn id="14" name="Befvekst10-T" dataDxfId="24">
      <calculatedColumnFormula>IF(Tabell2[[#This Row],[Befvekst10]]&lt;=E$433,E$433,IF(Tabell2[[#This Row],[Befvekst10]]&gt;=E$434,E$434,Tabell2[[#This Row],[Befvekst10]]))</calculatedColumnFormula>
    </tableColumn>
    <tableColumn id="15" name="Kvinneandel-T" dataDxfId="23">
      <calculatedColumnFormula>IF(Tabell2[[#This Row],[Kvinneandel]]&lt;=F$433,F$433,IF(Tabell2[[#This Row],[Kvinneandel]]&gt;=F$434,F$434,Tabell2[[#This Row],[Kvinneandel]]))</calculatedColumnFormula>
    </tableColumn>
    <tableColumn id="16" name="Eldreandel-T" dataDxfId="22">
      <calculatedColumnFormula>IF(Tabell2[[#This Row],[Eldreandel]]&lt;=G$433,G$433,IF(Tabell2[[#This Row],[Eldreandel]]&gt;=G$434,G$434,Tabell2[[#This Row],[Eldreandel]]))</calculatedColumnFormula>
    </tableColumn>
    <tableColumn id="17" name="Sysselsettingsvekst10-T" dataDxfId="21">
      <calculatedColumnFormula>IF(Tabell2[[#This Row],[Sysselsettingsvekst10]]&lt;=H$433,H$433,IF(Tabell2[[#This Row],[Sysselsettingsvekst10]]&gt;=H$434,H$434,Tabell2[[#This Row],[Sysselsettingsvekst10]]))</calculatedColumnFormula>
    </tableColumn>
    <tableColumn id="18" name="Yrkesaktivandel-T" dataDxfId="20">
      <calculatedColumnFormula>IF(Tabell2[[#This Row],[Yrkesaktivandel]]&lt;=I$433,I$433,IF(Tabell2[[#This Row],[Yrkesaktivandel]]&gt;=I$434,I$434,Tabell2[[#This Row],[Yrkesaktivandel]]))</calculatedColumnFormula>
    </tableColumn>
    <tableColumn id="19" name="Inntekt-T" dataDxfId="19">
      <calculatedColumnFormula>IF(Tabell2[[#This Row],[Inntekt]]&lt;=J$433,J$433,IF(Tabell2[[#This Row],[Inntekt]]&gt;=J$434,J$434,Tabell2[[#This Row],[Inntekt]]))</calculatedColumnFormula>
    </tableColumn>
    <tableColumn id="20" name="NIBR11-I" dataDxfId="18">
      <calculatedColumnFormula>IF(Tabell2[[#This Row],[NIBR11-T]]&lt;=K$436,100,IF(Tabell2[[#This Row],[NIBR11-T]]&gt;=K$435,0,100*(K$435-Tabell2[[#This Row],[NIBR11-T]])/K$438))</calculatedColumnFormula>
    </tableColumn>
    <tableColumn id="21" name="ReisetidOslo-I" dataDxfId="17">
      <calculatedColumnFormula>(L$435-Tabell2[[#This Row],[ReisetidOslo-T]])*100/L$438</calculatedColumnFormula>
    </tableColumn>
    <tableColumn id="31" name="Beftettotal-I" dataDxfId="16">
      <calculatedColumnFormula>100-(M$435-Tabell2[[#This Row],[Beftettotal-T]])*100/M$438</calculatedColumnFormula>
    </tableColumn>
    <tableColumn id="23" name="Befvekst10-I" dataDxfId="15">
      <calculatedColumnFormula>100-(N$435-Tabell2[[#This Row],[Befvekst10-T]])*100/N$438</calculatedColumnFormula>
    </tableColumn>
    <tableColumn id="24" name="Kvinneandel-I" dataDxfId="14">
      <calculatedColumnFormula>100-(O$435-Tabell2[[#This Row],[Kvinneandel-T]])*100/O$438</calculatedColumnFormula>
    </tableColumn>
    <tableColumn id="25" name="Eldreandel-I" dataDxfId="13">
      <calculatedColumnFormula>(P$435-Tabell2[[#This Row],[Eldreandel-T]])*100/P$438</calculatedColumnFormula>
    </tableColumn>
    <tableColumn id="26" name="Sysselsettingsvekst10-I" dataDxfId="12">
      <calculatedColumnFormula>100-(Q$435-Tabell2[[#This Row],[Sysselsettingsvekst10-T]])*100/Q$438</calculatedColumnFormula>
    </tableColumn>
    <tableColumn id="27" name="Yrkesaktivandel-I" dataDxfId="11">
      <calculatedColumnFormula>100-(R$435-Tabell2[[#This Row],[Yrkesaktivandel-T]])*100/R$438</calculatedColumnFormula>
    </tableColumn>
    <tableColumn id="28" name="Inntekt-I" dataDxfId="10">
      <calculatedColumnFormula>100-(S$435-Tabell2[[#This Row],[Inntekt-T]])*100/S$438</calculatedColumnFormula>
    </tableColumn>
    <tableColumn id="35" name="NIBR11-v" dataDxfId="9">
      <calculatedColumnFormula>Tabell2[[#This Row],[NIBR11-I]]*Vekter!$B$3</calculatedColumnFormula>
    </tableColumn>
    <tableColumn id="36" name="ReisetidOslo-v" dataDxfId="8">
      <calculatedColumnFormula>Tabell2[[#This Row],[ReisetidOslo-I]]*Vekter!$C$3</calculatedColumnFormula>
    </tableColumn>
    <tableColumn id="38" name="Beftettotal-v" dataDxfId="7">
      <calculatedColumnFormula>Tabell2[[#This Row],[Beftettotal-I]]*Vekter!$E$4</calculatedColumnFormula>
    </tableColumn>
    <tableColumn id="39" name="Befvekst10-v" dataDxfId="6">
      <calculatedColumnFormula>Tabell2[[#This Row],[Befvekst10-I]]*Vekter!$F$3</calculatedColumnFormula>
    </tableColumn>
    <tableColumn id="40" name="Kvinneandel-v" dataDxfId="5">
      <calculatedColumnFormula>Tabell2[[#This Row],[Kvinneandel-I]]*Vekter!$G$3</calculatedColumnFormula>
    </tableColumn>
    <tableColumn id="41" name="Eldreandel-v" dataDxfId="4">
      <calculatedColumnFormula>Tabell2[[#This Row],[Eldreandel-I]]*Vekter!$H$3</calculatedColumnFormula>
    </tableColumn>
    <tableColumn id="42" name="Sysselsettingsvekst10-v" dataDxfId="3">
      <calculatedColumnFormula>Tabell2[[#This Row],[Sysselsettingsvekst10-I]]*Vekter!$I$3</calculatedColumnFormula>
    </tableColumn>
    <tableColumn id="43" name="Yrkesaktivandel-v" dataDxfId="2">
      <calculatedColumnFormula>Tabell2[[#This Row],[Yrkesaktivandel-I]]*Vekter!$K$3</calculatedColumnFormula>
    </tableColumn>
    <tableColumn id="45" name="Inntekt-v" dataDxfId="1">
      <calculatedColumnFormula>Tabell2[[#This Row],[Inntekt-I]]*Vekter!$M$3</calculatedColumnFormula>
    </tableColumn>
    <tableColumn id="30" name="Distriktsindeksen 2013" dataDxfId="0">
      <calculatedColumnFormula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0"/>
  <sheetViews>
    <sheetView workbookViewId="0">
      <pane xSplit="1" ySplit="2" topLeftCell="M3" activePane="bottomRight" state="frozen"/>
      <selection pane="topRight" activeCell="B1" sqref="B1"/>
      <selection pane="bottomLeft" activeCell="A2" sqref="A2"/>
      <selection pane="bottomRight" activeCell="L417" sqref="L417"/>
    </sheetView>
  </sheetViews>
  <sheetFormatPr baseColWidth="10" defaultColWidth="25" defaultRowHeight="15"/>
  <cols>
    <col min="2" max="2" width="10.42578125" bestFit="1" customWidth="1"/>
    <col min="3" max="3" width="12.7109375" bestFit="1" customWidth="1"/>
    <col min="4" max="5" width="8" customWidth="1"/>
    <col min="6" max="8" width="7" bestFit="1" customWidth="1"/>
    <col min="9" max="9" width="10" customWidth="1"/>
    <col min="10" max="10" width="13.7109375" customWidth="1"/>
    <col min="11" max="11" width="10.85546875" customWidth="1"/>
    <col min="12" max="13" width="7" bestFit="1" customWidth="1"/>
    <col min="14" max="14" width="12" customWidth="1"/>
    <col min="15" max="15" width="19.28515625" bestFit="1" customWidth="1"/>
    <col min="16" max="16" width="14.42578125" customWidth="1"/>
    <col min="17" max="17" width="8.28515625" bestFit="1" customWidth="1"/>
    <col min="18" max="19" width="12.85546875" bestFit="1" customWidth="1"/>
    <col min="20" max="20" width="14.28515625" bestFit="1" customWidth="1"/>
    <col min="21" max="21" width="12.7109375" bestFit="1" customWidth="1"/>
    <col min="22" max="22" width="13.5703125" bestFit="1" customWidth="1"/>
    <col min="23" max="23" width="18.5703125" bestFit="1" customWidth="1"/>
  </cols>
  <sheetData>
    <row r="1" spans="1:23">
      <c r="B1" s="46" t="s">
        <v>520</v>
      </c>
      <c r="C1" s="46"/>
      <c r="D1" s="46"/>
      <c r="E1" s="46"/>
      <c r="F1" s="47" t="s">
        <v>521</v>
      </c>
      <c r="G1" s="47"/>
      <c r="H1" s="47"/>
      <c r="I1" s="47"/>
      <c r="J1" s="47"/>
      <c r="K1" s="47"/>
      <c r="L1" s="47"/>
      <c r="M1" s="47"/>
      <c r="N1" s="47"/>
      <c r="O1" s="49" t="s">
        <v>523</v>
      </c>
      <c r="P1" s="49"/>
      <c r="Q1" s="49"/>
      <c r="R1" s="48" t="s">
        <v>522</v>
      </c>
      <c r="S1" s="48"/>
      <c r="T1" s="48"/>
      <c r="U1" s="48"/>
      <c r="V1" s="48"/>
      <c r="W1" s="48"/>
    </row>
    <row r="2" spans="1:23">
      <c r="A2" s="5" t="s">
        <v>0</v>
      </c>
      <c r="B2" s="32" t="s">
        <v>429</v>
      </c>
      <c r="C2" s="32" t="s">
        <v>498</v>
      </c>
      <c r="D2" s="2" t="s">
        <v>430</v>
      </c>
      <c r="E2" s="2" t="s">
        <v>431</v>
      </c>
      <c r="F2" s="4" t="s">
        <v>438</v>
      </c>
      <c r="G2" s="4" t="s">
        <v>439</v>
      </c>
      <c r="H2" s="4" t="s">
        <v>440</v>
      </c>
      <c r="I2" s="4" t="s">
        <v>442</v>
      </c>
      <c r="J2" s="4" t="s">
        <v>441</v>
      </c>
      <c r="K2" s="4" t="s">
        <v>443</v>
      </c>
      <c r="L2" s="4" t="s">
        <v>444</v>
      </c>
      <c r="M2" s="4" t="s">
        <v>445</v>
      </c>
      <c r="N2" s="6" t="s">
        <v>446</v>
      </c>
      <c r="O2" s="6" t="s">
        <v>447</v>
      </c>
      <c r="P2" s="2" t="s">
        <v>448</v>
      </c>
      <c r="Q2" s="31" t="s">
        <v>506</v>
      </c>
      <c r="R2" s="6" t="s">
        <v>456</v>
      </c>
      <c r="S2" s="6" t="s">
        <v>472</v>
      </c>
      <c r="T2" s="6" t="s">
        <v>460</v>
      </c>
      <c r="U2" s="6" t="s">
        <v>461</v>
      </c>
      <c r="V2" s="6" t="s">
        <v>473</v>
      </c>
      <c r="W2" s="6" t="s">
        <v>474</v>
      </c>
    </row>
    <row r="3" spans="1:23" s="38" customFormat="1" ht="12.75">
      <c r="A3" s="36" t="s">
        <v>1</v>
      </c>
      <c r="B3" s="37">
        <v>1</v>
      </c>
      <c r="C3" s="38">
        <v>1</v>
      </c>
      <c r="D3" s="39" t="s">
        <v>432</v>
      </c>
      <c r="E3" s="37">
        <v>1</v>
      </c>
      <c r="F3" s="3">
        <v>27204</v>
      </c>
      <c r="G3" s="3">
        <v>29543</v>
      </c>
      <c r="H3" s="3">
        <v>13690</v>
      </c>
      <c r="I3" s="3">
        <v>4422</v>
      </c>
      <c r="J3" s="3">
        <v>3532</v>
      </c>
      <c r="K3" s="3">
        <v>17202</v>
      </c>
      <c r="L3" s="3">
        <v>12041</v>
      </c>
      <c r="M3" s="3">
        <v>12732</v>
      </c>
      <c r="N3" s="40">
        <v>642.35</v>
      </c>
      <c r="O3" s="40">
        <v>310000</v>
      </c>
      <c r="P3" s="38">
        <v>78.917773448399998</v>
      </c>
      <c r="Q3" s="38">
        <v>5</v>
      </c>
      <c r="R3" s="38">
        <f t="shared" ref="R3:R66" si="0">G3/N3</f>
        <v>45.99206040320697</v>
      </c>
      <c r="S3" s="41">
        <f>Rådatakommune[[#This Row],[B12]]/Rådatakommune[[#This Row],[B02]]-1</f>
        <v>8.5980002940744038E-2</v>
      </c>
      <c r="T3" s="41">
        <f>Rådatakommune[[#This Row],[Kvinner20-39]]/Rådatakommune[[#This Row],[B12]]</f>
        <v>0.11955454760857055</v>
      </c>
      <c r="U3" s="41">
        <f>Rådatakommune[[#This Row],[Eldre67+]]/Rådatakommune[[#This Row],[B12]]</f>
        <v>0.14968012727211183</v>
      </c>
      <c r="V3" s="41">
        <f>Rådatakommune[[#This Row],[S11]]/Rådatakommune[[#This Row],[S01]]-1</f>
        <v>5.7387260194335932E-2</v>
      </c>
      <c r="W3" s="41">
        <f>Rådatakommune[[#This Row],[Y11]]/Rådatakommune[[#This Row],[Folk20-64]]</f>
        <v>0.79583769329147769</v>
      </c>
    </row>
    <row r="4" spans="1:23" s="38" customFormat="1" ht="12.75">
      <c r="A4" s="36" t="s">
        <v>2</v>
      </c>
      <c r="B4" s="37">
        <v>1</v>
      </c>
      <c r="C4" s="38">
        <v>2</v>
      </c>
      <c r="D4" s="39" t="s">
        <v>432</v>
      </c>
      <c r="E4" s="37">
        <v>1</v>
      </c>
      <c r="F4" s="3">
        <v>27338</v>
      </c>
      <c r="G4" s="3">
        <v>30723</v>
      </c>
      <c r="H4" s="3">
        <v>14518</v>
      </c>
      <c r="I4" s="3">
        <v>4529</v>
      </c>
      <c r="J4" s="3">
        <v>3693</v>
      </c>
      <c r="K4" s="3">
        <v>18071</v>
      </c>
      <c r="L4" s="3">
        <v>13863</v>
      </c>
      <c r="M4" s="3">
        <v>14516</v>
      </c>
      <c r="N4" s="40">
        <v>63.5</v>
      </c>
      <c r="O4" s="40">
        <v>330900</v>
      </c>
      <c r="P4" s="38">
        <v>43.352067609999999</v>
      </c>
      <c r="Q4" s="38">
        <v>4</v>
      </c>
      <c r="R4" s="38">
        <f t="shared" si="0"/>
        <v>483.82677165354329</v>
      </c>
      <c r="S4" s="41">
        <f>Rådatakommune[[#This Row],[B12]]/Rådatakommune[[#This Row],[B02]]-1</f>
        <v>0.12382032335942639</v>
      </c>
      <c r="T4" s="41">
        <f>Rådatakommune[[#This Row],[Kvinner20-39]]/Rådatakommune[[#This Row],[B12]]</f>
        <v>0.12020310516551118</v>
      </c>
      <c r="U4" s="41">
        <f>Rådatakommune[[#This Row],[Eldre67+]]/Rådatakommune[[#This Row],[B12]]</f>
        <v>0.14741398951925266</v>
      </c>
      <c r="V4" s="41">
        <f>Rådatakommune[[#This Row],[S11]]/Rådatakommune[[#This Row],[S01]]-1</f>
        <v>4.7103801485969932E-2</v>
      </c>
      <c r="W4" s="41">
        <f>Rådatakommune[[#This Row],[Y11]]/Rådatakommune[[#This Row],[Folk20-64]]</f>
        <v>0.80338664158043271</v>
      </c>
    </row>
    <row r="5" spans="1:23" s="38" customFormat="1" ht="12.75">
      <c r="A5" s="36" t="s">
        <v>3</v>
      </c>
      <c r="B5" s="37">
        <v>1</v>
      </c>
      <c r="C5" s="38">
        <v>3</v>
      </c>
      <c r="D5" s="39" t="s">
        <v>432</v>
      </c>
      <c r="E5" s="37">
        <v>1</v>
      </c>
      <c r="F5" s="3">
        <v>48555</v>
      </c>
      <c r="G5" s="3">
        <v>53333</v>
      </c>
      <c r="H5" s="3">
        <v>24855</v>
      </c>
      <c r="I5" s="3">
        <v>7668</v>
      </c>
      <c r="J5" s="3">
        <v>6469</v>
      </c>
      <c r="K5" s="3">
        <v>31053</v>
      </c>
      <c r="L5" s="3">
        <v>21599</v>
      </c>
      <c r="M5" s="3">
        <v>23137</v>
      </c>
      <c r="N5" s="40">
        <v>405.72</v>
      </c>
      <c r="O5" s="40">
        <v>312700</v>
      </c>
      <c r="P5" s="38">
        <v>61.282189696099998</v>
      </c>
      <c r="Q5" s="38">
        <v>2</v>
      </c>
      <c r="R5" s="38">
        <f t="shared" si="0"/>
        <v>131.45272601794341</v>
      </c>
      <c r="S5" s="41">
        <f>Rådatakommune[[#This Row],[B12]]/Rådatakommune[[#This Row],[B02]]-1</f>
        <v>9.8403871897847717E-2</v>
      </c>
      <c r="T5" s="41">
        <f>Rådatakommune[[#This Row],[Kvinner20-39]]/Rådatakommune[[#This Row],[B12]]</f>
        <v>0.12129450809067557</v>
      </c>
      <c r="U5" s="41">
        <f>Rådatakommune[[#This Row],[Eldre67+]]/Rådatakommune[[#This Row],[B12]]</f>
        <v>0.14377589859936624</v>
      </c>
      <c r="V5" s="41">
        <f>Rådatakommune[[#This Row],[S11]]/Rådatakommune[[#This Row],[S01]]-1</f>
        <v>7.1207000324088998E-2</v>
      </c>
      <c r="W5" s="41">
        <f>Rådatakommune[[#This Row],[Y11]]/Rådatakommune[[#This Row],[Folk20-64]]</f>
        <v>0.80040575789778767</v>
      </c>
    </row>
    <row r="6" spans="1:23" s="38" customFormat="1" ht="12.75">
      <c r="A6" s="36" t="s">
        <v>4</v>
      </c>
      <c r="B6" s="37">
        <v>1</v>
      </c>
      <c r="C6" s="38">
        <v>3</v>
      </c>
      <c r="D6" s="39" t="s">
        <v>432</v>
      </c>
      <c r="E6" s="37">
        <v>1</v>
      </c>
      <c r="F6" s="3">
        <v>68505</v>
      </c>
      <c r="G6" s="3">
        <v>75583</v>
      </c>
      <c r="H6" s="3">
        <v>35973</v>
      </c>
      <c r="I6" s="3">
        <v>10892</v>
      </c>
      <c r="J6" s="3">
        <v>9055</v>
      </c>
      <c r="K6" s="3">
        <v>44290</v>
      </c>
      <c r="L6" s="3">
        <v>33011</v>
      </c>
      <c r="M6" s="3">
        <v>34851</v>
      </c>
      <c r="N6" s="40">
        <v>288.15999999999997</v>
      </c>
      <c r="O6" s="40">
        <v>323000</v>
      </c>
      <c r="P6" s="38">
        <v>65.471503438900001</v>
      </c>
      <c r="Q6" s="38">
        <v>2</v>
      </c>
      <c r="R6" s="38">
        <f t="shared" si="0"/>
        <v>262.29525263742369</v>
      </c>
      <c r="S6" s="41">
        <f>Rådatakommune[[#This Row],[B12]]/Rådatakommune[[#This Row],[B02]]-1</f>
        <v>0.10332092547989191</v>
      </c>
      <c r="T6" s="41">
        <f>Rådatakommune[[#This Row],[Kvinner20-39]]/Rådatakommune[[#This Row],[B12]]</f>
        <v>0.11980207189447363</v>
      </c>
      <c r="U6" s="41">
        <f>Rådatakommune[[#This Row],[Eldre67+]]/Rådatakommune[[#This Row],[B12]]</f>
        <v>0.14410647897013878</v>
      </c>
      <c r="V6" s="41">
        <f>Rådatakommune[[#This Row],[S11]]/Rådatakommune[[#This Row],[S01]]-1</f>
        <v>5.5738996092211668E-2</v>
      </c>
      <c r="W6" s="41">
        <f>Rådatakommune[[#This Row],[Y11]]/Rådatakommune[[#This Row],[Folk20-64]]</f>
        <v>0.81221494694061869</v>
      </c>
    </row>
    <row r="7" spans="1:23" s="38" customFormat="1" ht="12.75">
      <c r="A7" s="36" t="s">
        <v>5</v>
      </c>
      <c r="B7" s="37">
        <v>1</v>
      </c>
      <c r="C7" s="38">
        <v>3</v>
      </c>
      <c r="D7" s="39" t="s">
        <v>432</v>
      </c>
      <c r="E7" s="37">
        <v>1</v>
      </c>
      <c r="F7" s="3">
        <v>3588</v>
      </c>
      <c r="G7" s="3">
        <v>4206</v>
      </c>
      <c r="H7" s="3">
        <v>2106</v>
      </c>
      <c r="I7" s="3">
        <v>634</v>
      </c>
      <c r="J7" s="3">
        <v>391</v>
      </c>
      <c r="K7" s="3">
        <v>2492</v>
      </c>
      <c r="L7" s="3">
        <v>859</v>
      </c>
      <c r="M7" s="3">
        <v>1233</v>
      </c>
      <c r="N7" s="40">
        <v>89.55</v>
      </c>
      <c r="O7" s="40">
        <v>342100</v>
      </c>
      <c r="P7" s="38">
        <v>91.602707731899997</v>
      </c>
      <c r="Q7" s="38">
        <v>3</v>
      </c>
      <c r="R7" s="38">
        <f t="shared" si="0"/>
        <v>46.968174204355108</v>
      </c>
      <c r="S7" s="41">
        <f>Rådatakommune[[#This Row],[B12]]/Rådatakommune[[#This Row],[B02]]-1</f>
        <v>0.17224080267558528</v>
      </c>
      <c r="T7" s="41">
        <f>Rådatakommune[[#This Row],[Kvinner20-39]]/Rådatakommune[[#This Row],[B12]]</f>
        <v>9.2962434617213499E-2</v>
      </c>
      <c r="U7" s="41">
        <f>Rådatakommune[[#This Row],[Eldre67+]]/Rådatakommune[[#This Row],[B12]]</f>
        <v>0.15073704232049454</v>
      </c>
      <c r="V7" s="41">
        <f>Rådatakommune[[#This Row],[S11]]/Rådatakommune[[#This Row],[S01]]-1</f>
        <v>0.43538998835855636</v>
      </c>
      <c r="W7" s="41">
        <f>Rådatakommune[[#This Row],[Y11]]/Rådatakommune[[#This Row],[Folk20-64]]</f>
        <v>0.8451043338683788</v>
      </c>
    </row>
    <row r="8" spans="1:23" s="38" customFormat="1" ht="12.75">
      <c r="A8" s="36" t="s">
        <v>6</v>
      </c>
      <c r="B8" s="37">
        <v>1</v>
      </c>
      <c r="C8" s="38">
        <v>1</v>
      </c>
      <c r="D8" s="39" t="s">
        <v>433</v>
      </c>
      <c r="E8" s="37">
        <v>1</v>
      </c>
      <c r="F8" s="3">
        <v>1441</v>
      </c>
      <c r="G8" s="3">
        <v>1423</v>
      </c>
      <c r="H8" s="3">
        <v>677</v>
      </c>
      <c r="I8" s="3">
        <v>246</v>
      </c>
      <c r="J8" s="3">
        <v>137</v>
      </c>
      <c r="K8" s="3">
        <v>777</v>
      </c>
      <c r="L8" s="3">
        <v>372</v>
      </c>
      <c r="M8" s="3">
        <v>360</v>
      </c>
      <c r="N8" s="40">
        <v>319.27</v>
      </c>
      <c r="O8" s="40">
        <v>321500</v>
      </c>
      <c r="P8" s="38">
        <v>91.914837187499998</v>
      </c>
      <c r="Q8" s="38">
        <v>5</v>
      </c>
      <c r="R8" s="38">
        <f t="shared" si="0"/>
        <v>4.4570426284962572</v>
      </c>
      <c r="S8" s="41">
        <f>Rådatakommune[[#This Row],[B12]]/Rådatakommune[[#This Row],[B02]]-1</f>
        <v>-1.2491325468424685E-2</v>
      </c>
      <c r="T8" s="41">
        <f>Rådatakommune[[#This Row],[Kvinner20-39]]/Rådatakommune[[#This Row],[B12]]</f>
        <v>9.6275474349964862E-2</v>
      </c>
      <c r="U8" s="41">
        <f>Rådatakommune[[#This Row],[Eldre67+]]/Rådatakommune[[#This Row],[B12]]</f>
        <v>0.17287420941672524</v>
      </c>
      <c r="V8" s="41">
        <f>Rådatakommune[[#This Row],[S11]]/Rådatakommune[[#This Row],[S01]]-1</f>
        <v>-3.2258064516129004E-2</v>
      </c>
      <c r="W8" s="41">
        <f>Rådatakommune[[#This Row],[Y11]]/Rådatakommune[[#This Row],[Folk20-64]]</f>
        <v>0.8712998712998713</v>
      </c>
    </row>
    <row r="9" spans="1:23" s="38" customFormat="1" ht="12.75">
      <c r="A9" s="36" t="s">
        <v>7</v>
      </c>
      <c r="B9" s="37">
        <v>1</v>
      </c>
      <c r="C9" s="38">
        <v>4</v>
      </c>
      <c r="D9" s="39" t="s">
        <v>433</v>
      </c>
      <c r="E9" s="37">
        <v>1</v>
      </c>
      <c r="F9" s="3">
        <v>3319</v>
      </c>
      <c r="G9" s="3">
        <v>3518</v>
      </c>
      <c r="H9" s="3">
        <v>1684</v>
      </c>
      <c r="I9" s="3">
        <v>642</v>
      </c>
      <c r="J9" s="3">
        <v>361</v>
      </c>
      <c r="K9" s="3">
        <v>1982</v>
      </c>
      <c r="L9" s="3">
        <v>1205</v>
      </c>
      <c r="M9" s="3">
        <v>1208</v>
      </c>
      <c r="N9" s="40">
        <v>412.89</v>
      </c>
      <c r="O9" s="40">
        <v>300200</v>
      </c>
      <c r="P9" s="38">
        <v>68.578013070300003</v>
      </c>
      <c r="Q9" s="38">
        <v>5</v>
      </c>
      <c r="R9" s="38">
        <f t="shared" si="0"/>
        <v>8.5204291699968522</v>
      </c>
      <c r="S9" s="41">
        <f>Rådatakommune[[#This Row],[B12]]/Rådatakommune[[#This Row],[B02]]-1</f>
        <v>5.9957818620066217E-2</v>
      </c>
      <c r="T9" s="41">
        <f>Rådatakommune[[#This Row],[Kvinner20-39]]/Rådatakommune[[#This Row],[B12]]</f>
        <v>0.10261512222853894</v>
      </c>
      <c r="U9" s="41">
        <f>Rådatakommune[[#This Row],[Eldre67+]]/Rådatakommune[[#This Row],[B12]]</f>
        <v>0.1824900511654349</v>
      </c>
      <c r="V9" s="41">
        <f>Rådatakommune[[#This Row],[S11]]/Rådatakommune[[#This Row],[S01]]-1</f>
        <v>2.4896265560165887E-3</v>
      </c>
      <c r="W9" s="41">
        <f>Rådatakommune[[#This Row],[Y11]]/Rådatakommune[[#This Row],[Folk20-64]]</f>
        <v>0.84964682139253278</v>
      </c>
    </row>
    <row r="10" spans="1:23" s="38" customFormat="1" ht="12.75">
      <c r="A10" s="36" t="s">
        <v>8</v>
      </c>
      <c r="B10" s="37">
        <v>1</v>
      </c>
      <c r="C10" s="38">
        <v>5</v>
      </c>
      <c r="D10" s="39" t="s">
        <v>433</v>
      </c>
      <c r="E10" s="37">
        <v>1</v>
      </c>
      <c r="F10" s="3">
        <v>657</v>
      </c>
      <c r="G10" s="3">
        <v>688</v>
      </c>
      <c r="H10" s="3">
        <v>341</v>
      </c>
      <c r="I10" s="3">
        <v>138</v>
      </c>
      <c r="J10" s="3">
        <v>62</v>
      </c>
      <c r="K10" s="3">
        <v>375</v>
      </c>
      <c r="L10" s="3">
        <v>161</v>
      </c>
      <c r="M10" s="3">
        <v>220</v>
      </c>
      <c r="N10" s="40">
        <v>183.14</v>
      </c>
      <c r="O10" s="40">
        <v>327800</v>
      </c>
      <c r="P10" s="38">
        <v>68.026200476699998</v>
      </c>
      <c r="Q10" s="38">
        <v>1</v>
      </c>
      <c r="R10" s="38">
        <f t="shared" si="0"/>
        <v>3.7566888719012779</v>
      </c>
      <c r="S10" s="41">
        <f>Rådatakommune[[#This Row],[B12]]/Rådatakommune[[#This Row],[B02]]-1</f>
        <v>4.7184170471841647E-2</v>
      </c>
      <c r="T10" s="41">
        <f>Rådatakommune[[#This Row],[Kvinner20-39]]/Rådatakommune[[#This Row],[B12]]</f>
        <v>9.0116279069767435E-2</v>
      </c>
      <c r="U10" s="41">
        <f>Rådatakommune[[#This Row],[Eldre67+]]/Rådatakommune[[#This Row],[B12]]</f>
        <v>0.2005813953488372</v>
      </c>
      <c r="V10" s="41">
        <f>Rådatakommune[[#This Row],[S11]]/Rådatakommune[[#This Row],[S01]]-1</f>
        <v>0.36645962732919246</v>
      </c>
      <c r="W10" s="41">
        <f>Rådatakommune[[#This Row],[Y11]]/Rådatakommune[[#This Row],[Folk20-64]]</f>
        <v>0.90933333333333333</v>
      </c>
    </row>
    <row r="11" spans="1:23" s="38" customFormat="1" ht="12.75">
      <c r="A11" s="36" t="s">
        <v>9</v>
      </c>
      <c r="B11" s="37">
        <v>1</v>
      </c>
      <c r="C11" s="38">
        <v>4</v>
      </c>
      <c r="D11" s="39" t="s">
        <v>432</v>
      </c>
      <c r="E11" s="37">
        <v>1</v>
      </c>
      <c r="F11" s="3">
        <v>4952</v>
      </c>
      <c r="G11" s="3">
        <v>5219</v>
      </c>
      <c r="H11" s="3">
        <v>2624</v>
      </c>
      <c r="I11" s="3">
        <v>750</v>
      </c>
      <c r="J11" s="3">
        <v>577</v>
      </c>
      <c r="K11" s="3">
        <v>3058</v>
      </c>
      <c r="L11" s="3">
        <v>1336</v>
      </c>
      <c r="M11" s="3">
        <v>1481</v>
      </c>
      <c r="N11" s="40">
        <v>204.45000000000002</v>
      </c>
      <c r="O11" s="40">
        <v>321100</v>
      </c>
      <c r="P11" s="38">
        <v>55.735764319200001</v>
      </c>
      <c r="Q11" s="38">
        <v>5</v>
      </c>
      <c r="R11" s="38">
        <f t="shared" si="0"/>
        <v>25.527023722181461</v>
      </c>
      <c r="S11" s="41">
        <f>Rådatakommune[[#This Row],[B12]]/Rådatakommune[[#This Row],[B02]]-1</f>
        <v>5.3917609046849835E-2</v>
      </c>
      <c r="T11" s="41">
        <f>Rådatakommune[[#This Row],[Kvinner20-39]]/Rådatakommune[[#This Row],[B12]]</f>
        <v>0.11055757808009198</v>
      </c>
      <c r="U11" s="41">
        <f>Rådatakommune[[#This Row],[Eldre67+]]/Rådatakommune[[#This Row],[B12]]</f>
        <v>0.14370569074535353</v>
      </c>
      <c r="V11" s="41">
        <f>Rådatakommune[[#This Row],[S11]]/Rådatakommune[[#This Row],[S01]]-1</f>
        <v>0.10853293413173648</v>
      </c>
      <c r="W11" s="41">
        <f>Rådatakommune[[#This Row],[Y11]]/Rådatakommune[[#This Row],[Folk20-64]]</f>
        <v>0.85807717462393718</v>
      </c>
    </row>
    <row r="12" spans="1:23" s="38" customFormat="1" ht="12.75">
      <c r="A12" s="36" t="s">
        <v>10</v>
      </c>
      <c r="B12" s="37">
        <v>1</v>
      </c>
      <c r="C12" s="38">
        <v>5</v>
      </c>
      <c r="D12" s="39" t="s">
        <v>432</v>
      </c>
      <c r="E12" s="37">
        <v>1</v>
      </c>
      <c r="F12" s="3">
        <v>4670</v>
      </c>
      <c r="G12" s="3">
        <v>5348</v>
      </c>
      <c r="H12" s="3">
        <v>2693</v>
      </c>
      <c r="I12" s="3">
        <v>745</v>
      </c>
      <c r="J12" s="3">
        <v>665</v>
      </c>
      <c r="K12" s="3">
        <v>3097</v>
      </c>
      <c r="L12" s="3">
        <v>1589</v>
      </c>
      <c r="M12" s="3">
        <v>2148</v>
      </c>
      <c r="N12" s="40">
        <v>142.03</v>
      </c>
      <c r="O12" s="40">
        <v>344700</v>
      </c>
      <c r="P12" s="38">
        <v>39.7032359146</v>
      </c>
      <c r="Q12" s="38">
        <v>1</v>
      </c>
      <c r="R12" s="38">
        <f t="shared" si="0"/>
        <v>37.654016757023165</v>
      </c>
      <c r="S12" s="41">
        <f>Rådatakommune[[#This Row],[B12]]/Rådatakommune[[#This Row],[B02]]-1</f>
        <v>0.14518201284796572</v>
      </c>
      <c r="T12" s="41">
        <f>Rådatakommune[[#This Row],[Kvinner20-39]]/Rådatakommune[[#This Row],[B12]]</f>
        <v>0.1243455497382199</v>
      </c>
      <c r="U12" s="41">
        <f>Rådatakommune[[#This Row],[Eldre67+]]/Rådatakommune[[#This Row],[B12]]</f>
        <v>0.13930441286462228</v>
      </c>
      <c r="V12" s="41">
        <f>Rådatakommune[[#This Row],[S11]]/Rådatakommune[[#This Row],[S01]]-1</f>
        <v>0.35179358086847068</v>
      </c>
      <c r="W12" s="41">
        <f>Rådatakommune[[#This Row],[Y11]]/Rådatakommune[[#This Row],[Folk20-64]]</f>
        <v>0.86955117855989672</v>
      </c>
    </row>
    <row r="13" spans="1:23" s="38" customFormat="1" ht="12.75">
      <c r="A13" s="36" t="s">
        <v>11</v>
      </c>
      <c r="B13" s="37">
        <v>1</v>
      </c>
      <c r="C13" s="38">
        <v>4</v>
      </c>
      <c r="D13" s="39" t="s">
        <v>432</v>
      </c>
      <c r="E13" s="37">
        <v>1</v>
      </c>
      <c r="F13" s="3">
        <v>13673</v>
      </c>
      <c r="G13" s="3">
        <v>15096</v>
      </c>
      <c r="H13" s="3">
        <v>7126</v>
      </c>
      <c r="I13" s="3">
        <v>2017</v>
      </c>
      <c r="J13" s="3">
        <v>1762</v>
      </c>
      <c r="K13" s="3">
        <v>8925</v>
      </c>
      <c r="L13" s="3">
        <v>5800</v>
      </c>
      <c r="M13" s="3">
        <v>5849</v>
      </c>
      <c r="N13" s="40">
        <v>69.16</v>
      </c>
      <c r="O13" s="40">
        <v>322200</v>
      </c>
      <c r="P13" s="38">
        <v>43.567340327499998</v>
      </c>
      <c r="Q13" s="38">
        <v>5</v>
      </c>
      <c r="R13" s="38">
        <f t="shared" si="0"/>
        <v>218.27646038172355</v>
      </c>
      <c r="S13" s="41">
        <f>Rådatakommune[[#This Row],[B12]]/Rådatakommune[[#This Row],[B02]]-1</f>
        <v>0.10407372193373798</v>
      </c>
      <c r="T13" s="41">
        <f>Rådatakommune[[#This Row],[Kvinner20-39]]/Rådatakommune[[#This Row],[B12]]</f>
        <v>0.11671966083730789</v>
      </c>
      <c r="U13" s="41">
        <f>Rådatakommune[[#This Row],[Eldre67+]]/Rådatakommune[[#This Row],[B12]]</f>
        <v>0.13361155272919978</v>
      </c>
      <c r="V13" s="41">
        <f>Rådatakommune[[#This Row],[S11]]/Rådatakommune[[#This Row],[S01]]-1</f>
        <v>8.4482758620689768E-3</v>
      </c>
      <c r="W13" s="41">
        <f>Rådatakommune[[#This Row],[Y11]]/Rådatakommune[[#This Row],[Folk20-64]]</f>
        <v>0.79843137254901964</v>
      </c>
    </row>
    <row r="14" spans="1:23" s="38" customFormat="1" ht="12.75">
      <c r="A14" s="36" t="s">
        <v>12</v>
      </c>
      <c r="B14" s="37">
        <v>1</v>
      </c>
      <c r="C14" s="38">
        <v>4</v>
      </c>
      <c r="D14" s="39" t="s">
        <v>432</v>
      </c>
      <c r="E14" s="37">
        <v>1</v>
      </c>
      <c r="F14" s="3">
        <v>9919</v>
      </c>
      <c r="G14" s="3">
        <v>11049</v>
      </c>
      <c r="H14" s="3">
        <v>5329</v>
      </c>
      <c r="I14" s="3">
        <v>1618</v>
      </c>
      <c r="J14" s="3">
        <v>1286</v>
      </c>
      <c r="K14" s="3">
        <v>6361</v>
      </c>
      <c r="L14" s="3">
        <v>4476</v>
      </c>
      <c r="M14" s="3">
        <v>4851</v>
      </c>
      <c r="N14" s="40">
        <v>235.91</v>
      </c>
      <c r="O14" s="40">
        <v>315700</v>
      </c>
      <c r="P14" s="38">
        <v>53.954692457199997</v>
      </c>
      <c r="Q14" s="38">
        <v>5</v>
      </c>
      <c r="R14" s="38">
        <f t="shared" si="0"/>
        <v>46.835657666059092</v>
      </c>
      <c r="S14" s="41">
        <f>Rådatakommune[[#This Row],[B12]]/Rådatakommune[[#This Row],[B02]]-1</f>
        <v>0.11392277447323318</v>
      </c>
      <c r="T14" s="41">
        <f>Rådatakommune[[#This Row],[Kvinner20-39]]/Rådatakommune[[#This Row],[B12]]</f>
        <v>0.11639062358584487</v>
      </c>
      <c r="U14" s="41">
        <f>Rådatakommune[[#This Row],[Eldre67+]]/Rådatakommune[[#This Row],[B12]]</f>
        <v>0.14643859172775817</v>
      </c>
      <c r="V14" s="41">
        <f>Rådatakommune[[#This Row],[S11]]/Rådatakommune[[#This Row],[S01]]-1</f>
        <v>8.3780160857908736E-2</v>
      </c>
      <c r="W14" s="41">
        <f>Rådatakommune[[#This Row],[Y11]]/Rådatakommune[[#This Row],[Folk20-64]]</f>
        <v>0.83776135827700049</v>
      </c>
    </row>
    <row r="15" spans="1:23" s="38" customFormat="1" ht="12.75">
      <c r="A15" s="36" t="s">
        <v>13</v>
      </c>
      <c r="B15" s="37">
        <v>1</v>
      </c>
      <c r="C15" s="38">
        <v>4</v>
      </c>
      <c r="D15" s="39" t="s">
        <v>432</v>
      </c>
      <c r="E15" s="37">
        <v>1</v>
      </c>
      <c r="F15" s="3">
        <v>3258</v>
      </c>
      <c r="G15" s="3">
        <v>3631</v>
      </c>
      <c r="H15" s="3">
        <v>1806</v>
      </c>
      <c r="I15" s="3">
        <v>455</v>
      </c>
      <c r="J15" s="3">
        <v>423</v>
      </c>
      <c r="K15" s="3">
        <v>2085</v>
      </c>
      <c r="L15" s="3">
        <v>798</v>
      </c>
      <c r="M15" s="3">
        <v>1044</v>
      </c>
      <c r="N15" s="40">
        <v>101.21000000000001</v>
      </c>
      <c r="O15" s="40">
        <v>323500</v>
      </c>
      <c r="P15" s="38">
        <v>52.956932457199997</v>
      </c>
      <c r="Q15" s="38">
        <v>5</v>
      </c>
      <c r="R15" s="38">
        <f t="shared" si="0"/>
        <v>35.875901590751901</v>
      </c>
      <c r="S15" s="41">
        <f>Rådatakommune[[#This Row],[B12]]/Rådatakommune[[#This Row],[B02]]-1</f>
        <v>0.11448741559238806</v>
      </c>
      <c r="T15" s="41">
        <f>Rådatakommune[[#This Row],[Kvinner20-39]]/Rådatakommune[[#This Row],[B12]]</f>
        <v>0.11649683282842192</v>
      </c>
      <c r="U15" s="41">
        <f>Rådatakommune[[#This Row],[Eldre67+]]/Rådatakommune[[#This Row],[B12]]</f>
        <v>0.12530983200220325</v>
      </c>
      <c r="V15" s="41">
        <f>Rådatakommune[[#This Row],[S11]]/Rådatakommune[[#This Row],[S01]]-1</f>
        <v>0.30827067669172936</v>
      </c>
      <c r="W15" s="41">
        <f>Rådatakommune[[#This Row],[Y11]]/Rådatakommune[[#This Row],[Folk20-64]]</f>
        <v>0.86618705035971222</v>
      </c>
    </row>
    <row r="16" spans="1:23" s="38" customFormat="1" ht="12.75">
      <c r="A16" s="36" t="s">
        <v>14</v>
      </c>
      <c r="B16" s="37">
        <v>1</v>
      </c>
      <c r="C16" s="38">
        <v>3</v>
      </c>
      <c r="D16" s="39" t="s">
        <v>432</v>
      </c>
      <c r="E16" s="37">
        <v>1</v>
      </c>
      <c r="F16" s="3">
        <v>7159</v>
      </c>
      <c r="G16" s="3">
        <v>7698</v>
      </c>
      <c r="H16" s="3">
        <v>3840</v>
      </c>
      <c r="I16" s="3">
        <v>1152</v>
      </c>
      <c r="J16" s="3">
        <v>861</v>
      </c>
      <c r="K16" s="3">
        <v>4498</v>
      </c>
      <c r="L16" s="3">
        <v>3009</v>
      </c>
      <c r="M16" s="3">
        <v>3494</v>
      </c>
      <c r="N16" s="40">
        <v>434.71</v>
      </c>
      <c r="O16" s="40">
        <v>320200</v>
      </c>
      <c r="P16" s="38">
        <v>61.598186693599999</v>
      </c>
      <c r="Q16" s="38">
        <v>2</v>
      </c>
      <c r="R16" s="38">
        <f t="shared" si="0"/>
        <v>17.708357295668378</v>
      </c>
      <c r="S16" s="41">
        <f>Rådatakommune[[#This Row],[B12]]/Rådatakommune[[#This Row],[B02]]-1</f>
        <v>7.5289844950412022E-2</v>
      </c>
      <c r="T16" s="41">
        <f>Rådatakommune[[#This Row],[Kvinner20-39]]/Rådatakommune[[#This Row],[B12]]</f>
        <v>0.11184723304754482</v>
      </c>
      <c r="U16" s="41">
        <f>Rådatakommune[[#This Row],[Eldre67+]]/Rådatakommune[[#This Row],[B12]]</f>
        <v>0.14964925954793454</v>
      </c>
      <c r="V16" s="41">
        <f>Rådatakommune[[#This Row],[S11]]/Rådatakommune[[#This Row],[S01]]-1</f>
        <v>0.16118311731472246</v>
      </c>
      <c r="W16" s="41">
        <f>Rådatakommune[[#This Row],[Y11]]/Rådatakommune[[#This Row],[Folk20-64]]</f>
        <v>0.85371276122721207</v>
      </c>
    </row>
    <row r="17" spans="1:23" s="38" customFormat="1" ht="12.75">
      <c r="A17" s="36" t="s">
        <v>15</v>
      </c>
      <c r="B17" s="37">
        <v>1</v>
      </c>
      <c r="C17" s="38">
        <v>3</v>
      </c>
      <c r="D17" s="39" t="s">
        <v>432</v>
      </c>
      <c r="E17" s="37">
        <v>1</v>
      </c>
      <c r="F17" s="3">
        <v>6388</v>
      </c>
      <c r="G17" s="3">
        <v>6987</v>
      </c>
      <c r="H17" s="3">
        <v>3564</v>
      </c>
      <c r="I17" s="3">
        <v>1066</v>
      </c>
      <c r="J17" s="3">
        <v>736</v>
      </c>
      <c r="K17" s="3">
        <v>4020</v>
      </c>
      <c r="L17" s="3">
        <v>1998</v>
      </c>
      <c r="M17" s="3">
        <v>2711</v>
      </c>
      <c r="N17" s="40">
        <v>118.7</v>
      </c>
      <c r="O17" s="40">
        <v>340300</v>
      </c>
      <c r="P17" s="38">
        <v>50.793962371500001</v>
      </c>
      <c r="Q17" s="38">
        <v>2</v>
      </c>
      <c r="R17" s="38">
        <f t="shared" si="0"/>
        <v>58.86267902274642</v>
      </c>
      <c r="S17" s="41">
        <f>Rådatakommune[[#This Row],[B12]]/Rådatakommune[[#This Row],[B02]]-1</f>
        <v>9.3769567939887333E-2</v>
      </c>
      <c r="T17" s="41">
        <f>Rådatakommune[[#This Row],[Kvinner20-39]]/Rådatakommune[[#This Row],[B12]]</f>
        <v>0.10533848575926721</v>
      </c>
      <c r="U17" s="41">
        <f>Rådatakommune[[#This Row],[Eldre67+]]/Rådatakommune[[#This Row],[B12]]</f>
        <v>0.1525690568198082</v>
      </c>
      <c r="V17" s="41">
        <f>Rådatakommune[[#This Row],[S11]]/Rådatakommune[[#This Row],[S01]]-1</f>
        <v>0.35685685685685686</v>
      </c>
      <c r="W17" s="41">
        <f>Rådatakommune[[#This Row],[Y11]]/Rådatakommune[[#This Row],[Folk20-64]]</f>
        <v>0.88656716417910453</v>
      </c>
    </row>
    <row r="18" spans="1:23" s="38" customFormat="1" ht="12.75">
      <c r="A18" s="36" t="s">
        <v>16</v>
      </c>
      <c r="B18" s="37">
        <v>1</v>
      </c>
      <c r="C18" s="38">
        <v>2</v>
      </c>
      <c r="D18" s="39" t="s">
        <v>432</v>
      </c>
      <c r="E18" s="37">
        <v>1</v>
      </c>
      <c r="F18" s="3">
        <v>13539</v>
      </c>
      <c r="G18" s="3">
        <v>14691</v>
      </c>
      <c r="H18" s="3">
        <v>7202</v>
      </c>
      <c r="I18" s="3">
        <v>2083</v>
      </c>
      <c r="J18" s="3">
        <v>1595</v>
      </c>
      <c r="K18" s="3">
        <v>8425</v>
      </c>
      <c r="L18" s="3">
        <v>5398</v>
      </c>
      <c r="M18" s="3">
        <v>5944</v>
      </c>
      <c r="N18" s="40">
        <v>74.150000000000006</v>
      </c>
      <c r="O18" s="40">
        <v>352000</v>
      </c>
      <c r="P18" s="38">
        <v>45.623984997800001</v>
      </c>
      <c r="Q18" s="38">
        <v>4</v>
      </c>
      <c r="R18" s="38">
        <f t="shared" si="0"/>
        <v>198.12542144302088</v>
      </c>
      <c r="S18" s="41">
        <f>Rådatakommune[[#This Row],[B12]]/Rådatakommune[[#This Row],[B02]]-1</f>
        <v>8.508752492798588E-2</v>
      </c>
      <c r="T18" s="41">
        <f>Rådatakommune[[#This Row],[Kvinner20-39]]/Rådatakommune[[#This Row],[B12]]</f>
        <v>0.10856987271118372</v>
      </c>
      <c r="U18" s="41">
        <f>Rådatakommune[[#This Row],[Eldre67+]]/Rådatakommune[[#This Row],[B12]]</f>
        <v>0.14178748893880608</v>
      </c>
      <c r="V18" s="41">
        <f>Rådatakommune[[#This Row],[S11]]/Rådatakommune[[#This Row],[S01]]-1</f>
        <v>0.10114857354575779</v>
      </c>
      <c r="W18" s="41">
        <f>Rådatakommune[[#This Row],[Y11]]/Rådatakommune[[#This Row],[Folk20-64]]</f>
        <v>0.85483679525222556</v>
      </c>
    </row>
    <row r="19" spans="1:23" s="38" customFormat="1" ht="12.75">
      <c r="A19" s="36" t="s">
        <v>17</v>
      </c>
      <c r="B19" s="37">
        <v>1</v>
      </c>
      <c r="C19" s="38">
        <v>2</v>
      </c>
      <c r="D19" s="39" t="s">
        <v>432</v>
      </c>
      <c r="E19" s="37">
        <v>1</v>
      </c>
      <c r="F19" s="3">
        <v>4126</v>
      </c>
      <c r="G19" s="3">
        <v>4705</v>
      </c>
      <c r="H19" s="3">
        <v>2482</v>
      </c>
      <c r="I19" s="3">
        <v>527</v>
      </c>
      <c r="J19" s="3">
        <v>547</v>
      </c>
      <c r="K19" s="3">
        <v>2778</v>
      </c>
      <c r="L19" s="3">
        <v>1101</v>
      </c>
      <c r="M19" s="3">
        <v>1316</v>
      </c>
      <c r="N19" s="40">
        <v>256.95999999999998</v>
      </c>
      <c r="O19" s="40">
        <v>345500</v>
      </c>
      <c r="P19" s="38">
        <v>43.602192132200003</v>
      </c>
      <c r="Q19" s="38">
        <v>4</v>
      </c>
      <c r="R19" s="38">
        <f t="shared" si="0"/>
        <v>18.31024283935243</v>
      </c>
      <c r="S19" s="41">
        <f>Rådatakommune[[#This Row],[B12]]/Rådatakommune[[#This Row],[B02]]-1</f>
        <v>0.14032961706253033</v>
      </c>
      <c r="T19" s="41">
        <f>Rådatakommune[[#This Row],[Kvinner20-39]]/Rådatakommune[[#This Row],[B12]]</f>
        <v>0.11625929861849096</v>
      </c>
      <c r="U19" s="41">
        <f>Rådatakommune[[#This Row],[Eldre67+]]/Rådatakommune[[#This Row],[B12]]</f>
        <v>0.11200850159404889</v>
      </c>
      <c r="V19" s="41">
        <f>Rådatakommune[[#This Row],[S11]]/Rådatakommune[[#This Row],[S01]]-1</f>
        <v>0.19527702089010002</v>
      </c>
      <c r="W19" s="41">
        <f>Rådatakommune[[#This Row],[Y11]]/Rådatakommune[[#This Row],[Folk20-64]]</f>
        <v>0.89344852411807052</v>
      </c>
    </row>
    <row r="20" spans="1:23" s="38" customFormat="1" ht="12.75">
      <c r="A20" s="36" t="s">
        <v>18</v>
      </c>
      <c r="B20" s="37">
        <v>1</v>
      </c>
      <c r="C20" s="38">
        <v>5</v>
      </c>
      <c r="D20" s="39" t="s">
        <v>432</v>
      </c>
      <c r="E20" s="37">
        <v>1</v>
      </c>
      <c r="F20" s="3">
        <v>4455</v>
      </c>
      <c r="G20" s="3">
        <v>4911</v>
      </c>
      <c r="H20" s="3">
        <v>2604</v>
      </c>
      <c r="I20" s="3">
        <v>562</v>
      </c>
      <c r="J20" s="3">
        <v>575</v>
      </c>
      <c r="K20" s="3">
        <v>2981</v>
      </c>
      <c r="L20" s="3">
        <v>1004</v>
      </c>
      <c r="M20" s="3">
        <v>1115</v>
      </c>
      <c r="N20" s="40">
        <v>140.38999999999999</v>
      </c>
      <c r="O20" s="40">
        <v>336800</v>
      </c>
      <c r="P20" s="38">
        <v>32.984666064899997</v>
      </c>
      <c r="Q20" s="38">
        <v>1</v>
      </c>
      <c r="R20" s="38">
        <f t="shared" si="0"/>
        <v>34.98112401168175</v>
      </c>
      <c r="S20" s="41">
        <f>Rådatakommune[[#This Row],[B12]]/Rådatakommune[[#This Row],[B02]]-1</f>
        <v>0.10235690235690242</v>
      </c>
      <c r="T20" s="41">
        <f>Rådatakommune[[#This Row],[Kvinner20-39]]/Rådatakommune[[#This Row],[B12]]</f>
        <v>0.1170840969252698</v>
      </c>
      <c r="U20" s="41">
        <f>Rådatakommune[[#This Row],[Eldre67+]]/Rådatakommune[[#This Row],[B12]]</f>
        <v>0.11443697821217674</v>
      </c>
      <c r="V20" s="41">
        <f>Rådatakommune[[#This Row],[S11]]/Rådatakommune[[#This Row],[S01]]-1</f>
        <v>0.11055776892430269</v>
      </c>
      <c r="W20" s="41">
        <f>Rådatakommune[[#This Row],[Y11]]/Rådatakommune[[#This Row],[Folk20-64]]</f>
        <v>0.8735323716873532</v>
      </c>
    </row>
    <row r="21" spans="1:23" s="38" customFormat="1" ht="12.75">
      <c r="A21" s="42" t="s">
        <v>19</v>
      </c>
      <c r="B21" s="37">
        <v>2</v>
      </c>
      <c r="C21" s="38">
        <v>5</v>
      </c>
      <c r="D21" s="39" t="s">
        <v>432</v>
      </c>
      <c r="E21" s="37">
        <v>1</v>
      </c>
      <c r="F21" s="3">
        <v>12515</v>
      </c>
      <c r="G21" s="3">
        <v>15143</v>
      </c>
      <c r="H21" s="3">
        <v>7909</v>
      </c>
      <c r="I21" s="3">
        <v>1643</v>
      </c>
      <c r="J21" s="3">
        <v>1790</v>
      </c>
      <c r="K21" s="3">
        <v>8878</v>
      </c>
      <c r="L21" s="3">
        <v>3786</v>
      </c>
      <c r="M21" s="3">
        <v>6187</v>
      </c>
      <c r="N21" s="40">
        <v>133.94000000000003</v>
      </c>
      <c r="O21" s="40">
        <v>376900</v>
      </c>
      <c r="P21" s="38">
        <v>28.645814424499999</v>
      </c>
      <c r="Q21" s="38">
        <v>1</v>
      </c>
      <c r="R21" s="38">
        <f t="shared" si="0"/>
        <v>113.05808571001938</v>
      </c>
      <c r="S21" s="41">
        <f>Rådatakommune[[#This Row],[B12]]/Rådatakommune[[#This Row],[B02]]-1</f>
        <v>0.20998801438274062</v>
      </c>
      <c r="T21" s="41">
        <f>Rådatakommune[[#This Row],[Kvinner20-39]]/Rådatakommune[[#This Row],[B12]]</f>
        <v>0.11820643201479231</v>
      </c>
      <c r="U21" s="41">
        <f>Rådatakommune[[#This Row],[Eldre67+]]/Rådatakommune[[#This Row],[B12]]</f>
        <v>0.1084989764247507</v>
      </c>
      <c r="V21" s="41">
        <f>Rådatakommune[[#This Row],[S11]]/Rådatakommune[[#This Row],[S01]]-1</f>
        <v>0.6341785525620709</v>
      </c>
      <c r="W21" s="41">
        <f>Rådatakommune[[#This Row],[Y11]]/Rådatakommune[[#This Row],[Folk20-64]]</f>
        <v>0.89085379589997749</v>
      </c>
    </row>
    <row r="22" spans="1:23" s="38" customFormat="1" ht="12.75">
      <c r="A22" s="42" t="s">
        <v>20</v>
      </c>
      <c r="B22" s="37">
        <v>2</v>
      </c>
      <c r="C22" s="38">
        <v>5</v>
      </c>
      <c r="D22" s="39" t="s">
        <v>432</v>
      </c>
      <c r="E22" s="37">
        <v>1</v>
      </c>
      <c r="F22" s="3">
        <v>25763</v>
      </c>
      <c r="G22" s="3">
        <v>28970</v>
      </c>
      <c r="H22" s="3">
        <v>14937</v>
      </c>
      <c r="I22" s="3">
        <v>3441</v>
      </c>
      <c r="J22" s="3">
        <v>3405</v>
      </c>
      <c r="K22" s="3">
        <v>16747</v>
      </c>
      <c r="L22" s="3">
        <v>11048</v>
      </c>
      <c r="M22" s="3">
        <v>13506</v>
      </c>
      <c r="N22" s="40">
        <v>165.53</v>
      </c>
      <c r="O22" s="40">
        <v>385900</v>
      </c>
      <c r="P22" s="38">
        <v>22.093889002600001</v>
      </c>
      <c r="Q22" s="38">
        <v>1</v>
      </c>
      <c r="R22" s="38">
        <f t="shared" si="0"/>
        <v>175.0135927022292</v>
      </c>
      <c r="S22" s="41">
        <f>Rådatakommune[[#This Row],[B12]]/Rådatakommune[[#This Row],[B02]]-1</f>
        <v>0.1244808446221326</v>
      </c>
      <c r="T22" s="41">
        <f>Rådatakommune[[#This Row],[Kvinner20-39]]/Rådatakommune[[#This Row],[B12]]</f>
        <v>0.11753538142906456</v>
      </c>
      <c r="U22" s="41">
        <f>Rådatakommune[[#This Row],[Eldre67+]]/Rådatakommune[[#This Row],[B12]]</f>
        <v>0.11877804625474629</v>
      </c>
      <c r="V22" s="41">
        <f>Rådatakommune[[#This Row],[S11]]/Rådatakommune[[#This Row],[S01]]-1</f>
        <v>0.22248370745836343</v>
      </c>
      <c r="W22" s="41">
        <f>Rådatakommune[[#This Row],[Y11]]/Rådatakommune[[#This Row],[Folk20-64]]</f>
        <v>0.89192094106407116</v>
      </c>
    </row>
    <row r="23" spans="1:23" s="38" customFormat="1" ht="12.75">
      <c r="A23" s="42" t="s">
        <v>21</v>
      </c>
      <c r="B23" s="37">
        <v>2</v>
      </c>
      <c r="C23" s="38">
        <v>5</v>
      </c>
      <c r="D23" s="39" t="s">
        <v>432</v>
      </c>
      <c r="E23" s="37">
        <v>1</v>
      </c>
      <c r="F23" s="3">
        <v>14037</v>
      </c>
      <c r="G23" s="3">
        <v>17284</v>
      </c>
      <c r="H23" s="3">
        <v>8905</v>
      </c>
      <c r="I23" s="3">
        <v>2020</v>
      </c>
      <c r="J23" s="3">
        <v>2346</v>
      </c>
      <c r="K23" s="3">
        <v>10308</v>
      </c>
      <c r="L23" s="3">
        <v>6654</v>
      </c>
      <c r="M23" s="3">
        <v>7949</v>
      </c>
      <c r="N23" s="40">
        <v>103.11</v>
      </c>
      <c r="O23" s="40">
        <v>355200</v>
      </c>
      <c r="P23" s="38">
        <v>27.831666064899999</v>
      </c>
      <c r="Q23" s="38">
        <v>1</v>
      </c>
      <c r="R23" s="38">
        <f t="shared" si="0"/>
        <v>167.626806323344</v>
      </c>
      <c r="S23" s="41">
        <f>Rådatakommune[[#This Row],[B12]]/Rådatakommune[[#This Row],[B02]]-1</f>
        <v>0.23131723302700014</v>
      </c>
      <c r="T23" s="41">
        <f>Rådatakommune[[#This Row],[Kvinner20-39]]/Rådatakommune[[#This Row],[B12]]</f>
        <v>0.13573246933580191</v>
      </c>
      <c r="U23" s="41">
        <f>Rådatakommune[[#This Row],[Eldre67+]]/Rådatakommune[[#This Row],[B12]]</f>
        <v>0.11687109465401527</v>
      </c>
      <c r="V23" s="41">
        <f>Rådatakommune[[#This Row],[S11]]/Rådatakommune[[#This Row],[S01]]-1</f>
        <v>0.19461977757739701</v>
      </c>
      <c r="W23" s="41">
        <f>Rådatakommune[[#This Row],[Y11]]/Rådatakommune[[#This Row],[Folk20-64]]</f>
        <v>0.86389212262320525</v>
      </c>
    </row>
    <row r="24" spans="1:23" s="38" customFormat="1" ht="12.75">
      <c r="A24" s="42" t="s">
        <v>22</v>
      </c>
      <c r="B24" s="37">
        <v>2</v>
      </c>
      <c r="C24" s="38">
        <v>5</v>
      </c>
      <c r="D24" s="39" t="s">
        <v>432</v>
      </c>
      <c r="E24" s="37">
        <v>1</v>
      </c>
      <c r="F24" s="3">
        <v>12962</v>
      </c>
      <c r="G24" s="3">
        <v>15154</v>
      </c>
      <c r="H24" s="3">
        <v>7725</v>
      </c>
      <c r="I24" s="3">
        <v>2027</v>
      </c>
      <c r="J24" s="3">
        <v>1615</v>
      </c>
      <c r="K24" s="3">
        <v>8709</v>
      </c>
      <c r="L24" s="3">
        <v>3585</v>
      </c>
      <c r="M24" s="3">
        <v>4166</v>
      </c>
      <c r="N24" s="40">
        <v>85.66</v>
      </c>
      <c r="O24" s="40">
        <v>414800</v>
      </c>
      <c r="P24" s="38">
        <v>30.311343656599998</v>
      </c>
      <c r="Q24" s="38">
        <v>1</v>
      </c>
      <c r="R24" s="38">
        <f t="shared" si="0"/>
        <v>176.90870884893766</v>
      </c>
      <c r="S24" s="41">
        <f>Rådatakommune[[#This Row],[B12]]/Rådatakommune[[#This Row],[B02]]-1</f>
        <v>0.16910970529239311</v>
      </c>
      <c r="T24" s="41">
        <f>Rådatakommune[[#This Row],[Kvinner20-39]]/Rådatakommune[[#This Row],[B12]]</f>
        <v>0.10657252210637455</v>
      </c>
      <c r="U24" s="41">
        <f>Rådatakommune[[#This Row],[Eldre67+]]/Rådatakommune[[#This Row],[B12]]</f>
        <v>0.13376006334961066</v>
      </c>
      <c r="V24" s="41">
        <f>Rådatakommune[[#This Row],[S11]]/Rådatakommune[[#This Row],[S01]]-1</f>
        <v>0.16206415620641557</v>
      </c>
      <c r="W24" s="41">
        <f>Rådatakommune[[#This Row],[Y11]]/Rådatakommune[[#This Row],[Folk20-64]]</f>
        <v>0.88701343437822944</v>
      </c>
    </row>
    <row r="25" spans="1:23" s="38" customFormat="1" ht="12.75">
      <c r="A25" s="42" t="s">
        <v>23</v>
      </c>
      <c r="B25" s="37">
        <v>2</v>
      </c>
      <c r="C25" s="38">
        <v>5</v>
      </c>
      <c r="D25" s="39" t="s">
        <v>432</v>
      </c>
      <c r="E25" s="37">
        <v>1</v>
      </c>
      <c r="F25" s="3">
        <v>15777</v>
      </c>
      <c r="G25" s="3">
        <v>17809</v>
      </c>
      <c r="H25" s="3">
        <v>9091</v>
      </c>
      <c r="I25" s="3">
        <v>1950</v>
      </c>
      <c r="J25" s="3">
        <v>1969</v>
      </c>
      <c r="K25" s="3">
        <v>10451</v>
      </c>
      <c r="L25" s="3">
        <v>3854</v>
      </c>
      <c r="M25" s="3">
        <v>4317</v>
      </c>
      <c r="N25" s="40">
        <v>61.48</v>
      </c>
      <c r="O25" s="40">
        <v>377900</v>
      </c>
      <c r="P25" s="38">
        <v>41.235457695400001</v>
      </c>
      <c r="Q25" s="38">
        <v>1</v>
      </c>
      <c r="R25" s="38">
        <f t="shared" si="0"/>
        <v>289.67143786597268</v>
      </c>
      <c r="S25" s="41">
        <f>Rådatakommune[[#This Row],[B12]]/Rådatakommune[[#This Row],[B02]]-1</f>
        <v>0.12879508144767704</v>
      </c>
      <c r="T25" s="41">
        <f>Rådatakommune[[#This Row],[Kvinner20-39]]/Rådatakommune[[#This Row],[B12]]</f>
        <v>0.11056207535515751</v>
      </c>
      <c r="U25" s="41">
        <f>Rådatakommune[[#This Row],[Eldre67+]]/Rådatakommune[[#This Row],[B12]]</f>
        <v>0.10949519905665675</v>
      </c>
      <c r="V25" s="41">
        <f>Rådatakommune[[#This Row],[S11]]/Rådatakommune[[#This Row],[S01]]-1</f>
        <v>0.12013492475350285</v>
      </c>
      <c r="W25" s="41">
        <f>Rådatakommune[[#This Row],[Y11]]/Rådatakommune[[#This Row],[Folk20-64]]</f>
        <v>0.86986891206583106</v>
      </c>
    </row>
    <row r="26" spans="1:23" s="38" customFormat="1" ht="12.75">
      <c r="A26" s="42" t="s">
        <v>24</v>
      </c>
      <c r="B26" s="37">
        <v>2</v>
      </c>
      <c r="C26" s="38">
        <v>5</v>
      </c>
      <c r="D26" s="39" t="s">
        <v>432</v>
      </c>
      <c r="E26" s="37">
        <v>1</v>
      </c>
      <c r="F26" s="3">
        <v>23152</v>
      </c>
      <c r="G26" s="3">
        <v>25520</v>
      </c>
      <c r="H26" s="3">
        <v>13226</v>
      </c>
      <c r="I26" s="3">
        <v>3353</v>
      </c>
      <c r="J26" s="3">
        <v>2782</v>
      </c>
      <c r="K26" s="3">
        <v>14637</v>
      </c>
      <c r="L26" s="3">
        <v>9360</v>
      </c>
      <c r="M26" s="3">
        <v>9357</v>
      </c>
      <c r="N26" s="40">
        <v>37.050000000000004</v>
      </c>
      <c r="O26" s="40">
        <v>434200</v>
      </c>
      <c r="P26" s="38">
        <v>13.6336217919</v>
      </c>
      <c r="Q26" s="38">
        <v>1</v>
      </c>
      <c r="R26" s="38">
        <f t="shared" si="0"/>
        <v>688.79892037786772</v>
      </c>
      <c r="S26" s="41">
        <f>Rådatakommune[[#This Row],[B12]]/Rådatakommune[[#This Row],[B02]]-1</f>
        <v>0.10228058051140287</v>
      </c>
      <c r="T26" s="41">
        <f>Rådatakommune[[#This Row],[Kvinner20-39]]/Rådatakommune[[#This Row],[B12]]</f>
        <v>0.10901253918495298</v>
      </c>
      <c r="U26" s="41">
        <f>Rådatakommune[[#This Row],[Eldre67+]]/Rådatakommune[[#This Row],[B12]]</f>
        <v>0.1313871473354232</v>
      </c>
      <c r="V26" s="41">
        <f>Rådatakommune[[#This Row],[S11]]/Rådatakommune[[#This Row],[S01]]-1</f>
        <v>-3.2051282051281937E-4</v>
      </c>
      <c r="W26" s="41">
        <f>Rådatakommune[[#This Row],[Y11]]/Rådatakommune[[#This Row],[Folk20-64]]</f>
        <v>0.90360046457607435</v>
      </c>
    </row>
    <row r="27" spans="1:23" s="38" customFormat="1" ht="12.75">
      <c r="A27" s="42" t="s">
        <v>25</v>
      </c>
      <c r="B27" s="37">
        <v>2</v>
      </c>
      <c r="C27" s="38">
        <v>5</v>
      </c>
      <c r="D27" s="39" t="s">
        <v>432</v>
      </c>
      <c r="E27" s="37">
        <v>1</v>
      </c>
      <c r="F27" s="3">
        <v>101497</v>
      </c>
      <c r="G27" s="3">
        <v>114489</v>
      </c>
      <c r="H27" s="3">
        <v>58555</v>
      </c>
      <c r="I27" s="3">
        <v>15207</v>
      </c>
      <c r="J27" s="3">
        <v>13311</v>
      </c>
      <c r="K27" s="3">
        <v>65669</v>
      </c>
      <c r="L27" s="3">
        <v>57197</v>
      </c>
      <c r="M27" s="3">
        <v>70275</v>
      </c>
      <c r="N27" s="40">
        <v>192.32000000000002</v>
      </c>
      <c r="O27" s="40">
        <v>489000</v>
      </c>
      <c r="P27" s="38">
        <v>12.6966354384</v>
      </c>
      <c r="Q27" s="38">
        <v>1</v>
      </c>
      <c r="R27" s="38">
        <f t="shared" si="0"/>
        <v>595.30470049916801</v>
      </c>
      <c r="S27" s="41">
        <f>Rådatakommune[[#This Row],[B12]]/Rådatakommune[[#This Row],[B02]]-1</f>
        <v>0.12800378336305496</v>
      </c>
      <c r="T27" s="41">
        <f>Rådatakommune[[#This Row],[Kvinner20-39]]/Rådatakommune[[#This Row],[B12]]</f>
        <v>0.11626444461913371</v>
      </c>
      <c r="U27" s="41">
        <f>Rådatakommune[[#This Row],[Eldre67+]]/Rådatakommune[[#This Row],[B12]]</f>
        <v>0.1328249875533894</v>
      </c>
      <c r="V27" s="41">
        <f>Rådatakommune[[#This Row],[S11]]/Rådatakommune[[#This Row],[S01]]-1</f>
        <v>0.22864835568299036</v>
      </c>
      <c r="W27" s="41">
        <f>Rådatakommune[[#This Row],[Y11]]/Rådatakommune[[#This Row],[Folk20-64]]</f>
        <v>0.89166882395041802</v>
      </c>
    </row>
    <row r="28" spans="1:23" s="38" customFormat="1" ht="12.75">
      <c r="A28" s="42" t="s">
        <v>26</v>
      </c>
      <c r="B28" s="37">
        <v>2</v>
      </c>
      <c r="C28" s="38">
        <v>5</v>
      </c>
      <c r="D28" s="39" t="s">
        <v>432</v>
      </c>
      <c r="E28" s="37">
        <v>1</v>
      </c>
      <c r="F28" s="3">
        <v>49990</v>
      </c>
      <c r="G28" s="3">
        <v>56447</v>
      </c>
      <c r="H28" s="3">
        <v>29012</v>
      </c>
      <c r="I28" s="3">
        <v>7000</v>
      </c>
      <c r="J28" s="3">
        <v>6457</v>
      </c>
      <c r="K28" s="3">
        <v>32393</v>
      </c>
      <c r="L28" s="3">
        <v>22455</v>
      </c>
      <c r="M28" s="3">
        <v>25880</v>
      </c>
      <c r="N28" s="40">
        <v>100.72999999999999</v>
      </c>
      <c r="O28" s="40">
        <v>466400</v>
      </c>
      <c r="P28" s="38">
        <v>18.212478322500001</v>
      </c>
      <c r="Q28" s="38">
        <v>1</v>
      </c>
      <c r="R28" s="38">
        <f t="shared" si="0"/>
        <v>560.37923160925254</v>
      </c>
      <c r="S28" s="41">
        <f>Rådatakommune[[#This Row],[B12]]/Rådatakommune[[#This Row],[B02]]-1</f>
        <v>0.12916583316663344</v>
      </c>
      <c r="T28" s="41">
        <f>Rådatakommune[[#This Row],[Kvinner20-39]]/Rådatakommune[[#This Row],[B12]]</f>
        <v>0.1143904901943416</v>
      </c>
      <c r="U28" s="41">
        <f>Rådatakommune[[#This Row],[Eldre67+]]/Rådatakommune[[#This Row],[B12]]</f>
        <v>0.12401013339947208</v>
      </c>
      <c r="V28" s="41">
        <f>Rådatakommune[[#This Row],[S11]]/Rådatakommune[[#This Row],[S01]]-1</f>
        <v>0.15252727677577371</v>
      </c>
      <c r="W28" s="41">
        <f>Rådatakommune[[#This Row],[Y11]]/Rådatakommune[[#This Row],[Folk20-64]]</f>
        <v>0.89562559812305131</v>
      </c>
    </row>
    <row r="29" spans="1:23" s="38" customFormat="1" ht="12.75">
      <c r="A29" s="42" t="s">
        <v>27</v>
      </c>
      <c r="B29" s="37">
        <v>2</v>
      </c>
      <c r="C29" s="38">
        <v>5</v>
      </c>
      <c r="D29" s="39" t="s">
        <v>432</v>
      </c>
      <c r="E29" s="37">
        <v>1</v>
      </c>
      <c r="F29" s="3">
        <v>12997</v>
      </c>
      <c r="G29" s="3">
        <v>14905</v>
      </c>
      <c r="H29" s="3">
        <v>7558</v>
      </c>
      <c r="I29" s="3">
        <v>2121</v>
      </c>
      <c r="J29" s="3">
        <v>1700</v>
      </c>
      <c r="K29" s="3">
        <v>8748</v>
      </c>
      <c r="L29" s="3">
        <v>4251</v>
      </c>
      <c r="M29" s="3">
        <v>4912</v>
      </c>
      <c r="N29" s="40">
        <v>961.66</v>
      </c>
      <c r="O29" s="40">
        <v>325300</v>
      </c>
      <c r="P29" s="38">
        <v>46.009666064900003</v>
      </c>
      <c r="Q29" s="38">
        <v>1</v>
      </c>
      <c r="R29" s="38">
        <f t="shared" si="0"/>
        <v>15.499240895950752</v>
      </c>
      <c r="S29" s="41">
        <f>Rådatakommune[[#This Row],[B12]]/Rådatakommune[[#This Row],[B02]]-1</f>
        <v>0.14680310840963307</v>
      </c>
      <c r="T29" s="41">
        <f>Rådatakommune[[#This Row],[Kvinner20-39]]/Rådatakommune[[#This Row],[B12]]</f>
        <v>0.11405568601140557</v>
      </c>
      <c r="U29" s="41">
        <f>Rådatakommune[[#This Row],[Eldre67+]]/Rådatakommune[[#This Row],[B12]]</f>
        <v>0.14230124119423013</v>
      </c>
      <c r="V29" s="41">
        <f>Rådatakommune[[#This Row],[S11]]/Rådatakommune[[#This Row],[S01]]-1</f>
        <v>0.15549282521759578</v>
      </c>
      <c r="W29" s="41">
        <f>Rådatakommune[[#This Row],[Y11]]/Rådatakommune[[#This Row],[Folk20-64]]</f>
        <v>0.86396890717878372</v>
      </c>
    </row>
    <row r="30" spans="1:23" s="38" customFormat="1" ht="12.75">
      <c r="A30" s="42" t="s">
        <v>28</v>
      </c>
      <c r="B30" s="37">
        <v>2</v>
      </c>
      <c r="C30" s="38">
        <v>5</v>
      </c>
      <c r="D30" s="39" t="s">
        <v>432</v>
      </c>
      <c r="E30" s="37">
        <v>1</v>
      </c>
      <c r="F30" s="3">
        <v>12386</v>
      </c>
      <c r="G30" s="3">
        <v>16091</v>
      </c>
      <c r="H30" s="3">
        <v>8439</v>
      </c>
      <c r="I30" s="3">
        <v>1721</v>
      </c>
      <c r="J30" s="3">
        <v>2060</v>
      </c>
      <c r="K30" s="3">
        <v>9599</v>
      </c>
      <c r="L30" s="3">
        <v>3489</v>
      </c>
      <c r="M30" s="3">
        <v>4593</v>
      </c>
      <c r="N30" s="40">
        <v>206.60999999999999</v>
      </c>
      <c r="O30" s="40">
        <v>372700</v>
      </c>
      <c r="P30" s="38">
        <v>32.437829160100002</v>
      </c>
      <c r="Q30" s="38">
        <v>1</v>
      </c>
      <c r="R30" s="38">
        <f t="shared" si="0"/>
        <v>77.881031895842412</v>
      </c>
      <c r="S30" s="41">
        <f>Rådatakommune[[#This Row],[B12]]/Rådatakommune[[#This Row],[B02]]-1</f>
        <v>0.29912804779589863</v>
      </c>
      <c r="T30" s="41">
        <f>Rådatakommune[[#This Row],[Kvinner20-39]]/Rådatakommune[[#This Row],[B12]]</f>
        <v>0.12802187558262382</v>
      </c>
      <c r="U30" s="41">
        <f>Rådatakommune[[#This Row],[Eldre67+]]/Rådatakommune[[#This Row],[B12]]</f>
        <v>0.10695419799888137</v>
      </c>
      <c r="V30" s="41">
        <f>Rådatakommune[[#This Row],[S11]]/Rådatakommune[[#This Row],[S01]]-1</f>
        <v>0.31642304385210651</v>
      </c>
      <c r="W30" s="41">
        <f>Rådatakommune[[#This Row],[Y11]]/Rådatakommune[[#This Row],[Folk20-64]]</f>
        <v>0.87915407854984895</v>
      </c>
    </row>
    <row r="31" spans="1:23" s="38" customFormat="1" ht="12.75">
      <c r="A31" s="42" t="s">
        <v>29</v>
      </c>
      <c r="B31" s="37">
        <v>2</v>
      </c>
      <c r="C31" s="38">
        <v>5</v>
      </c>
      <c r="D31" s="39" t="s">
        <v>432</v>
      </c>
      <c r="E31" s="37">
        <v>1</v>
      </c>
      <c r="F31" s="3">
        <v>9327</v>
      </c>
      <c r="G31" s="3">
        <v>10626</v>
      </c>
      <c r="H31" s="3">
        <v>5639</v>
      </c>
      <c r="I31" s="3">
        <v>1268</v>
      </c>
      <c r="J31" s="3">
        <v>1268</v>
      </c>
      <c r="K31" s="3">
        <v>6302</v>
      </c>
      <c r="L31" s="3">
        <v>2199</v>
      </c>
      <c r="M31" s="3">
        <v>2468</v>
      </c>
      <c r="N31" s="40">
        <v>176.35</v>
      </c>
      <c r="O31" s="40">
        <v>376500</v>
      </c>
      <c r="P31" s="38">
        <v>23.2213798308</v>
      </c>
      <c r="Q31" s="38">
        <v>1</v>
      </c>
      <c r="R31" s="38">
        <f t="shared" si="0"/>
        <v>60.255174369152257</v>
      </c>
      <c r="S31" s="41">
        <f>Rådatakommune[[#This Row],[B12]]/Rådatakommune[[#This Row],[B02]]-1</f>
        <v>0.13927307816018009</v>
      </c>
      <c r="T31" s="41">
        <f>Rådatakommune[[#This Row],[Kvinner20-39]]/Rådatakommune[[#This Row],[B12]]</f>
        <v>0.11932994541690194</v>
      </c>
      <c r="U31" s="41">
        <f>Rådatakommune[[#This Row],[Eldre67+]]/Rådatakommune[[#This Row],[B12]]</f>
        <v>0.11932994541690194</v>
      </c>
      <c r="V31" s="41">
        <f>Rådatakommune[[#This Row],[S11]]/Rådatakommune[[#This Row],[S01]]-1</f>
        <v>0.12232833105957264</v>
      </c>
      <c r="W31" s="41">
        <f>Rådatakommune[[#This Row],[Y11]]/Rådatakommune[[#This Row],[Folk20-64]]</f>
        <v>0.89479530307838784</v>
      </c>
    </row>
    <row r="32" spans="1:23" s="38" customFormat="1" ht="12.75">
      <c r="A32" s="42" t="s">
        <v>30</v>
      </c>
      <c r="B32" s="37">
        <v>2</v>
      </c>
      <c r="C32" s="38">
        <v>5</v>
      </c>
      <c r="D32" s="39" t="s">
        <v>432</v>
      </c>
      <c r="E32" s="37">
        <v>1</v>
      </c>
      <c r="F32" s="3">
        <v>14631</v>
      </c>
      <c r="G32" s="3">
        <v>16170</v>
      </c>
      <c r="H32" s="3">
        <v>8875</v>
      </c>
      <c r="I32" s="3">
        <v>1701</v>
      </c>
      <c r="J32" s="3">
        <v>2218</v>
      </c>
      <c r="K32" s="3">
        <v>9971</v>
      </c>
      <c r="L32" s="3">
        <v>2374</v>
      </c>
      <c r="M32" s="3">
        <v>2773</v>
      </c>
      <c r="N32" s="40">
        <v>71.680000000000007</v>
      </c>
      <c r="O32" s="40">
        <v>378400</v>
      </c>
      <c r="P32" s="38">
        <v>18.475864692399998</v>
      </c>
      <c r="Q32" s="38">
        <v>1</v>
      </c>
      <c r="R32" s="38">
        <f t="shared" si="0"/>
        <v>225.58593749999997</v>
      </c>
      <c r="S32" s="41">
        <f>Rådatakommune[[#This Row],[B12]]/Rådatakommune[[#This Row],[B02]]-1</f>
        <v>0.10518761533729748</v>
      </c>
      <c r="T32" s="41">
        <f>Rådatakommune[[#This Row],[Kvinner20-39]]/Rådatakommune[[#This Row],[B12]]</f>
        <v>0.13716759431045145</v>
      </c>
      <c r="U32" s="41">
        <f>Rådatakommune[[#This Row],[Eldre67+]]/Rådatakommune[[#This Row],[B12]]</f>
        <v>0.10519480519480519</v>
      </c>
      <c r="V32" s="41">
        <f>Rådatakommune[[#This Row],[S11]]/Rådatakommune[[#This Row],[S01]]-1</f>
        <v>0.16807076663858456</v>
      </c>
      <c r="W32" s="41">
        <f>Rådatakommune[[#This Row],[Y11]]/Rådatakommune[[#This Row],[Folk20-64]]</f>
        <v>0.8900812355831913</v>
      </c>
    </row>
    <row r="33" spans="1:23" s="38" customFormat="1" ht="12.75">
      <c r="A33" s="42" t="s">
        <v>31</v>
      </c>
      <c r="B33" s="37">
        <v>2</v>
      </c>
      <c r="C33" s="38">
        <v>5</v>
      </c>
      <c r="D33" s="39" t="s">
        <v>432</v>
      </c>
      <c r="E33" s="37">
        <v>1</v>
      </c>
      <c r="F33" s="3">
        <v>8965</v>
      </c>
      <c r="G33" s="3">
        <v>10487</v>
      </c>
      <c r="H33" s="3">
        <v>5607</v>
      </c>
      <c r="I33" s="3">
        <v>976</v>
      </c>
      <c r="J33" s="3">
        <v>1319</v>
      </c>
      <c r="K33" s="3">
        <v>6289</v>
      </c>
      <c r="L33" s="3">
        <v>2076</v>
      </c>
      <c r="M33" s="3">
        <v>2558</v>
      </c>
      <c r="N33" s="40">
        <v>232.57999999999998</v>
      </c>
      <c r="O33" s="40">
        <v>361600</v>
      </c>
      <c r="P33" s="38">
        <v>35.480513446300002</v>
      </c>
      <c r="Q33" s="38">
        <v>1</v>
      </c>
      <c r="R33" s="38">
        <f t="shared" si="0"/>
        <v>45.089861553014018</v>
      </c>
      <c r="S33" s="41">
        <f>Rådatakommune[[#This Row],[B12]]/Rådatakommune[[#This Row],[B02]]-1</f>
        <v>0.16977133296151692</v>
      </c>
      <c r="T33" s="41">
        <f>Rådatakommune[[#This Row],[Kvinner20-39]]/Rådatakommune[[#This Row],[B12]]</f>
        <v>0.12577476876132354</v>
      </c>
      <c r="U33" s="41">
        <f>Rådatakommune[[#This Row],[Eldre67+]]/Rådatakommune[[#This Row],[B12]]</f>
        <v>9.3067607514065037E-2</v>
      </c>
      <c r="V33" s="41">
        <f>Rådatakommune[[#This Row],[S11]]/Rådatakommune[[#This Row],[S01]]-1</f>
        <v>0.23217726396917149</v>
      </c>
      <c r="W33" s="41">
        <f>Rådatakommune[[#This Row],[Y11]]/Rådatakommune[[#This Row],[Folk20-64]]</f>
        <v>0.89155668627762763</v>
      </c>
    </row>
    <row r="34" spans="1:23" s="38" customFormat="1" ht="12.75">
      <c r="A34" s="42" t="s">
        <v>32</v>
      </c>
      <c r="B34" s="37">
        <v>2</v>
      </c>
      <c r="C34" s="38">
        <v>5</v>
      </c>
      <c r="D34" s="39" t="s">
        <v>432</v>
      </c>
      <c r="E34" s="37">
        <v>1</v>
      </c>
      <c r="F34" s="3">
        <v>29834</v>
      </c>
      <c r="G34" s="3">
        <v>33709</v>
      </c>
      <c r="H34" s="3">
        <v>17749</v>
      </c>
      <c r="I34" s="3">
        <v>3801</v>
      </c>
      <c r="J34" s="3">
        <v>4039</v>
      </c>
      <c r="K34" s="3">
        <v>20232</v>
      </c>
      <c r="L34" s="3">
        <v>14830</v>
      </c>
      <c r="M34" s="3">
        <v>19720</v>
      </c>
      <c r="N34" s="40">
        <v>70.550000000000011</v>
      </c>
      <c r="O34" s="40">
        <v>386900</v>
      </c>
      <c r="P34" s="38">
        <v>11.684167222799999</v>
      </c>
      <c r="Q34" s="38">
        <v>1</v>
      </c>
      <c r="R34" s="38">
        <f t="shared" si="0"/>
        <v>477.80297661233158</v>
      </c>
      <c r="S34" s="41">
        <f>Rådatakommune[[#This Row],[B12]]/Rådatakommune[[#This Row],[B02]]-1</f>
        <v>0.12988536569015219</v>
      </c>
      <c r="T34" s="41">
        <f>Rådatakommune[[#This Row],[Kvinner20-39]]/Rådatakommune[[#This Row],[B12]]</f>
        <v>0.11981963273903112</v>
      </c>
      <c r="U34" s="41">
        <f>Rådatakommune[[#This Row],[Eldre67+]]/Rådatakommune[[#This Row],[B12]]</f>
        <v>0.11275920377347295</v>
      </c>
      <c r="V34" s="41">
        <f>Rådatakommune[[#This Row],[S11]]/Rådatakommune[[#This Row],[S01]]-1</f>
        <v>0.32973701955495627</v>
      </c>
      <c r="W34" s="41">
        <f>Rådatakommune[[#This Row],[Y11]]/Rådatakommune[[#This Row],[Folk20-64]]</f>
        <v>0.87727362593910641</v>
      </c>
    </row>
    <row r="35" spans="1:23" s="38" customFormat="1" ht="12.75">
      <c r="A35" s="42" t="s">
        <v>33</v>
      </c>
      <c r="B35" s="37">
        <v>2</v>
      </c>
      <c r="C35" s="38">
        <v>5</v>
      </c>
      <c r="D35" s="39" t="s">
        <v>432</v>
      </c>
      <c r="E35" s="37">
        <v>1</v>
      </c>
      <c r="F35" s="3">
        <v>40034</v>
      </c>
      <c r="G35" s="3">
        <v>49698</v>
      </c>
      <c r="H35" s="3">
        <v>25829</v>
      </c>
      <c r="I35" s="3">
        <v>6061</v>
      </c>
      <c r="J35" s="3">
        <v>6490</v>
      </c>
      <c r="K35" s="3">
        <v>29707</v>
      </c>
      <c r="L35" s="3">
        <v>21643</v>
      </c>
      <c r="M35" s="3">
        <v>26720</v>
      </c>
      <c r="N35" s="40">
        <v>77.03</v>
      </c>
      <c r="O35" s="40">
        <v>376600</v>
      </c>
      <c r="P35" s="38">
        <v>16.249666064900001</v>
      </c>
      <c r="Q35" s="38">
        <v>1</v>
      </c>
      <c r="R35" s="38">
        <f t="shared" si="0"/>
        <v>645.17720368687526</v>
      </c>
      <c r="S35" s="41">
        <f>Rådatakommune[[#This Row],[B12]]/Rådatakommune[[#This Row],[B02]]-1</f>
        <v>0.24139481440775334</v>
      </c>
      <c r="T35" s="41">
        <f>Rådatakommune[[#This Row],[Kvinner20-39]]/Rådatakommune[[#This Row],[B12]]</f>
        <v>0.13058875608676407</v>
      </c>
      <c r="U35" s="41">
        <f>Rådatakommune[[#This Row],[Eldre67+]]/Rådatakommune[[#This Row],[B12]]</f>
        <v>0.12195661797255422</v>
      </c>
      <c r="V35" s="41">
        <f>Rådatakommune[[#This Row],[S11]]/Rådatakommune[[#This Row],[S01]]-1</f>
        <v>0.23457930970752661</v>
      </c>
      <c r="W35" s="41">
        <f>Rådatakommune[[#This Row],[Y11]]/Rådatakommune[[#This Row],[Folk20-64]]</f>
        <v>0.86945837681354565</v>
      </c>
    </row>
    <row r="36" spans="1:23" s="38" customFormat="1" ht="12.75">
      <c r="A36" s="42" t="s">
        <v>34</v>
      </c>
      <c r="B36" s="37">
        <v>2</v>
      </c>
      <c r="C36" s="38">
        <v>5</v>
      </c>
      <c r="D36" s="39" t="s">
        <v>432</v>
      </c>
      <c r="E36" s="37">
        <v>1</v>
      </c>
      <c r="F36" s="3">
        <v>19185</v>
      </c>
      <c r="G36" s="3">
        <v>21454</v>
      </c>
      <c r="H36" s="3">
        <v>11366</v>
      </c>
      <c r="I36" s="3">
        <v>2296</v>
      </c>
      <c r="J36" s="3">
        <v>2481</v>
      </c>
      <c r="K36" s="3">
        <v>12535</v>
      </c>
      <c r="L36" s="3">
        <v>6860</v>
      </c>
      <c r="M36" s="3">
        <v>7763</v>
      </c>
      <c r="N36" s="40">
        <v>186.23</v>
      </c>
      <c r="O36" s="40">
        <v>394100</v>
      </c>
      <c r="P36" s="38">
        <v>24.854360699699999</v>
      </c>
      <c r="Q36" s="38">
        <v>1</v>
      </c>
      <c r="R36" s="38">
        <f t="shared" si="0"/>
        <v>115.20163239005531</v>
      </c>
      <c r="S36" s="41">
        <f>Rådatakommune[[#This Row],[B12]]/Rådatakommune[[#This Row],[B02]]-1</f>
        <v>0.11826948136565019</v>
      </c>
      <c r="T36" s="41">
        <f>Rådatakommune[[#This Row],[Kvinner20-39]]/Rådatakommune[[#This Row],[B12]]</f>
        <v>0.11564277057891302</v>
      </c>
      <c r="U36" s="41">
        <f>Rådatakommune[[#This Row],[Eldre67+]]/Rådatakommune[[#This Row],[B12]]</f>
        <v>0.10701966999160996</v>
      </c>
      <c r="V36" s="41">
        <f>Rådatakommune[[#This Row],[S11]]/Rådatakommune[[#This Row],[S01]]-1</f>
        <v>0.1316326530612244</v>
      </c>
      <c r="W36" s="41">
        <f>Rådatakommune[[#This Row],[Y11]]/Rådatakommune[[#This Row],[Folk20-64]]</f>
        <v>0.9067411248504188</v>
      </c>
    </row>
    <row r="37" spans="1:23" s="38" customFormat="1" ht="12.75">
      <c r="A37" s="42" t="s">
        <v>35</v>
      </c>
      <c r="B37" s="37">
        <v>2</v>
      </c>
      <c r="C37" s="38">
        <v>5</v>
      </c>
      <c r="D37" s="39" t="s">
        <v>432</v>
      </c>
      <c r="E37" s="37">
        <v>1</v>
      </c>
      <c r="F37" s="3">
        <v>4778</v>
      </c>
      <c r="G37" s="3">
        <v>6152</v>
      </c>
      <c r="H37" s="3">
        <v>3341</v>
      </c>
      <c r="I37" s="3">
        <v>625</v>
      </c>
      <c r="J37" s="3">
        <v>690</v>
      </c>
      <c r="K37" s="3">
        <v>3618</v>
      </c>
      <c r="L37" s="3">
        <v>1060</v>
      </c>
      <c r="M37" s="3">
        <v>1581</v>
      </c>
      <c r="N37" s="40">
        <v>83.19</v>
      </c>
      <c r="O37" s="40">
        <v>394300</v>
      </c>
      <c r="P37" s="38">
        <v>23.6326498886</v>
      </c>
      <c r="Q37" s="38">
        <v>1</v>
      </c>
      <c r="R37" s="38">
        <f t="shared" si="0"/>
        <v>73.951196057218411</v>
      </c>
      <c r="S37" s="41">
        <f>Rådatakommune[[#This Row],[B12]]/Rådatakommune[[#This Row],[B02]]-1</f>
        <v>0.28756802009208871</v>
      </c>
      <c r="T37" s="41">
        <f>Rådatakommune[[#This Row],[Kvinner20-39]]/Rådatakommune[[#This Row],[B12]]</f>
        <v>0.11215864759427828</v>
      </c>
      <c r="U37" s="41">
        <f>Rådatakommune[[#This Row],[Eldre67+]]/Rådatakommune[[#This Row],[B12]]</f>
        <v>0.10159297789336801</v>
      </c>
      <c r="V37" s="41">
        <f>Rådatakommune[[#This Row],[S11]]/Rådatakommune[[#This Row],[S01]]-1</f>
        <v>0.4915094339622641</v>
      </c>
      <c r="W37" s="41">
        <f>Rådatakommune[[#This Row],[Y11]]/Rådatakommune[[#This Row],[Folk20-64]]</f>
        <v>0.92343836373687116</v>
      </c>
    </row>
    <row r="38" spans="1:23" s="38" customFormat="1" ht="12.75">
      <c r="A38" s="42" t="s">
        <v>36</v>
      </c>
      <c r="B38" s="37">
        <v>2</v>
      </c>
      <c r="C38" s="38">
        <v>5</v>
      </c>
      <c r="D38" s="39" t="s">
        <v>432</v>
      </c>
      <c r="E38" s="37">
        <v>1</v>
      </c>
      <c r="F38" s="3">
        <v>21942</v>
      </c>
      <c r="G38" s="3">
        <v>31044</v>
      </c>
      <c r="H38" s="3">
        <v>16277</v>
      </c>
      <c r="I38" s="3">
        <v>3131</v>
      </c>
      <c r="J38" s="3">
        <v>4348</v>
      </c>
      <c r="K38" s="3">
        <v>18659</v>
      </c>
      <c r="L38" s="3">
        <v>19507</v>
      </c>
      <c r="M38" s="3">
        <v>22862</v>
      </c>
      <c r="N38" s="40">
        <v>252.47</v>
      </c>
      <c r="O38" s="40">
        <v>375300</v>
      </c>
      <c r="P38" s="38">
        <v>28.008664007299998</v>
      </c>
      <c r="Q38" s="38">
        <v>1</v>
      </c>
      <c r="R38" s="38">
        <f t="shared" si="0"/>
        <v>122.96114389828494</v>
      </c>
      <c r="S38" s="41">
        <f>Rådatakommune[[#This Row],[B12]]/Rådatakommune[[#This Row],[B02]]-1</f>
        <v>0.41482089144107182</v>
      </c>
      <c r="T38" s="41">
        <f>Rådatakommune[[#This Row],[Kvinner20-39]]/Rådatakommune[[#This Row],[B12]]</f>
        <v>0.14005927071253704</v>
      </c>
      <c r="U38" s="41">
        <f>Rådatakommune[[#This Row],[Eldre67+]]/Rådatakommune[[#This Row],[B12]]</f>
        <v>0.10085684834428553</v>
      </c>
      <c r="V38" s="41">
        <f>Rådatakommune[[#This Row],[S11]]/Rådatakommune[[#This Row],[S01]]-1</f>
        <v>0.1719895422156148</v>
      </c>
      <c r="W38" s="41">
        <f>Rådatakommune[[#This Row],[Y11]]/Rådatakommune[[#This Row],[Folk20-64]]</f>
        <v>0.87234042553191493</v>
      </c>
    </row>
    <row r="39" spans="1:23" s="38" customFormat="1" ht="12.75">
      <c r="A39" s="42" t="s">
        <v>37</v>
      </c>
      <c r="B39" s="37">
        <v>2</v>
      </c>
      <c r="C39" s="38">
        <v>5</v>
      </c>
      <c r="D39" s="39" t="s">
        <v>432</v>
      </c>
      <c r="E39" s="37">
        <v>1</v>
      </c>
      <c r="F39" s="3">
        <v>17458</v>
      </c>
      <c r="G39" s="3">
        <v>19462</v>
      </c>
      <c r="H39" s="3">
        <v>10078</v>
      </c>
      <c r="I39" s="3">
        <v>2364</v>
      </c>
      <c r="J39" s="3">
        <v>2223</v>
      </c>
      <c r="K39" s="3">
        <v>11639</v>
      </c>
      <c r="L39" s="3">
        <v>4822</v>
      </c>
      <c r="M39" s="3">
        <v>5227</v>
      </c>
      <c r="N39" s="40">
        <v>637.35</v>
      </c>
      <c r="O39" s="40">
        <v>338900</v>
      </c>
      <c r="P39" s="38">
        <v>38.977310509699997</v>
      </c>
      <c r="Q39" s="38">
        <v>1</v>
      </c>
      <c r="R39" s="38">
        <f t="shared" si="0"/>
        <v>30.53581234800345</v>
      </c>
      <c r="S39" s="41">
        <f>Rådatakommune[[#This Row],[B12]]/Rådatakommune[[#This Row],[B02]]-1</f>
        <v>0.11478978118913963</v>
      </c>
      <c r="T39" s="41">
        <f>Rådatakommune[[#This Row],[Kvinner20-39]]/Rådatakommune[[#This Row],[B12]]</f>
        <v>0.11422258760661802</v>
      </c>
      <c r="U39" s="41">
        <f>Rådatakommune[[#This Row],[Eldre67+]]/Rådatakommune[[#This Row],[B12]]</f>
        <v>0.12146747507964238</v>
      </c>
      <c r="V39" s="41">
        <f>Rådatakommune[[#This Row],[S11]]/Rådatakommune[[#This Row],[S01]]-1</f>
        <v>8.3990045624222409E-2</v>
      </c>
      <c r="W39" s="41">
        <f>Rådatakommune[[#This Row],[Y11]]/Rådatakommune[[#This Row],[Folk20-64]]</f>
        <v>0.86588194862101553</v>
      </c>
    </row>
    <row r="40" spans="1:23" s="38" customFormat="1" ht="12.75">
      <c r="A40" s="42" t="s">
        <v>38</v>
      </c>
      <c r="B40" s="37">
        <v>2</v>
      </c>
      <c r="C40" s="38">
        <v>5</v>
      </c>
      <c r="D40" s="39" t="s">
        <v>432</v>
      </c>
      <c r="E40" s="37">
        <v>1</v>
      </c>
      <c r="F40" s="3">
        <v>18035</v>
      </c>
      <c r="G40" s="3">
        <v>21621</v>
      </c>
      <c r="H40" s="3">
        <v>11045</v>
      </c>
      <c r="I40" s="3">
        <v>2546</v>
      </c>
      <c r="J40" s="3">
        <v>2710</v>
      </c>
      <c r="K40" s="3">
        <v>13028</v>
      </c>
      <c r="L40" s="3">
        <v>6319</v>
      </c>
      <c r="M40" s="3">
        <v>6706</v>
      </c>
      <c r="N40" s="40">
        <v>456.5</v>
      </c>
      <c r="O40" s="40">
        <v>337700</v>
      </c>
      <c r="P40" s="38">
        <v>47.637274110600003</v>
      </c>
      <c r="Q40" s="38">
        <v>1</v>
      </c>
      <c r="R40" s="38">
        <f t="shared" si="0"/>
        <v>47.362541073384449</v>
      </c>
      <c r="S40" s="41">
        <f>Rådatakommune[[#This Row],[B12]]/Rådatakommune[[#This Row],[B02]]-1</f>
        <v>0.19883559744940404</v>
      </c>
      <c r="T40" s="41">
        <f>Rådatakommune[[#This Row],[Kvinner20-39]]/Rådatakommune[[#This Row],[B12]]</f>
        <v>0.12534110355672726</v>
      </c>
      <c r="U40" s="41">
        <f>Rådatakommune[[#This Row],[Eldre67+]]/Rådatakommune[[#This Row],[B12]]</f>
        <v>0.1177558854817076</v>
      </c>
      <c r="V40" s="41">
        <f>Rådatakommune[[#This Row],[S11]]/Rådatakommune[[#This Row],[S01]]-1</f>
        <v>6.1243867700585541E-2</v>
      </c>
      <c r="W40" s="41">
        <f>Rådatakommune[[#This Row],[Y11]]/Rådatakommune[[#This Row],[Folk20-64]]</f>
        <v>0.84778937672704946</v>
      </c>
    </row>
    <row r="41" spans="1:23" s="38" customFormat="1" ht="12.75">
      <c r="A41" s="42" t="s">
        <v>39</v>
      </c>
      <c r="B41" s="37">
        <v>2</v>
      </c>
      <c r="C41" s="38">
        <v>5</v>
      </c>
      <c r="D41" s="39" t="s">
        <v>432</v>
      </c>
      <c r="E41" s="37">
        <v>1</v>
      </c>
      <c r="F41" s="3">
        <v>9436</v>
      </c>
      <c r="G41" s="3">
        <v>11362</v>
      </c>
      <c r="H41" s="3">
        <v>5995</v>
      </c>
      <c r="I41" s="3">
        <v>1199</v>
      </c>
      <c r="J41" s="3">
        <v>1418</v>
      </c>
      <c r="K41" s="3">
        <v>6767</v>
      </c>
      <c r="L41" s="3">
        <v>2077</v>
      </c>
      <c r="M41" s="3">
        <v>2716</v>
      </c>
      <c r="N41" s="40">
        <v>340.99</v>
      </c>
      <c r="O41" s="40">
        <v>351100</v>
      </c>
      <c r="P41" s="38">
        <v>37.991412563899999</v>
      </c>
      <c r="Q41" s="38">
        <v>1</v>
      </c>
      <c r="R41" s="38">
        <f t="shared" si="0"/>
        <v>33.320625238276783</v>
      </c>
      <c r="S41" s="41">
        <f>Rådatakommune[[#This Row],[B12]]/Rådatakommune[[#This Row],[B02]]-1</f>
        <v>0.20411191182704536</v>
      </c>
      <c r="T41" s="41">
        <f>Rådatakommune[[#This Row],[Kvinner20-39]]/Rådatakommune[[#This Row],[B12]]</f>
        <v>0.12480197148389369</v>
      </c>
      <c r="U41" s="41">
        <f>Rådatakommune[[#This Row],[Eldre67+]]/Rådatakommune[[#This Row],[B12]]</f>
        <v>0.10552719591621193</v>
      </c>
      <c r="V41" s="41">
        <f>Rådatakommune[[#This Row],[S11]]/Rådatakommune[[#This Row],[S01]]-1</f>
        <v>0.30765527202696186</v>
      </c>
      <c r="W41" s="41">
        <f>Rådatakommune[[#This Row],[Y11]]/Rådatakommune[[#This Row],[Folk20-64]]</f>
        <v>0.88591694990394565</v>
      </c>
    </row>
    <row r="42" spans="1:23" s="38" customFormat="1" ht="12.75">
      <c r="A42" s="42" t="s">
        <v>40</v>
      </c>
      <c r="B42" s="37">
        <v>2</v>
      </c>
      <c r="C42" s="38">
        <v>5</v>
      </c>
      <c r="D42" s="39" t="s">
        <v>432</v>
      </c>
      <c r="E42" s="37">
        <v>1</v>
      </c>
      <c r="F42" s="3">
        <v>2624</v>
      </c>
      <c r="G42" s="3">
        <v>2657</v>
      </c>
      <c r="H42" s="3">
        <v>1306</v>
      </c>
      <c r="I42" s="3">
        <v>442</v>
      </c>
      <c r="J42" s="3">
        <v>271</v>
      </c>
      <c r="K42" s="3">
        <v>1508</v>
      </c>
      <c r="L42" s="3">
        <v>881</v>
      </c>
      <c r="M42" s="3">
        <v>826</v>
      </c>
      <c r="N42" s="40">
        <v>284.96000000000004</v>
      </c>
      <c r="O42" s="40">
        <v>307800</v>
      </c>
      <c r="P42" s="38">
        <v>53.456666064899999</v>
      </c>
      <c r="Q42" s="38">
        <v>1</v>
      </c>
      <c r="R42" s="38">
        <f t="shared" si="0"/>
        <v>9.3241156653565405</v>
      </c>
      <c r="S42" s="41">
        <f>Rådatakommune[[#This Row],[B12]]/Rådatakommune[[#This Row],[B02]]-1</f>
        <v>1.257621951219523E-2</v>
      </c>
      <c r="T42" s="41">
        <f>Rådatakommune[[#This Row],[Kvinner20-39]]/Rådatakommune[[#This Row],[B12]]</f>
        <v>0.10199473089951072</v>
      </c>
      <c r="U42" s="41">
        <f>Rådatakommune[[#This Row],[Eldre67+]]/Rådatakommune[[#This Row],[B12]]</f>
        <v>0.16635302973278132</v>
      </c>
      <c r="V42" s="41">
        <f>Rådatakommune[[#This Row],[S11]]/Rådatakommune[[#This Row],[S01]]-1</f>
        <v>-6.242905788876274E-2</v>
      </c>
      <c r="W42" s="41">
        <f>Rådatakommune[[#This Row],[Y11]]/Rådatakommune[[#This Row],[Folk20-64]]</f>
        <v>0.86604774535809015</v>
      </c>
    </row>
    <row r="43" spans="1:23" s="38" customFormat="1" ht="12.75">
      <c r="A43" s="42" t="s">
        <v>41</v>
      </c>
      <c r="B43" s="37">
        <v>3</v>
      </c>
      <c r="C43" s="38">
        <v>5</v>
      </c>
      <c r="D43" s="39" t="s">
        <v>432</v>
      </c>
      <c r="E43" s="37">
        <v>1</v>
      </c>
      <c r="F43" s="3">
        <v>512589</v>
      </c>
      <c r="G43" s="3">
        <v>613285</v>
      </c>
      <c r="H43" s="3">
        <v>330068</v>
      </c>
      <c r="I43" s="3">
        <v>62239</v>
      </c>
      <c r="J43" s="3">
        <v>112446</v>
      </c>
      <c r="K43" s="3">
        <v>405673</v>
      </c>
      <c r="L43" s="3">
        <v>406365</v>
      </c>
      <c r="M43" s="3">
        <v>435801</v>
      </c>
      <c r="N43" s="40">
        <v>454.08000000000004</v>
      </c>
      <c r="O43" s="40">
        <v>407700</v>
      </c>
      <c r="P43" s="38">
        <v>1.4215456179399999</v>
      </c>
      <c r="Q43" s="38">
        <v>1</v>
      </c>
      <c r="R43" s="38">
        <f t="shared" si="0"/>
        <v>1350.610024665257</v>
      </c>
      <c r="S43" s="41">
        <f>Rådatakommune[[#This Row],[B12]]/Rådatakommune[[#This Row],[B02]]-1</f>
        <v>0.19644588549500663</v>
      </c>
      <c r="T43" s="41">
        <f>Rådatakommune[[#This Row],[Kvinner20-39]]/Rådatakommune[[#This Row],[B12]]</f>
        <v>0.18335031836748006</v>
      </c>
      <c r="U43" s="41">
        <f>Rådatakommune[[#This Row],[Eldre67+]]/Rådatakommune[[#This Row],[B12]]</f>
        <v>0.10148462786469586</v>
      </c>
      <c r="V43" s="41">
        <f>Rådatakommune[[#This Row],[S11]]/Rådatakommune[[#This Row],[S01]]-1</f>
        <v>7.243734081429265E-2</v>
      </c>
      <c r="W43" s="41">
        <f>Rådatakommune[[#This Row],[Y11]]/Rådatakommune[[#This Row],[Folk20-64]]</f>
        <v>0.81363068284061302</v>
      </c>
    </row>
    <row r="44" spans="1:23" s="38" customFormat="1" ht="12.75">
      <c r="A44" s="42" t="s">
        <v>42</v>
      </c>
      <c r="B44" s="37">
        <v>4</v>
      </c>
      <c r="C44" s="38">
        <v>6</v>
      </c>
      <c r="D44" s="39" t="s">
        <v>433</v>
      </c>
      <c r="E44" s="43">
        <v>1</v>
      </c>
      <c r="F44" s="3">
        <v>17366</v>
      </c>
      <c r="G44" s="3">
        <v>17522</v>
      </c>
      <c r="H44" s="3">
        <v>7843</v>
      </c>
      <c r="I44" s="3">
        <v>2870</v>
      </c>
      <c r="J44" s="3">
        <v>1834</v>
      </c>
      <c r="K44" s="3">
        <v>10167</v>
      </c>
      <c r="L44" s="3">
        <v>8501</v>
      </c>
      <c r="M44" s="3">
        <v>8223</v>
      </c>
      <c r="N44" s="40">
        <v>1036.45</v>
      </c>
      <c r="O44" s="40">
        <v>310600</v>
      </c>
      <c r="P44" s="38">
        <v>71.894646143399996</v>
      </c>
      <c r="Q44" s="38">
        <v>5</v>
      </c>
      <c r="R44" s="38">
        <f t="shared" si="0"/>
        <v>16.90578416710888</v>
      </c>
      <c r="S44" s="41">
        <f>Rådatakommune[[#This Row],[B12]]/Rådatakommune[[#This Row],[B02]]-1</f>
        <v>8.9830703673845491E-3</v>
      </c>
      <c r="T44" s="41">
        <f>Rådatakommune[[#This Row],[Kvinner20-39]]/Rådatakommune[[#This Row],[B12]]</f>
        <v>0.10466841684739185</v>
      </c>
      <c r="U44" s="41">
        <f>Rådatakommune[[#This Row],[Eldre67+]]/Rådatakommune[[#This Row],[B12]]</f>
        <v>0.16379408743294144</v>
      </c>
      <c r="V44" s="41">
        <f>Rådatakommune[[#This Row],[S11]]/Rådatakommune[[#This Row],[S01]]-1</f>
        <v>-3.2702035054699485E-2</v>
      </c>
      <c r="W44" s="41">
        <f>Rådatakommune[[#This Row],[Y11]]/Rådatakommune[[#This Row],[Folk20-64]]</f>
        <v>0.77141733057932527</v>
      </c>
    </row>
    <row r="45" spans="1:23" s="38" customFormat="1" ht="12.75">
      <c r="A45" s="42" t="s">
        <v>43</v>
      </c>
      <c r="B45" s="37">
        <v>4</v>
      </c>
      <c r="C45" s="38">
        <v>7</v>
      </c>
      <c r="D45" s="39" t="s">
        <v>432</v>
      </c>
      <c r="E45" s="43">
        <v>1</v>
      </c>
      <c r="F45" s="3">
        <v>26952</v>
      </c>
      <c r="G45" s="3">
        <v>29045</v>
      </c>
      <c r="H45" s="3">
        <v>14243</v>
      </c>
      <c r="I45" s="3">
        <v>4848</v>
      </c>
      <c r="J45" s="3">
        <v>3400</v>
      </c>
      <c r="K45" s="3">
        <v>16892</v>
      </c>
      <c r="L45" s="3">
        <v>16219</v>
      </c>
      <c r="M45" s="3">
        <v>19054</v>
      </c>
      <c r="N45" s="40">
        <v>350.95000000000005</v>
      </c>
      <c r="O45" s="40">
        <v>339500</v>
      </c>
      <c r="P45" s="38">
        <v>85.858693424400002</v>
      </c>
      <c r="Q45" s="38">
        <v>4</v>
      </c>
      <c r="R45" s="38">
        <f t="shared" si="0"/>
        <v>82.761077076506609</v>
      </c>
      <c r="S45" s="41">
        <f>Rådatakommune[[#This Row],[B12]]/Rådatakommune[[#This Row],[B02]]-1</f>
        <v>7.765657465123188E-2</v>
      </c>
      <c r="T45" s="41">
        <f>Rådatakommune[[#This Row],[Kvinner20-39]]/Rådatakommune[[#This Row],[B12]]</f>
        <v>0.1170597348941298</v>
      </c>
      <c r="U45" s="41">
        <f>Rådatakommune[[#This Row],[Eldre67+]]/Rådatakommune[[#This Row],[B12]]</f>
        <v>0.16691341022551215</v>
      </c>
      <c r="V45" s="41">
        <f>Rådatakommune[[#This Row],[S11]]/Rådatakommune[[#This Row],[S01]]-1</f>
        <v>0.17479499352611128</v>
      </c>
      <c r="W45" s="41">
        <f>Rådatakommune[[#This Row],[Y11]]/Rådatakommune[[#This Row],[Folk20-64]]</f>
        <v>0.84318020364669666</v>
      </c>
    </row>
    <row r="46" spans="1:23" s="38" customFormat="1" ht="12.75">
      <c r="A46" s="42" t="s">
        <v>44</v>
      </c>
      <c r="B46" s="37">
        <v>4</v>
      </c>
      <c r="C46" s="38">
        <v>7</v>
      </c>
      <c r="D46" s="39" t="s">
        <v>432</v>
      </c>
      <c r="E46" s="43">
        <v>1</v>
      </c>
      <c r="F46" s="3">
        <v>31701</v>
      </c>
      <c r="G46" s="3">
        <v>33191</v>
      </c>
      <c r="H46" s="3">
        <v>16394</v>
      </c>
      <c r="I46" s="3">
        <v>4962</v>
      </c>
      <c r="J46" s="3">
        <v>3718</v>
      </c>
      <c r="K46" s="3">
        <v>19171</v>
      </c>
      <c r="L46" s="3">
        <v>13701</v>
      </c>
      <c r="M46" s="3">
        <v>13847</v>
      </c>
      <c r="N46" s="40">
        <v>1280.0900000000001</v>
      </c>
      <c r="O46" s="40">
        <v>310800</v>
      </c>
      <c r="P46" s="38">
        <v>94.007093189000003</v>
      </c>
      <c r="Q46" s="38">
        <v>4</v>
      </c>
      <c r="R46" s="38">
        <f t="shared" si="0"/>
        <v>25.928645642103287</v>
      </c>
      <c r="S46" s="41">
        <f>Rådatakommune[[#This Row],[B12]]/Rådatakommune[[#This Row],[B02]]-1</f>
        <v>4.7001671871549799E-2</v>
      </c>
      <c r="T46" s="41">
        <f>Rådatakommune[[#This Row],[Kvinner20-39]]/Rådatakommune[[#This Row],[B12]]</f>
        <v>0.11201831821879425</v>
      </c>
      <c r="U46" s="41">
        <f>Rådatakommune[[#This Row],[Eldre67+]]/Rådatakommune[[#This Row],[B12]]</f>
        <v>0.14949835798861136</v>
      </c>
      <c r="V46" s="41">
        <f>Rådatakommune[[#This Row],[S11]]/Rådatakommune[[#This Row],[S01]]-1</f>
        <v>1.0656156484928125E-2</v>
      </c>
      <c r="W46" s="41">
        <f>Rådatakommune[[#This Row],[Y11]]/Rådatakommune[[#This Row],[Folk20-64]]</f>
        <v>0.85514579312503258</v>
      </c>
    </row>
    <row r="47" spans="1:23" s="38" customFormat="1" ht="12.75">
      <c r="A47" s="42" t="s">
        <v>45</v>
      </c>
      <c r="B47" s="37">
        <v>4</v>
      </c>
      <c r="C47" s="38">
        <v>7</v>
      </c>
      <c r="D47" s="39" t="s">
        <v>432</v>
      </c>
      <c r="E47" s="43">
        <v>1</v>
      </c>
      <c r="F47" s="3">
        <v>7292</v>
      </c>
      <c r="G47" s="3">
        <v>7477</v>
      </c>
      <c r="H47" s="3">
        <v>3693</v>
      </c>
      <c r="I47" s="3">
        <v>1160</v>
      </c>
      <c r="J47" s="3">
        <v>859</v>
      </c>
      <c r="K47" s="3">
        <v>4385</v>
      </c>
      <c r="L47" s="3">
        <v>1760</v>
      </c>
      <c r="M47" s="3">
        <v>1694</v>
      </c>
      <c r="N47" s="40">
        <v>369.44</v>
      </c>
      <c r="O47" s="40">
        <v>303900</v>
      </c>
      <c r="P47" s="38">
        <v>83.563753144200007</v>
      </c>
      <c r="Q47" s="38">
        <v>4</v>
      </c>
      <c r="R47" s="38">
        <f t="shared" si="0"/>
        <v>20.238739714161976</v>
      </c>
      <c r="S47" s="41">
        <f>Rådatakommune[[#This Row],[B12]]/Rådatakommune[[#This Row],[B02]]-1</f>
        <v>2.5370268787712646E-2</v>
      </c>
      <c r="T47" s="41">
        <f>Rådatakommune[[#This Row],[Kvinner20-39]]/Rådatakommune[[#This Row],[B12]]</f>
        <v>0.11488564932459543</v>
      </c>
      <c r="U47" s="41">
        <f>Rådatakommune[[#This Row],[Eldre67+]]/Rådatakommune[[#This Row],[B12]]</f>
        <v>0.15514243680620571</v>
      </c>
      <c r="V47" s="41">
        <f>Rådatakommune[[#This Row],[S11]]/Rådatakommune[[#This Row],[S01]]-1</f>
        <v>-3.7499999999999978E-2</v>
      </c>
      <c r="W47" s="41">
        <f>Rådatakommune[[#This Row],[Y11]]/Rådatakommune[[#This Row],[Folk20-64]]</f>
        <v>0.84218928164196127</v>
      </c>
    </row>
    <row r="48" spans="1:23" s="38" customFormat="1" ht="12.75">
      <c r="A48" s="42" t="s">
        <v>46</v>
      </c>
      <c r="B48" s="37">
        <v>4</v>
      </c>
      <c r="C48" s="38">
        <v>7</v>
      </c>
      <c r="D48" s="39" t="s">
        <v>432</v>
      </c>
      <c r="E48" s="43">
        <v>1</v>
      </c>
      <c r="F48" s="3">
        <v>18030</v>
      </c>
      <c r="G48" s="3">
        <v>19190</v>
      </c>
      <c r="H48" s="3">
        <v>9333</v>
      </c>
      <c r="I48" s="3">
        <v>2967</v>
      </c>
      <c r="J48" s="3">
        <v>2120</v>
      </c>
      <c r="K48" s="3">
        <v>11148</v>
      </c>
      <c r="L48" s="3">
        <v>6085</v>
      </c>
      <c r="M48" s="3">
        <v>6720</v>
      </c>
      <c r="N48" s="40">
        <v>724.28</v>
      </c>
      <c r="O48" s="40">
        <v>313900</v>
      </c>
      <c r="P48" s="38">
        <v>75.839419938399999</v>
      </c>
      <c r="Q48" s="38">
        <v>4</v>
      </c>
      <c r="R48" s="38">
        <f t="shared" si="0"/>
        <v>26.495278069254987</v>
      </c>
      <c r="S48" s="41">
        <f>Rådatakommune[[#This Row],[B12]]/Rådatakommune[[#This Row],[B02]]-1</f>
        <v>6.4337215751525179E-2</v>
      </c>
      <c r="T48" s="41">
        <f>Rådatakommune[[#This Row],[Kvinner20-39]]/Rådatakommune[[#This Row],[B12]]</f>
        <v>0.11047420531526837</v>
      </c>
      <c r="U48" s="41">
        <f>Rådatakommune[[#This Row],[Eldre67+]]/Rådatakommune[[#This Row],[B12]]</f>
        <v>0.15461177696717041</v>
      </c>
      <c r="V48" s="41">
        <f>Rådatakommune[[#This Row],[S11]]/Rådatakommune[[#This Row],[S01]]-1</f>
        <v>0.10435497124075588</v>
      </c>
      <c r="W48" s="41">
        <f>Rådatakommune[[#This Row],[Y11]]/Rådatakommune[[#This Row],[Folk20-64]]</f>
        <v>0.83719052744886979</v>
      </c>
    </row>
    <row r="49" spans="1:23" s="38" customFormat="1" ht="12.75">
      <c r="A49" s="42" t="s">
        <v>47</v>
      </c>
      <c r="B49" s="37">
        <v>4</v>
      </c>
      <c r="C49" s="38">
        <v>6</v>
      </c>
      <c r="D49" s="39" t="s">
        <v>434</v>
      </c>
      <c r="E49" s="43" t="s">
        <v>435</v>
      </c>
      <c r="F49" s="3">
        <v>5065</v>
      </c>
      <c r="G49" s="3">
        <v>5141</v>
      </c>
      <c r="H49" s="3">
        <v>2373</v>
      </c>
      <c r="I49" s="3">
        <v>943</v>
      </c>
      <c r="J49" s="3">
        <v>500</v>
      </c>
      <c r="K49" s="3">
        <v>2936</v>
      </c>
      <c r="L49" s="3">
        <v>1459</v>
      </c>
      <c r="M49" s="3">
        <v>1575</v>
      </c>
      <c r="N49" s="40">
        <v>508.14</v>
      </c>
      <c r="O49" s="40">
        <v>292500</v>
      </c>
      <c r="P49" s="38">
        <v>67.4462787752</v>
      </c>
      <c r="Q49" s="38">
        <v>5</v>
      </c>
      <c r="R49" s="38">
        <f t="shared" si="0"/>
        <v>10.117290510489235</v>
      </c>
      <c r="S49" s="41">
        <f>Rådatakommune[[#This Row],[B12]]/Rådatakommune[[#This Row],[B02]]-1</f>
        <v>1.5004935834155964E-2</v>
      </c>
      <c r="T49" s="41">
        <f>Rådatakommune[[#This Row],[Kvinner20-39]]/Rådatakommune[[#This Row],[B12]]</f>
        <v>9.7257342929391172E-2</v>
      </c>
      <c r="U49" s="41">
        <f>Rådatakommune[[#This Row],[Eldre67+]]/Rådatakommune[[#This Row],[B12]]</f>
        <v>0.18342734876483174</v>
      </c>
      <c r="V49" s="41">
        <f>Rådatakommune[[#This Row],[S11]]/Rådatakommune[[#This Row],[S01]]-1</f>
        <v>7.950651130911579E-2</v>
      </c>
      <c r="W49" s="41">
        <f>Rådatakommune[[#This Row],[Y11]]/Rådatakommune[[#This Row],[Folk20-64]]</f>
        <v>0.80824250681198906</v>
      </c>
    </row>
    <row r="50" spans="1:23" s="38" customFormat="1" ht="12.75">
      <c r="A50" s="42" t="s">
        <v>48</v>
      </c>
      <c r="B50" s="37">
        <v>4</v>
      </c>
      <c r="C50" s="38">
        <v>6</v>
      </c>
      <c r="D50" s="39" t="s">
        <v>432</v>
      </c>
      <c r="E50" s="43">
        <v>1</v>
      </c>
      <c r="F50" s="3">
        <v>7501</v>
      </c>
      <c r="G50" s="3">
        <v>7859</v>
      </c>
      <c r="H50" s="3">
        <v>3859</v>
      </c>
      <c r="I50" s="3">
        <v>1195</v>
      </c>
      <c r="J50" s="3">
        <v>875</v>
      </c>
      <c r="K50" s="3">
        <v>4661</v>
      </c>
      <c r="L50" s="3">
        <v>2633</v>
      </c>
      <c r="M50" s="3">
        <v>2389</v>
      </c>
      <c r="N50" s="40">
        <v>516.74</v>
      </c>
      <c r="O50" s="40">
        <v>311400</v>
      </c>
      <c r="P50" s="38">
        <v>55.4003094698</v>
      </c>
      <c r="Q50" s="38">
        <v>5</v>
      </c>
      <c r="R50" s="38">
        <f t="shared" si="0"/>
        <v>15.208809072260712</v>
      </c>
      <c r="S50" s="41">
        <f>Rådatakommune[[#This Row],[B12]]/Rådatakommune[[#This Row],[B02]]-1</f>
        <v>4.7726969737368341E-2</v>
      </c>
      <c r="T50" s="41">
        <f>Rådatakommune[[#This Row],[Kvinner20-39]]/Rådatakommune[[#This Row],[B12]]</f>
        <v>0.11133732026975442</v>
      </c>
      <c r="U50" s="41">
        <f>Rådatakommune[[#This Row],[Eldre67+]]/Rådatakommune[[#This Row],[B12]]</f>
        <v>0.15205496882555034</v>
      </c>
      <c r="V50" s="41">
        <f>Rådatakommune[[#This Row],[S11]]/Rådatakommune[[#This Row],[S01]]-1</f>
        <v>-9.2669958222559856E-2</v>
      </c>
      <c r="W50" s="41">
        <f>Rådatakommune[[#This Row],[Y11]]/Rådatakommune[[#This Row],[Folk20-64]]</f>
        <v>0.8279339197597082</v>
      </c>
    </row>
    <row r="51" spans="1:23" s="38" customFormat="1" ht="12.75">
      <c r="A51" s="42" t="s">
        <v>49</v>
      </c>
      <c r="B51" s="37">
        <v>4</v>
      </c>
      <c r="C51" s="38">
        <v>6</v>
      </c>
      <c r="D51" s="39" t="s">
        <v>433</v>
      </c>
      <c r="E51" s="43" t="s">
        <v>435</v>
      </c>
      <c r="F51" s="3">
        <v>6429</v>
      </c>
      <c r="G51" s="3">
        <v>6288</v>
      </c>
      <c r="H51" s="3">
        <v>2772</v>
      </c>
      <c r="I51" s="3">
        <v>1152</v>
      </c>
      <c r="J51" s="3">
        <v>600</v>
      </c>
      <c r="K51" s="3">
        <v>3549</v>
      </c>
      <c r="L51" s="3">
        <v>1845</v>
      </c>
      <c r="M51" s="3">
        <v>1893</v>
      </c>
      <c r="N51" s="40">
        <v>640.39</v>
      </c>
      <c r="O51" s="40">
        <v>281200</v>
      </c>
      <c r="P51" s="38">
        <v>78.382385675799995</v>
      </c>
      <c r="Q51" s="38">
        <v>5</v>
      </c>
      <c r="R51" s="38">
        <f t="shared" si="0"/>
        <v>9.8190165367978892</v>
      </c>
      <c r="S51" s="41">
        <f>Rådatakommune[[#This Row],[B12]]/Rådatakommune[[#This Row],[B02]]-1</f>
        <v>-2.1931871208586085E-2</v>
      </c>
      <c r="T51" s="41">
        <f>Rådatakommune[[#This Row],[Kvinner20-39]]/Rådatakommune[[#This Row],[B12]]</f>
        <v>9.5419847328244281E-2</v>
      </c>
      <c r="U51" s="41">
        <f>Rådatakommune[[#This Row],[Eldre67+]]/Rådatakommune[[#This Row],[B12]]</f>
        <v>0.18320610687022901</v>
      </c>
      <c r="V51" s="41">
        <f>Rådatakommune[[#This Row],[S11]]/Rådatakommune[[#This Row],[S01]]-1</f>
        <v>2.6016260162601723E-2</v>
      </c>
      <c r="W51" s="41">
        <f>Rådatakommune[[#This Row],[Y11]]/Rådatakommune[[#This Row],[Folk20-64]]</f>
        <v>0.78106508875739644</v>
      </c>
    </row>
    <row r="52" spans="1:23" s="38" customFormat="1" ht="12.75">
      <c r="A52" s="42" t="s">
        <v>50</v>
      </c>
      <c r="B52" s="37">
        <v>4</v>
      </c>
      <c r="C52" s="38">
        <v>6</v>
      </c>
      <c r="D52" s="39" t="s">
        <v>433</v>
      </c>
      <c r="E52" s="43" t="s">
        <v>435</v>
      </c>
      <c r="F52" s="3">
        <v>5412</v>
      </c>
      <c r="G52" s="3">
        <v>5003</v>
      </c>
      <c r="H52" s="3">
        <v>2303</v>
      </c>
      <c r="I52" s="3">
        <v>1013</v>
      </c>
      <c r="J52" s="3">
        <v>419</v>
      </c>
      <c r="K52" s="3">
        <v>2759</v>
      </c>
      <c r="L52" s="3">
        <v>2050</v>
      </c>
      <c r="M52" s="3">
        <v>1993</v>
      </c>
      <c r="N52" s="40">
        <v>837.18000000000006</v>
      </c>
      <c r="O52" s="40">
        <v>289400</v>
      </c>
      <c r="P52" s="38">
        <v>98.638474468799998</v>
      </c>
      <c r="Q52" s="38">
        <v>6</v>
      </c>
      <c r="R52" s="38">
        <f t="shared" si="0"/>
        <v>5.9760147160706172</v>
      </c>
      <c r="S52" s="41">
        <f>Rådatakommune[[#This Row],[B12]]/Rådatakommune[[#This Row],[B02]]-1</f>
        <v>-7.557280118255727E-2</v>
      </c>
      <c r="T52" s="41">
        <f>Rådatakommune[[#This Row],[Kvinner20-39]]/Rådatakommune[[#This Row],[B12]]</f>
        <v>8.3749750149910054E-2</v>
      </c>
      <c r="U52" s="41">
        <f>Rådatakommune[[#This Row],[Eldre67+]]/Rådatakommune[[#This Row],[B12]]</f>
        <v>0.20247851289226465</v>
      </c>
      <c r="V52" s="41">
        <f>Rådatakommune[[#This Row],[S11]]/Rådatakommune[[#This Row],[S01]]-1</f>
        <v>-2.7804878048780513E-2</v>
      </c>
      <c r="W52" s="41">
        <f>Rådatakommune[[#This Row],[Y11]]/Rådatakommune[[#This Row],[Folk20-64]]</f>
        <v>0.83472272562522654</v>
      </c>
    </row>
    <row r="53" spans="1:23" s="38" customFormat="1" ht="12.75">
      <c r="A53" s="42" t="s">
        <v>51</v>
      </c>
      <c r="B53" s="37">
        <v>4</v>
      </c>
      <c r="C53" s="38">
        <v>6</v>
      </c>
      <c r="D53" s="39" t="s">
        <v>433</v>
      </c>
      <c r="E53" s="43" t="s">
        <v>435</v>
      </c>
      <c r="F53" s="3">
        <v>8024</v>
      </c>
      <c r="G53" s="3">
        <v>7606</v>
      </c>
      <c r="H53" s="3">
        <v>3423</v>
      </c>
      <c r="I53" s="3">
        <v>1606</v>
      </c>
      <c r="J53" s="3">
        <v>726</v>
      </c>
      <c r="K53" s="3">
        <v>4216</v>
      </c>
      <c r="L53" s="3">
        <v>3094</v>
      </c>
      <c r="M53" s="3">
        <v>3037</v>
      </c>
      <c r="N53" s="40">
        <v>1040.94</v>
      </c>
      <c r="O53" s="40">
        <v>287600</v>
      </c>
      <c r="P53" s="38">
        <v>114.27435344600001</v>
      </c>
      <c r="Q53" s="38">
        <v>5</v>
      </c>
      <c r="R53" s="38">
        <f t="shared" si="0"/>
        <v>7.3068572636271059</v>
      </c>
      <c r="S53" s="41">
        <f>Rådatakommune[[#This Row],[B12]]/Rådatakommune[[#This Row],[B02]]-1</f>
        <v>-5.2093718843469583E-2</v>
      </c>
      <c r="T53" s="41">
        <f>Rådatakommune[[#This Row],[Kvinner20-39]]/Rådatakommune[[#This Row],[B12]]</f>
        <v>9.5450959768603738E-2</v>
      </c>
      <c r="U53" s="41">
        <f>Rådatakommune[[#This Row],[Eldre67+]]/Rådatakommune[[#This Row],[B12]]</f>
        <v>0.21114909282145675</v>
      </c>
      <c r="V53" s="41">
        <f>Rådatakommune[[#This Row],[S11]]/Rådatakommune[[#This Row],[S01]]-1</f>
        <v>-1.842275371687141E-2</v>
      </c>
      <c r="W53" s="41">
        <f>Rådatakommune[[#This Row],[Y11]]/Rådatakommune[[#This Row],[Folk20-64]]</f>
        <v>0.81190702087286526</v>
      </c>
    </row>
    <row r="54" spans="1:23" s="38" customFormat="1" ht="12.75">
      <c r="A54" s="42" t="s">
        <v>52</v>
      </c>
      <c r="B54" s="37">
        <v>4</v>
      </c>
      <c r="C54" s="38">
        <v>8</v>
      </c>
      <c r="D54" s="39" t="s">
        <v>433</v>
      </c>
      <c r="E54" s="43" t="s">
        <v>435</v>
      </c>
      <c r="F54" s="3">
        <v>4020</v>
      </c>
      <c r="G54" s="3">
        <v>3844</v>
      </c>
      <c r="H54" s="3">
        <v>1801</v>
      </c>
      <c r="I54" s="3">
        <v>760</v>
      </c>
      <c r="J54" s="3">
        <v>357</v>
      </c>
      <c r="K54" s="3">
        <v>2185</v>
      </c>
      <c r="L54" s="3">
        <v>1612</v>
      </c>
      <c r="M54" s="3">
        <v>1458</v>
      </c>
      <c r="N54" s="40">
        <v>705.28000000000009</v>
      </c>
      <c r="O54" s="40">
        <v>289600</v>
      </c>
      <c r="P54" s="38">
        <v>121.93083443800001</v>
      </c>
      <c r="Q54" s="38">
        <v>5</v>
      </c>
      <c r="R54" s="38">
        <f t="shared" si="0"/>
        <v>5.4503176043557158</v>
      </c>
      <c r="S54" s="41">
        <f>Rådatakommune[[#This Row],[B12]]/Rådatakommune[[#This Row],[B02]]-1</f>
        <v>-4.3781094527363229E-2</v>
      </c>
      <c r="T54" s="41">
        <f>Rådatakommune[[#This Row],[Kvinner20-39]]/Rådatakommune[[#This Row],[B12]]</f>
        <v>9.2872008324661817E-2</v>
      </c>
      <c r="U54" s="41">
        <f>Rådatakommune[[#This Row],[Eldre67+]]/Rådatakommune[[#This Row],[B12]]</f>
        <v>0.19771071800208118</v>
      </c>
      <c r="V54" s="41">
        <f>Rådatakommune[[#This Row],[S11]]/Rådatakommune[[#This Row],[S01]]-1</f>
        <v>-9.5533498759305169E-2</v>
      </c>
      <c r="W54" s="41">
        <f>Rådatakommune[[#This Row],[Y11]]/Rådatakommune[[#This Row],[Folk20-64]]</f>
        <v>0.82425629290617852</v>
      </c>
    </row>
    <row r="55" spans="1:23" s="38" customFormat="1" ht="12.75">
      <c r="A55" s="42" t="s">
        <v>53</v>
      </c>
      <c r="B55" s="37">
        <v>4</v>
      </c>
      <c r="C55" s="38">
        <v>8</v>
      </c>
      <c r="D55" s="39" t="s">
        <v>432</v>
      </c>
      <c r="E55" s="43">
        <v>1</v>
      </c>
      <c r="F55" s="3">
        <v>18527</v>
      </c>
      <c r="G55" s="3">
        <v>20152</v>
      </c>
      <c r="H55" s="3">
        <v>9998</v>
      </c>
      <c r="I55" s="3">
        <v>3081</v>
      </c>
      <c r="J55" s="3">
        <v>2489</v>
      </c>
      <c r="K55" s="3">
        <v>11726</v>
      </c>
      <c r="L55" s="3">
        <v>8863</v>
      </c>
      <c r="M55" s="3">
        <v>10006</v>
      </c>
      <c r="N55" s="40">
        <v>1229.28</v>
      </c>
      <c r="O55" s="40">
        <v>323100</v>
      </c>
      <c r="P55" s="38">
        <v>97.186424978100007</v>
      </c>
      <c r="Q55" s="38">
        <v>5</v>
      </c>
      <c r="R55" s="38">
        <f t="shared" si="0"/>
        <v>16.393335936483144</v>
      </c>
      <c r="S55" s="41">
        <f>Rådatakommune[[#This Row],[B12]]/Rådatakommune[[#This Row],[B02]]-1</f>
        <v>8.770982889836465E-2</v>
      </c>
      <c r="T55" s="41">
        <f>Rådatakommune[[#This Row],[Kvinner20-39]]/Rådatakommune[[#This Row],[B12]]</f>
        <v>0.12351131401349742</v>
      </c>
      <c r="U55" s="41">
        <f>Rådatakommune[[#This Row],[Eldre67+]]/Rådatakommune[[#This Row],[B12]]</f>
        <v>0.15288805081381501</v>
      </c>
      <c r="V55" s="41">
        <f>Rådatakommune[[#This Row],[S11]]/Rådatakommune[[#This Row],[S01]]-1</f>
        <v>0.128963105043439</v>
      </c>
      <c r="W55" s="41">
        <f>Rådatakommune[[#This Row],[Y11]]/Rådatakommune[[#This Row],[Folk20-64]]</f>
        <v>0.85263516970834041</v>
      </c>
    </row>
    <row r="56" spans="1:23" s="38" customFormat="1" ht="12.75">
      <c r="A56" s="42" t="s">
        <v>54</v>
      </c>
      <c r="B56" s="37">
        <v>4</v>
      </c>
      <c r="C56" s="38">
        <v>9</v>
      </c>
      <c r="D56" s="39" t="s">
        <v>436</v>
      </c>
      <c r="E56" s="43">
        <v>2</v>
      </c>
      <c r="F56" s="3">
        <v>7049</v>
      </c>
      <c r="G56" s="3">
        <v>6752</v>
      </c>
      <c r="H56" s="3">
        <v>3058</v>
      </c>
      <c r="I56" s="3">
        <v>1337</v>
      </c>
      <c r="J56" s="3">
        <v>679</v>
      </c>
      <c r="K56" s="3">
        <v>3779</v>
      </c>
      <c r="L56" s="3">
        <v>2782</v>
      </c>
      <c r="M56" s="3">
        <v>2797</v>
      </c>
      <c r="N56" s="40">
        <v>3014.41</v>
      </c>
      <c r="O56" s="40">
        <v>288300</v>
      </c>
      <c r="P56" s="38">
        <v>150.541190755</v>
      </c>
      <c r="Q56" s="38">
        <v>9</v>
      </c>
      <c r="R56" s="38">
        <f t="shared" si="0"/>
        <v>2.2399076436184862</v>
      </c>
      <c r="S56" s="41">
        <f>Rådatakommune[[#This Row],[B12]]/Rådatakommune[[#This Row],[B02]]-1</f>
        <v>-4.2133635976734252E-2</v>
      </c>
      <c r="T56" s="41">
        <f>Rådatakommune[[#This Row],[Kvinner20-39]]/Rådatakommune[[#This Row],[B12]]</f>
        <v>0.1005627962085308</v>
      </c>
      <c r="U56" s="41">
        <f>Rådatakommune[[#This Row],[Eldre67+]]/Rådatakommune[[#This Row],[B12]]</f>
        <v>0.19801540284360189</v>
      </c>
      <c r="V56" s="41">
        <f>Rådatakommune[[#This Row],[S11]]/Rådatakommune[[#This Row],[S01]]-1</f>
        <v>5.3918044572249801E-3</v>
      </c>
      <c r="W56" s="41">
        <f>Rådatakommune[[#This Row],[Y11]]/Rådatakommune[[#This Row],[Folk20-64]]</f>
        <v>0.80920878539296115</v>
      </c>
    </row>
    <row r="57" spans="1:23" s="38" customFormat="1" ht="12.75">
      <c r="A57" s="42" t="s">
        <v>55</v>
      </c>
      <c r="B57" s="37">
        <v>4</v>
      </c>
      <c r="C57" s="38">
        <v>8</v>
      </c>
      <c r="D57" s="39" t="s">
        <v>436</v>
      </c>
      <c r="E57" s="43" t="s">
        <v>435</v>
      </c>
      <c r="F57" s="3">
        <v>4398</v>
      </c>
      <c r="G57" s="3">
        <v>4337</v>
      </c>
      <c r="H57" s="3">
        <v>2065</v>
      </c>
      <c r="I57" s="3">
        <v>747</v>
      </c>
      <c r="J57" s="3">
        <v>485</v>
      </c>
      <c r="K57" s="3">
        <v>2489</v>
      </c>
      <c r="L57" s="3">
        <v>1705</v>
      </c>
      <c r="M57" s="3">
        <v>1827</v>
      </c>
      <c r="N57" s="40">
        <v>1339.91</v>
      </c>
      <c r="O57" s="40">
        <v>302700</v>
      </c>
      <c r="P57" s="38">
        <v>121.702497657</v>
      </c>
      <c r="Q57" s="38">
        <v>5</v>
      </c>
      <c r="R57" s="38">
        <f t="shared" si="0"/>
        <v>3.2367845601570253</v>
      </c>
      <c r="S57" s="41">
        <f>Rådatakommune[[#This Row],[B12]]/Rådatakommune[[#This Row],[B02]]-1</f>
        <v>-1.3869940882219156E-2</v>
      </c>
      <c r="T57" s="41">
        <f>Rådatakommune[[#This Row],[Kvinner20-39]]/Rådatakommune[[#This Row],[B12]]</f>
        <v>0.11182845284759051</v>
      </c>
      <c r="U57" s="41">
        <f>Rådatakommune[[#This Row],[Eldre67+]]/Rådatakommune[[#This Row],[B12]]</f>
        <v>0.17223887479824765</v>
      </c>
      <c r="V57" s="41">
        <f>Rådatakommune[[#This Row],[S11]]/Rådatakommune[[#This Row],[S01]]-1</f>
        <v>7.1554252199413471E-2</v>
      </c>
      <c r="W57" s="41">
        <f>Rådatakommune[[#This Row],[Y11]]/Rådatakommune[[#This Row],[Folk20-64]]</f>
        <v>0.82965046203294501</v>
      </c>
    </row>
    <row r="58" spans="1:23" s="38" customFormat="1" ht="12.75">
      <c r="A58" s="42" t="s">
        <v>56</v>
      </c>
      <c r="B58" s="37">
        <v>4</v>
      </c>
      <c r="C58" s="38">
        <v>10</v>
      </c>
      <c r="D58" s="39" t="s">
        <v>436</v>
      </c>
      <c r="E58" s="43">
        <v>3</v>
      </c>
      <c r="F58" s="3">
        <v>2921</v>
      </c>
      <c r="G58" s="3">
        <v>2678</v>
      </c>
      <c r="H58" s="3">
        <v>1201</v>
      </c>
      <c r="I58" s="3">
        <v>522</v>
      </c>
      <c r="J58" s="3">
        <v>277</v>
      </c>
      <c r="K58" s="3">
        <v>1546</v>
      </c>
      <c r="L58" s="3">
        <v>1100</v>
      </c>
      <c r="M58" s="3">
        <v>1028</v>
      </c>
      <c r="N58" s="40">
        <v>2165.79</v>
      </c>
      <c r="O58" s="40">
        <v>290700</v>
      </c>
      <c r="P58" s="38">
        <v>165.90602107999999</v>
      </c>
      <c r="Q58" s="38">
        <v>11</v>
      </c>
      <c r="R58" s="38">
        <f t="shared" si="0"/>
        <v>1.2365003070473131</v>
      </c>
      <c r="S58" s="41">
        <f>Rådatakommune[[#This Row],[B12]]/Rådatakommune[[#This Row],[B02]]-1</f>
        <v>-8.3190688120506673E-2</v>
      </c>
      <c r="T58" s="41">
        <f>Rådatakommune[[#This Row],[Kvinner20-39]]/Rådatakommune[[#This Row],[B12]]</f>
        <v>0.10343539955190441</v>
      </c>
      <c r="U58" s="41">
        <f>Rådatakommune[[#This Row],[Eldre67+]]/Rådatakommune[[#This Row],[B12]]</f>
        <v>0.19492158327109785</v>
      </c>
      <c r="V58" s="41">
        <f>Rådatakommune[[#This Row],[S11]]/Rådatakommune[[#This Row],[S01]]-1</f>
        <v>-6.5454545454545432E-2</v>
      </c>
      <c r="W58" s="41">
        <f>Rådatakommune[[#This Row],[Y11]]/Rådatakommune[[#This Row],[Folk20-64]]</f>
        <v>0.77684346701164297</v>
      </c>
    </row>
    <row r="59" spans="1:23" s="38" customFormat="1" ht="12.75">
      <c r="A59" s="42" t="s">
        <v>57</v>
      </c>
      <c r="B59" s="37">
        <v>4</v>
      </c>
      <c r="C59" s="38">
        <v>11</v>
      </c>
      <c r="D59" s="39" t="s">
        <v>436</v>
      </c>
      <c r="E59" s="43">
        <v>3</v>
      </c>
      <c r="F59" s="3">
        <v>2217</v>
      </c>
      <c r="G59" s="3">
        <v>1959</v>
      </c>
      <c r="H59" s="3">
        <v>966</v>
      </c>
      <c r="I59" s="3">
        <v>440</v>
      </c>
      <c r="J59" s="3">
        <v>170</v>
      </c>
      <c r="K59" s="3">
        <v>1052</v>
      </c>
      <c r="L59" s="3">
        <v>763</v>
      </c>
      <c r="M59" s="3">
        <v>734</v>
      </c>
      <c r="N59" s="40">
        <v>3179.52</v>
      </c>
      <c r="O59" s="40">
        <v>281300</v>
      </c>
      <c r="P59" s="38">
        <v>196.93811735700001</v>
      </c>
      <c r="Q59" s="38">
        <v>8</v>
      </c>
      <c r="R59" s="38">
        <f t="shared" si="0"/>
        <v>0.61613073671497587</v>
      </c>
      <c r="S59" s="41">
        <f>Rådatakommune[[#This Row],[B12]]/Rådatakommune[[#This Row],[B02]]-1</f>
        <v>-0.11637347767253048</v>
      </c>
      <c r="T59" s="41">
        <f>Rådatakommune[[#This Row],[Kvinner20-39]]/Rådatakommune[[#This Row],[B12]]</f>
        <v>8.6778968861664113E-2</v>
      </c>
      <c r="U59" s="41">
        <f>Rådatakommune[[#This Row],[Eldre67+]]/Rådatakommune[[#This Row],[B12]]</f>
        <v>0.22460438999489535</v>
      </c>
      <c r="V59" s="41">
        <f>Rådatakommune[[#This Row],[S11]]/Rådatakommune[[#This Row],[S01]]-1</f>
        <v>-3.8007863695937116E-2</v>
      </c>
      <c r="W59" s="41">
        <f>Rådatakommune[[#This Row],[Y11]]/Rådatakommune[[#This Row],[Folk20-64]]</f>
        <v>0.91825095057034223</v>
      </c>
    </row>
    <row r="60" spans="1:23" s="38" customFormat="1" ht="12.75">
      <c r="A60" s="42" t="s">
        <v>58</v>
      </c>
      <c r="B60" s="37">
        <v>4</v>
      </c>
      <c r="C60" s="38">
        <v>9</v>
      </c>
      <c r="D60" s="39" t="s">
        <v>436</v>
      </c>
      <c r="E60" s="43">
        <v>3</v>
      </c>
      <c r="F60" s="3">
        <v>1516</v>
      </c>
      <c r="G60" s="3">
        <v>1390</v>
      </c>
      <c r="H60" s="3">
        <v>681</v>
      </c>
      <c r="I60" s="3">
        <v>288</v>
      </c>
      <c r="J60" s="3">
        <v>116</v>
      </c>
      <c r="K60" s="3">
        <v>738</v>
      </c>
      <c r="L60" s="3">
        <v>652</v>
      </c>
      <c r="M60" s="3">
        <v>567</v>
      </c>
      <c r="N60" s="40">
        <v>2196.54</v>
      </c>
      <c r="O60" s="40">
        <v>272700</v>
      </c>
      <c r="P60" s="38">
        <v>191.10905358400001</v>
      </c>
      <c r="Q60" s="38">
        <v>9</v>
      </c>
      <c r="R60" s="38">
        <f t="shared" si="0"/>
        <v>0.63281342474983382</v>
      </c>
      <c r="S60" s="41">
        <f>Rådatakommune[[#This Row],[B12]]/Rådatakommune[[#This Row],[B02]]-1</f>
        <v>-8.3113456464379953E-2</v>
      </c>
      <c r="T60" s="41">
        <f>Rådatakommune[[#This Row],[Kvinner20-39]]/Rådatakommune[[#This Row],[B12]]</f>
        <v>8.3453237410071948E-2</v>
      </c>
      <c r="U60" s="41">
        <f>Rådatakommune[[#This Row],[Eldre67+]]/Rådatakommune[[#This Row],[B12]]</f>
        <v>0.20719424460431654</v>
      </c>
      <c r="V60" s="41">
        <f>Rådatakommune[[#This Row],[S11]]/Rådatakommune[[#This Row],[S01]]-1</f>
        <v>-0.13036809815950923</v>
      </c>
      <c r="W60" s="41">
        <f>Rådatakommune[[#This Row],[Y11]]/Rådatakommune[[#This Row],[Folk20-64]]</f>
        <v>0.92276422764227639</v>
      </c>
    </row>
    <row r="61" spans="1:23" s="38" customFormat="1" ht="12.75">
      <c r="A61" s="42" t="s">
        <v>59</v>
      </c>
      <c r="B61" s="37">
        <v>4</v>
      </c>
      <c r="C61" s="38">
        <v>11</v>
      </c>
      <c r="D61" s="39" t="s">
        <v>436</v>
      </c>
      <c r="E61" s="43">
        <v>3</v>
      </c>
      <c r="F61" s="3">
        <v>1808</v>
      </c>
      <c r="G61" s="3">
        <v>1681</v>
      </c>
      <c r="H61" s="3">
        <v>927</v>
      </c>
      <c r="I61" s="3">
        <v>288</v>
      </c>
      <c r="J61" s="3">
        <v>174</v>
      </c>
      <c r="K61" s="3">
        <v>926</v>
      </c>
      <c r="L61" s="3">
        <v>707</v>
      </c>
      <c r="M61" s="3">
        <v>657</v>
      </c>
      <c r="N61" s="40">
        <v>1122.5999999999999</v>
      </c>
      <c r="O61" s="40">
        <v>279400</v>
      </c>
      <c r="P61" s="38">
        <v>179.9717179882</v>
      </c>
      <c r="Q61" s="38">
        <v>8</v>
      </c>
      <c r="R61" s="38">
        <f t="shared" si="0"/>
        <v>1.4974167112061287</v>
      </c>
      <c r="S61" s="41">
        <f>Rådatakommune[[#This Row],[B12]]/Rådatakommune[[#This Row],[B02]]-1</f>
        <v>-7.0243362831858391E-2</v>
      </c>
      <c r="T61" s="41">
        <f>Rådatakommune[[#This Row],[Kvinner20-39]]/Rådatakommune[[#This Row],[B12]]</f>
        <v>0.10350981558596074</v>
      </c>
      <c r="U61" s="41">
        <f>Rådatakommune[[#This Row],[Eldre67+]]/Rådatakommune[[#This Row],[B12]]</f>
        <v>0.17132659131469363</v>
      </c>
      <c r="V61" s="41">
        <f>Rådatakommune[[#This Row],[S11]]/Rådatakommune[[#This Row],[S01]]-1</f>
        <v>-7.0721357850070721E-2</v>
      </c>
      <c r="W61" s="41">
        <f>Rådatakommune[[#This Row],[Y11]]/Rådatakommune[[#This Row],[Folk20-64]]</f>
        <v>1.0010799136069115</v>
      </c>
    </row>
    <row r="62" spans="1:23" s="38" customFormat="1" ht="12.75">
      <c r="A62" s="42" t="s">
        <v>60</v>
      </c>
      <c r="B62" s="37">
        <v>4</v>
      </c>
      <c r="C62" s="38">
        <v>11</v>
      </c>
      <c r="D62" s="39" t="s">
        <v>436</v>
      </c>
      <c r="E62" s="43">
        <v>3</v>
      </c>
      <c r="F62" s="3">
        <v>5428</v>
      </c>
      <c r="G62" s="3">
        <v>5564</v>
      </c>
      <c r="H62" s="3">
        <v>2966</v>
      </c>
      <c r="I62" s="3">
        <v>867</v>
      </c>
      <c r="J62" s="3">
        <v>612</v>
      </c>
      <c r="K62" s="3">
        <v>3128</v>
      </c>
      <c r="L62" s="3">
        <v>3066</v>
      </c>
      <c r="M62" s="3">
        <v>3423</v>
      </c>
      <c r="N62" s="40">
        <v>1880.5</v>
      </c>
      <c r="O62" s="40">
        <v>315000</v>
      </c>
      <c r="P62" s="38">
        <v>196.7671357575</v>
      </c>
      <c r="Q62" s="38">
        <v>8</v>
      </c>
      <c r="R62" s="38">
        <f t="shared" si="0"/>
        <v>2.9587875565009307</v>
      </c>
      <c r="S62" s="41">
        <f>Rådatakommune[[#This Row],[B12]]/Rådatakommune[[#This Row],[B02]]-1</f>
        <v>2.5055268975681555E-2</v>
      </c>
      <c r="T62" s="41">
        <f>Rådatakommune[[#This Row],[Kvinner20-39]]/Rådatakommune[[#This Row],[B12]]</f>
        <v>0.10999281092739037</v>
      </c>
      <c r="U62" s="41">
        <f>Rådatakommune[[#This Row],[Eldre67+]]/Rådatakommune[[#This Row],[B12]]</f>
        <v>0.15582314881380302</v>
      </c>
      <c r="V62" s="41">
        <f>Rådatakommune[[#This Row],[S11]]/Rådatakommune[[#This Row],[S01]]-1</f>
        <v>0.11643835616438358</v>
      </c>
      <c r="W62" s="41">
        <f>Rådatakommune[[#This Row],[Y11]]/Rådatakommune[[#This Row],[Folk20-64]]</f>
        <v>0.94820971867007675</v>
      </c>
    </row>
    <row r="63" spans="1:23" s="38" customFormat="1" ht="12.75">
      <c r="A63" s="42" t="s">
        <v>61</v>
      </c>
      <c r="B63" s="37">
        <v>4</v>
      </c>
      <c r="C63" s="38">
        <v>11</v>
      </c>
      <c r="D63" s="39" t="s">
        <v>436</v>
      </c>
      <c r="E63" s="43">
        <v>3</v>
      </c>
      <c r="F63" s="3">
        <v>2409</v>
      </c>
      <c r="G63" s="3">
        <v>2431</v>
      </c>
      <c r="H63" s="3">
        <v>1325</v>
      </c>
      <c r="I63" s="3">
        <v>422</v>
      </c>
      <c r="J63" s="3">
        <v>261</v>
      </c>
      <c r="K63" s="3">
        <v>1336</v>
      </c>
      <c r="L63" s="3">
        <v>1002</v>
      </c>
      <c r="M63" s="3">
        <v>1191</v>
      </c>
      <c r="N63" s="40">
        <v>942.15000000000009</v>
      </c>
      <c r="O63" s="40">
        <v>306700</v>
      </c>
      <c r="P63" s="38">
        <v>215.45257689850001</v>
      </c>
      <c r="Q63" s="38">
        <v>8</v>
      </c>
      <c r="R63" s="38">
        <f t="shared" si="0"/>
        <v>2.5802685347343837</v>
      </c>
      <c r="S63" s="41">
        <f>Rådatakommune[[#This Row],[B12]]/Rådatakommune[[#This Row],[B02]]-1</f>
        <v>9.1324200913243114E-3</v>
      </c>
      <c r="T63" s="41">
        <f>Rådatakommune[[#This Row],[Kvinner20-39]]/Rådatakommune[[#This Row],[B12]]</f>
        <v>0.10736322501028384</v>
      </c>
      <c r="U63" s="41">
        <f>Rådatakommune[[#This Row],[Eldre67+]]/Rådatakommune[[#This Row],[B12]]</f>
        <v>0.17359111476758535</v>
      </c>
      <c r="V63" s="41">
        <f>Rådatakommune[[#This Row],[S11]]/Rådatakommune[[#This Row],[S01]]-1</f>
        <v>0.18862275449101795</v>
      </c>
      <c r="W63" s="41">
        <f>Rådatakommune[[#This Row],[Y11]]/Rådatakommune[[#This Row],[Folk20-64]]</f>
        <v>0.99176646706586824</v>
      </c>
    </row>
    <row r="64" spans="1:23" s="38" customFormat="1" ht="12.75">
      <c r="A64" s="42" t="s">
        <v>62</v>
      </c>
      <c r="B64" s="37">
        <v>4</v>
      </c>
      <c r="C64" s="38">
        <v>11</v>
      </c>
      <c r="D64" s="39" t="s">
        <v>436</v>
      </c>
      <c r="E64" s="43">
        <v>3</v>
      </c>
      <c r="F64" s="3">
        <v>1753</v>
      </c>
      <c r="G64" s="3">
        <v>1641</v>
      </c>
      <c r="H64" s="3">
        <v>849</v>
      </c>
      <c r="I64" s="3">
        <v>317</v>
      </c>
      <c r="J64" s="3">
        <v>149</v>
      </c>
      <c r="K64" s="3">
        <v>897</v>
      </c>
      <c r="L64" s="3">
        <v>708</v>
      </c>
      <c r="M64" s="3">
        <v>649</v>
      </c>
      <c r="N64" s="40">
        <v>1276.8799999999999</v>
      </c>
      <c r="O64" s="40">
        <v>288000</v>
      </c>
      <c r="P64" s="38">
        <v>239.34808878300001</v>
      </c>
      <c r="Q64" s="38">
        <v>8</v>
      </c>
      <c r="R64" s="38">
        <f t="shared" si="0"/>
        <v>1.2851638368523277</v>
      </c>
      <c r="S64" s="41">
        <f>Rådatakommune[[#This Row],[B12]]/Rådatakommune[[#This Row],[B02]]-1</f>
        <v>-6.3890473474044529E-2</v>
      </c>
      <c r="T64" s="41">
        <f>Rådatakommune[[#This Row],[Kvinner20-39]]/Rådatakommune[[#This Row],[B12]]</f>
        <v>9.0798293723339432E-2</v>
      </c>
      <c r="U64" s="41">
        <f>Rådatakommune[[#This Row],[Eldre67+]]/Rådatakommune[[#This Row],[B12]]</f>
        <v>0.19317489335770871</v>
      </c>
      <c r="V64" s="41">
        <f>Rådatakommune[[#This Row],[S11]]/Rådatakommune[[#This Row],[S01]]-1</f>
        <v>-8.333333333333337E-2</v>
      </c>
      <c r="W64" s="41">
        <f>Rådatakommune[[#This Row],[Y11]]/Rådatakommune[[#This Row],[Folk20-64]]</f>
        <v>0.94648829431438131</v>
      </c>
    </row>
    <row r="65" spans="1:23" s="38" customFormat="1" ht="12.75">
      <c r="A65" s="42" t="s">
        <v>63</v>
      </c>
      <c r="B65" s="37">
        <v>4</v>
      </c>
      <c r="C65" s="38">
        <v>94</v>
      </c>
      <c r="D65" s="39" t="s">
        <v>436</v>
      </c>
      <c r="E65" s="43">
        <v>3</v>
      </c>
      <c r="F65" s="3">
        <v>2147</v>
      </c>
      <c r="G65" s="3">
        <v>2040</v>
      </c>
      <c r="H65" s="3">
        <v>1099</v>
      </c>
      <c r="I65" s="3">
        <v>338</v>
      </c>
      <c r="J65" s="3">
        <v>198</v>
      </c>
      <c r="K65" s="3">
        <v>1123</v>
      </c>
      <c r="L65" s="3">
        <v>823</v>
      </c>
      <c r="M65" s="3">
        <v>782</v>
      </c>
      <c r="N65" s="40">
        <v>1040.4000000000001</v>
      </c>
      <c r="O65" s="40">
        <v>289200</v>
      </c>
      <c r="P65" s="38">
        <v>165.28662693699999</v>
      </c>
      <c r="Q65" s="38">
        <v>9</v>
      </c>
      <c r="R65" s="38">
        <f t="shared" si="0"/>
        <v>1.9607843137254901</v>
      </c>
      <c r="S65" s="41">
        <f>Rådatakommune[[#This Row],[B12]]/Rådatakommune[[#This Row],[B02]]-1</f>
        <v>-4.9836981835118754E-2</v>
      </c>
      <c r="T65" s="41">
        <f>Rådatakommune[[#This Row],[Kvinner20-39]]/Rådatakommune[[#This Row],[B12]]</f>
        <v>9.7058823529411767E-2</v>
      </c>
      <c r="U65" s="41">
        <f>Rådatakommune[[#This Row],[Eldre67+]]/Rådatakommune[[#This Row],[B12]]</f>
        <v>0.16568627450980392</v>
      </c>
      <c r="V65" s="41">
        <f>Rådatakommune[[#This Row],[S11]]/Rådatakommune[[#This Row],[S01]]-1</f>
        <v>-4.9817739975698716E-2</v>
      </c>
      <c r="W65" s="41">
        <f>Rådatakommune[[#This Row],[Y11]]/Rådatakommune[[#This Row],[Folk20-64]]</f>
        <v>0.97862867319679425</v>
      </c>
    </row>
    <row r="66" spans="1:23" s="38" customFormat="1" ht="12.75">
      <c r="A66" s="42" t="s">
        <v>64</v>
      </c>
      <c r="B66" s="37">
        <v>5</v>
      </c>
      <c r="C66" s="38">
        <v>12</v>
      </c>
      <c r="D66" s="39" t="s">
        <v>432</v>
      </c>
      <c r="E66" s="43">
        <v>1</v>
      </c>
      <c r="F66" s="3">
        <v>24796</v>
      </c>
      <c r="G66" s="3">
        <v>26765</v>
      </c>
      <c r="H66" s="3">
        <v>13808</v>
      </c>
      <c r="I66" s="3">
        <v>4192</v>
      </c>
      <c r="J66" s="3">
        <v>3250</v>
      </c>
      <c r="K66" s="3">
        <v>15621</v>
      </c>
      <c r="L66" s="3">
        <v>14306</v>
      </c>
      <c r="M66" s="3">
        <v>16175</v>
      </c>
      <c r="N66" s="40">
        <v>478.16999999999996</v>
      </c>
      <c r="O66" s="40">
        <v>336700</v>
      </c>
      <c r="P66" s="38">
        <v>128.65623524200001</v>
      </c>
      <c r="Q66" s="38">
        <v>4</v>
      </c>
      <c r="R66" s="38">
        <f t="shared" si="0"/>
        <v>55.973816843382068</v>
      </c>
      <c r="S66" s="41">
        <f>Rådatakommune[[#This Row],[B12]]/Rådatakommune[[#This Row],[B02]]-1</f>
        <v>7.9407969027262437E-2</v>
      </c>
      <c r="T66" s="41">
        <f>Rådatakommune[[#This Row],[Kvinner20-39]]/Rådatakommune[[#This Row],[B12]]</f>
        <v>0.12142723706332897</v>
      </c>
      <c r="U66" s="41">
        <f>Rådatakommune[[#This Row],[Eldre67+]]/Rådatakommune[[#This Row],[B12]]</f>
        <v>0.15662245469830002</v>
      </c>
      <c r="V66" s="41">
        <f>Rådatakommune[[#This Row],[S11]]/Rådatakommune[[#This Row],[S01]]-1</f>
        <v>0.13064448483153912</v>
      </c>
      <c r="W66" s="41">
        <f>Rådatakommune[[#This Row],[Y11]]/Rådatakommune[[#This Row],[Folk20-64]]</f>
        <v>0.88393828820177966</v>
      </c>
    </row>
    <row r="67" spans="1:23" s="38" customFormat="1" ht="12.75">
      <c r="A67" s="42" t="s">
        <v>65</v>
      </c>
      <c r="B67" s="37">
        <v>5</v>
      </c>
      <c r="C67" s="38">
        <v>13</v>
      </c>
      <c r="D67" s="39" t="s">
        <v>432</v>
      </c>
      <c r="E67" s="43">
        <v>1</v>
      </c>
      <c r="F67" s="3">
        <v>27093</v>
      </c>
      <c r="G67" s="3">
        <v>29202</v>
      </c>
      <c r="H67" s="3">
        <v>14477</v>
      </c>
      <c r="I67" s="3">
        <v>4485</v>
      </c>
      <c r="J67" s="3">
        <v>3567</v>
      </c>
      <c r="K67" s="3">
        <v>17204</v>
      </c>
      <c r="L67" s="3">
        <v>14718</v>
      </c>
      <c r="M67" s="3">
        <v>16167</v>
      </c>
      <c r="N67" s="40">
        <v>672.25</v>
      </c>
      <c r="O67" s="40">
        <v>324000</v>
      </c>
      <c r="P67" s="38">
        <v>104.677432987</v>
      </c>
      <c r="Q67" s="38">
        <v>4</v>
      </c>
      <c r="R67" s="38">
        <f t="shared" ref="R67:R130" si="1">G67/N67</f>
        <v>43.43919672740796</v>
      </c>
      <c r="S67" s="41">
        <f>Rådatakommune[[#This Row],[B12]]/Rådatakommune[[#This Row],[B02]]-1</f>
        <v>7.784298527294875E-2</v>
      </c>
      <c r="T67" s="41">
        <f>Rådatakommune[[#This Row],[Kvinner20-39]]/Rådatakommune[[#This Row],[B12]]</f>
        <v>0.12214916786521471</v>
      </c>
      <c r="U67" s="41">
        <f>Rådatakommune[[#This Row],[Eldre67+]]/Rådatakommune[[#This Row],[B12]]</f>
        <v>0.15358537086500926</v>
      </c>
      <c r="V67" s="41">
        <f>Rådatakommune[[#This Row],[S11]]/Rådatakommune[[#This Row],[S01]]-1</f>
        <v>9.8450876477782279E-2</v>
      </c>
      <c r="W67" s="41">
        <f>Rådatakommune[[#This Row],[Y11]]/Rådatakommune[[#This Row],[Folk20-64]]</f>
        <v>0.84149035108114389</v>
      </c>
    </row>
    <row r="68" spans="1:23" s="38" customFormat="1" ht="12.75">
      <c r="A68" s="42" t="s">
        <v>66</v>
      </c>
      <c r="B68" s="37">
        <v>5</v>
      </c>
      <c r="C68" s="38">
        <v>14</v>
      </c>
      <c r="D68" s="39" t="s">
        <v>436</v>
      </c>
      <c r="E68" s="43">
        <v>3</v>
      </c>
      <c r="F68" s="3">
        <v>2897</v>
      </c>
      <c r="G68" s="3">
        <v>2742</v>
      </c>
      <c r="H68" s="3">
        <v>1398</v>
      </c>
      <c r="I68" s="3">
        <v>543</v>
      </c>
      <c r="J68" s="3">
        <v>255</v>
      </c>
      <c r="K68" s="3">
        <v>1537</v>
      </c>
      <c r="L68" s="3">
        <v>1339</v>
      </c>
      <c r="M68" s="3">
        <v>1368</v>
      </c>
      <c r="N68" s="40">
        <v>1364.39</v>
      </c>
      <c r="O68" s="40">
        <v>292200</v>
      </c>
      <c r="P68" s="38">
        <v>243.777629612</v>
      </c>
      <c r="Q68" s="38">
        <v>10</v>
      </c>
      <c r="R68" s="38">
        <f t="shared" si="1"/>
        <v>2.0096893117070631</v>
      </c>
      <c r="S68" s="41">
        <f>Rådatakommune[[#This Row],[B12]]/Rådatakommune[[#This Row],[B02]]-1</f>
        <v>-5.3503624439074859E-2</v>
      </c>
      <c r="T68" s="41">
        <f>Rådatakommune[[#This Row],[Kvinner20-39]]/Rådatakommune[[#This Row],[B12]]</f>
        <v>9.2997811816192558E-2</v>
      </c>
      <c r="U68" s="41">
        <f>Rådatakommune[[#This Row],[Eldre67+]]/Rådatakommune[[#This Row],[B12]]</f>
        <v>0.19803063457330417</v>
      </c>
      <c r="V68" s="41">
        <f>Rådatakommune[[#This Row],[S11]]/Rådatakommune[[#This Row],[S01]]-1</f>
        <v>2.165795369678869E-2</v>
      </c>
      <c r="W68" s="41">
        <f>Rådatakommune[[#This Row],[Y11]]/Rådatakommune[[#This Row],[Folk20-64]]</f>
        <v>0.90956408588158755</v>
      </c>
    </row>
    <row r="69" spans="1:23" s="38" customFormat="1" ht="12.75">
      <c r="A69" s="42" t="s">
        <v>67</v>
      </c>
      <c r="B69" s="37">
        <v>5</v>
      </c>
      <c r="C69" s="38">
        <v>14</v>
      </c>
      <c r="D69" s="39" t="s">
        <v>436</v>
      </c>
      <c r="E69" s="43">
        <v>3</v>
      </c>
      <c r="F69" s="3">
        <v>2213</v>
      </c>
      <c r="G69" s="3">
        <v>2195</v>
      </c>
      <c r="H69" s="3">
        <v>1148</v>
      </c>
      <c r="I69" s="3">
        <v>387</v>
      </c>
      <c r="J69" s="3">
        <v>222</v>
      </c>
      <c r="K69" s="3">
        <v>1212</v>
      </c>
      <c r="L69" s="3">
        <v>930</v>
      </c>
      <c r="M69" s="3">
        <v>909</v>
      </c>
      <c r="N69" s="40">
        <v>2259.4899999999998</v>
      </c>
      <c r="O69" s="40">
        <v>299400</v>
      </c>
      <c r="P69" s="38">
        <v>265.93880031100002</v>
      </c>
      <c r="Q69" s="38">
        <v>10</v>
      </c>
      <c r="R69" s="38">
        <f t="shared" si="1"/>
        <v>0.97145816091241843</v>
      </c>
      <c r="S69" s="41">
        <f>Rådatakommune[[#This Row],[B12]]/Rådatakommune[[#This Row],[B02]]-1</f>
        <v>-8.1337550835969274E-3</v>
      </c>
      <c r="T69" s="41">
        <f>Rådatakommune[[#This Row],[Kvinner20-39]]/Rådatakommune[[#This Row],[B12]]</f>
        <v>0.10113895216400912</v>
      </c>
      <c r="U69" s="41">
        <f>Rådatakommune[[#This Row],[Eldre67+]]/Rådatakommune[[#This Row],[B12]]</f>
        <v>0.17630979498861049</v>
      </c>
      <c r="V69" s="41">
        <f>Rådatakommune[[#This Row],[S11]]/Rådatakommune[[#This Row],[S01]]-1</f>
        <v>-2.2580645161290325E-2</v>
      </c>
      <c r="W69" s="41">
        <f>Rådatakommune[[#This Row],[Y11]]/Rådatakommune[[#This Row],[Folk20-64]]</f>
        <v>0.94719471947194722</v>
      </c>
    </row>
    <row r="70" spans="1:23" s="38" customFormat="1" ht="12.75">
      <c r="A70" s="42" t="s">
        <v>68</v>
      </c>
      <c r="B70" s="37">
        <v>5</v>
      </c>
      <c r="C70" s="38">
        <v>15</v>
      </c>
      <c r="D70" s="39" t="s">
        <v>436</v>
      </c>
      <c r="E70" s="43">
        <v>3</v>
      </c>
      <c r="F70" s="3">
        <v>2389</v>
      </c>
      <c r="G70" s="3">
        <v>2307</v>
      </c>
      <c r="H70" s="3">
        <v>1234</v>
      </c>
      <c r="I70" s="3">
        <v>440</v>
      </c>
      <c r="J70" s="3">
        <v>223</v>
      </c>
      <c r="K70" s="3">
        <v>1292</v>
      </c>
      <c r="L70" s="3">
        <v>1125</v>
      </c>
      <c r="M70" s="3">
        <v>1135</v>
      </c>
      <c r="N70" s="40">
        <v>2075.5300000000002</v>
      </c>
      <c r="O70" s="40">
        <v>293100</v>
      </c>
      <c r="P70" s="38">
        <v>267.83299999999997</v>
      </c>
      <c r="Q70" s="38">
        <v>10</v>
      </c>
      <c r="R70" s="38">
        <f t="shared" si="1"/>
        <v>1.1115233217539615</v>
      </c>
      <c r="S70" s="41">
        <f>Rådatakommune[[#This Row],[B12]]/Rådatakommune[[#This Row],[B02]]-1</f>
        <v>-3.4323984930933471E-2</v>
      </c>
      <c r="T70" s="41">
        <f>Rådatakommune[[#This Row],[Kvinner20-39]]/Rådatakommune[[#This Row],[B12]]</f>
        <v>9.6662332032943221E-2</v>
      </c>
      <c r="U70" s="41">
        <f>Rådatakommune[[#This Row],[Eldre67+]]/Rådatakommune[[#This Row],[B12]]</f>
        <v>0.19072388383181621</v>
      </c>
      <c r="V70" s="41">
        <f>Rådatakommune[[#This Row],[S11]]/Rådatakommune[[#This Row],[S01]]-1</f>
        <v>8.8888888888889461E-3</v>
      </c>
      <c r="W70" s="41">
        <f>Rådatakommune[[#This Row],[Y11]]/Rådatakommune[[#This Row],[Folk20-64]]</f>
        <v>0.95510835913312697</v>
      </c>
    </row>
    <row r="71" spans="1:23" s="38" customFormat="1" ht="12.75">
      <c r="A71" s="42" t="s">
        <v>69</v>
      </c>
      <c r="B71" s="37">
        <v>5</v>
      </c>
      <c r="C71" s="38">
        <v>15</v>
      </c>
      <c r="D71" s="39" t="s">
        <v>436</v>
      </c>
      <c r="E71" s="43">
        <v>3</v>
      </c>
      <c r="F71" s="3">
        <v>2519</v>
      </c>
      <c r="G71" s="3">
        <v>2382</v>
      </c>
      <c r="H71" s="3">
        <v>1268</v>
      </c>
      <c r="I71" s="3">
        <v>425</v>
      </c>
      <c r="J71" s="3">
        <v>256</v>
      </c>
      <c r="K71" s="3">
        <v>1356</v>
      </c>
      <c r="L71" s="3">
        <v>1262</v>
      </c>
      <c r="M71" s="3">
        <v>1187</v>
      </c>
      <c r="N71" s="40">
        <v>1968.56</v>
      </c>
      <c r="O71" s="40">
        <v>293000</v>
      </c>
      <c r="P71" s="38">
        <v>252.39537541000001</v>
      </c>
      <c r="Q71" s="38">
        <v>10</v>
      </c>
      <c r="R71" s="38">
        <f t="shared" si="1"/>
        <v>1.2100215385865811</v>
      </c>
      <c r="S71" s="41">
        <f>Rådatakommune[[#This Row],[B12]]/Rådatakommune[[#This Row],[B02]]-1</f>
        <v>-5.4386661373560963E-2</v>
      </c>
      <c r="T71" s="41">
        <f>Rådatakommune[[#This Row],[Kvinner20-39]]/Rådatakommune[[#This Row],[B12]]</f>
        <v>0.10747271200671704</v>
      </c>
      <c r="U71" s="41">
        <f>Rådatakommune[[#This Row],[Eldre67+]]/Rådatakommune[[#This Row],[B12]]</f>
        <v>0.17842149454240133</v>
      </c>
      <c r="V71" s="41">
        <f>Rådatakommune[[#This Row],[S11]]/Rådatakommune[[#This Row],[S01]]-1</f>
        <v>-5.9429477020602195E-2</v>
      </c>
      <c r="W71" s="41">
        <f>Rådatakommune[[#This Row],[Y11]]/Rådatakommune[[#This Row],[Folk20-64]]</f>
        <v>0.93510324483775809</v>
      </c>
    </row>
    <row r="72" spans="1:23" s="38" customFormat="1" ht="12.75">
      <c r="A72" s="42" t="s">
        <v>70</v>
      </c>
      <c r="B72" s="37">
        <v>5</v>
      </c>
      <c r="C72" s="38">
        <v>17</v>
      </c>
      <c r="D72" s="39" t="s">
        <v>436</v>
      </c>
      <c r="E72" s="43">
        <v>3</v>
      </c>
      <c r="F72" s="3">
        <v>3813</v>
      </c>
      <c r="G72" s="3">
        <v>3739</v>
      </c>
      <c r="H72" s="3">
        <v>1870</v>
      </c>
      <c r="I72" s="3">
        <v>702</v>
      </c>
      <c r="J72" s="3">
        <v>377</v>
      </c>
      <c r="K72" s="3">
        <v>2062</v>
      </c>
      <c r="L72" s="3">
        <v>1486</v>
      </c>
      <c r="M72" s="3">
        <v>1592</v>
      </c>
      <c r="N72" s="40">
        <v>1330.01</v>
      </c>
      <c r="O72" s="40">
        <v>287800</v>
      </c>
      <c r="P72" s="38">
        <v>240.018348116</v>
      </c>
      <c r="Q72" s="38">
        <v>10</v>
      </c>
      <c r="R72" s="38">
        <f t="shared" si="1"/>
        <v>2.8112570582176075</v>
      </c>
      <c r="S72" s="41">
        <f>Rådatakommune[[#This Row],[B12]]/Rådatakommune[[#This Row],[B02]]-1</f>
        <v>-1.9407290847102021E-2</v>
      </c>
      <c r="T72" s="41">
        <f>Rådatakommune[[#This Row],[Kvinner20-39]]/Rådatakommune[[#This Row],[B12]]</f>
        <v>0.10082909868948917</v>
      </c>
      <c r="U72" s="41">
        <f>Rådatakommune[[#This Row],[Eldre67+]]/Rådatakommune[[#This Row],[B12]]</f>
        <v>0.18775073549077292</v>
      </c>
      <c r="V72" s="41">
        <f>Rådatakommune[[#This Row],[S11]]/Rådatakommune[[#This Row],[S01]]-1</f>
        <v>7.1332436069986516E-2</v>
      </c>
      <c r="W72" s="41">
        <f>Rådatakommune[[#This Row],[Y11]]/Rådatakommune[[#This Row],[Folk20-64]]</f>
        <v>0.90688651794374397</v>
      </c>
    </row>
    <row r="73" spans="1:23" s="38" customFormat="1" ht="12.75">
      <c r="A73" s="42" t="s">
        <v>71</v>
      </c>
      <c r="B73" s="37">
        <v>5</v>
      </c>
      <c r="C73" s="38">
        <v>16</v>
      </c>
      <c r="D73" s="39" t="s">
        <v>436</v>
      </c>
      <c r="E73" s="43">
        <v>2</v>
      </c>
      <c r="F73" s="3">
        <v>5886</v>
      </c>
      <c r="G73" s="3">
        <v>5830</v>
      </c>
      <c r="H73" s="3">
        <v>2999</v>
      </c>
      <c r="I73" s="3">
        <v>997</v>
      </c>
      <c r="J73" s="3">
        <v>572</v>
      </c>
      <c r="K73" s="3">
        <v>3297</v>
      </c>
      <c r="L73" s="3">
        <v>2560</v>
      </c>
      <c r="M73" s="3">
        <v>2783</v>
      </c>
      <c r="N73" s="40">
        <v>1141.51</v>
      </c>
      <c r="O73" s="40">
        <v>315300</v>
      </c>
      <c r="P73" s="38">
        <v>193.56002031400001</v>
      </c>
      <c r="Q73" s="38">
        <v>8</v>
      </c>
      <c r="R73" s="38">
        <f t="shared" si="1"/>
        <v>5.1072701947420525</v>
      </c>
      <c r="S73" s="41">
        <f>Rådatakommune[[#This Row],[B12]]/Rådatakommune[[#This Row],[B02]]-1</f>
        <v>-9.5141012572205197E-3</v>
      </c>
      <c r="T73" s="41">
        <f>Rådatakommune[[#This Row],[Kvinner20-39]]/Rådatakommune[[#This Row],[B12]]</f>
        <v>9.8113207547169817E-2</v>
      </c>
      <c r="U73" s="41">
        <f>Rådatakommune[[#This Row],[Eldre67+]]/Rådatakommune[[#This Row],[B12]]</f>
        <v>0.17101200686106346</v>
      </c>
      <c r="V73" s="41">
        <f>Rådatakommune[[#This Row],[S11]]/Rådatakommune[[#This Row],[S01]]-1</f>
        <v>8.7109375000000044E-2</v>
      </c>
      <c r="W73" s="41">
        <f>Rådatakommune[[#This Row],[Y11]]/Rådatakommune[[#This Row],[Folk20-64]]</f>
        <v>0.90961480133454653</v>
      </c>
    </row>
    <row r="74" spans="1:23" s="38" customFormat="1" ht="12.75">
      <c r="A74" s="42" t="s">
        <v>72</v>
      </c>
      <c r="B74" s="37">
        <v>5</v>
      </c>
      <c r="C74" s="38">
        <v>17</v>
      </c>
      <c r="D74" s="39" t="s">
        <v>436</v>
      </c>
      <c r="E74" s="43">
        <v>3</v>
      </c>
      <c r="F74" s="3">
        <v>6162</v>
      </c>
      <c r="G74" s="3">
        <v>5992</v>
      </c>
      <c r="H74" s="3">
        <v>2878</v>
      </c>
      <c r="I74" s="3">
        <v>1094</v>
      </c>
      <c r="J74" s="3">
        <v>605</v>
      </c>
      <c r="K74" s="3">
        <v>3358</v>
      </c>
      <c r="L74" s="3">
        <v>3028</v>
      </c>
      <c r="M74" s="3">
        <v>2978</v>
      </c>
      <c r="N74" s="40">
        <v>904.91000000000008</v>
      </c>
      <c r="O74" s="40">
        <v>284000</v>
      </c>
      <c r="P74" s="38">
        <v>218.890768568</v>
      </c>
      <c r="Q74" s="38">
        <v>10</v>
      </c>
      <c r="R74" s="38">
        <f t="shared" si="1"/>
        <v>6.6216529820645142</v>
      </c>
      <c r="S74" s="41">
        <f>Rådatakommune[[#This Row],[B12]]/Rådatakommune[[#This Row],[B02]]-1</f>
        <v>-2.7588445309964293E-2</v>
      </c>
      <c r="T74" s="41">
        <f>Rådatakommune[[#This Row],[Kvinner20-39]]/Rådatakommune[[#This Row],[B12]]</f>
        <v>0.10096795727636849</v>
      </c>
      <c r="U74" s="41">
        <f>Rådatakommune[[#This Row],[Eldre67+]]/Rådatakommune[[#This Row],[B12]]</f>
        <v>0.18257676902536715</v>
      </c>
      <c r="V74" s="41">
        <f>Rådatakommune[[#This Row],[S11]]/Rådatakommune[[#This Row],[S01]]-1</f>
        <v>-1.651254953764858E-2</v>
      </c>
      <c r="W74" s="41">
        <f>Rådatakommune[[#This Row],[Y11]]/Rådatakommune[[#This Row],[Folk20-64]]</f>
        <v>0.85705777248362125</v>
      </c>
    </row>
    <row r="75" spans="1:23" s="38" customFormat="1" ht="12.75">
      <c r="A75" s="42" t="s">
        <v>73</v>
      </c>
      <c r="B75" s="37">
        <v>5</v>
      </c>
      <c r="C75" s="38">
        <v>16</v>
      </c>
      <c r="D75" s="39" t="s">
        <v>436</v>
      </c>
      <c r="E75" s="43">
        <v>2</v>
      </c>
      <c r="F75" s="3">
        <v>3323</v>
      </c>
      <c r="G75" s="3">
        <v>3208</v>
      </c>
      <c r="H75" s="3">
        <v>1598</v>
      </c>
      <c r="I75" s="3">
        <v>587</v>
      </c>
      <c r="J75" s="3">
        <v>343</v>
      </c>
      <c r="K75" s="3">
        <v>1788</v>
      </c>
      <c r="L75" s="3">
        <v>1213</v>
      </c>
      <c r="M75" s="3">
        <v>1065</v>
      </c>
      <c r="N75" s="40">
        <v>742.15</v>
      </c>
      <c r="O75" s="40">
        <v>293200</v>
      </c>
      <c r="P75" s="38">
        <v>181.96299401799999</v>
      </c>
      <c r="Q75" s="38">
        <v>5</v>
      </c>
      <c r="R75" s="38">
        <f t="shared" si="1"/>
        <v>4.3225762985919287</v>
      </c>
      <c r="S75" s="41">
        <f>Rådatakommune[[#This Row],[B12]]/Rådatakommune[[#This Row],[B02]]-1</f>
        <v>-3.4607282575985554E-2</v>
      </c>
      <c r="T75" s="41">
        <f>Rådatakommune[[#This Row],[Kvinner20-39]]/Rådatakommune[[#This Row],[B12]]</f>
        <v>0.10692019950124688</v>
      </c>
      <c r="U75" s="41">
        <f>Rådatakommune[[#This Row],[Eldre67+]]/Rådatakommune[[#This Row],[B12]]</f>
        <v>0.18298004987531172</v>
      </c>
      <c r="V75" s="41">
        <f>Rådatakommune[[#This Row],[S11]]/Rådatakommune[[#This Row],[S01]]-1</f>
        <v>-0.12201154163231653</v>
      </c>
      <c r="W75" s="41">
        <f>Rådatakommune[[#This Row],[Y11]]/Rådatakommune[[#This Row],[Folk20-64]]</f>
        <v>0.89373601789709167</v>
      </c>
    </row>
    <row r="76" spans="1:23" s="38" customFormat="1" ht="12.75">
      <c r="A76" s="42" t="s">
        <v>74</v>
      </c>
      <c r="B76" s="37">
        <v>5</v>
      </c>
      <c r="C76" s="38">
        <v>16</v>
      </c>
      <c r="D76" s="39" t="s">
        <v>436</v>
      </c>
      <c r="E76" s="43">
        <v>2</v>
      </c>
      <c r="F76" s="3">
        <v>4692</v>
      </c>
      <c r="G76" s="3">
        <v>4561</v>
      </c>
      <c r="H76" s="3">
        <v>2315</v>
      </c>
      <c r="I76" s="3">
        <v>847</v>
      </c>
      <c r="J76" s="3">
        <v>475</v>
      </c>
      <c r="K76" s="3">
        <v>2571</v>
      </c>
      <c r="L76" s="3">
        <v>2224</v>
      </c>
      <c r="M76" s="3">
        <v>2214</v>
      </c>
      <c r="N76" s="40">
        <v>1247.57</v>
      </c>
      <c r="O76" s="40">
        <v>294500</v>
      </c>
      <c r="P76" s="38">
        <v>172.36893550299999</v>
      </c>
      <c r="Q76" s="38">
        <v>5</v>
      </c>
      <c r="R76" s="38">
        <f t="shared" si="1"/>
        <v>3.6559070833700718</v>
      </c>
      <c r="S76" s="41">
        <f>Rådatakommune[[#This Row],[B12]]/Rådatakommune[[#This Row],[B02]]-1</f>
        <v>-2.7919863597613004E-2</v>
      </c>
      <c r="T76" s="41">
        <f>Rådatakommune[[#This Row],[Kvinner20-39]]/Rådatakommune[[#This Row],[B12]]</f>
        <v>0.10414382810787108</v>
      </c>
      <c r="U76" s="41">
        <f>Rådatakommune[[#This Row],[Eldre67+]]/Rådatakommune[[#This Row],[B12]]</f>
        <v>0.18570488927866696</v>
      </c>
      <c r="V76" s="41">
        <f>Rådatakommune[[#This Row],[S11]]/Rådatakommune[[#This Row],[S01]]-1</f>
        <v>-4.4964028776978138E-3</v>
      </c>
      <c r="W76" s="41">
        <f>Rådatakommune[[#This Row],[Y11]]/Rådatakommune[[#This Row],[Folk20-64]]</f>
        <v>0.90042784908595874</v>
      </c>
    </row>
    <row r="77" spans="1:23" s="38" customFormat="1" ht="12.75">
      <c r="A77" s="42" t="s">
        <v>75</v>
      </c>
      <c r="B77" s="37">
        <v>5</v>
      </c>
      <c r="C77" s="38">
        <v>12</v>
      </c>
      <c r="D77" s="39" t="s">
        <v>434</v>
      </c>
      <c r="E77" s="43">
        <v>1</v>
      </c>
      <c r="F77" s="3">
        <v>4924</v>
      </c>
      <c r="G77" s="3">
        <v>5095</v>
      </c>
      <c r="H77" s="3">
        <v>2686</v>
      </c>
      <c r="I77" s="3">
        <v>775</v>
      </c>
      <c r="J77" s="3">
        <v>541</v>
      </c>
      <c r="K77" s="3">
        <v>2975</v>
      </c>
      <c r="L77" s="3">
        <v>1780</v>
      </c>
      <c r="M77" s="3">
        <v>1897</v>
      </c>
      <c r="N77" s="40">
        <v>639.9</v>
      </c>
      <c r="O77" s="40">
        <v>309700</v>
      </c>
      <c r="P77" s="38">
        <v>150.45563992300001</v>
      </c>
      <c r="Q77" s="38">
        <v>4</v>
      </c>
      <c r="R77" s="38">
        <f t="shared" si="1"/>
        <v>7.9621815908735742</v>
      </c>
      <c r="S77" s="41">
        <f>Rådatakommune[[#This Row],[B12]]/Rådatakommune[[#This Row],[B02]]-1</f>
        <v>3.4727863525588987E-2</v>
      </c>
      <c r="T77" s="41">
        <f>Rådatakommune[[#This Row],[Kvinner20-39]]/Rådatakommune[[#This Row],[B12]]</f>
        <v>0.10618253189401373</v>
      </c>
      <c r="U77" s="41">
        <f>Rådatakommune[[#This Row],[Eldre67+]]/Rådatakommune[[#This Row],[B12]]</f>
        <v>0.1521099116781158</v>
      </c>
      <c r="V77" s="41">
        <f>Rådatakommune[[#This Row],[S11]]/Rådatakommune[[#This Row],[S01]]-1</f>
        <v>6.5730337078651724E-2</v>
      </c>
      <c r="W77" s="41">
        <f>Rådatakommune[[#This Row],[Y11]]/Rådatakommune[[#This Row],[Folk20-64]]</f>
        <v>0.9028571428571428</v>
      </c>
    </row>
    <row r="78" spans="1:23" s="38" customFormat="1" ht="12.75">
      <c r="A78" s="42" t="s">
        <v>76</v>
      </c>
      <c r="B78" s="37">
        <v>5</v>
      </c>
      <c r="C78" s="38">
        <v>12</v>
      </c>
      <c r="D78" s="39" t="s">
        <v>433</v>
      </c>
      <c r="E78" s="43" t="s">
        <v>435</v>
      </c>
      <c r="F78" s="3">
        <v>6192</v>
      </c>
      <c r="G78" s="3">
        <v>6160</v>
      </c>
      <c r="H78" s="3">
        <v>3181</v>
      </c>
      <c r="I78" s="3">
        <v>1092</v>
      </c>
      <c r="J78" s="3">
        <v>630</v>
      </c>
      <c r="K78" s="3">
        <v>3427</v>
      </c>
      <c r="L78" s="3">
        <v>2204</v>
      </c>
      <c r="M78" s="3">
        <v>2280</v>
      </c>
      <c r="N78" s="40">
        <v>1191.1600000000001</v>
      </c>
      <c r="O78" s="40">
        <v>305000</v>
      </c>
      <c r="P78" s="38">
        <v>144.21835527600001</v>
      </c>
      <c r="Q78" s="38">
        <v>4</v>
      </c>
      <c r="R78" s="38">
        <f t="shared" si="1"/>
        <v>5.1714295308774636</v>
      </c>
      <c r="S78" s="41">
        <f>Rådatakommune[[#This Row],[B12]]/Rådatakommune[[#This Row],[B02]]-1</f>
        <v>-5.1679586563307955E-3</v>
      </c>
      <c r="T78" s="41">
        <f>Rådatakommune[[#This Row],[Kvinner20-39]]/Rådatakommune[[#This Row],[B12]]</f>
        <v>0.10227272727272728</v>
      </c>
      <c r="U78" s="41">
        <f>Rådatakommune[[#This Row],[Eldre67+]]/Rådatakommune[[#This Row],[B12]]</f>
        <v>0.17727272727272728</v>
      </c>
      <c r="V78" s="41">
        <f>Rådatakommune[[#This Row],[S11]]/Rådatakommune[[#This Row],[S01]]-1</f>
        <v>3.4482758620689724E-2</v>
      </c>
      <c r="W78" s="41">
        <f>Rådatakommune[[#This Row],[Y11]]/Rådatakommune[[#This Row],[Folk20-64]]</f>
        <v>0.92821709950393927</v>
      </c>
    </row>
    <row r="79" spans="1:23" s="38" customFormat="1" ht="12.75">
      <c r="A79" s="42" t="s">
        <v>77</v>
      </c>
      <c r="B79" s="37">
        <v>5</v>
      </c>
      <c r="C79" s="38">
        <v>13</v>
      </c>
      <c r="D79" s="39" t="s">
        <v>432</v>
      </c>
      <c r="E79" s="43">
        <v>1</v>
      </c>
      <c r="F79" s="3">
        <v>14167</v>
      </c>
      <c r="G79" s="3">
        <v>14747</v>
      </c>
      <c r="H79" s="3">
        <v>7407</v>
      </c>
      <c r="I79" s="3">
        <v>2479</v>
      </c>
      <c r="J79" s="3">
        <v>1570</v>
      </c>
      <c r="K79" s="3">
        <v>8450</v>
      </c>
      <c r="L79" s="3">
        <v>4733</v>
      </c>
      <c r="M79" s="3">
        <v>5404</v>
      </c>
      <c r="N79" s="40">
        <v>562.57000000000005</v>
      </c>
      <c r="O79" s="40">
        <v>317700</v>
      </c>
      <c r="P79" s="38">
        <v>90.802721918100005</v>
      </c>
      <c r="Q79" s="38">
        <v>4</v>
      </c>
      <c r="R79" s="38">
        <f t="shared" si="1"/>
        <v>26.213626748671274</v>
      </c>
      <c r="S79" s="41">
        <f>Rådatakommune[[#This Row],[B12]]/Rådatakommune[[#This Row],[B02]]-1</f>
        <v>4.0940213171454687E-2</v>
      </c>
      <c r="T79" s="41">
        <f>Rådatakommune[[#This Row],[Kvinner20-39]]/Rådatakommune[[#This Row],[B12]]</f>
        <v>0.10646233132162473</v>
      </c>
      <c r="U79" s="41">
        <f>Rådatakommune[[#This Row],[Eldre67+]]/Rådatakommune[[#This Row],[B12]]</f>
        <v>0.168101986844782</v>
      </c>
      <c r="V79" s="41">
        <f>Rådatakommune[[#This Row],[S11]]/Rådatakommune[[#This Row],[S01]]-1</f>
        <v>0.14177054722163529</v>
      </c>
      <c r="W79" s="41">
        <f>Rådatakommune[[#This Row],[Y11]]/Rådatakommune[[#This Row],[Folk20-64]]</f>
        <v>0.87656804733727811</v>
      </c>
    </row>
    <row r="80" spans="1:23" s="38" customFormat="1" ht="12.75">
      <c r="A80" s="42" t="s">
        <v>78</v>
      </c>
      <c r="B80" s="37">
        <v>5</v>
      </c>
      <c r="C80" s="38">
        <v>13</v>
      </c>
      <c r="D80" s="39" t="s">
        <v>432</v>
      </c>
      <c r="E80" s="43">
        <v>1</v>
      </c>
      <c r="F80" s="3">
        <v>13169</v>
      </c>
      <c r="G80" s="3">
        <v>12928</v>
      </c>
      <c r="H80" s="3">
        <v>6333</v>
      </c>
      <c r="I80" s="3">
        <v>2018</v>
      </c>
      <c r="J80" s="3">
        <v>1421</v>
      </c>
      <c r="K80" s="3">
        <v>7493</v>
      </c>
      <c r="L80" s="3">
        <v>6688</v>
      </c>
      <c r="M80" s="3">
        <v>6232</v>
      </c>
      <c r="N80" s="40">
        <v>249.52</v>
      </c>
      <c r="O80" s="40">
        <v>313900</v>
      </c>
      <c r="P80" s="38">
        <v>97.644881709299995</v>
      </c>
      <c r="Q80" s="38">
        <v>4</v>
      </c>
      <c r="R80" s="38">
        <f t="shared" si="1"/>
        <v>51.811478037832636</v>
      </c>
      <c r="S80" s="41">
        <f>Rådatakommune[[#This Row],[B12]]/Rådatakommune[[#This Row],[B02]]-1</f>
        <v>-1.8300554332143726E-2</v>
      </c>
      <c r="T80" s="41">
        <f>Rådatakommune[[#This Row],[Kvinner20-39]]/Rådatakommune[[#This Row],[B12]]</f>
        <v>0.1099164603960396</v>
      </c>
      <c r="U80" s="41">
        <f>Rådatakommune[[#This Row],[Eldre67+]]/Rådatakommune[[#This Row],[B12]]</f>
        <v>0.15609529702970298</v>
      </c>
      <c r="V80" s="41">
        <f>Rådatakommune[[#This Row],[S11]]/Rådatakommune[[#This Row],[S01]]-1</f>
        <v>-6.8181818181818232E-2</v>
      </c>
      <c r="W80" s="41">
        <f>Rådatakommune[[#This Row],[Y11]]/Rådatakommune[[#This Row],[Folk20-64]]</f>
        <v>0.84518884292005869</v>
      </c>
    </row>
    <row r="81" spans="1:23" s="38" customFormat="1" ht="12.75">
      <c r="A81" s="42" t="s">
        <v>79</v>
      </c>
      <c r="B81" s="37">
        <v>5</v>
      </c>
      <c r="C81" s="38">
        <v>21</v>
      </c>
      <c r="D81" s="39" t="s">
        <v>432</v>
      </c>
      <c r="E81" s="43">
        <v>1</v>
      </c>
      <c r="F81" s="3">
        <v>6227</v>
      </c>
      <c r="G81" s="3">
        <v>6483</v>
      </c>
      <c r="H81" s="3">
        <v>3271</v>
      </c>
      <c r="I81" s="3">
        <v>930</v>
      </c>
      <c r="J81" s="3">
        <v>740</v>
      </c>
      <c r="K81" s="3">
        <v>3756</v>
      </c>
      <c r="L81" s="3">
        <v>2189</v>
      </c>
      <c r="M81" s="3">
        <v>2187</v>
      </c>
      <c r="N81" s="40">
        <v>225.72</v>
      </c>
      <c r="O81" s="40">
        <v>327200</v>
      </c>
      <c r="P81" s="38">
        <v>60.733118964900001</v>
      </c>
      <c r="Q81" s="38">
        <v>5</v>
      </c>
      <c r="R81" s="38">
        <f t="shared" si="1"/>
        <v>28.721424774056352</v>
      </c>
      <c r="S81" s="41">
        <f>Rådatakommune[[#This Row],[B12]]/Rådatakommune[[#This Row],[B02]]-1</f>
        <v>4.1111289545527452E-2</v>
      </c>
      <c r="T81" s="41">
        <f>Rådatakommune[[#This Row],[Kvinner20-39]]/Rådatakommune[[#This Row],[B12]]</f>
        <v>0.11414468610211322</v>
      </c>
      <c r="U81" s="41">
        <f>Rådatakommune[[#This Row],[Eldre67+]]/Rådatakommune[[#This Row],[B12]]</f>
        <v>0.14345210550670986</v>
      </c>
      <c r="V81" s="41">
        <f>Rådatakommune[[#This Row],[S11]]/Rådatakommune[[#This Row],[S01]]-1</f>
        <v>-9.1365920511654597E-4</v>
      </c>
      <c r="W81" s="41">
        <f>Rådatakommune[[#This Row],[Y11]]/Rådatakommune[[#This Row],[Folk20-64]]</f>
        <v>0.87087326943556975</v>
      </c>
    </row>
    <row r="82" spans="1:23" s="38" customFormat="1" ht="12.75">
      <c r="A82" s="42" t="s">
        <v>80</v>
      </c>
      <c r="B82" s="37">
        <v>5</v>
      </c>
      <c r="C82" s="38">
        <v>5</v>
      </c>
      <c r="D82" s="39" t="s">
        <v>432</v>
      </c>
      <c r="E82" s="43">
        <v>1</v>
      </c>
      <c r="F82" s="3">
        <v>8455</v>
      </c>
      <c r="G82" s="3">
        <v>8776</v>
      </c>
      <c r="H82" s="3">
        <v>4604</v>
      </c>
      <c r="I82" s="3">
        <v>1110</v>
      </c>
      <c r="J82" s="3">
        <v>987</v>
      </c>
      <c r="K82" s="3">
        <v>5262</v>
      </c>
      <c r="L82" s="3">
        <v>2032</v>
      </c>
      <c r="M82" s="3">
        <v>2032</v>
      </c>
      <c r="N82" s="40">
        <v>291.84000000000003</v>
      </c>
      <c r="O82" s="40">
        <v>346800</v>
      </c>
      <c r="P82" s="38">
        <v>50.809693954799997</v>
      </c>
      <c r="Q82" s="38">
        <v>1</v>
      </c>
      <c r="R82" s="38">
        <f t="shared" si="1"/>
        <v>30.071271929824558</v>
      </c>
      <c r="S82" s="41">
        <f>Rådatakommune[[#This Row],[B12]]/Rådatakommune[[#This Row],[B02]]-1</f>
        <v>3.7965700768775923E-2</v>
      </c>
      <c r="T82" s="41">
        <f>Rådatakommune[[#This Row],[Kvinner20-39]]/Rådatakommune[[#This Row],[B12]]</f>
        <v>0.11246581586144029</v>
      </c>
      <c r="U82" s="41">
        <f>Rådatakommune[[#This Row],[Eldre67+]]/Rådatakommune[[#This Row],[B12]]</f>
        <v>0.12648131267092069</v>
      </c>
      <c r="V82" s="41">
        <f>Rådatakommune[[#This Row],[S11]]/Rådatakommune[[#This Row],[S01]]-1</f>
        <v>0</v>
      </c>
      <c r="W82" s="41">
        <f>Rådatakommune[[#This Row],[Y11]]/Rådatakommune[[#This Row],[Folk20-64]]</f>
        <v>0.87495248954770044</v>
      </c>
    </row>
    <row r="83" spans="1:23" s="38" customFormat="1" ht="12.75">
      <c r="A83" s="42" t="s">
        <v>81</v>
      </c>
      <c r="B83" s="37">
        <v>5</v>
      </c>
      <c r="C83" s="38">
        <v>5</v>
      </c>
      <c r="D83" s="39" t="s">
        <v>432</v>
      </c>
      <c r="E83" s="43">
        <v>1</v>
      </c>
      <c r="F83" s="3">
        <v>13038</v>
      </c>
      <c r="G83" s="3">
        <v>13493</v>
      </c>
      <c r="H83" s="3">
        <v>6796</v>
      </c>
      <c r="I83" s="3">
        <v>2138</v>
      </c>
      <c r="J83" s="3">
        <v>1489</v>
      </c>
      <c r="K83" s="3">
        <v>7787</v>
      </c>
      <c r="L83" s="3">
        <v>5419</v>
      </c>
      <c r="M83" s="3">
        <v>6383</v>
      </c>
      <c r="N83" s="40">
        <v>756.65</v>
      </c>
      <c r="O83" s="40">
        <v>324600</v>
      </c>
      <c r="P83" s="38">
        <v>62.294768634500002</v>
      </c>
      <c r="Q83" s="38">
        <v>1</v>
      </c>
      <c r="R83" s="38">
        <f t="shared" si="1"/>
        <v>17.832551377783652</v>
      </c>
      <c r="S83" s="41">
        <f>Rådatakommune[[#This Row],[B12]]/Rådatakommune[[#This Row],[B02]]-1</f>
        <v>3.4897990489338948E-2</v>
      </c>
      <c r="T83" s="41">
        <f>Rådatakommune[[#This Row],[Kvinner20-39]]/Rådatakommune[[#This Row],[B12]]</f>
        <v>0.11035351663825688</v>
      </c>
      <c r="U83" s="41">
        <f>Rådatakommune[[#This Row],[Eldre67+]]/Rådatakommune[[#This Row],[B12]]</f>
        <v>0.1584525309419699</v>
      </c>
      <c r="V83" s="41">
        <f>Rådatakommune[[#This Row],[S11]]/Rådatakommune[[#This Row],[S01]]-1</f>
        <v>0.1778926001107215</v>
      </c>
      <c r="W83" s="41">
        <f>Rådatakommune[[#This Row],[Y11]]/Rådatakommune[[#This Row],[Folk20-64]]</f>
        <v>0.8727366123025555</v>
      </c>
    </row>
    <row r="84" spans="1:23" s="38" customFormat="1" ht="12.75">
      <c r="A84" s="42" t="s">
        <v>82</v>
      </c>
      <c r="B84" s="37">
        <v>5</v>
      </c>
      <c r="C84" s="38">
        <v>13</v>
      </c>
      <c r="D84" s="39" t="s">
        <v>433</v>
      </c>
      <c r="E84" s="43" t="s">
        <v>435</v>
      </c>
      <c r="F84" s="3">
        <v>6096</v>
      </c>
      <c r="G84" s="3">
        <v>5761</v>
      </c>
      <c r="H84" s="3">
        <v>2661</v>
      </c>
      <c r="I84" s="3">
        <v>960</v>
      </c>
      <c r="J84" s="3">
        <v>573</v>
      </c>
      <c r="K84" s="3">
        <v>3328</v>
      </c>
      <c r="L84" s="3">
        <v>1932</v>
      </c>
      <c r="M84" s="3">
        <v>1807</v>
      </c>
      <c r="N84" s="40">
        <v>728.36</v>
      </c>
      <c r="O84" s="40">
        <v>287700</v>
      </c>
      <c r="P84" s="38">
        <v>100.843245534</v>
      </c>
      <c r="Q84" s="38">
        <v>4</v>
      </c>
      <c r="R84" s="38">
        <f t="shared" si="1"/>
        <v>7.9095502224174856</v>
      </c>
      <c r="S84" s="41">
        <f>Rådatakommune[[#This Row],[B12]]/Rådatakommune[[#This Row],[B02]]-1</f>
        <v>-5.4954068241469867E-2</v>
      </c>
      <c r="T84" s="41">
        <f>Rådatakommune[[#This Row],[Kvinner20-39]]/Rådatakommune[[#This Row],[B12]]</f>
        <v>9.9461898975872251E-2</v>
      </c>
      <c r="U84" s="41">
        <f>Rådatakommune[[#This Row],[Eldre67+]]/Rådatakommune[[#This Row],[B12]]</f>
        <v>0.16663773650407915</v>
      </c>
      <c r="V84" s="41">
        <f>Rådatakommune[[#This Row],[S11]]/Rådatakommune[[#This Row],[S01]]-1</f>
        <v>-6.4699792960662528E-2</v>
      </c>
      <c r="W84" s="41">
        <f>Rådatakommune[[#This Row],[Y11]]/Rådatakommune[[#This Row],[Folk20-64]]</f>
        <v>0.79957932692307687</v>
      </c>
    </row>
    <row r="85" spans="1:23" s="38" customFormat="1" ht="12.75">
      <c r="A85" s="42" t="s">
        <v>83</v>
      </c>
      <c r="B85" s="37">
        <v>5</v>
      </c>
      <c r="C85" s="38">
        <v>13</v>
      </c>
      <c r="D85" s="39" t="s">
        <v>433</v>
      </c>
      <c r="E85" s="43" t="s">
        <v>435</v>
      </c>
      <c r="F85" s="3">
        <v>6892</v>
      </c>
      <c r="G85" s="3">
        <v>6768</v>
      </c>
      <c r="H85" s="3">
        <v>3246</v>
      </c>
      <c r="I85" s="3">
        <v>1224</v>
      </c>
      <c r="J85" s="3">
        <v>662</v>
      </c>
      <c r="K85" s="3">
        <v>3820</v>
      </c>
      <c r="L85" s="3">
        <v>2657</v>
      </c>
      <c r="M85" s="3">
        <v>2908</v>
      </c>
      <c r="N85" s="40">
        <v>955.31</v>
      </c>
      <c r="O85" s="40">
        <v>289700</v>
      </c>
      <c r="P85" s="38">
        <v>124.109365427</v>
      </c>
      <c r="Q85" s="38">
        <v>4</v>
      </c>
      <c r="R85" s="38">
        <f t="shared" si="1"/>
        <v>7.0846112780144672</v>
      </c>
      <c r="S85" s="41">
        <f>Rådatakommune[[#This Row],[B12]]/Rådatakommune[[#This Row],[B02]]-1</f>
        <v>-1.7991874637260596E-2</v>
      </c>
      <c r="T85" s="41">
        <f>Rådatakommune[[#This Row],[Kvinner20-39]]/Rådatakommune[[#This Row],[B12]]</f>
        <v>9.7813238770685582E-2</v>
      </c>
      <c r="U85" s="41">
        <f>Rådatakommune[[#This Row],[Eldre67+]]/Rådatakommune[[#This Row],[B12]]</f>
        <v>0.18085106382978725</v>
      </c>
      <c r="V85" s="41">
        <f>Rådatakommune[[#This Row],[S11]]/Rådatakommune[[#This Row],[S01]]-1</f>
        <v>9.4467444486262764E-2</v>
      </c>
      <c r="W85" s="41">
        <f>Rådatakommune[[#This Row],[Y11]]/Rådatakommune[[#This Row],[Folk20-64]]</f>
        <v>0.84973821989528797</v>
      </c>
    </row>
    <row r="86" spans="1:23" s="38" customFormat="1" ht="12.75">
      <c r="A86" s="42" t="s">
        <v>84</v>
      </c>
      <c r="B86" s="37">
        <v>5</v>
      </c>
      <c r="C86" s="38">
        <v>18</v>
      </c>
      <c r="D86" s="39" t="s">
        <v>433</v>
      </c>
      <c r="E86" s="43">
        <v>3</v>
      </c>
      <c r="F86" s="3">
        <v>3352</v>
      </c>
      <c r="G86" s="3">
        <v>3154</v>
      </c>
      <c r="H86" s="3">
        <v>1585</v>
      </c>
      <c r="I86" s="3">
        <v>601</v>
      </c>
      <c r="J86" s="3">
        <v>299</v>
      </c>
      <c r="K86" s="3">
        <v>1710</v>
      </c>
      <c r="L86" s="3">
        <v>1239</v>
      </c>
      <c r="M86" s="3">
        <v>1296</v>
      </c>
      <c r="N86" s="40">
        <v>1109.03</v>
      </c>
      <c r="O86" s="40">
        <v>292700</v>
      </c>
      <c r="P86" s="38">
        <v>125.56281269900001</v>
      </c>
      <c r="Q86" s="38">
        <v>10</v>
      </c>
      <c r="R86" s="38">
        <f t="shared" si="1"/>
        <v>2.8439266746616414</v>
      </c>
      <c r="S86" s="41">
        <f>Rådatakommune[[#This Row],[B12]]/Rådatakommune[[#This Row],[B02]]-1</f>
        <v>-5.9069212410501226E-2</v>
      </c>
      <c r="T86" s="41">
        <f>Rådatakommune[[#This Row],[Kvinner20-39]]/Rådatakommune[[#This Row],[B12]]</f>
        <v>9.4800253646163596E-2</v>
      </c>
      <c r="U86" s="41">
        <f>Rådatakommune[[#This Row],[Eldre67+]]/Rådatakommune[[#This Row],[B12]]</f>
        <v>0.19055168040583387</v>
      </c>
      <c r="V86" s="41">
        <f>Rådatakommune[[#This Row],[S11]]/Rådatakommune[[#This Row],[S01]]-1</f>
        <v>4.6004842615012143E-2</v>
      </c>
      <c r="W86" s="41">
        <f>Rådatakommune[[#This Row],[Y11]]/Rådatakommune[[#This Row],[Folk20-64]]</f>
        <v>0.92690058479532167</v>
      </c>
    </row>
    <row r="87" spans="1:23" s="38" customFormat="1" ht="12.75">
      <c r="A87" s="42" t="s">
        <v>85</v>
      </c>
      <c r="B87" s="37">
        <v>5</v>
      </c>
      <c r="C87" s="38">
        <v>18</v>
      </c>
      <c r="D87" s="39" t="s">
        <v>433</v>
      </c>
      <c r="E87" s="43">
        <v>3</v>
      </c>
      <c r="F87" s="3">
        <v>1431</v>
      </c>
      <c r="G87" s="3">
        <v>1408</v>
      </c>
      <c r="H87" s="3">
        <v>665</v>
      </c>
      <c r="I87" s="3">
        <v>292</v>
      </c>
      <c r="J87" s="3">
        <v>122</v>
      </c>
      <c r="K87" s="3">
        <v>765</v>
      </c>
      <c r="L87" s="3">
        <v>570</v>
      </c>
      <c r="M87" s="3">
        <v>528</v>
      </c>
      <c r="N87" s="40">
        <v>459.14</v>
      </c>
      <c r="O87" s="40">
        <v>270200</v>
      </c>
      <c r="P87" s="38">
        <v>136.953239018</v>
      </c>
      <c r="Q87" s="38">
        <v>5</v>
      </c>
      <c r="R87" s="38">
        <f t="shared" si="1"/>
        <v>3.0666027791087687</v>
      </c>
      <c r="S87" s="41">
        <f>Rådatakommune[[#This Row],[B12]]/Rådatakommune[[#This Row],[B02]]-1</f>
        <v>-1.6072676450034962E-2</v>
      </c>
      <c r="T87" s="41">
        <f>Rådatakommune[[#This Row],[Kvinner20-39]]/Rådatakommune[[#This Row],[B12]]</f>
        <v>8.6647727272727279E-2</v>
      </c>
      <c r="U87" s="41">
        <f>Rådatakommune[[#This Row],[Eldre67+]]/Rådatakommune[[#This Row],[B12]]</f>
        <v>0.20738636363636365</v>
      </c>
      <c r="V87" s="41">
        <f>Rådatakommune[[#This Row],[S11]]/Rådatakommune[[#This Row],[S01]]-1</f>
        <v>-7.3684210526315796E-2</v>
      </c>
      <c r="W87" s="41">
        <f>Rådatakommune[[#This Row],[Y11]]/Rådatakommune[[#This Row],[Folk20-64]]</f>
        <v>0.86928104575163401</v>
      </c>
    </row>
    <row r="88" spans="1:23" s="38" customFormat="1" ht="12.75">
      <c r="A88" s="42" t="s">
        <v>86</v>
      </c>
      <c r="B88" s="37">
        <v>5</v>
      </c>
      <c r="C88" s="38">
        <v>18</v>
      </c>
      <c r="D88" s="39" t="s">
        <v>433</v>
      </c>
      <c r="E88" s="43">
        <v>3</v>
      </c>
      <c r="F88" s="3">
        <v>6538</v>
      </c>
      <c r="G88" s="3">
        <v>6428</v>
      </c>
      <c r="H88" s="3">
        <v>3412</v>
      </c>
      <c r="I88" s="3">
        <v>1020</v>
      </c>
      <c r="J88" s="3">
        <v>713</v>
      </c>
      <c r="K88" s="3">
        <v>3761</v>
      </c>
      <c r="L88" s="3">
        <v>3924</v>
      </c>
      <c r="M88" s="3">
        <v>3999</v>
      </c>
      <c r="N88" s="40">
        <v>906.52</v>
      </c>
      <c r="O88" s="40">
        <v>312800</v>
      </c>
      <c r="P88" s="38">
        <v>138.63652492040001</v>
      </c>
      <c r="Q88" s="38">
        <v>10</v>
      </c>
      <c r="R88" s="38">
        <f t="shared" si="1"/>
        <v>7.0908529320919564</v>
      </c>
      <c r="S88" s="41">
        <f>Rådatakommune[[#This Row],[B12]]/Rådatakommune[[#This Row],[B02]]-1</f>
        <v>-1.6824717038849801E-2</v>
      </c>
      <c r="T88" s="41">
        <f>Rådatakommune[[#This Row],[Kvinner20-39]]/Rådatakommune[[#This Row],[B12]]</f>
        <v>0.11092097075295582</v>
      </c>
      <c r="U88" s="41">
        <f>Rådatakommune[[#This Row],[Eldre67+]]/Rådatakommune[[#This Row],[B12]]</f>
        <v>0.15868077162414437</v>
      </c>
      <c r="V88" s="41">
        <f>Rådatakommune[[#This Row],[S11]]/Rådatakommune[[#This Row],[S01]]-1</f>
        <v>1.911314984709489E-2</v>
      </c>
      <c r="W88" s="41">
        <f>Rådatakommune[[#This Row],[Y11]]/Rådatakommune[[#This Row],[Folk20-64]]</f>
        <v>0.90720553044403085</v>
      </c>
    </row>
    <row r="89" spans="1:23" s="38" customFormat="1" ht="12.75">
      <c r="A89" s="42" t="s">
        <v>87</v>
      </c>
      <c r="B89" s="37">
        <v>5</v>
      </c>
      <c r="C89" s="38">
        <v>18</v>
      </c>
      <c r="D89" s="39" t="s">
        <v>433</v>
      </c>
      <c r="E89" s="43">
        <v>3</v>
      </c>
      <c r="F89" s="3">
        <v>2269</v>
      </c>
      <c r="G89" s="3">
        <v>2232</v>
      </c>
      <c r="H89" s="3">
        <v>1206</v>
      </c>
      <c r="I89" s="3">
        <v>385</v>
      </c>
      <c r="J89" s="3">
        <v>211</v>
      </c>
      <c r="K89" s="3">
        <v>1298</v>
      </c>
      <c r="L89" s="3">
        <v>950</v>
      </c>
      <c r="M89" s="3">
        <v>971</v>
      </c>
      <c r="N89" s="40">
        <v>463.25</v>
      </c>
      <c r="O89" s="40">
        <v>308400</v>
      </c>
      <c r="P89" s="38">
        <v>157.99251420979999</v>
      </c>
      <c r="Q89" s="38">
        <v>10</v>
      </c>
      <c r="R89" s="38">
        <f t="shared" si="1"/>
        <v>4.8181327576902317</v>
      </c>
      <c r="S89" s="41">
        <f>Rådatakommune[[#This Row],[B12]]/Rådatakommune[[#This Row],[B02]]-1</f>
        <v>-1.6306743058616124E-2</v>
      </c>
      <c r="T89" s="41">
        <f>Rådatakommune[[#This Row],[Kvinner20-39]]/Rådatakommune[[#This Row],[B12]]</f>
        <v>9.4534050179211473E-2</v>
      </c>
      <c r="U89" s="41">
        <f>Rådatakommune[[#This Row],[Eldre67+]]/Rådatakommune[[#This Row],[B12]]</f>
        <v>0.1724910394265233</v>
      </c>
      <c r="V89" s="41">
        <f>Rådatakommune[[#This Row],[S11]]/Rådatakommune[[#This Row],[S01]]-1</f>
        <v>2.2105263157894628E-2</v>
      </c>
      <c r="W89" s="41">
        <f>Rådatakommune[[#This Row],[Y11]]/Rådatakommune[[#This Row],[Folk20-64]]</f>
        <v>0.92912172573189522</v>
      </c>
    </row>
    <row r="90" spans="1:23" s="38" customFormat="1" ht="12.75">
      <c r="A90" s="42" t="s">
        <v>88</v>
      </c>
      <c r="B90" s="37">
        <v>5</v>
      </c>
      <c r="C90" s="38">
        <v>18</v>
      </c>
      <c r="D90" s="39" t="s">
        <v>433</v>
      </c>
      <c r="E90" s="43">
        <v>3</v>
      </c>
      <c r="F90" s="3">
        <v>3061</v>
      </c>
      <c r="G90" s="3">
        <v>3174</v>
      </c>
      <c r="H90" s="3">
        <v>1789</v>
      </c>
      <c r="I90" s="3">
        <v>507</v>
      </c>
      <c r="J90" s="3">
        <v>362</v>
      </c>
      <c r="K90" s="3">
        <v>1828</v>
      </c>
      <c r="L90" s="3">
        <v>1432</v>
      </c>
      <c r="M90" s="3">
        <v>1363</v>
      </c>
      <c r="N90" s="40">
        <v>963.1</v>
      </c>
      <c r="O90" s="40">
        <v>320500</v>
      </c>
      <c r="P90" s="38">
        <v>153.43543214070002</v>
      </c>
      <c r="Q90" s="38">
        <v>10</v>
      </c>
      <c r="R90" s="38">
        <f t="shared" si="1"/>
        <v>3.2956079327172669</v>
      </c>
      <c r="S90" s="41">
        <f>Rådatakommune[[#This Row],[B12]]/Rådatakommune[[#This Row],[B02]]-1</f>
        <v>3.6916040509637371E-2</v>
      </c>
      <c r="T90" s="41">
        <f>Rådatakommune[[#This Row],[Kvinner20-39]]/Rådatakommune[[#This Row],[B12]]</f>
        <v>0.11405166981726528</v>
      </c>
      <c r="U90" s="41">
        <f>Rådatakommune[[#This Row],[Eldre67+]]/Rådatakommune[[#This Row],[B12]]</f>
        <v>0.15973534971644612</v>
      </c>
      <c r="V90" s="41">
        <f>Rådatakommune[[#This Row],[S11]]/Rådatakommune[[#This Row],[S01]]-1</f>
        <v>-4.8184357541899425E-2</v>
      </c>
      <c r="W90" s="41">
        <f>Rådatakommune[[#This Row],[Y11]]/Rådatakommune[[#This Row],[Folk20-64]]</f>
        <v>0.9786652078774617</v>
      </c>
    </row>
    <row r="91" spans="1:23" s="38" customFormat="1" ht="12.75">
      <c r="A91" s="42" t="s">
        <v>89</v>
      </c>
      <c r="B91" s="37">
        <v>5</v>
      </c>
      <c r="C91" s="38">
        <v>18</v>
      </c>
      <c r="D91" s="39" t="s">
        <v>433</v>
      </c>
      <c r="E91" s="43">
        <v>3</v>
      </c>
      <c r="F91" s="3">
        <v>1641</v>
      </c>
      <c r="G91" s="3">
        <v>1617</v>
      </c>
      <c r="H91" s="3">
        <v>866</v>
      </c>
      <c r="I91" s="3">
        <v>278</v>
      </c>
      <c r="J91" s="3">
        <v>168</v>
      </c>
      <c r="K91" s="3">
        <v>917</v>
      </c>
      <c r="L91" s="3">
        <v>696</v>
      </c>
      <c r="M91" s="3">
        <v>768</v>
      </c>
      <c r="N91" s="40">
        <v>1505.45</v>
      </c>
      <c r="O91" s="40">
        <v>281300</v>
      </c>
      <c r="P91" s="38">
        <v>181.49229088929999</v>
      </c>
      <c r="Q91" s="38">
        <v>10</v>
      </c>
      <c r="R91" s="38">
        <f t="shared" si="1"/>
        <v>1.0740974459463948</v>
      </c>
      <c r="S91" s="41">
        <f>Rådatakommune[[#This Row],[B12]]/Rådatakommune[[#This Row],[B02]]-1</f>
        <v>-1.4625228519195566E-2</v>
      </c>
      <c r="T91" s="41">
        <f>Rådatakommune[[#This Row],[Kvinner20-39]]/Rådatakommune[[#This Row],[B12]]</f>
        <v>0.1038961038961039</v>
      </c>
      <c r="U91" s="41">
        <f>Rådatakommune[[#This Row],[Eldre67+]]/Rådatakommune[[#This Row],[B12]]</f>
        <v>0.17192331478045764</v>
      </c>
      <c r="V91" s="41">
        <f>Rådatakommune[[#This Row],[S11]]/Rådatakommune[[#This Row],[S01]]-1</f>
        <v>0.10344827586206895</v>
      </c>
      <c r="W91" s="41">
        <f>Rådatakommune[[#This Row],[Y11]]/Rådatakommune[[#This Row],[Folk20-64]]</f>
        <v>0.94438386041439482</v>
      </c>
    </row>
    <row r="92" spans="1:23" s="38" customFormat="1" ht="12.75">
      <c r="A92" s="42" t="s">
        <v>90</v>
      </c>
      <c r="B92" s="37">
        <v>6</v>
      </c>
      <c r="C92" s="38">
        <v>19</v>
      </c>
      <c r="D92" s="39" t="s">
        <v>432</v>
      </c>
      <c r="E92" s="43">
        <v>1</v>
      </c>
      <c r="F92" s="3">
        <v>55862</v>
      </c>
      <c r="G92" s="3">
        <v>64597</v>
      </c>
      <c r="H92" s="3">
        <v>32133</v>
      </c>
      <c r="I92" s="3">
        <v>8880</v>
      </c>
      <c r="J92" s="3">
        <v>8973</v>
      </c>
      <c r="K92" s="3">
        <v>38786</v>
      </c>
      <c r="L92" s="3">
        <v>31583</v>
      </c>
      <c r="M92" s="3">
        <v>35437</v>
      </c>
      <c r="N92" s="40">
        <v>137.56</v>
      </c>
      <c r="O92" s="40">
        <v>354800</v>
      </c>
      <c r="P92" s="38">
        <v>31.152421353600001</v>
      </c>
      <c r="Q92" s="38">
        <v>2</v>
      </c>
      <c r="R92" s="38">
        <f t="shared" si="1"/>
        <v>469.59145100319859</v>
      </c>
      <c r="S92" s="41">
        <f>Rådatakommune[[#This Row],[B12]]/Rådatakommune[[#This Row],[B02]]-1</f>
        <v>0.15636747699688525</v>
      </c>
      <c r="T92" s="41">
        <f>Rådatakommune[[#This Row],[Kvinner20-39]]/Rådatakommune[[#This Row],[B12]]</f>
        <v>0.13890737959967181</v>
      </c>
      <c r="U92" s="41">
        <f>Rådatakommune[[#This Row],[Eldre67+]]/Rådatakommune[[#This Row],[B12]]</f>
        <v>0.13746768425778286</v>
      </c>
      <c r="V92" s="41">
        <f>Rådatakommune[[#This Row],[S11]]/Rådatakommune[[#This Row],[S01]]-1</f>
        <v>0.12202767311528362</v>
      </c>
      <c r="W92" s="41">
        <f>Rådatakommune[[#This Row],[Y11]]/Rådatakommune[[#This Row],[Folk20-64]]</f>
        <v>0.82846903521889337</v>
      </c>
    </row>
    <row r="93" spans="1:23" s="38" customFormat="1" ht="12.75">
      <c r="A93" s="42" t="s">
        <v>91</v>
      </c>
      <c r="B93" s="37">
        <v>6</v>
      </c>
      <c r="C93" s="38">
        <v>20</v>
      </c>
      <c r="D93" s="39" t="s">
        <v>432</v>
      </c>
      <c r="E93" s="43">
        <v>1</v>
      </c>
      <c r="F93" s="3">
        <v>22657</v>
      </c>
      <c r="G93" s="3">
        <v>25479</v>
      </c>
      <c r="H93" s="3">
        <v>13662</v>
      </c>
      <c r="I93" s="3">
        <v>3478</v>
      </c>
      <c r="J93" s="3">
        <v>3149</v>
      </c>
      <c r="K93" s="3">
        <v>15253</v>
      </c>
      <c r="L93" s="3">
        <v>13164</v>
      </c>
      <c r="M93" s="3">
        <v>16420</v>
      </c>
      <c r="N93" s="40">
        <v>793.08999999999992</v>
      </c>
      <c r="O93" s="40">
        <v>390900</v>
      </c>
      <c r="P93" s="38">
        <v>61.9301193895</v>
      </c>
      <c r="Q93" s="38">
        <v>5</v>
      </c>
      <c r="R93" s="38">
        <f t="shared" si="1"/>
        <v>32.126240401467683</v>
      </c>
      <c r="S93" s="41">
        <f>Rådatakommune[[#This Row],[B12]]/Rådatakommune[[#This Row],[B02]]-1</f>
        <v>0.12455311824160309</v>
      </c>
      <c r="T93" s="41">
        <f>Rådatakommune[[#This Row],[Kvinner20-39]]/Rådatakommune[[#This Row],[B12]]</f>
        <v>0.12359197770713136</v>
      </c>
      <c r="U93" s="41">
        <f>Rådatakommune[[#This Row],[Eldre67+]]/Rådatakommune[[#This Row],[B12]]</f>
        <v>0.13650457239295105</v>
      </c>
      <c r="V93" s="41">
        <f>Rådatakommune[[#This Row],[S11]]/Rådatakommune[[#This Row],[S01]]-1</f>
        <v>0.24734123366757821</v>
      </c>
      <c r="W93" s="41">
        <f>Rådatakommune[[#This Row],[Y11]]/Rådatakommune[[#This Row],[Folk20-64]]</f>
        <v>0.89569265062610637</v>
      </c>
    </row>
    <row r="94" spans="1:23" s="38" customFormat="1" ht="12.75">
      <c r="A94" s="42" t="s">
        <v>92</v>
      </c>
      <c r="B94" s="37">
        <v>6</v>
      </c>
      <c r="C94" s="38">
        <v>21</v>
      </c>
      <c r="D94" s="39" t="s">
        <v>432</v>
      </c>
      <c r="E94" s="43">
        <v>1</v>
      </c>
      <c r="F94" s="3">
        <v>27912</v>
      </c>
      <c r="G94" s="3">
        <v>29236</v>
      </c>
      <c r="H94" s="3">
        <v>14762</v>
      </c>
      <c r="I94" s="3">
        <v>4460</v>
      </c>
      <c r="J94" s="3">
        <v>3462</v>
      </c>
      <c r="K94" s="3">
        <v>17409</v>
      </c>
      <c r="L94" s="3">
        <v>13285</v>
      </c>
      <c r="M94" s="3">
        <v>14044</v>
      </c>
      <c r="N94" s="40">
        <v>1555.0900000000001</v>
      </c>
      <c r="O94" s="40">
        <v>326500</v>
      </c>
      <c r="P94" s="38">
        <v>49.114770830099999</v>
      </c>
      <c r="Q94" s="38">
        <v>5</v>
      </c>
      <c r="R94" s="38">
        <f t="shared" si="1"/>
        <v>18.800198059276312</v>
      </c>
      <c r="S94" s="41">
        <f>Rådatakommune[[#This Row],[B12]]/Rådatakommune[[#This Row],[B02]]-1</f>
        <v>4.7434795070220748E-2</v>
      </c>
      <c r="T94" s="41">
        <f>Rådatakommune[[#This Row],[Kvinner20-39]]/Rådatakommune[[#This Row],[B12]]</f>
        <v>0.11841565193596935</v>
      </c>
      <c r="U94" s="41">
        <f>Rådatakommune[[#This Row],[Eldre67+]]/Rådatakommune[[#This Row],[B12]]</f>
        <v>0.15255164865234641</v>
      </c>
      <c r="V94" s="41">
        <f>Rådatakommune[[#This Row],[S11]]/Rådatakommune[[#This Row],[S01]]-1</f>
        <v>5.7132103876552431E-2</v>
      </c>
      <c r="W94" s="41">
        <f>Rådatakommune[[#This Row],[Y11]]/Rådatakommune[[#This Row],[Folk20-64]]</f>
        <v>0.84795220862772125</v>
      </c>
    </row>
    <row r="95" spans="1:23" s="38" customFormat="1" ht="12.75">
      <c r="A95" s="42" t="s">
        <v>93</v>
      </c>
      <c r="B95" s="37">
        <v>6</v>
      </c>
      <c r="C95" s="38">
        <v>21</v>
      </c>
      <c r="D95" s="39" t="s">
        <v>432</v>
      </c>
      <c r="E95" s="43">
        <v>1</v>
      </c>
      <c r="F95" s="3">
        <v>5117</v>
      </c>
      <c r="G95" s="3">
        <v>6322</v>
      </c>
      <c r="H95" s="3">
        <v>3285</v>
      </c>
      <c r="I95" s="3">
        <v>808</v>
      </c>
      <c r="J95" s="3">
        <v>736</v>
      </c>
      <c r="K95" s="3">
        <v>3790</v>
      </c>
      <c r="L95" s="3">
        <v>1693</v>
      </c>
      <c r="M95" s="3">
        <v>2062</v>
      </c>
      <c r="N95" s="40">
        <v>192.7</v>
      </c>
      <c r="O95" s="40">
        <v>396600</v>
      </c>
      <c r="P95" s="38">
        <v>39.190288194200001</v>
      </c>
      <c r="Q95" s="38">
        <v>5</v>
      </c>
      <c r="R95" s="38">
        <f t="shared" si="1"/>
        <v>32.807472755578623</v>
      </c>
      <c r="S95" s="41">
        <f>Rådatakommune[[#This Row],[B12]]/Rådatakommune[[#This Row],[B02]]-1</f>
        <v>0.23548954465507133</v>
      </c>
      <c r="T95" s="41">
        <f>Rådatakommune[[#This Row],[Kvinner20-39]]/Rådatakommune[[#This Row],[B12]]</f>
        <v>0.11641885479278709</v>
      </c>
      <c r="U95" s="41">
        <f>Rådatakommune[[#This Row],[Eldre67+]]/Rådatakommune[[#This Row],[B12]]</f>
        <v>0.12780765580512496</v>
      </c>
      <c r="V95" s="41">
        <f>Rådatakommune[[#This Row],[S11]]/Rådatakommune[[#This Row],[S01]]-1</f>
        <v>0.21795629060838739</v>
      </c>
      <c r="W95" s="41">
        <f>Rådatakommune[[#This Row],[Y11]]/Rådatakommune[[#This Row],[Folk20-64]]</f>
        <v>0.86675461741424797</v>
      </c>
    </row>
    <row r="96" spans="1:23" s="38" customFormat="1" ht="12.75">
      <c r="A96" s="42" t="s">
        <v>94</v>
      </c>
      <c r="B96" s="37">
        <v>6</v>
      </c>
      <c r="C96" s="38">
        <v>22</v>
      </c>
      <c r="D96" s="39" t="s">
        <v>433</v>
      </c>
      <c r="E96" s="43">
        <v>2</v>
      </c>
      <c r="F96" s="3">
        <v>1065</v>
      </c>
      <c r="G96" s="3">
        <v>1034</v>
      </c>
      <c r="H96" s="3">
        <v>537</v>
      </c>
      <c r="I96" s="3">
        <v>223</v>
      </c>
      <c r="J96" s="3">
        <v>98</v>
      </c>
      <c r="K96" s="3">
        <v>568</v>
      </c>
      <c r="L96" s="3">
        <v>349</v>
      </c>
      <c r="M96" s="3">
        <v>460</v>
      </c>
      <c r="N96" s="40">
        <v>704.41000000000008</v>
      </c>
      <c r="O96" s="40">
        <v>324800</v>
      </c>
      <c r="P96" s="38">
        <v>115.459022456</v>
      </c>
      <c r="Q96" s="38">
        <v>8</v>
      </c>
      <c r="R96" s="38">
        <f t="shared" si="1"/>
        <v>1.4678951179000865</v>
      </c>
      <c r="S96" s="41">
        <f>Rådatakommune[[#This Row],[B12]]/Rådatakommune[[#This Row],[B02]]-1</f>
        <v>-2.9107981220657275E-2</v>
      </c>
      <c r="T96" s="41">
        <f>Rådatakommune[[#This Row],[Kvinner20-39]]/Rådatakommune[[#This Row],[B12]]</f>
        <v>9.4777562862669251E-2</v>
      </c>
      <c r="U96" s="41">
        <f>Rådatakommune[[#This Row],[Eldre67+]]/Rådatakommune[[#This Row],[B12]]</f>
        <v>0.21566731141199227</v>
      </c>
      <c r="V96" s="41">
        <f>Rådatakommune[[#This Row],[S11]]/Rådatakommune[[#This Row],[S01]]-1</f>
        <v>0.31805157593123212</v>
      </c>
      <c r="W96" s="41">
        <f>Rådatakommune[[#This Row],[Y11]]/Rådatakommune[[#This Row],[Folk20-64]]</f>
        <v>0.94542253521126762</v>
      </c>
    </row>
    <row r="97" spans="1:23" s="38" customFormat="1" ht="12.75">
      <c r="A97" s="42" t="s">
        <v>95</v>
      </c>
      <c r="B97" s="37">
        <v>6</v>
      </c>
      <c r="C97" s="38">
        <v>22</v>
      </c>
      <c r="D97" s="39" t="s">
        <v>433</v>
      </c>
      <c r="E97" s="43">
        <v>2</v>
      </c>
      <c r="F97" s="3">
        <v>3479</v>
      </c>
      <c r="G97" s="3">
        <v>3452</v>
      </c>
      <c r="H97" s="3">
        <v>1848</v>
      </c>
      <c r="I97" s="3">
        <v>605</v>
      </c>
      <c r="J97" s="3">
        <v>363</v>
      </c>
      <c r="K97" s="3">
        <v>1978</v>
      </c>
      <c r="L97" s="3">
        <v>1452</v>
      </c>
      <c r="M97" s="3">
        <v>1455</v>
      </c>
      <c r="N97" s="40">
        <v>809.67000000000007</v>
      </c>
      <c r="O97" s="40">
        <v>313000</v>
      </c>
      <c r="P97" s="38">
        <v>140.750035207</v>
      </c>
      <c r="Q97" s="38">
        <v>8</v>
      </c>
      <c r="R97" s="38">
        <f t="shared" si="1"/>
        <v>4.2634653624316075</v>
      </c>
      <c r="S97" s="41">
        <f>Rådatakommune[[#This Row],[B12]]/Rådatakommune[[#This Row],[B02]]-1</f>
        <v>-7.7608508192009706E-3</v>
      </c>
      <c r="T97" s="41">
        <f>Rådatakommune[[#This Row],[Kvinner20-39]]/Rådatakommune[[#This Row],[B12]]</f>
        <v>0.10515643105446118</v>
      </c>
      <c r="U97" s="41">
        <f>Rådatakommune[[#This Row],[Eldre67+]]/Rådatakommune[[#This Row],[B12]]</f>
        <v>0.17526071842410196</v>
      </c>
      <c r="V97" s="41">
        <f>Rådatakommune[[#This Row],[S11]]/Rådatakommune[[#This Row],[S01]]-1</f>
        <v>2.0661157024792765E-3</v>
      </c>
      <c r="W97" s="41">
        <f>Rådatakommune[[#This Row],[Y11]]/Rådatakommune[[#This Row],[Folk20-64]]</f>
        <v>0.9342770475227502</v>
      </c>
    </row>
    <row r="98" spans="1:23" s="38" customFormat="1" ht="12.75">
      <c r="A98" s="42" t="s">
        <v>96</v>
      </c>
      <c r="B98" s="37">
        <v>6</v>
      </c>
      <c r="C98" s="38">
        <v>22</v>
      </c>
      <c r="D98" s="39" t="s">
        <v>433</v>
      </c>
      <c r="E98" s="43">
        <v>2</v>
      </c>
      <c r="F98" s="3">
        <v>4415</v>
      </c>
      <c r="G98" s="3">
        <v>4581</v>
      </c>
      <c r="H98" s="3">
        <v>2438</v>
      </c>
      <c r="I98" s="3">
        <v>749</v>
      </c>
      <c r="J98" s="3">
        <v>525</v>
      </c>
      <c r="K98" s="3">
        <v>2632</v>
      </c>
      <c r="L98" s="3">
        <v>2733</v>
      </c>
      <c r="M98" s="3">
        <v>2847</v>
      </c>
      <c r="N98" s="40">
        <v>532.49</v>
      </c>
      <c r="O98" s="40">
        <v>328500</v>
      </c>
      <c r="P98" s="38">
        <v>157.46708989199999</v>
      </c>
      <c r="Q98" s="38">
        <v>8</v>
      </c>
      <c r="R98" s="38">
        <f t="shared" si="1"/>
        <v>8.6029784596893837</v>
      </c>
      <c r="S98" s="41">
        <f>Rådatakommune[[#This Row],[B12]]/Rådatakommune[[#This Row],[B02]]-1</f>
        <v>3.7599093997735089E-2</v>
      </c>
      <c r="T98" s="41">
        <f>Rådatakommune[[#This Row],[Kvinner20-39]]/Rådatakommune[[#This Row],[B12]]</f>
        <v>0.114603798297315</v>
      </c>
      <c r="U98" s="41">
        <f>Rådatakommune[[#This Row],[Eldre67+]]/Rådatakommune[[#This Row],[B12]]</f>
        <v>0.16350141890416939</v>
      </c>
      <c r="V98" s="41">
        <f>Rådatakommune[[#This Row],[S11]]/Rådatakommune[[#This Row],[S01]]-1</f>
        <v>4.1712403951701393E-2</v>
      </c>
      <c r="W98" s="41">
        <f>Rådatakommune[[#This Row],[Y11]]/Rådatakommune[[#This Row],[Folk20-64]]</f>
        <v>0.92629179331306988</v>
      </c>
    </row>
    <row r="99" spans="1:23" s="38" customFormat="1" ht="12.75">
      <c r="A99" s="42" t="s">
        <v>97</v>
      </c>
      <c r="B99" s="37">
        <v>6</v>
      </c>
      <c r="C99" s="38">
        <v>22</v>
      </c>
      <c r="D99" s="39" t="s">
        <v>433</v>
      </c>
      <c r="E99" s="43">
        <v>2</v>
      </c>
      <c r="F99" s="3">
        <v>1921</v>
      </c>
      <c r="G99" s="3">
        <v>2228</v>
      </c>
      <c r="H99" s="3">
        <v>1237</v>
      </c>
      <c r="I99" s="3">
        <v>268</v>
      </c>
      <c r="J99" s="3">
        <v>312</v>
      </c>
      <c r="K99" s="3">
        <v>1333</v>
      </c>
      <c r="L99" s="3">
        <v>988</v>
      </c>
      <c r="M99" s="3">
        <v>1081</v>
      </c>
      <c r="N99" s="40">
        <v>753.54</v>
      </c>
      <c r="O99" s="40">
        <v>349100</v>
      </c>
      <c r="P99" s="38">
        <v>182.42166606500001</v>
      </c>
      <c r="Q99" s="38">
        <v>8</v>
      </c>
      <c r="R99" s="38">
        <f t="shared" si="1"/>
        <v>2.9567109907901372</v>
      </c>
      <c r="S99" s="41">
        <f>Rådatakommune[[#This Row],[B12]]/Rådatakommune[[#This Row],[B02]]-1</f>
        <v>0.15981259760541389</v>
      </c>
      <c r="T99" s="41">
        <f>Rådatakommune[[#This Row],[Kvinner20-39]]/Rådatakommune[[#This Row],[B12]]</f>
        <v>0.14003590664272891</v>
      </c>
      <c r="U99" s="41">
        <f>Rådatakommune[[#This Row],[Eldre67+]]/Rådatakommune[[#This Row],[B12]]</f>
        <v>0.12028725314183124</v>
      </c>
      <c r="V99" s="41">
        <f>Rådatakommune[[#This Row],[S11]]/Rådatakommune[[#This Row],[S01]]-1</f>
        <v>9.4129554655870473E-2</v>
      </c>
      <c r="W99" s="41">
        <f>Rådatakommune[[#This Row],[Y11]]/Rådatakommune[[#This Row],[Folk20-64]]</f>
        <v>0.92798199549887472</v>
      </c>
    </row>
    <row r="100" spans="1:23" s="38" customFormat="1" ht="12.75">
      <c r="A100" s="42" t="s">
        <v>98</v>
      </c>
      <c r="B100" s="37">
        <v>6</v>
      </c>
      <c r="C100" s="38">
        <v>22</v>
      </c>
      <c r="D100" s="39" t="s">
        <v>433</v>
      </c>
      <c r="E100" s="43">
        <v>2</v>
      </c>
      <c r="F100" s="3">
        <v>4730</v>
      </c>
      <c r="G100" s="3">
        <v>4741</v>
      </c>
      <c r="H100" s="3">
        <v>2509</v>
      </c>
      <c r="I100" s="3">
        <v>774</v>
      </c>
      <c r="J100" s="3">
        <v>482</v>
      </c>
      <c r="K100" s="3">
        <v>2649</v>
      </c>
      <c r="L100" s="3">
        <v>2391</v>
      </c>
      <c r="M100" s="3">
        <v>2476</v>
      </c>
      <c r="N100" s="40">
        <v>1174.9299999999998</v>
      </c>
      <c r="O100" s="40">
        <v>324000</v>
      </c>
      <c r="P100" s="38">
        <v>175.17831171200001</v>
      </c>
      <c r="Q100" s="38">
        <v>8</v>
      </c>
      <c r="R100" s="38">
        <f t="shared" si="1"/>
        <v>4.035134007983455</v>
      </c>
      <c r="S100" s="41">
        <f>Rådatakommune[[#This Row],[B12]]/Rådatakommune[[#This Row],[B02]]-1</f>
        <v>2.3255813953488857E-3</v>
      </c>
      <c r="T100" s="41">
        <f>Rådatakommune[[#This Row],[Kvinner20-39]]/Rådatakommune[[#This Row],[B12]]</f>
        <v>0.10166631512339169</v>
      </c>
      <c r="U100" s="41">
        <f>Rådatakommune[[#This Row],[Eldre67+]]/Rådatakommune[[#This Row],[B12]]</f>
        <v>0.16325669689938832</v>
      </c>
      <c r="V100" s="41">
        <f>Rådatakommune[[#This Row],[S11]]/Rådatakommune[[#This Row],[S01]]-1</f>
        <v>3.5549979088247641E-2</v>
      </c>
      <c r="W100" s="41">
        <f>Rådatakommune[[#This Row],[Y11]]/Rådatakommune[[#This Row],[Folk20-64]]</f>
        <v>0.9471498678746697</v>
      </c>
    </row>
    <row r="101" spans="1:23" s="38" customFormat="1" ht="12.75">
      <c r="A101" s="42" t="s">
        <v>99</v>
      </c>
      <c r="B101" s="37">
        <v>6</v>
      </c>
      <c r="C101" s="38">
        <v>22</v>
      </c>
      <c r="D101" s="39" t="s">
        <v>433</v>
      </c>
      <c r="E101" s="43">
        <v>2</v>
      </c>
      <c r="F101" s="3">
        <v>4578</v>
      </c>
      <c r="G101" s="3">
        <v>4457</v>
      </c>
      <c r="H101" s="3">
        <v>2536</v>
      </c>
      <c r="I101" s="3">
        <v>726</v>
      </c>
      <c r="J101" s="3">
        <v>517</v>
      </c>
      <c r="K101" s="3">
        <v>2647</v>
      </c>
      <c r="L101" s="3">
        <v>2322</v>
      </c>
      <c r="M101" s="3">
        <v>2297</v>
      </c>
      <c r="N101" s="40">
        <v>1854.63</v>
      </c>
      <c r="O101" s="40">
        <v>335800</v>
      </c>
      <c r="P101" s="38">
        <v>189.84361056099999</v>
      </c>
      <c r="Q101" s="38">
        <v>8</v>
      </c>
      <c r="R101" s="38">
        <f t="shared" si="1"/>
        <v>2.4031747572292046</v>
      </c>
      <c r="S101" s="41">
        <f>Rådatakommune[[#This Row],[B12]]/Rådatakommune[[#This Row],[B02]]-1</f>
        <v>-2.6430755788553917E-2</v>
      </c>
      <c r="T101" s="41">
        <f>Rådatakommune[[#This Row],[Kvinner20-39]]/Rådatakommune[[#This Row],[B12]]</f>
        <v>0.11599730760601301</v>
      </c>
      <c r="U101" s="41">
        <f>Rådatakommune[[#This Row],[Eldre67+]]/Rådatakommune[[#This Row],[B12]]</f>
        <v>0.16288983621269912</v>
      </c>
      <c r="V101" s="41">
        <f>Rådatakommune[[#This Row],[S11]]/Rådatakommune[[#This Row],[S01]]-1</f>
        <v>-1.0766580534022352E-2</v>
      </c>
      <c r="W101" s="41">
        <f>Rådatakommune[[#This Row],[Y11]]/Rådatakommune[[#This Row],[Folk20-64]]</f>
        <v>0.9580657347941065</v>
      </c>
    </row>
    <row r="102" spans="1:23" s="38" customFormat="1" ht="12.75">
      <c r="A102" s="42" t="s">
        <v>100</v>
      </c>
      <c r="B102" s="37">
        <v>6</v>
      </c>
      <c r="C102" s="38">
        <v>19</v>
      </c>
      <c r="D102" s="39" t="s">
        <v>433</v>
      </c>
      <c r="E102" s="43" t="s">
        <v>435</v>
      </c>
      <c r="F102" s="3">
        <v>3544</v>
      </c>
      <c r="G102" s="3">
        <v>3535</v>
      </c>
      <c r="H102" s="3">
        <v>1947</v>
      </c>
      <c r="I102" s="3">
        <v>632</v>
      </c>
      <c r="J102" s="3">
        <v>368</v>
      </c>
      <c r="K102" s="3">
        <v>1999</v>
      </c>
      <c r="L102" s="3">
        <v>1359</v>
      </c>
      <c r="M102" s="3">
        <v>1557</v>
      </c>
      <c r="N102" s="40">
        <v>842.29000000000008</v>
      </c>
      <c r="O102" s="40">
        <v>325100</v>
      </c>
      <c r="P102" s="38">
        <v>83.177573943799999</v>
      </c>
      <c r="Q102" s="38">
        <v>2</v>
      </c>
      <c r="R102" s="38">
        <f t="shared" si="1"/>
        <v>4.1968918068598695</v>
      </c>
      <c r="S102" s="41">
        <f>Rådatakommune[[#This Row],[B12]]/Rådatakommune[[#This Row],[B02]]-1</f>
        <v>-2.5395033860045046E-3</v>
      </c>
      <c r="T102" s="41">
        <f>Rådatakommune[[#This Row],[Kvinner20-39]]/Rådatakommune[[#This Row],[B12]]</f>
        <v>0.1041018387553041</v>
      </c>
      <c r="U102" s="41">
        <f>Rådatakommune[[#This Row],[Eldre67+]]/Rådatakommune[[#This Row],[B12]]</f>
        <v>0.17878359264497878</v>
      </c>
      <c r="V102" s="41">
        <f>Rådatakommune[[#This Row],[S11]]/Rådatakommune[[#This Row],[S01]]-1</f>
        <v>0.14569536423841067</v>
      </c>
      <c r="W102" s="41">
        <f>Rådatakommune[[#This Row],[Y11]]/Rådatakommune[[#This Row],[Folk20-64]]</f>
        <v>0.97398699349674833</v>
      </c>
    </row>
    <row r="103" spans="1:23" s="38" customFormat="1" ht="12.75">
      <c r="A103" s="42" t="s">
        <v>101</v>
      </c>
      <c r="B103" s="37">
        <v>6</v>
      </c>
      <c r="C103" s="38">
        <v>21</v>
      </c>
      <c r="D103" s="39" t="s">
        <v>433</v>
      </c>
      <c r="E103" s="43">
        <v>1</v>
      </c>
      <c r="F103" s="3">
        <v>2233</v>
      </c>
      <c r="G103" s="3">
        <v>2186</v>
      </c>
      <c r="H103" s="3">
        <v>1187</v>
      </c>
      <c r="I103" s="3">
        <v>343</v>
      </c>
      <c r="J103" s="3">
        <v>256</v>
      </c>
      <c r="K103" s="3">
        <v>1344</v>
      </c>
      <c r="L103" s="3">
        <v>926</v>
      </c>
      <c r="M103" s="3">
        <v>1061</v>
      </c>
      <c r="N103" s="40">
        <v>374.51</v>
      </c>
      <c r="O103" s="40">
        <v>331700</v>
      </c>
      <c r="P103" s="38">
        <v>85.434413891299997</v>
      </c>
      <c r="Q103" s="38">
        <v>5</v>
      </c>
      <c r="R103" s="38">
        <f t="shared" si="1"/>
        <v>5.836960294785186</v>
      </c>
      <c r="S103" s="41">
        <f>Rådatakommune[[#This Row],[B12]]/Rådatakommune[[#This Row],[B02]]-1</f>
        <v>-2.1047917599641752E-2</v>
      </c>
      <c r="T103" s="41">
        <f>Rådatakommune[[#This Row],[Kvinner20-39]]/Rådatakommune[[#This Row],[B12]]</f>
        <v>0.1171088746569076</v>
      </c>
      <c r="U103" s="41">
        <f>Rådatakommune[[#This Row],[Eldre67+]]/Rådatakommune[[#This Row],[B12]]</f>
        <v>0.15690759377859104</v>
      </c>
      <c r="V103" s="41">
        <f>Rådatakommune[[#This Row],[S11]]/Rådatakommune[[#This Row],[S01]]-1</f>
        <v>0.14578833693304527</v>
      </c>
      <c r="W103" s="41">
        <f>Rådatakommune[[#This Row],[Y11]]/Rådatakommune[[#This Row],[Folk20-64]]</f>
        <v>0.88318452380952384</v>
      </c>
    </row>
    <row r="104" spans="1:23" s="38" customFormat="1" ht="12.75">
      <c r="A104" s="42" t="s">
        <v>102</v>
      </c>
      <c r="B104" s="37">
        <v>6</v>
      </c>
      <c r="C104" s="38">
        <v>19</v>
      </c>
      <c r="D104" s="39" t="s">
        <v>432</v>
      </c>
      <c r="E104" s="43">
        <v>1</v>
      </c>
      <c r="F104" s="3">
        <v>12541</v>
      </c>
      <c r="G104" s="3">
        <v>13116</v>
      </c>
      <c r="H104" s="3">
        <v>6506</v>
      </c>
      <c r="I104" s="3">
        <v>1945</v>
      </c>
      <c r="J104" s="3">
        <v>1515</v>
      </c>
      <c r="K104" s="3">
        <v>7818</v>
      </c>
      <c r="L104" s="3">
        <v>4979</v>
      </c>
      <c r="M104" s="3">
        <v>5349</v>
      </c>
      <c r="N104" s="40">
        <v>517.18999999999994</v>
      </c>
      <c r="O104" s="40">
        <v>325500</v>
      </c>
      <c r="P104" s="38">
        <v>65.520446642899998</v>
      </c>
      <c r="Q104" s="38">
        <v>2</v>
      </c>
      <c r="R104" s="38">
        <f t="shared" si="1"/>
        <v>25.360119105164451</v>
      </c>
      <c r="S104" s="41">
        <f>Rådatakommune[[#This Row],[B12]]/Rådatakommune[[#This Row],[B02]]-1</f>
        <v>4.5849613268479361E-2</v>
      </c>
      <c r="T104" s="41">
        <f>Rådatakommune[[#This Row],[Kvinner20-39]]/Rådatakommune[[#This Row],[B12]]</f>
        <v>0.11550777676120769</v>
      </c>
      <c r="U104" s="41">
        <f>Rådatakommune[[#This Row],[Eldre67+]]/Rådatakommune[[#This Row],[B12]]</f>
        <v>0.14829216224458677</v>
      </c>
      <c r="V104" s="41">
        <f>Rådatakommune[[#This Row],[S11]]/Rådatakommune[[#This Row],[S01]]-1</f>
        <v>7.4312110865635717E-2</v>
      </c>
      <c r="W104" s="41">
        <f>Rådatakommune[[#This Row],[Y11]]/Rådatakommune[[#This Row],[Folk20-64]]</f>
        <v>0.83218214377078537</v>
      </c>
    </row>
    <row r="105" spans="1:23" s="38" customFormat="1" ht="12.75">
      <c r="A105" s="42" t="s">
        <v>103</v>
      </c>
      <c r="B105" s="37">
        <v>6</v>
      </c>
      <c r="C105" s="38">
        <v>19</v>
      </c>
      <c r="D105" s="39" t="s">
        <v>432</v>
      </c>
      <c r="E105" s="43">
        <v>1</v>
      </c>
      <c r="F105" s="3">
        <v>15161</v>
      </c>
      <c r="G105" s="3">
        <v>17421</v>
      </c>
      <c r="H105" s="3">
        <v>8867</v>
      </c>
      <c r="I105" s="3">
        <v>2323</v>
      </c>
      <c r="J105" s="3">
        <v>2168</v>
      </c>
      <c r="K105" s="3">
        <v>10353</v>
      </c>
      <c r="L105" s="3">
        <v>5319</v>
      </c>
      <c r="M105" s="3">
        <v>6182</v>
      </c>
      <c r="N105" s="40">
        <v>456.78999999999996</v>
      </c>
      <c r="O105" s="40">
        <v>337700</v>
      </c>
      <c r="P105" s="38">
        <v>46.958412583700003</v>
      </c>
      <c r="Q105" s="38">
        <v>2</v>
      </c>
      <c r="R105" s="38">
        <f t="shared" si="1"/>
        <v>38.137875172398701</v>
      </c>
      <c r="S105" s="41">
        <f>Rådatakommune[[#This Row],[B12]]/Rådatakommune[[#This Row],[B02]]-1</f>
        <v>0.14906668425565606</v>
      </c>
      <c r="T105" s="41">
        <f>Rådatakommune[[#This Row],[Kvinner20-39]]/Rådatakommune[[#This Row],[B12]]</f>
        <v>0.12444750588370358</v>
      </c>
      <c r="U105" s="41">
        <f>Rådatakommune[[#This Row],[Eldre67+]]/Rådatakommune[[#This Row],[B12]]</f>
        <v>0.13334481373055507</v>
      </c>
      <c r="V105" s="41">
        <f>Rådatakommune[[#This Row],[S11]]/Rådatakommune[[#This Row],[S01]]-1</f>
        <v>0.16224854295920288</v>
      </c>
      <c r="W105" s="41">
        <f>Rådatakommune[[#This Row],[Y11]]/Rådatakommune[[#This Row],[Folk20-64]]</f>
        <v>0.8564667246208828</v>
      </c>
    </row>
    <row r="106" spans="1:23" s="38" customFormat="1" ht="12.75">
      <c r="A106" s="42" t="s">
        <v>104</v>
      </c>
      <c r="B106" s="37">
        <v>6</v>
      </c>
      <c r="C106" s="38">
        <v>19</v>
      </c>
      <c r="D106" s="39" t="s">
        <v>432</v>
      </c>
      <c r="E106" s="43">
        <v>1</v>
      </c>
      <c r="F106" s="3">
        <v>20931</v>
      </c>
      <c r="G106" s="3">
        <v>23262</v>
      </c>
      <c r="H106" s="3">
        <v>11875</v>
      </c>
      <c r="I106" s="3">
        <v>2687</v>
      </c>
      <c r="J106" s="3">
        <v>2943</v>
      </c>
      <c r="K106" s="3">
        <v>13837</v>
      </c>
      <c r="L106" s="3">
        <v>5947</v>
      </c>
      <c r="M106" s="3">
        <v>7205</v>
      </c>
      <c r="N106" s="40">
        <v>121.63000000000001</v>
      </c>
      <c r="O106" s="40">
        <v>339200</v>
      </c>
      <c r="P106" s="38">
        <v>40.906691844800001</v>
      </c>
      <c r="Q106" s="38">
        <v>2</v>
      </c>
      <c r="R106" s="38">
        <f t="shared" si="1"/>
        <v>191.25215818465838</v>
      </c>
      <c r="S106" s="41">
        <f>Rådatakommune[[#This Row],[B12]]/Rådatakommune[[#This Row],[B02]]-1</f>
        <v>0.11136591658305872</v>
      </c>
      <c r="T106" s="41">
        <f>Rådatakommune[[#This Row],[Kvinner20-39]]/Rådatakommune[[#This Row],[B12]]</f>
        <v>0.12651534691771987</v>
      </c>
      <c r="U106" s="41">
        <f>Rådatakommune[[#This Row],[Eldre67+]]/Rådatakommune[[#This Row],[B12]]</f>
        <v>0.11551027426704497</v>
      </c>
      <c r="V106" s="41">
        <f>Rådatakommune[[#This Row],[S11]]/Rådatakommune[[#This Row],[S01]]-1</f>
        <v>0.21153522784597278</v>
      </c>
      <c r="W106" s="41">
        <f>Rådatakommune[[#This Row],[Y11]]/Rådatakommune[[#This Row],[Folk20-64]]</f>
        <v>0.85820625858206256</v>
      </c>
    </row>
    <row r="107" spans="1:23" s="38" customFormat="1" ht="12.75">
      <c r="A107" s="42" t="s">
        <v>105</v>
      </c>
      <c r="B107" s="37">
        <v>6</v>
      </c>
      <c r="C107" s="38">
        <v>19</v>
      </c>
      <c r="D107" s="39" t="s">
        <v>432</v>
      </c>
      <c r="E107" s="43">
        <v>1</v>
      </c>
      <c r="F107" s="3">
        <v>21536</v>
      </c>
      <c r="G107" s="3">
        <v>24177</v>
      </c>
      <c r="H107" s="3">
        <v>12496</v>
      </c>
      <c r="I107" s="3">
        <v>2939</v>
      </c>
      <c r="J107" s="3">
        <v>2838</v>
      </c>
      <c r="K107" s="3">
        <v>14203</v>
      </c>
      <c r="L107" s="3">
        <v>10285</v>
      </c>
      <c r="M107" s="3">
        <v>12428</v>
      </c>
      <c r="N107" s="40">
        <v>301.65000000000003</v>
      </c>
      <c r="O107" s="40">
        <v>391800</v>
      </c>
      <c r="P107" s="38">
        <v>30.011142560700002</v>
      </c>
      <c r="Q107" s="38">
        <v>2</v>
      </c>
      <c r="R107" s="38">
        <f t="shared" si="1"/>
        <v>80.149179512680249</v>
      </c>
      <c r="S107" s="41">
        <f>Rådatakommune[[#This Row],[B12]]/Rådatakommune[[#This Row],[B02]]-1</f>
        <v>0.12263187221396721</v>
      </c>
      <c r="T107" s="41">
        <f>Rådatakommune[[#This Row],[Kvinner20-39]]/Rådatakommune[[#This Row],[B12]]</f>
        <v>0.11738429085494478</v>
      </c>
      <c r="U107" s="41">
        <f>Rådatakommune[[#This Row],[Eldre67+]]/Rådatakommune[[#This Row],[B12]]</f>
        <v>0.12156181494809117</v>
      </c>
      <c r="V107" s="41">
        <f>Rådatakommune[[#This Row],[S11]]/Rådatakommune[[#This Row],[S01]]-1</f>
        <v>0.20836169178415176</v>
      </c>
      <c r="W107" s="41">
        <f>Rådatakommune[[#This Row],[Y11]]/Rådatakommune[[#This Row],[Folk20-64]]</f>
        <v>0.8798141237766669</v>
      </c>
    </row>
    <row r="108" spans="1:23" s="38" customFormat="1" ht="12.75">
      <c r="A108" s="42" t="s">
        <v>106</v>
      </c>
      <c r="B108" s="37">
        <v>6</v>
      </c>
      <c r="C108" s="38">
        <v>5</v>
      </c>
      <c r="D108" s="39" t="s">
        <v>432</v>
      </c>
      <c r="E108" s="43">
        <v>1</v>
      </c>
      <c r="F108" s="3">
        <v>16749</v>
      </c>
      <c r="G108" s="3">
        <v>19594</v>
      </c>
      <c r="H108" s="3">
        <v>10349</v>
      </c>
      <c r="I108" s="3">
        <v>2129</v>
      </c>
      <c r="J108" s="3">
        <v>2337</v>
      </c>
      <c r="K108" s="3">
        <v>11540</v>
      </c>
      <c r="L108" s="3">
        <v>4287</v>
      </c>
      <c r="M108" s="3">
        <v>5016</v>
      </c>
      <c r="N108" s="40">
        <v>112.57000000000001</v>
      </c>
      <c r="O108" s="40">
        <v>388500</v>
      </c>
      <c r="P108" s="38">
        <v>27.462255083300001</v>
      </c>
      <c r="Q108" s="38">
        <v>1</v>
      </c>
      <c r="R108" s="38">
        <f t="shared" si="1"/>
        <v>174.06058452518431</v>
      </c>
      <c r="S108" s="41">
        <f>Rådatakommune[[#This Row],[B12]]/Rådatakommune[[#This Row],[B02]]-1</f>
        <v>0.16986088721714721</v>
      </c>
      <c r="T108" s="41">
        <f>Rådatakommune[[#This Row],[Kvinner20-39]]/Rådatakommune[[#This Row],[B12]]</f>
        <v>0.11927120547106257</v>
      </c>
      <c r="U108" s="41">
        <f>Rådatakommune[[#This Row],[Eldre67+]]/Rådatakommune[[#This Row],[B12]]</f>
        <v>0.10865571093191793</v>
      </c>
      <c r="V108" s="41">
        <f>Rådatakommune[[#This Row],[S11]]/Rådatakommune[[#This Row],[S01]]-1</f>
        <v>0.17004898530440871</v>
      </c>
      <c r="W108" s="41">
        <f>Rådatakommune[[#This Row],[Y11]]/Rådatakommune[[#This Row],[Folk20-64]]</f>
        <v>0.89679376083188911</v>
      </c>
    </row>
    <row r="109" spans="1:23" s="38" customFormat="1" ht="12.75">
      <c r="A109" s="42" t="s">
        <v>107</v>
      </c>
      <c r="B109" s="37">
        <v>6</v>
      </c>
      <c r="C109" s="38">
        <v>5</v>
      </c>
      <c r="D109" s="39" t="s">
        <v>432</v>
      </c>
      <c r="E109" s="43">
        <v>1</v>
      </c>
      <c r="F109" s="3">
        <v>8599</v>
      </c>
      <c r="G109" s="3">
        <v>9185</v>
      </c>
      <c r="H109" s="3">
        <v>4574</v>
      </c>
      <c r="I109" s="3">
        <v>1300</v>
      </c>
      <c r="J109" s="3">
        <v>978</v>
      </c>
      <c r="K109" s="3">
        <v>5320</v>
      </c>
      <c r="L109" s="3">
        <v>2486</v>
      </c>
      <c r="M109" s="3">
        <v>2858</v>
      </c>
      <c r="N109" s="40">
        <v>163.29</v>
      </c>
      <c r="O109" s="40">
        <v>354600</v>
      </c>
      <c r="P109" s="38">
        <v>53.245901226299999</v>
      </c>
      <c r="Q109" s="38">
        <v>1</v>
      </c>
      <c r="R109" s="38">
        <f t="shared" si="1"/>
        <v>56.24961724539164</v>
      </c>
      <c r="S109" s="41">
        <f>Rådatakommune[[#This Row],[B12]]/Rådatakommune[[#This Row],[B02]]-1</f>
        <v>6.8147459006861366E-2</v>
      </c>
      <c r="T109" s="41">
        <f>Rådatakommune[[#This Row],[Kvinner20-39]]/Rådatakommune[[#This Row],[B12]]</f>
        <v>0.10647795318454001</v>
      </c>
      <c r="U109" s="41">
        <f>Rådatakommune[[#This Row],[Eldre67+]]/Rådatakommune[[#This Row],[B12]]</f>
        <v>0.14153511159499182</v>
      </c>
      <c r="V109" s="41">
        <f>Rådatakommune[[#This Row],[S11]]/Rådatakommune[[#This Row],[S01]]-1</f>
        <v>0.14963797264682221</v>
      </c>
      <c r="W109" s="41">
        <f>Rådatakommune[[#This Row],[Y11]]/Rådatakommune[[#This Row],[Folk20-64]]</f>
        <v>0.85977443609022552</v>
      </c>
    </row>
    <row r="110" spans="1:23" s="38" customFormat="1" ht="12.75">
      <c r="A110" s="42" t="s">
        <v>108</v>
      </c>
      <c r="B110" s="37">
        <v>6</v>
      </c>
      <c r="C110" s="38">
        <v>20</v>
      </c>
      <c r="D110" s="39" t="s">
        <v>433</v>
      </c>
      <c r="E110" s="43">
        <v>1</v>
      </c>
      <c r="F110" s="3">
        <v>2532</v>
      </c>
      <c r="G110" s="3">
        <v>2638</v>
      </c>
      <c r="H110" s="3">
        <v>1394</v>
      </c>
      <c r="I110" s="3">
        <v>407</v>
      </c>
      <c r="J110" s="3">
        <v>289</v>
      </c>
      <c r="K110" s="3">
        <v>1497</v>
      </c>
      <c r="L110" s="3">
        <v>767</v>
      </c>
      <c r="M110" s="3">
        <v>809</v>
      </c>
      <c r="N110" s="40">
        <v>561.92000000000007</v>
      </c>
      <c r="O110" s="40">
        <v>334600</v>
      </c>
      <c r="P110" s="38">
        <v>78.550626897800001</v>
      </c>
      <c r="Q110" s="38">
        <v>5</v>
      </c>
      <c r="R110" s="38">
        <f t="shared" si="1"/>
        <v>4.6946184510250566</v>
      </c>
      <c r="S110" s="41">
        <f>Rådatakommune[[#This Row],[B12]]/Rådatakommune[[#This Row],[B02]]-1</f>
        <v>4.1864139020537205E-2</v>
      </c>
      <c r="T110" s="41">
        <f>Rådatakommune[[#This Row],[Kvinner20-39]]/Rådatakommune[[#This Row],[B12]]</f>
        <v>0.10955269143290372</v>
      </c>
      <c r="U110" s="41">
        <f>Rådatakommune[[#This Row],[Eldre67+]]/Rådatakommune[[#This Row],[B12]]</f>
        <v>0.15428354814253223</v>
      </c>
      <c r="V110" s="41">
        <f>Rådatakommune[[#This Row],[S11]]/Rådatakommune[[#This Row],[S01]]-1</f>
        <v>5.4758800521512496E-2</v>
      </c>
      <c r="W110" s="41">
        <f>Rådatakommune[[#This Row],[Y11]]/Rådatakommune[[#This Row],[Folk20-64]]</f>
        <v>0.93119572478289914</v>
      </c>
    </row>
    <row r="111" spans="1:23" s="38" customFormat="1" ht="12.75">
      <c r="A111" s="42" t="s">
        <v>109</v>
      </c>
      <c r="B111" s="37">
        <v>6</v>
      </c>
      <c r="C111" s="38">
        <v>20</v>
      </c>
      <c r="D111" s="39" t="s">
        <v>433</v>
      </c>
      <c r="E111" s="43" t="s">
        <v>435</v>
      </c>
      <c r="F111" s="3">
        <v>1477</v>
      </c>
      <c r="G111" s="3">
        <v>1383</v>
      </c>
      <c r="H111" s="3">
        <v>740</v>
      </c>
      <c r="I111" s="3">
        <v>271</v>
      </c>
      <c r="J111" s="3">
        <v>119</v>
      </c>
      <c r="K111" s="3">
        <v>766</v>
      </c>
      <c r="L111" s="3">
        <v>640</v>
      </c>
      <c r="M111" s="3">
        <v>637</v>
      </c>
      <c r="N111" s="40">
        <v>449.28000000000003</v>
      </c>
      <c r="O111" s="40">
        <v>319900</v>
      </c>
      <c r="P111" s="38">
        <v>99.953514368900002</v>
      </c>
      <c r="Q111" s="38">
        <v>5</v>
      </c>
      <c r="R111" s="38">
        <f t="shared" si="1"/>
        <v>3.0782585470085468</v>
      </c>
      <c r="S111" s="41">
        <f>Rådatakommune[[#This Row],[B12]]/Rådatakommune[[#This Row],[B02]]-1</f>
        <v>-6.3642518618821975E-2</v>
      </c>
      <c r="T111" s="41">
        <f>Rådatakommune[[#This Row],[Kvinner20-39]]/Rådatakommune[[#This Row],[B12]]</f>
        <v>8.6044830079537241E-2</v>
      </c>
      <c r="U111" s="41">
        <f>Rådatakommune[[#This Row],[Eldre67+]]/Rådatakommune[[#This Row],[B12]]</f>
        <v>0.19595083152566883</v>
      </c>
      <c r="V111" s="41">
        <f>Rådatakommune[[#This Row],[S11]]/Rådatakommune[[#This Row],[S01]]-1</f>
        <v>-4.6874999999999556E-3</v>
      </c>
      <c r="W111" s="41">
        <f>Rådatakommune[[#This Row],[Y11]]/Rådatakommune[[#This Row],[Folk20-64]]</f>
        <v>0.96605744125326376</v>
      </c>
    </row>
    <row r="112" spans="1:23" s="38" customFormat="1" ht="12.75">
      <c r="A112" s="42" t="s">
        <v>110</v>
      </c>
      <c r="B112" s="37">
        <v>6</v>
      </c>
      <c r="C112" s="38">
        <v>23</v>
      </c>
      <c r="D112" s="39" t="s">
        <v>436</v>
      </c>
      <c r="E112" s="43">
        <v>2</v>
      </c>
      <c r="F112" s="3">
        <v>2754</v>
      </c>
      <c r="G112" s="3">
        <v>2540</v>
      </c>
      <c r="H112" s="3">
        <v>1374</v>
      </c>
      <c r="I112" s="3">
        <v>472</v>
      </c>
      <c r="J112" s="3">
        <v>234</v>
      </c>
      <c r="K112" s="3">
        <v>1399</v>
      </c>
      <c r="L112" s="3">
        <v>1151</v>
      </c>
      <c r="M112" s="3">
        <v>1294</v>
      </c>
      <c r="N112" s="40">
        <v>2502.29</v>
      </c>
      <c r="O112" s="40">
        <v>305000</v>
      </c>
      <c r="P112" s="38">
        <v>134.60092777</v>
      </c>
      <c r="Q112" s="38">
        <v>11</v>
      </c>
      <c r="R112" s="38">
        <f t="shared" si="1"/>
        <v>1.0150701957007382</v>
      </c>
      <c r="S112" s="41">
        <f>Rådatakommune[[#This Row],[B12]]/Rådatakommune[[#This Row],[B02]]-1</f>
        <v>-7.770515613652873E-2</v>
      </c>
      <c r="T112" s="41">
        <f>Rådatakommune[[#This Row],[Kvinner20-39]]/Rådatakommune[[#This Row],[B12]]</f>
        <v>9.212598425196851E-2</v>
      </c>
      <c r="U112" s="41">
        <f>Rådatakommune[[#This Row],[Eldre67+]]/Rådatakommune[[#This Row],[B12]]</f>
        <v>0.1858267716535433</v>
      </c>
      <c r="V112" s="41">
        <f>Rådatakommune[[#This Row],[S11]]/Rådatakommune[[#This Row],[S01]]-1</f>
        <v>0.12423979148566455</v>
      </c>
      <c r="W112" s="41">
        <f>Rådatakommune[[#This Row],[Y11]]/Rådatakommune[[#This Row],[Folk20-64]]</f>
        <v>0.98213009292351683</v>
      </c>
    </row>
    <row r="113" spans="1:23" s="38" customFormat="1" ht="12.75">
      <c r="A113" s="42" t="s">
        <v>111</v>
      </c>
      <c r="B113" s="37">
        <v>7</v>
      </c>
      <c r="C113" s="38">
        <v>24</v>
      </c>
      <c r="D113" s="39" t="s">
        <v>432</v>
      </c>
      <c r="E113" s="37">
        <v>1</v>
      </c>
      <c r="F113" s="3">
        <v>24302</v>
      </c>
      <c r="G113" s="3">
        <v>26307</v>
      </c>
      <c r="H113" s="3">
        <v>12286</v>
      </c>
      <c r="I113" s="3">
        <v>3822</v>
      </c>
      <c r="J113" s="3">
        <v>3086</v>
      </c>
      <c r="K113" s="3">
        <v>15294</v>
      </c>
      <c r="L113" s="3">
        <v>9870</v>
      </c>
      <c r="M113" s="3">
        <v>10592</v>
      </c>
      <c r="N113" s="40">
        <v>70.22</v>
      </c>
      <c r="O113" s="40">
        <v>334100</v>
      </c>
      <c r="P113" s="38">
        <v>65.074581249700003</v>
      </c>
      <c r="Q113" s="38">
        <v>2</v>
      </c>
      <c r="R113" s="38">
        <f t="shared" si="1"/>
        <v>374.63685559669608</v>
      </c>
      <c r="S113" s="41">
        <f>Rådatakommune[[#This Row],[B12]]/Rådatakommune[[#This Row],[B02]]-1</f>
        <v>8.2503497654514035E-2</v>
      </c>
      <c r="T113" s="41">
        <f>Rådatakommune[[#This Row],[Kvinner20-39]]/Rådatakommune[[#This Row],[B12]]</f>
        <v>0.11730718059831984</v>
      </c>
      <c r="U113" s="41">
        <f>Rådatakommune[[#This Row],[Eldre67+]]/Rådatakommune[[#This Row],[B12]]</f>
        <v>0.14528452503136047</v>
      </c>
      <c r="V113" s="41">
        <f>Rådatakommune[[#This Row],[S11]]/Rådatakommune[[#This Row],[S01]]-1</f>
        <v>7.315096251266473E-2</v>
      </c>
      <c r="W113" s="41">
        <f>Rådatakommune[[#This Row],[Y11]]/Rådatakommune[[#This Row],[Folk20-64]]</f>
        <v>0.80332156401203081</v>
      </c>
    </row>
    <row r="114" spans="1:23" s="38" customFormat="1" ht="12.75">
      <c r="A114" s="42" t="s">
        <v>112</v>
      </c>
      <c r="B114" s="37">
        <v>7</v>
      </c>
      <c r="C114" s="38">
        <v>24</v>
      </c>
      <c r="D114" s="39" t="s">
        <v>432</v>
      </c>
      <c r="E114" s="37">
        <v>1</v>
      </c>
      <c r="F114" s="3">
        <v>9426</v>
      </c>
      <c r="G114" s="3">
        <v>10251</v>
      </c>
      <c r="H114" s="3">
        <v>4942</v>
      </c>
      <c r="I114" s="3">
        <v>1529</v>
      </c>
      <c r="J114" s="3">
        <v>1165</v>
      </c>
      <c r="K114" s="3">
        <v>6017</v>
      </c>
      <c r="L114" s="3">
        <v>3926</v>
      </c>
      <c r="M114" s="3">
        <v>3831</v>
      </c>
      <c r="N114" s="40">
        <v>86.070000000000007</v>
      </c>
      <c r="O114" s="40">
        <v>337100</v>
      </c>
      <c r="P114" s="38">
        <v>54.470584995199999</v>
      </c>
      <c r="Q114" s="38">
        <v>2</v>
      </c>
      <c r="R114" s="38">
        <f t="shared" si="1"/>
        <v>119.10073196235621</v>
      </c>
      <c r="S114" s="41">
        <f>Rådatakommune[[#This Row],[B12]]/Rådatakommune[[#This Row],[B02]]-1</f>
        <v>8.7523870146403615E-2</v>
      </c>
      <c r="T114" s="41">
        <f>Rådatakommune[[#This Row],[Kvinner20-39]]/Rådatakommune[[#This Row],[B12]]</f>
        <v>0.113647449029363</v>
      </c>
      <c r="U114" s="41">
        <f>Rådatakommune[[#This Row],[Eldre67+]]/Rådatakommune[[#This Row],[B12]]</f>
        <v>0.14915617988488927</v>
      </c>
      <c r="V114" s="41">
        <f>Rådatakommune[[#This Row],[S11]]/Rådatakommune[[#This Row],[S01]]-1</f>
        <v>-2.4197656647987786E-2</v>
      </c>
      <c r="W114" s="41">
        <f>Rådatakommune[[#This Row],[Y11]]/Rådatakommune[[#This Row],[Folk20-64]]</f>
        <v>0.82133953797573545</v>
      </c>
    </row>
    <row r="115" spans="1:23" s="38" customFormat="1" ht="12.75">
      <c r="A115" s="42" t="s">
        <v>113</v>
      </c>
      <c r="B115" s="37">
        <v>7</v>
      </c>
      <c r="C115" s="38">
        <v>24</v>
      </c>
      <c r="D115" s="39" t="s">
        <v>432</v>
      </c>
      <c r="E115" s="37">
        <v>1</v>
      </c>
      <c r="F115" s="3">
        <v>35326</v>
      </c>
      <c r="G115" s="3">
        <v>40677</v>
      </c>
      <c r="H115" s="3">
        <v>20479</v>
      </c>
      <c r="I115" s="3">
        <v>5842</v>
      </c>
      <c r="J115" s="3">
        <v>5281</v>
      </c>
      <c r="K115" s="3">
        <v>24230</v>
      </c>
      <c r="L115" s="3">
        <v>26147</v>
      </c>
      <c r="M115" s="3">
        <v>27163</v>
      </c>
      <c r="N115" s="40">
        <v>106.63</v>
      </c>
      <c r="O115" s="40">
        <v>353400</v>
      </c>
      <c r="P115" s="38">
        <v>68.814787187099995</v>
      </c>
      <c r="Q115" s="38">
        <v>2</v>
      </c>
      <c r="R115" s="38">
        <f t="shared" si="1"/>
        <v>381.47800806527243</v>
      </c>
      <c r="S115" s="41">
        <f>Rådatakommune[[#This Row],[B12]]/Rådatakommune[[#This Row],[B02]]-1</f>
        <v>0.15147483439959242</v>
      </c>
      <c r="T115" s="41">
        <f>Rådatakommune[[#This Row],[Kvinner20-39]]/Rådatakommune[[#This Row],[B12]]</f>
        <v>0.12982766674041843</v>
      </c>
      <c r="U115" s="41">
        <f>Rådatakommune[[#This Row],[Eldre67+]]/Rådatakommune[[#This Row],[B12]]</f>
        <v>0.14361924429038522</v>
      </c>
      <c r="V115" s="41">
        <f>Rådatakommune[[#This Row],[S11]]/Rådatakommune[[#This Row],[S01]]-1</f>
        <v>3.8857230274983667E-2</v>
      </c>
      <c r="W115" s="41">
        <f>Rådatakommune[[#This Row],[Y11]]/Rådatakommune[[#This Row],[Folk20-64]]</f>
        <v>0.84519191085431289</v>
      </c>
    </row>
    <row r="116" spans="1:23" s="38" customFormat="1" ht="12.75">
      <c r="A116" s="42" t="s">
        <v>114</v>
      </c>
      <c r="B116" s="37">
        <v>7</v>
      </c>
      <c r="C116" s="38">
        <v>25</v>
      </c>
      <c r="D116" s="39" t="s">
        <v>432</v>
      </c>
      <c r="E116" s="37">
        <v>1</v>
      </c>
      <c r="F116" s="3">
        <v>40079</v>
      </c>
      <c r="G116" s="3">
        <v>44150</v>
      </c>
      <c r="H116" s="3">
        <v>20997</v>
      </c>
      <c r="I116" s="3">
        <v>6471</v>
      </c>
      <c r="J116" s="3">
        <v>5194</v>
      </c>
      <c r="K116" s="3">
        <v>25589</v>
      </c>
      <c r="L116" s="3">
        <v>17934</v>
      </c>
      <c r="M116" s="3">
        <v>20580</v>
      </c>
      <c r="N116" s="40">
        <v>121.05999999999999</v>
      </c>
      <c r="O116" s="40">
        <v>338900</v>
      </c>
      <c r="P116" s="38">
        <v>81.163567901600004</v>
      </c>
      <c r="Q116" s="38">
        <v>4</v>
      </c>
      <c r="R116" s="38">
        <f t="shared" si="1"/>
        <v>364.69519246654556</v>
      </c>
      <c r="S116" s="41">
        <f>Rådatakommune[[#This Row],[B12]]/Rådatakommune[[#This Row],[B02]]-1</f>
        <v>0.10157439057860729</v>
      </c>
      <c r="T116" s="41">
        <f>Rådatakommune[[#This Row],[Kvinner20-39]]/Rådatakommune[[#This Row],[B12]]</f>
        <v>0.11764439411098528</v>
      </c>
      <c r="U116" s="41">
        <f>Rådatakommune[[#This Row],[Eldre67+]]/Rådatakommune[[#This Row],[B12]]</f>
        <v>0.14656851642129104</v>
      </c>
      <c r="V116" s="41">
        <f>Rådatakommune[[#This Row],[S11]]/Rådatakommune[[#This Row],[S01]]-1</f>
        <v>0.14754098360655732</v>
      </c>
      <c r="W116" s="41">
        <f>Rådatakommune[[#This Row],[Y11]]/Rådatakommune[[#This Row],[Folk20-64]]</f>
        <v>0.82054789167220288</v>
      </c>
    </row>
    <row r="117" spans="1:23" s="38" customFormat="1" ht="12.75">
      <c r="A117" s="42" t="s">
        <v>115</v>
      </c>
      <c r="B117" s="37">
        <v>7</v>
      </c>
      <c r="C117" s="38">
        <v>25</v>
      </c>
      <c r="D117" s="39" t="s">
        <v>432</v>
      </c>
      <c r="E117" s="37">
        <v>1</v>
      </c>
      <c r="F117" s="3">
        <v>40795</v>
      </c>
      <c r="G117" s="3">
        <v>42947</v>
      </c>
      <c r="H117" s="3">
        <v>20809</v>
      </c>
      <c r="I117" s="3">
        <v>6543</v>
      </c>
      <c r="J117" s="3">
        <v>5010</v>
      </c>
      <c r="K117" s="3">
        <v>25007</v>
      </c>
      <c r="L117" s="3">
        <v>17209</v>
      </c>
      <c r="M117" s="3">
        <v>18184</v>
      </c>
      <c r="N117" s="40">
        <v>534.49</v>
      </c>
      <c r="O117" s="40">
        <v>329000</v>
      </c>
      <c r="P117" s="38">
        <v>89.673542207500006</v>
      </c>
      <c r="Q117" s="38">
        <v>4</v>
      </c>
      <c r="R117" s="38">
        <f t="shared" si="1"/>
        <v>80.351362981533796</v>
      </c>
      <c r="S117" s="41">
        <f>Rådatakommune[[#This Row],[B12]]/Rådatakommune[[#This Row],[B02]]-1</f>
        <v>5.2751562691506271E-2</v>
      </c>
      <c r="T117" s="41">
        <f>Rådatakommune[[#This Row],[Kvinner20-39]]/Rådatakommune[[#This Row],[B12]]</f>
        <v>0.11665541248515612</v>
      </c>
      <c r="U117" s="41">
        <f>Rådatakommune[[#This Row],[Eldre67+]]/Rådatakommune[[#This Row],[B12]]</f>
        <v>0.1523505716348057</v>
      </c>
      <c r="V117" s="41">
        <f>Rådatakommune[[#This Row],[S11]]/Rådatakommune[[#This Row],[S01]]-1</f>
        <v>5.6656400720553224E-2</v>
      </c>
      <c r="W117" s="41">
        <f>Rådatakommune[[#This Row],[Y11]]/Rådatakommune[[#This Row],[Folk20-64]]</f>
        <v>0.8321270044387572</v>
      </c>
    </row>
    <row r="118" spans="1:23" s="38" customFormat="1" ht="12.75">
      <c r="A118" s="42" t="s">
        <v>116</v>
      </c>
      <c r="B118" s="37">
        <v>7</v>
      </c>
      <c r="C118" s="38">
        <v>19</v>
      </c>
      <c r="D118" s="39" t="s">
        <v>432</v>
      </c>
      <c r="E118" s="37">
        <v>1</v>
      </c>
      <c r="F118" s="3">
        <v>6445</v>
      </c>
      <c r="G118" s="3">
        <v>6581</v>
      </c>
      <c r="H118" s="3">
        <v>3262</v>
      </c>
      <c r="I118" s="3">
        <v>906</v>
      </c>
      <c r="J118" s="3">
        <v>727</v>
      </c>
      <c r="K118" s="3">
        <v>3864</v>
      </c>
      <c r="L118" s="3">
        <v>1736</v>
      </c>
      <c r="M118" s="3">
        <v>1632</v>
      </c>
      <c r="N118" s="40">
        <v>57.66</v>
      </c>
      <c r="O118" s="40">
        <v>336800</v>
      </c>
      <c r="P118" s="38">
        <v>50.530302670799998</v>
      </c>
      <c r="Q118" s="38">
        <v>2</v>
      </c>
      <c r="R118" s="38">
        <f t="shared" si="1"/>
        <v>114.13458203260494</v>
      </c>
      <c r="S118" s="41">
        <f>Rådatakommune[[#This Row],[B12]]/Rådatakommune[[#This Row],[B02]]-1</f>
        <v>2.1101629169899105E-2</v>
      </c>
      <c r="T118" s="41">
        <f>Rådatakommune[[#This Row],[Kvinner20-39]]/Rådatakommune[[#This Row],[B12]]</f>
        <v>0.11046953350554627</v>
      </c>
      <c r="U118" s="41">
        <f>Rådatakommune[[#This Row],[Eldre67+]]/Rådatakommune[[#This Row],[B12]]</f>
        <v>0.13766904725725573</v>
      </c>
      <c r="V118" s="41">
        <f>Rådatakommune[[#This Row],[S11]]/Rådatakommune[[#This Row],[S01]]-1</f>
        <v>-5.9907834101382451E-2</v>
      </c>
      <c r="W118" s="41">
        <f>Rådatakommune[[#This Row],[Y11]]/Rådatakommune[[#This Row],[Folk20-64]]</f>
        <v>0.84420289855072461</v>
      </c>
    </row>
    <row r="119" spans="1:23" s="38" customFormat="1" ht="12.75">
      <c r="A119" s="42" t="s">
        <v>117</v>
      </c>
      <c r="B119" s="37">
        <v>7</v>
      </c>
      <c r="C119" s="38">
        <v>19</v>
      </c>
      <c r="D119" s="39" t="s">
        <v>432</v>
      </c>
      <c r="E119" s="37">
        <v>1</v>
      </c>
      <c r="F119" s="3">
        <v>7524</v>
      </c>
      <c r="G119" s="3">
        <v>8680</v>
      </c>
      <c r="H119" s="3">
        <v>4399</v>
      </c>
      <c r="I119" s="3">
        <v>1119</v>
      </c>
      <c r="J119" s="3">
        <v>1054</v>
      </c>
      <c r="K119" s="3">
        <v>5028</v>
      </c>
      <c r="L119" s="3">
        <v>2186</v>
      </c>
      <c r="M119" s="3">
        <v>2285</v>
      </c>
      <c r="N119" s="40">
        <v>178.28</v>
      </c>
      <c r="O119" s="40">
        <v>343800</v>
      </c>
      <c r="P119" s="38">
        <v>43.396921828799996</v>
      </c>
      <c r="Q119" s="38">
        <v>2</v>
      </c>
      <c r="R119" s="38">
        <f t="shared" si="1"/>
        <v>48.68745793134395</v>
      </c>
      <c r="S119" s="41">
        <f>Rådatakommune[[#This Row],[B12]]/Rådatakommune[[#This Row],[B02]]-1</f>
        <v>0.15364167995746936</v>
      </c>
      <c r="T119" s="41">
        <f>Rådatakommune[[#This Row],[Kvinner20-39]]/Rådatakommune[[#This Row],[B12]]</f>
        <v>0.12142857142857143</v>
      </c>
      <c r="U119" s="41">
        <f>Rådatakommune[[#This Row],[Eldre67+]]/Rådatakommune[[#This Row],[B12]]</f>
        <v>0.12891705069124423</v>
      </c>
      <c r="V119" s="41">
        <f>Rådatakommune[[#This Row],[S11]]/Rådatakommune[[#This Row],[S01]]-1</f>
        <v>4.5288197621226045E-2</v>
      </c>
      <c r="W119" s="41">
        <f>Rådatakommune[[#This Row],[Y11]]/Rådatakommune[[#This Row],[Folk20-64]]</f>
        <v>0.87490055688146384</v>
      </c>
    </row>
    <row r="120" spans="1:23" s="38" customFormat="1" ht="12.75">
      <c r="A120" s="42" t="s">
        <v>118</v>
      </c>
      <c r="B120" s="37">
        <v>7</v>
      </c>
      <c r="C120" s="38">
        <v>24</v>
      </c>
      <c r="D120" s="39" t="s">
        <v>432</v>
      </c>
      <c r="E120" s="37">
        <v>1</v>
      </c>
      <c r="F120" s="3">
        <v>3033</v>
      </c>
      <c r="G120" s="3">
        <v>3048</v>
      </c>
      <c r="H120" s="3">
        <v>1571</v>
      </c>
      <c r="I120" s="3">
        <v>423</v>
      </c>
      <c r="J120" s="3">
        <v>335</v>
      </c>
      <c r="K120" s="3">
        <v>1760</v>
      </c>
      <c r="L120" s="3">
        <v>896</v>
      </c>
      <c r="M120" s="3">
        <v>965</v>
      </c>
      <c r="N120" s="40">
        <v>163.12</v>
      </c>
      <c r="O120" s="40">
        <v>340000</v>
      </c>
      <c r="P120" s="38">
        <v>53.292219040399999</v>
      </c>
      <c r="Q120" s="38">
        <v>2</v>
      </c>
      <c r="R120" s="38">
        <f t="shared" si="1"/>
        <v>18.685630210887691</v>
      </c>
      <c r="S120" s="41">
        <f>Rådatakommune[[#This Row],[B12]]/Rådatakommune[[#This Row],[B02]]-1</f>
        <v>4.9455984174084922E-3</v>
      </c>
      <c r="T120" s="41">
        <f>Rådatakommune[[#This Row],[Kvinner20-39]]/Rådatakommune[[#This Row],[B12]]</f>
        <v>0.10990813648293964</v>
      </c>
      <c r="U120" s="41">
        <f>Rådatakommune[[#This Row],[Eldre67+]]/Rådatakommune[[#This Row],[B12]]</f>
        <v>0.13877952755905512</v>
      </c>
      <c r="V120" s="41">
        <f>Rådatakommune[[#This Row],[S11]]/Rådatakommune[[#This Row],[S01]]-1</f>
        <v>7.7008928571428603E-2</v>
      </c>
      <c r="W120" s="41">
        <f>Rådatakommune[[#This Row],[Y11]]/Rådatakommune[[#This Row],[Folk20-64]]</f>
        <v>0.89261363636363633</v>
      </c>
    </row>
    <row r="121" spans="1:23" s="38" customFormat="1" ht="12.75">
      <c r="A121" s="42" t="s">
        <v>119</v>
      </c>
      <c r="B121" s="37">
        <v>7</v>
      </c>
      <c r="C121" s="38">
        <v>24</v>
      </c>
      <c r="D121" s="39" t="s">
        <v>432</v>
      </c>
      <c r="E121" s="37">
        <v>1</v>
      </c>
      <c r="F121" s="3">
        <v>8172</v>
      </c>
      <c r="G121" s="3">
        <v>8936</v>
      </c>
      <c r="H121" s="3">
        <v>4647</v>
      </c>
      <c r="I121" s="3">
        <v>1018</v>
      </c>
      <c r="J121" s="3">
        <v>1125</v>
      </c>
      <c r="K121" s="3">
        <v>5298</v>
      </c>
      <c r="L121" s="3">
        <v>2573</v>
      </c>
      <c r="M121" s="3">
        <v>3072</v>
      </c>
      <c r="N121" s="40">
        <v>224.66</v>
      </c>
      <c r="O121" s="40">
        <v>336800</v>
      </c>
      <c r="P121" s="38">
        <v>61.991895230799997</v>
      </c>
      <c r="Q121" s="38">
        <v>2</v>
      </c>
      <c r="R121" s="38">
        <f t="shared" si="1"/>
        <v>39.775660998842696</v>
      </c>
      <c r="S121" s="41">
        <f>Rådatakommune[[#This Row],[B12]]/Rådatakommune[[#This Row],[B02]]-1</f>
        <v>9.3489965736661684E-2</v>
      </c>
      <c r="T121" s="41">
        <f>Rådatakommune[[#This Row],[Kvinner20-39]]/Rådatakommune[[#This Row],[B12]]</f>
        <v>0.1258952551477171</v>
      </c>
      <c r="U121" s="41">
        <f>Rådatakommune[[#This Row],[Eldre67+]]/Rådatakommune[[#This Row],[B12]]</f>
        <v>0.11392121754700089</v>
      </c>
      <c r="V121" s="41">
        <f>Rådatakommune[[#This Row],[S11]]/Rådatakommune[[#This Row],[S01]]-1</f>
        <v>0.19393703847648669</v>
      </c>
      <c r="W121" s="41">
        <f>Rådatakommune[[#This Row],[Y11]]/Rådatakommune[[#This Row],[Folk20-64]]</f>
        <v>0.87712344280860699</v>
      </c>
    </row>
    <row r="122" spans="1:23" s="38" customFormat="1" ht="12.75">
      <c r="A122" s="42" t="s">
        <v>120</v>
      </c>
      <c r="B122" s="37">
        <v>7</v>
      </c>
      <c r="C122" s="38">
        <v>24</v>
      </c>
      <c r="D122" s="39" t="s">
        <v>432</v>
      </c>
      <c r="E122" s="37">
        <v>1</v>
      </c>
      <c r="F122" s="3">
        <v>4823</v>
      </c>
      <c r="G122" s="3">
        <v>5448</v>
      </c>
      <c r="H122" s="3">
        <v>2814</v>
      </c>
      <c r="I122" s="3">
        <v>644</v>
      </c>
      <c r="J122" s="3">
        <v>697</v>
      </c>
      <c r="K122" s="3">
        <v>3258</v>
      </c>
      <c r="L122" s="3">
        <v>1635</v>
      </c>
      <c r="M122" s="3">
        <v>1978</v>
      </c>
      <c r="N122" s="40">
        <v>185.9</v>
      </c>
      <c r="O122" s="40">
        <v>328300</v>
      </c>
      <c r="P122" s="38">
        <v>74.591474800100002</v>
      </c>
      <c r="Q122" s="38">
        <v>2</v>
      </c>
      <c r="R122" s="38">
        <f t="shared" si="1"/>
        <v>29.306078536847767</v>
      </c>
      <c r="S122" s="41">
        <f>Rådatakommune[[#This Row],[B12]]/Rådatakommune[[#This Row],[B02]]-1</f>
        <v>0.12958739373833716</v>
      </c>
      <c r="T122" s="41">
        <f>Rådatakommune[[#This Row],[Kvinner20-39]]/Rådatakommune[[#This Row],[B12]]</f>
        <v>0.12793685756240822</v>
      </c>
      <c r="U122" s="41">
        <f>Rådatakommune[[#This Row],[Eldre67+]]/Rådatakommune[[#This Row],[B12]]</f>
        <v>0.11820851688693099</v>
      </c>
      <c r="V122" s="41">
        <f>Rådatakommune[[#This Row],[S11]]/Rådatakommune[[#This Row],[S01]]-1</f>
        <v>0.20978593272171264</v>
      </c>
      <c r="W122" s="41">
        <f>Rådatakommune[[#This Row],[Y11]]/Rådatakommune[[#This Row],[Folk20-64]]</f>
        <v>0.86372007366482506</v>
      </c>
    </row>
    <row r="123" spans="1:23" s="38" customFormat="1" ht="12.75">
      <c r="A123" s="42" t="s">
        <v>121</v>
      </c>
      <c r="B123" s="37">
        <v>7</v>
      </c>
      <c r="C123" s="38">
        <v>24</v>
      </c>
      <c r="D123" s="39" t="s">
        <v>432</v>
      </c>
      <c r="E123" s="37">
        <v>1</v>
      </c>
      <c r="F123" s="3">
        <v>9815</v>
      </c>
      <c r="G123" s="3">
        <v>11178</v>
      </c>
      <c r="H123" s="3">
        <v>5763</v>
      </c>
      <c r="I123" s="3">
        <v>1249</v>
      </c>
      <c r="J123" s="3">
        <v>1410</v>
      </c>
      <c r="K123" s="3">
        <v>6746</v>
      </c>
      <c r="L123" s="3">
        <v>3557</v>
      </c>
      <c r="M123" s="3">
        <v>5517</v>
      </c>
      <c r="N123" s="40">
        <v>118.33</v>
      </c>
      <c r="O123" s="40">
        <v>327100</v>
      </c>
      <c r="P123" s="38">
        <v>72.6145221986</v>
      </c>
      <c r="Q123" s="38">
        <v>2</v>
      </c>
      <c r="R123" s="38">
        <f t="shared" si="1"/>
        <v>94.46463280655793</v>
      </c>
      <c r="S123" s="41">
        <f>Rådatakommune[[#This Row],[B12]]/Rådatakommune[[#This Row],[B02]]-1</f>
        <v>0.13886907794192571</v>
      </c>
      <c r="T123" s="41">
        <f>Rådatakommune[[#This Row],[Kvinner20-39]]/Rådatakommune[[#This Row],[B12]]</f>
        <v>0.1261406333870102</v>
      </c>
      <c r="U123" s="41">
        <f>Rådatakommune[[#This Row],[Eldre67+]]/Rådatakommune[[#This Row],[B12]]</f>
        <v>0.11173734120594024</v>
      </c>
      <c r="V123" s="41">
        <f>Rådatakommune[[#This Row],[S11]]/Rådatakommune[[#This Row],[S01]]-1</f>
        <v>0.55102614562833852</v>
      </c>
      <c r="W123" s="41">
        <f>Rådatakommune[[#This Row],[Y11]]/Rådatakommune[[#This Row],[Folk20-64]]</f>
        <v>0.85428402016009486</v>
      </c>
    </row>
    <row r="124" spans="1:23" s="38" customFormat="1" ht="12.75">
      <c r="A124" s="42" t="s">
        <v>122</v>
      </c>
      <c r="B124" s="37">
        <v>7</v>
      </c>
      <c r="C124" s="38">
        <v>24</v>
      </c>
      <c r="D124" s="39" t="s">
        <v>432</v>
      </c>
      <c r="E124" s="37">
        <v>1</v>
      </c>
      <c r="F124" s="3">
        <v>19797</v>
      </c>
      <c r="G124" s="3">
        <v>20995</v>
      </c>
      <c r="H124" s="3">
        <v>10340</v>
      </c>
      <c r="I124" s="3">
        <v>3158</v>
      </c>
      <c r="J124" s="3">
        <v>2297</v>
      </c>
      <c r="K124" s="3">
        <v>11958</v>
      </c>
      <c r="L124" s="3">
        <v>5255</v>
      </c>
      <c r="M124" s="3">
        <v>6044</v>
      </c>
      <c r="N124" s="40">
        <v>60.86</v>
      </c>
      <c r="O124" s="40">
        <v>362700</v>
      </c>
      <c r="P124" s="38">
        <v>74.659812079899993</v>
      </c>
      <c r="Q124" s="38">
        <v>2</v>
      </c>
      <c r="R124" s="38">
        <f t="shared" si="1"/>
        <v>344.97206703910615</v>
      </c>
      <c r="S124" s="41">
        <f>Rådatakommune[[#This Row],[B12]]/Rådatakommune[[#This Row],[B02]]-1</f>
        <v>6.0514219326160523E-2</v>
      </c>
      <c r="T124" s="41">
        <f>Rådatakommune[[#This Row],[Kvinner20-39]]/Rådatakommune[[#This Row],[B12]]</f>
        <v>0.10940700166706359</v>
      </c>
      <c r="U124" s="41">
        <f>Rådatakommune[[#This Row],[Eldre67+]]/Rådatakommune[[#This Row],[B12]]</f>
        <v>0.15041676589664205</v>
      </c>
      <c r="V124" s="41">
        <f>Rådatakommune[[#This Row],[S11]]/Rådatakommune[[#This Row],[S01]]-1</f>
        <v>0.15014272121788763</v>
      </c>
      <c r="W124" s="41">
        <f>Rådatakommune[[#This Row],[Y11]]/Rådatakommune[[#This Row],[Folk20-64]]</f>
        <v>0.86469309249038295</v>
      </c>
    </row>
    <row r="125" spans="1:23" s="38" customFormat="1" ht="12.75">
      <c r="A125" s="42" t="s">
        <v>123</v>
      </c>
      <c r="B125" s="37">
        <v>7</v>
      </c>
      <c r="C125" s="38">
        <v>24</v>
      </c>
      <c r="D125" s="39" t="s">
        <v>432</v>
      </c>
      <c r="E125" s="37">
        <v>1</v>
      </c>
      <c r="F125" s="3">
        <v>4533</v>
      </c>
      <c r="G125" s="3">
        <v>4813</v>
      </c>
      <c r="H125" s="3">
        <v>2299</v>
      </c>
      <c r="I125" s="3">
        <v>740</v>
      </c>
      <c r="J125" s="3">
        <v>463</v>
      </c>
      <c r="K125" s="3">
        <v>2808</v>
      </c>
      <c r="L125" s="3">
        <v>1172</v>
      </c>
      <c r="M125" s="3">
        <v>1277</v>
      </c>
      <c r="N125" s="40">
        <v>39.4</v>
      </c>
      <c r="O125" s="40">
        <v>346000</v>
      </c>
      <c r="P125" s="38">
        <v>89.516054563099999</v>
      </c>
      <c r="Q125" s="38">
        <v>3</v>
      </c>
      <c r="R125" s="38">
        <f t="shared" si="1"/>
        <v>122.15736040609137</v>
      </c>
      <c r="S125" s="41">
        <f>Rådatakommune[[#This Row],[B12]]/Rådatakommune[[#This Row],[B02]]-1</f>
        <v>6.1769247738804323E-2</v>
      </c>
      <c r="T125" s="41">
        <f>Rådatakommune[[#This Row],[Kvinner20-39]]/Rådatakommune[[#This Row],[B12]]</f>
        <v>9.6197797631414922E-2</v>
      </c>
      <c r="U125" s="41">
        <f>Rådatakommune[[#This Row],[Eldre67+]]/Rådatakommune[[#This Row],[B12]]</f>
        <v>0.15375025971327655</v>
      </c>
      <c r="V125" s="41">
        <f>Rådatakommune[[#This Row],[S11]]/Rådatakommune[[#This Row],[S01]]-1</f>
        <v>8.9590443686006882E-2</v>
      </c>
      <c r="W125" s="41">
        <f>Rådatakommune[[#This Row],[Y11]]/Rådatakommune[[#This Row],[Folk20-64]]</f>
        <v>0.81873219373219375</v>
      </c>
    </row>
    <row r="126" spans="1:23" s="38" customFormat="1" ht="12.75">
      <c r="A126" s="42" t="s">
        <v>124</v>
      </c>
      <c r="B126" s="37">
        <v>7</v>
      </c>
      <c r="C126" s="38">
        <v>25</v>
      </c>
      <c r="D126" s="39" t="s">
        <v>432</v>
      </c>
      <c r="E126" s="37">
        <v>1</v>
      </c>
      <c r="F126" s="3">
        <v>2386</v>
      </c>
      <c r="G126" s="3">
        <v>2413</v>
      </c>
      <c r="H126" s="3">
        <v>1277</v>
      </c>
      <c r="I126" s="3">
        <v>361</v>
      </c>
      <c r="J126" s="3">
        <v>264</v>
      </c>
      <c r="K126" s="3">
        <v>1439</v>
      </c>
      <c r="L126" s="3">
        <v>794</v>
      </c>
      <c r="M126" s="3">
        <v>942</v>
      </c>
      <c r="N126" s="40">
        <v>277.69</v>
      </c>
      <c r="O126" s="40">
        <v>327300</v>
      </c>
      <c r="P126" s="38">
        <v>68.605911896600006</v>
      </c>
      <c r="Q126" s="38">
        <v>4</v>
      </c>
      <c r="R126" s="38">
        <f t="shared" si="1"/>
        <v>8.6895458965032955</v>
      </c>
      <c r="S126" s="41">
        <f>Rådatakommune[[#This Row],[B12]]/Rådatakommune[[#This Row],[B02]]-1</f>
        <v>1.1316010058675552E-2</v>
      </c>
      <c r="T126" s="41">
        <f>Rådatakommune[[#This Row],[Kvinner20-39]]/Rådatakommune[[#This Row],[B12]]</f>
        <v>0.10940737670949026</v>
      </c>
      <c r="U126" s="41">
        <f>Rådatakommune[[#This Row],[Eldre67+]]/Rådatakommune[[#This Row],[B12]]</f>
        <v>0.14960629921259844</v>
      </c>
      <c r="V126" s="41">
        <f>Rådatakommune[[#This Row],[S11]]/Rådatakommune[[#This Row],[S01]]-1</f>
        <v>0.18639798488664994</v>
      </c>
      <c r="W126" s="41">
        <f>Rådatakommune[[#This Row],[Y11]]/Rådatakommune[[#This Row],[Folk20-64]]</f>
        <v>0.88742182070882558</v>
      </c>
    </row>
    <row r="127" spans="1:23" s="38" customFormat="1" ht="12.75">
      <c r="A127" s="42" t="s">
        <v>125</v>
      </c>
      <c r="B127" s="37">
        <v>8</v>
      </c>
      <c r="C127" s="38">
        <v>26</v>
      </c>
      <c r="D127" s="39" t="s">
        <v>432</v>
      </c>
      <c r="E127" s="43">
        <v>1</v>
      </c>
      <c r="F127" s="3">
        <v>33122</v>
      </c>
      <c r="G127" s="3">
        <v>35219</v>
      </c>
      <c r="H127" s="3">
        <v>16986</v>
      </c>
      <c r="I127" s="3">
        <v>5180</v>
      </c>
      <c r="J127" s="3">
        <v>4236</v>
      </c>
      <c r="K127" s="3">
        <v>20900</v>
      </c>
      <c r="L127" s="3">
        <v>17640</v>
      </c>
      <c r="M127" s="3">
        <v>18301</v>
      </c>
      <c r="N127" s="40">
        <v>164.58</v>
      </c>
      <c r="O127" s="40">
        <v>344100</v>
      </c>
      <c r="P127" s="38">
        <v>109.211510248</v>
      </c>
      <c r="Q127" s="38">
        <v>4</v>
      </c>
      <c r="R127" s="38">
        <f t="shared" si="1"/>
        <v>213.99319479888197</v>
      </c>
      <c r="S127" s="41">
        <f>Rådatakommune[[#This Row],[B12]]/Rådatakommune[[#This Row],[B02]]-1</f>
        <v>6.3311394239478291E-2</v>
      </c>
      <c r="T127" s="41">
        <f>Rådatakommune[[#This Row],[Kvinner20-39]]/Rådatakommune[[#This Row],[B12]]</f>
        <v>0.12027598739316846</v>
      </c>
      <c r="U127" s="41">
        <f>Rådatakommune[[#This Row],[Eldre67+]]/Rådatakommune[[#This Row],[B12]]</f>
        <v>0.14707970129759504</v>
      </c>
      <c r="V127" s="41">
        <f>Rådatakommune[[#This Row],[S11]]/Rådatakommune[[#This Row],[S01]]-1</f>
        <v>3.7471655328798148E-2</v>
      </c>
      <c r="W127" s="41">
        <f>Rådatakommune[[#This Row],[Y11]]/Rådatakommune[[#This Row],[Folk20-64]]</f>
        <v>0.81272727272727274</v>
      </c>
    </row>
    <row r="128" spans="1:23" s="38" customFormat="1" ht="12.75">
      <c r="A128" s="42" t="s">
        <v>126</v>
      </c>
      <c r="B128" s="37">
        <v>8</v>
      </c>
      <c r="C128" s="38">
        <v>26</v>
      </c>
      <c r="D128" s="39" t="s">
        <v>432</v>
      </c>
      <c r="E128" s="43">
        <v>1</v>
      </c>
      <c r="F128" s="3">
        <v>49936</v>
      </c>
      <c r="G128" s="3">
        <v>52509</v>
      </c>
      <c r="H128" s="3">
        <v>25417</v>
      </c>
      <c r="I128" s="3">
        <v>7496</v>
      </c>
      <c r="J128" s="3">
        <v>6402</v>
      </c>
      <c r="K128" s="3">
        <v>30829</v>
      </c>
      <c r="L128" s="3">
        <v>23079</v>
      </c>
      <c r="M128" s="3">
        <v>25064</v>
      </c>
      <c r="N128" s="40">
        <v>779.15</v>
      </c>
      <c r="O128" s="40">
        <v>331000</v>
      </c>
      <c r="P128" s="38">
        <v>101.642603294</v>
      </c>
      <c r="Q128" s="38">
        <v>4</v>
      </c>
      <c r="R128" s="38">
        <f t="shared" si="1"/>
        <v>67.39267150099468</v>
      </c>
      <c r="S128" s="41">
        <f>Rådatakommune[[#This Row],[B12]]/Rådatakommune[[#This Row],[B02]]-1</f>
        <v>5.1525953220121767E-2</v>
      </c>
      <c r="T128" s="41">
        <f>Rådatakommune[[#This Row],[Kvinner20-39]]/Rådatakommune[[#This Row],[B12]]</f>
        <v>0.12192195623607381</v>
      </c>
      <c r="U128" s="41">
        <f>Rådatakommune[[#This Row],[Eldre67+]]/Rådatakommune[[#This Row],[B12]]</f>
        <v>0.14275647984155096</v>
      </c>
      <c r="V128" s="41">
        <f>Rådatakommune[[#This Row],[S11]]/Rådatakommune[[#This Row],[S01]]-1</f>
        <v>8.600892586333897E-2</v>
      </c>
      <c r="W128" s="41">
        <f>Rådatakommune[[#This Row],[Y11]]/Rådatakommune[[#This Row],[Folk20-64]]</f>
        <v>0.82445100392487591</v>
      </c>
    </row>
    <row r="129" spans="1:23" s="38" customFormat="1" ht="12.75">
      <c r="A129" s="42" t="s">
        <v>127</v>
      </c>
      <c r="B129" s="37">
        <v>8</v>
      </c>
      <c r="C129" s="38">
        <v>27</v>
      </c>
      <c r="D129" s="39" t="s">
        <v>433</v>
      </c>
      <c r="E129" s="43">
        <v>1</v>
      </c>
      <c r="F129" s="3">
        <v>12340</v>
      </c>
      <c r="G129" s="3">
        <v>12469</v>
      </c>
      <c r="H129" s="3">
        <v>5878</v>
      </c>
      <c r="I129" s="3">
        <v>2181</v>
      </c>
      <c r="J129" s="3">
        <v>1437</v>
      </c>
      <c r="K129" s="3">
        <v>7141</v>
      </c>
      <c r="L129" s="3">
        <v>5691</v>
      </c>
      <c r="M129" s="3">
        <v>5551</v>
      </c>
      <c r="N129" s="40">
        <v>918.96</v>
      </c>
      <c r="O129" s="40">
        <v>322900</v>
      </c>
      <c r="P129" s="38">
        <v>92.155298289399994</v>
      </c>
      <c r="Q129" s="38">
        <v>5</v>
      </c>
      <c r="R129" s="38">
        <f t="shared" si="1"/>
        <v>13.56859928614956</v>
      </c>
      <c r="S129" s="41">
        <f>Rådatakommune[[#This Row],[B12]]/Rådatakommune[[#This Row],[B02]]-1</f>
        <v>1.0453808752025839E-2</v>
      </c>
      <c r="T129" s="41">
        <f>Rådatakommune[[#This Row],[Kvinner20-39]]/Rådatakommune[[#This Row],[B12]]</f>
        <v>0.11524580960782742</v>
      </c>
      <c r="U129" s="41">
        <f>Rådatakommune[[#This Row],[Eldre67+]]/Rådatakommune[[#This Row],[B12]]</f>
        <v>0.17491378618975059</v>
      </c>
      <c r="V129" s="41">
        <f>Rådatakommune[[#This Row],[S11]]/Rådatakommune[[#This Row],[S01]]-1</f>
        <v>-2.4600246002460024E-2</v>
      </c>
      <c r="W129" s="41">
        <f>Rådatakommune[[#This Row],[Y11]]/Rådatakommune[[#This Row],[Folk20-64]]</f>
        <v>0.8231340148438594</v>
      </c>
    </row>
    <row r="130" spans="1:23" s="38" customFormat="1" ht="12.75">
      <c r="A130" s="42" t="s">
        <v>128</v>
      </c>
      <c r="B130" s="37">
        <v>8</v>
      </c>
      <c r="C130" s="38">
        <v>26</v>
      </c>
      <c r="D130" s="39" t="s">
        <v>432</v>
      </c>
      <c r="E130" s="43">
        <v>1</v>
      </c>
      <c r="F130" s="3">
        <v>2328</v>
      </c>
      <c r="G130" s="3">
        <v>2432</v>
      </c>
      <c r="H130" s="3">
        <v>1232</v>
      </c>
      <c r="I130" s="3">
        <v>313</v>
      </c>
      <c r="J130" s="3">
        <v>291</v>
      </c>
      <c r="K130" s="3">
        <v>1387</v>
      </c>
      <c r="L130" s="3">
        <v>445</v>
      </c>
      <c r="M130" s="3">
        <v>495</v>
      </c>
      <c r="N130" s="40">
        <v>213.95999999999998</v>
      </c>
      <c r="O130" s="40">
        <v>321700</v>
      </c>
      <c r="P130" s="38">
        <v>88.736666064900007</v>
      </c>
      <c r="Q130" s="38">
        <v>4</v>
      </c>
      <c r="R130" s="38">
        <f t="shared" si="1"/>
        <v>11.366610581417088</v>
      </c>
      <c r="S130" s="41">
        <f>Rådatakommune[[#This Row],[B12]]/Rådatakommune[[#This Row],[B02]]-1</f>
        <v>4.4673539518900407E-2</v>
      </c>
      <c r="T130" s="41">
        <f>Rådatakommune[[#This Row],[Kvinner20-39]]/Rådatakommune[[#This Row],[B12]]</f>
        <v>0.1196546052631579</v>
      </c>
      <c r="U130" s="41">
        <f>Rådatakommune[[#This Row],[Eldre67+]]/Rådatakommune[[#This Row],[B12]]</f>
        <v>0.12870065789473684</v>
      </c>
      <c r="V130" s="41">
        <f>Rådatakommune[[#This Row],[S11]]/Rådatakommune[[#This Row],[S01]]-1</f>
        <v>0.11235955056179781</v>
      </c>
      <c r="W130" s="41">
        <f>Rådatakommune[[#This Row],[Y11]]/Rådatakommune[[#This Row],[Folk20-64]]</f>
        <v>0.88824801730353276</v>
      </c>
    </row>
    <row r="131" spans="1:23" s="38" customFormat="1" ht="12.75">
      <c r="A131" s="42" t="s">
        <v>129</v>
      </c>
      <c r="B131" s="37">
        <v>8</v>
      </c>
      <c r="C131" s="38">
        <v>26</v>
      </c>
      <c r="D131" s="39" t="s">
        <v>432</v>
      </c>
      <c r="E131" s="43">
        <v>1</v>
      </c>
      <c r="F131" s="3">
        <v>14159</v>
      </c>
      <c r="G131" s="3">
        <v>14106</v>
      </c>
      <c r="H131" s="3">
        <v>6848</v>
      </c>
      <c r="I131" s="3">
        <v>1925</v>
      </c>
      <c r="J131" s="3">
        <v>1553</v>
      </c>
      <c r="K131" s="3">
        <v>8258</v>
      </c>
      <c r="L131" s="3">
        <v>5348</v>
      </c>
      <c r="M131" s="3">
        <v>4933</v>
      </c>
      <c r="N131" s="40">
        <v>304.04000000000002</v>
      </c>
      <c r="O131" s="40">
        <v>344100</v>
      </c>
      <c r="P131" s="38">
        <v>120.568511485</v>
      </c>
      <c r="Q131" s="38">
        <v>4</v>
      </c>
      <c r="R131" s="38">
        <f t="shared" ref="R131:R194" si="2">G131/N131</f>
        <v>46.395211156426782</v>
      </c>
      <c r="S131" s="41">
        <f>Rådatakommune[[#This Row],[B12]]/Rådatakommune[[#This Row],[B02]]-1</f>
        <v>-3.7432022035454038E-3</v>
      </c>
      <c r="T131" s="41">
        <f>Rådatakommune[[#This Row],[Kvinner20-39]]/Rådatakommune[[#This Row],[B12]]</f>
        <v>0.11009499503757267</v>
      </c>
      <c r="U131" s="41">
        <f>Rådatakommune[[#This Row],[Eldre67+]]/Rådatakommune[[#This Row],[B12]]</f>
        <v>0.13646675173684958</v>
      </c>
      <c r="V131" s="41">
        <f>Rådatakommune[[#This Row],[S11]]/Rådatakommune[[#This Row],[S01]]-1</f>
        <v>-7.7599102468212444E-2</v>
      </c>
      <c r="W131" s="41">
        <f>Rådatakommune[[#This Row],[Y11]]/Rådatakommune[[#This Row],[Folk20-64]]</f>
        <v>0.82925647856623885</v>
      </c>
    </row>
    <row r="132" spans="1:23" s="38" customFormat="1" ht="12.75">
      <c r="A132" s="42" t="s">
        <v>130</v>
      </c>
      <c r="B132" s="37">
        <v>8</v>
      </c>
      <c r="C132" s="38">
        <v>26</v>
      </c>
      <c r="D132" s="39" t="s">
        <v>433</v>
      </c>
      <c r="E132" s="43">
        <v>1</v>
      </c>
      <c r="F132" s="3">
        <v>10610</v>
      </c>
      <c r="G132" s="3">
        <v>10710</v>
      </c>
      <c r="H132" s="3">
        <v>5103</v>
      </c>
      <c r="I132" s="3">
        <v>1709</v>
      </c>
      <c r="J132" s="3">
        <v>1139</v>
      </c>
      <c r="K132" s="3">
        <v>6247</v>
      </c>
      <c r="L132" s="3">
        <v>4328</v>
      </c>
      <c r="M132" s="3">
        <v>4566</v>
      </c>
      <c r="N132" s="40">
        <v>305.38</v>
      </c>
      <c r="O132" s="40">
        <v>309000</v>
      </c>
      <c r="P132" s="38">
        <v>143.880823464</v>
      </c>
      <c r="Q132" s="38">
        <v>4</v>
      </c>
      <c r="R132" s="38">
        <f t="shared" si="2"/>
        <v>35.071059008448493</v>
      </c>
      <c r="S132" s="41">
        <f>Rådatakommune[[#This Row],[B12]]/Rådatakommune[[#This Row],[B02]]-1</f>
        <v>9.4250706880301127E-3</v>
      </c>
      <c r="T132" s="41">
        <f>Rådatakommune[[#This Row],[Kvinner20-39]]/Rådatakommune[[#This Row],[B12]]</f>
        <v>0.10634920634920635</v>
      </c>
      <c r="U132" s="41">
        <f>Rådatakommune[[#This Row],[Eldre67+]]/Rådatakommune[[#This Row],[B12]]</f>
        <v>0.1595704948646125</v>
      </c>
      <c r="V132" s="41">
        <f>Rådatakommune[[#This Row],[S11]]/Rådatakommune[[#This Row],[S01]]-1</f>
        <v>5.4990757855822636E-2</v>
      </c>
      <c r="W132" s="41">
        <f>Rådatakommune[[#This Row],[Y11]]/Rådatakommune[[#This Row],[Folk20-64]]</f>
        <v>0.81687209860733156</v>
      </c>
    </row>
    <row r="133" spans="1:23" s="38" customFormat="1" ht="12.75">
      <c r="A133" s="42" t="s">
        <v>131</v>
      </c>
      <c r="B133" s="37">
        <v>8</v>
      </c>
      <c r="C133" s="38">
        <v>26</v>
      </c>
      <c r="D133" s="39" t="s">
        <v>433</v>
      </c>
      <c r="E133" s="43" t="s">
        <v>435</v>
      </c>
      <c r="F133" s="3">
        <v>4196</v>
      </c>
      <c r="G133" s="3">
        <v>4126</v>
      </c>
      <c r="H133" s="3">
        <v>1952</v>
      </c>
      <c r="I133" s="3">
        <v>726</v>
      </c>
      <c r="J133" s="3">
        <v>427</v>
      </c>
      <c r="K133" s="3">
        <v>2325</v>
      </c>
      <c r="L133" s="3">
        <v>1143</v>
      </c>
      <c r="M133" s="3">
        <v>1194</v>
      </c>
      <c r="N133" s="40">
        <v>1062.78</v>
      </c>
      <c r="O133" s="40">
        <v>298800</v>
      </c>
      <c r="P133" s="38">
        <v>146.92048534400001</v>
      </c>
      <c r="Q133" s="38">
        <v>4</v>
      </c>
      <c r="R133" s="38">
        <f t="shared" si="2"/>
        <v>3.8822710250475172</v>
      </c>
      <c r="S133" s="41">
        <f>Rådatakommune[[#This Row],[B12]]/Rådatakommune[[#This Row],[B02]]-1</f>
        <v>-1.668255481410863E-2</v>
      </c>
      <c r="T133" s="41">
        <f>Rådatakommune[[#This Row],[Kvinner20-39]]/Rådatakommune[[#This Row],[B12]]</f>
        <v>0.10349006301502665</v>
      </c>
      <c r="U133" s="41">
        <f>Rådatakommune[[#This Row],[Eldre67+]]/Rådatakommune[[#This Row],[B12]]</f>
        <v>0.17595734367426077</v>
      </c>
      <c r="V133" s="41">
        <f>Rådatakommune[[#This Row],[S11]]/Rådatakommune[[#This Row],[S01]]-1</f>
        <v>4.4619422572178546E-2</v>
      </c>
      <c r="W133" s="41">
        <f>Rådatakommune[[#This Row],[Y11]]/Rådatakommune[[#This Row],[Folk20-64]]</f>
        <v>0.83956989247311831</v>
      </c>
    </row>
    <row r="134" spans="1:23" s="38" customFormat="1" ht="12.75">
      <c r="A134" s="42" t="s">
        <v>132</v>
      </c>
      <c r="B134" s="37">
        <v>8</v>
      </c>
      <c r="C134" s="38">
        <v>26</v>
      </c>
      <c r="D134" s="39" t="s">
        <v>433</v>
      </c>
      <c r="E134" s="43" t="s">
        <v>435</v>
      </c>
      <c r="F134" s="3">
        <v>6646</v>
      </c>
      <c r="G134" s="3">
        <v>6579</v>
      </c>
      <c r="H134" s="3">
        <v>3125</v>
      </c>
      <c r="I134" s="3">
        <v>1110</v>
      </c>
      <c r="J134" s="3">
        <v>694</v>
      </c>
      <c r="K134" s="3">
        <v>3779</v>
      </c>
      <c r="L134" s="3">
        <v>2281</v>
      </c>
      <c r="M134" s="3">
        <v>2374</v>
      </c>
      <c r="N134" s="40">
        <v>429.68</v>
      </c>
      <c r="O134" s="40">
        <v>309600</v>
      </c>
      <c r="P134" s="38">
        <v>128.651639327</v>
      </c>
      <c r="Q134" s="38">
        <v>4</v>
      </c>
      <c r="R134" s="38">
        <f t="shared" si="2"/>
        <v>15.311394526159003</v>
      </c>
      <c r="S134" s="41">
        <f>Rådatakommune[[#This Row],[B12]]/Rådatakommune[[#This Row],[B02]]-1</f>
        <v>-1.0081251880830533E-2</v>
      </c>
      <c r="T134" s="41">
        <f>Rådatakommune[[#This Row],[Kvinner20-39]]/Rådatakommune[[#This Row],[B12]]</f>
        <v>0.10548715610275118</v>
      </c>
      <c r="U134" s="41">
        <f>Rådatakommune[[#This Row],[Eldre67+]]/Rådatakommune[[#This Row],[B12]]</f>
        <v>0.16871865025079799</v>
      </c>
      <c r="V134" s="41">
        <f>Rådatakommune[[#This Row],[S11]]/Rådatakommune[[#This Row],[S01]]-1</f>
        <v>4.0771591407277485E-2</v>
      </c>
      <c r="W134" s="41">
        <f>Rådatakommune[[#This Row],[Y11]]/Rådatakommune[[#This Row],[Folk20-64]]</f>
        <v>0.82693834347711037</v>
      </c>
    </row>
    <row r="135" spans="1:23" s="38" customFormat="1" ht="12.75">
      <c r="A135" s="42" t="s">
        <v>133</v>
      </c>
      <c r="B135" s="37">
        <v>8</v>
      </c>
      <c r="C135" s="38">
        <v>27</v>
      </c>
      <c r="D135" s="39" t="s">
        <v>433</v>
      </c>
      <c r="E135" s="43">
        <v>1</v>
      </c>
      <c r="F135" s="3">
        <v>5163</v>
      </c>
      <c r="G135" s="3">
        <v>5766</v>
      </c>
      <c r="H135" s="3">
        <v>2805</v>
      </c>
      <c r="I135" s="3">
        <v>826</v>
      </c>
      <c r="J135" s="3">
        <v>795</v>
      </c>
      <c r="K135" s="3">
        <v>3399</v>
      </c>
      <c r="L135" s="3">
        <v>2355</v>
      </c>
      <c r="M135" s="3">
        <v>2760</v>
      </c>
      <c r="N135" s="40">
        <v>263.20999999999998</v>
      </c>
      <c r="O135" s="40">
        <v>311900</v>
      </c>
      <c r="P135" s="38">
        <v>117.88972927</v>
      </c>
      <c r="Q135" s="38">
        <v>5</v>
      </c>
      <c r="R135" s="38">
        <f t="shared" si="2"/>
        <v>21.906462520420959</v>
      </c>
      <c r="S135" s="41">
        <f>Rådatakommune[[#This Row],[B12]]/Rådatakommune[[#This Row],[B02]]-1</f>
        <v>0.11679256246368386</v>
      </c>
      <c r="T135" s="41">
        <f>Rådatakommune[[#This Row],[Kvinner20-39]]/Rådatakommune[[#This Row],[B12]]</f>
        <v>0.13787721123829344</v>
      </c>
      <c r="U135" s="41">
        <f>Rådatakommune[[#This Row],[Eldre67+]]/Rådatakommune[[#This Row],[B12]]</f>
        <v>0.14325355532431494</v>
      </c>
      <c r="V135" s="41">
        <f>Rådatakommune[[#This Row],[S11]]/Rådatakommune[[#This Row],[S01]]-1</f>
        <v>0.17197452229299359</v>
      </c>
      <c r="W135" s="41">
        <f>Rådatakommune[[#This Row],[Y11]]/Rådatakommune[[#This Row],[Folk20-64]]</f>
        <v>0.82524271844660191</v>
      </c>
    </row>
    <row r="136" spans="1:23" s="38" customFormat="1" ht="12.75">
      <c r="A136" s="42" t="s">
        <v>134</v>
      </c>
      <c r="B136" s="37">
        <v>8</v>
      </c>
      <c r="C136" s="38">
        <v>27</v>
      </c>
      <c r="D136" s="39" t="s">
        <v>433</v>
      </c>
      <c r="E136" s="43">
        <v>1</v>
      </c>
      <c r="F136" s="3">
        <v>4356</v>
      </c>
      <c r="G136" s="3">
        <v>4314</v>
      </c>
      <c r="H136" s="3">
        <v>2083</v>
      </c>
      <c r="I136" s="3">
        <v>695</v>
      </c>
      <c r="J136" s="3">
        <v>470</v>
      </c>
      <c r="K136" s="3">
        <v>2457</v>
      </c>
      <c r="L136" s="3">
        <v>1412</v>
      </c>
      <c r="M136" s="3">
        <v>1378</v>
      </c>
      <c r="N136" s="40">
        <v>320.53999999999996</v>
      </c>
      <c r="O136" s="40">
        <v>316400</v>
      </c>
      <c r="P136" s="38">
        <v>114.656533375</v>
      </c>
      <c r="Q136" s="38">
        <v>5</v>
      </c>
      <c r="R136" s="38">
        <f t="shared" si="2"/>
        <v>13.458538715916891</v>
      </c>
      <c r="S136" s="41">
        <f>Rådatakommune[[#This Row],[B12]]/Rådatakommune[[#This Row],[B02]]-1</f>
        <v>-9.6418732782369565E-3</v>
      </c>
      <c r="T136" s="41">
        <f>Rådatakommune[[#This Row],[Kvinner20-39]]/Rådatakommune[[#This Row],[B12]]</f>
        <v>0.10894761242466389</v>
      </c>
      <c r="U136" s="41">
        <f>Rådatakommune[[#This Row],[Eldre67+]]/Rådatakommune[[#This Row],[B12]]</f>
        <v>0.16110338433008808</v>
      </c>
      <c r="V136" s="41">
        <f>Rådatakommune[[#This Row],[S11]]/Rådatakommune[[#This Row],[S01]]-1</f>
        <v>-2.4079320113314484E-2</v>
      </c>
      <c r="W136" s="41">
        <f>Rådatakommune[[#This Row],[Y11]]/Rådatakommune[[#This Row],[Folk20-64]]</f>
        <v>0.84778184778184773</v>
      </c>
    </row>
    <row r="137" spans="1:23" s="38" customFormat="1" ht="12.75">
      <c r="A137" s="42" t="s">
        <v>135</v>
      </c>
      <c r="B137" s="37">
        <v>8</v>
      </c>
      <c r="C137" s="38">
        <v>28</v>
      </c>
      <c r="D137" s="39" t="s">
        <v>436</v>
      </c>
      <c r="E137" s="43">
        <v>2</v>
      </c>
      <c r="F137" s="3">
        <v>6490</v>
      </c>
      <c r="G137" s="3">
        <v>5982</v>
      </c>
      <c r="H137" s="3">
        <v>2954</v>
      </c>
      <c r="I137" s="3">
        <v>1071</v>
      </c>
      <c r="J137" s="3">
        <v>628</v>
      </c>
      <c r="K137" s="3">
        <v>3426</v>
      </c>
      <c r="L137" s="3">
        <v>3033</v>
      </c>
      <c r="M137" s="3">
        <v>2846</v>
      </c>
      <c r="N137" s="40">
        <v>2044.94</v>
      </c>
      <c r="O137" s="40">
        <v>322700</v>
      </c>
      <c r="P137" s="38">
        <v>140.31703096999999</v>
      </c>
      <c r="Q137" s="38">
        <v>9</v>
      </c>
      <c r="R137" s="38">
        <f t="shared" si="2"/>
        <v>2.9252692010523536</v>
      </c>
      <c r="S137" s="41">
        <f>Rådatakommune[[#This Row],[B12]]/Rådatakommune[[#This Row],[B02]]-1</f>
        <v>-7.8274268104776556E-2</v>
      </c>
      <c r="T137" s="41">
        <f>Rådatakommune[[#This Row],[Kvinner20-39]]/Rådatakommune[[#This Row],[B12]]</f>
        <v>0.10498161150117018</v>
      </c>
      <c r="U137" s="41">
        <f>Rådatakommune[[#This Row],[Eldre67+]]/Rådatakommune[[#This Row],[B12]]</f>
        <v>0.17903711133400202</v>
      </c>
      <c r="V137" s="41">
        <f>Rådatakommune[[#This Row],[S11]]/Rådatakommune[[#This Row],[S01]]-1</f>
        <v>-6.1655126937026017E-2</v>
      </c>
      <c r="W137" s="41">
        <f>Rådatakommune[[#This Row],[Y11]]/Rådatakommune[[#This Row],[Folk20-64]]</f>
        <v>0.86223000583771159</v>
      </c>
    </row>
    <row r="138" spans="1:23" s="38" customFormat="1" ht="12.75">
      <c r="A138" s="42" t="s">
        <v>136</v>
      </c>
      <c r="B138" s="37">
        <v>8</v>
      </c>
      <c r="C138" s="38">
        <v>27</v>
      </c>
      <c r="D138" s="39" t="s">
        <v>433</v>
      </c>
      <c r="E138" s="43" t="s">
        <v>435</v>
      </c>
      <c r="F138" s="3">
        <v>1636</v>
      </c>
      <c r="G138" s="3">
        <v>1602</v>
      </c>
      <c r="H138" s="3">
        <v>817</v>
      </c>
      <c r="I138" s="3">
        <v>318</v>
      </c>
      <c r="J138" s="3">
        <v>158</v>
      </c>
      <c r="K138" s="3">
        <v>887</v>
      </c>
      <c r="L138" s="3">
        <v>572</v>
      </c>
      <c r="M138" s="3">
        <v>582</v>
      </c>
      <c r="N138" s="40">
        <v>791.46</v>
      </c>
      <c r="O138" s="40">
        <v>313100</v>
      </c>
      <c r="P138" s="38">
        <v>111.31559514</v>
      </c>
      <c r="Q138" s="38">
        <v>5</v>
      </c>
      <c r="R138" s="38">
        <f t="shared" si="2"/>
        <v>2.0241073459176708</v>
      </c>
      <c r="S138" s="41">
        <f>Rådatakommune[[#This Row],[B12]]/Rådatakommune[[#This Row],[B02]]-1</f>
        <v>-2.0782396088019572E-2</v>
      </c>
      <c r="T138" s="41">
        <f>Rådatakommune[[#This Row],[Kvinner20-39]]/Rådatakommune[[#This Row],[B12]]</f>
        <v>9.8626716604244699E-2</v>
      </c>
      <c r="U138" s="41">
        <f>Rådatakommune[[#This Row],[Eldre67+]]/Rådatakommune[[#This Row],[B12]]</f>
        <v>0.19850187265917604</v>
      </c>
      <c r="V138" s="41">
        <f>Rådatakommune[[#This Row],[S11]]/Rådatakommune[[#This Row],[S01]]-1</f>
        <v>1.7482517482517501E-2</v>
      </c>
      <c r="W138" s="41">
        <f>Rådatakommune[[#This Row],[Y11]]/Rådatakommune[[#This Row],[Folk20-64]]</f>
        <v>0.92108229988726043</v>
      </c>
    </row>
    <row r="139" spans="1:23" s="38" customFormat="1" ht="12.75">
      <c r="A139" s="42" t="s">
        <v>137</v>
      </c>
      <c r="B139" s="37">
        <v>8</v>
      </c>
      <c r="C139" s="38">
        <v>29</v>
      </c>
      <c r="D139" s="39" t="s">
        <v>436</v>
      </c>
      <c r="E139" s="43">
        <v>2</v>
      </c>
      <c r="F139" s="3">
        <v>2935</v>
      </c>
      <c r="G139" s="3">
        <v>2959</v>
      </c>
      <c r="H139" s="3">
        <v>1511</v>
      </c>
      <c r="I139" s="3">
        <v>522</v>
      </c>
      <c r="J139" s="3">
        <v>316</v>
      </c>
      <c r="K139" s="3">
        <v>1685</v>
      </c>
      <c r="L139" s="3">
        <v>1390</v>
      </c>
      <c r="M139" s="3">
        <v>1537</v>
      </c>
      <c r="N139" s="40">
        <v>715.12</v>
      </c>
      <c r="O139" s="40">
        <v>314900</v>
      </c>
      <c r="P139" s="38">
        <v>138.636077443</v>
      </c>
      <c r="Q139" s="38">
        <v>10</v>
      </c>
      <c r="R139" s="38">
        <f t="shared" si="2"/>
        <v>4.1377670880411683</v>
      </c>
      <c r="S139" s="41">
        <f>Rådatakommune[[#This Row],[B12]]/Rådatakommune[[#This Row],[B02]]-1</f>
        <v>8.1771720613288412E-3</v>
      </c>
      <c r="T139" s="41">
        <f>Rådatakommune[[#This Row],[Kvinner20-39]]/Rådatakommune[[#This Row],[B12]]</f>
        <v>0.10679283541737074</v>
      </c>
      <c r="U139" s="41">
        <f>Rådatakommune[[#This Row],[Eldre67+]]/Rådatakommune[[#This Row],[B12]]</f>
        <v>0.17641094964515039</v>
      </c>
      <c r="V139" s="41">
        <f>Rådatakommune[[#This Row],[S11]]/Rådatakommune[[#This Row],[S01]]-1</f>
        <v>0.10575539568345316</v>
      </c>
      <c r="W139" s="41">
        <f>Rådatakommune[[#This Row],[Y11]]/Rådatakommune[[#This Row],[Folk20-64]]</f>
        <v>0.8967359050445104</v>
      </c>
    </row>
    <row r="140" spans="1:23" s="38" customFormat="1" ht="12.75">
      <c r="A140" s="42" t="s">
        <v>138</v>
      </c>
      <c r="B140" s="37">
        <v>8</v>
      </c>
      <c r="C140" s="38">
        <v>29</v>
      </c>
      <c r="D140" s="39" t="s">
        <v>436</v>
      </c>
      <c r="E140" s="43">
        <v>2</v>
      </c>
      <c r="F140" s="3">
        <v>2672</v>
      </c>
      <c r="G140" s="3">
        <v>2498</v>
      </c>
      <c r="H140" s="3">
        <v>1324</v>
      </c>
      <c r="I140" s="3">
        <v>452</v>
      </c>
      <c r="J140" s="3">
        <v>232</v>
      </c>
      <c r="K140" s="3">
        <v>1435</v>
      </c>
      <c r="L140" s="3">
        <v>1112</v>
      </c>
      <c r="M140" s="3">
        <v>1192</v>
      </c>
      <c r="N140" s="40">
        <v>708.46</v>
      </c>
      <c r="O140" s="40">
        <v>309200</v>
      </c>
      <c r="P140" s="38">
        <v>151.859265537</v>
      </c>
      <c r="Q140" s="38">
        <v>10</v>
      </c>
      <c r="R140" s="38">
        <f t="shared" si="2"/>
        <v>3.5259577110916633</v>
      </c>
      <c r="S140" s="41">
        <f>Rådatakommune[[#This Row],[B12]]/Rådatakommune[[#This Row],[B02]]-1</f>
        <v>-6.5119760479041888E-2</v>
      </c>
      <c r="T140" s="41">
        <f>Rådatakommune[[#This Row],[Kvinner20-39]]/Rådatakommune[[#This Row],[B12]]</f>
        <v>9.2874299439551639E-2</v>
      </c>
      <c r="U140" s="41">
        <f>Rådatakommune[[#This Row],[Eldre67+]]/Rådatakommune[[#This Row],[B12]]</f>
        <v>0.18094475580464373</v>
      </c>
      <c r="V140" s="41">
        <f>Rådatakommune[[#This Row],[S11]]/Rådatakommune[[#This Row],[S01]]-1</f>
        <v>7.1942446043165464E-2</v>
      </c>
      <c r="W140" s="41">
        <f>Rådatakommune[[#This Row],[Y11]]/Rådatakommune[[#This Row],[Folk20-64]]</f>
        <v>0.92264808362369333</v>
      </c>
    </row>
    <row r="141" spans="1:23" s="38" customFormat="1" ht="12.75">
      <c r="A141" s="42" t="s">
        <v>139</v>
      </c>
      <c r="B141" s="37">
        <v>8</v>
      </c>
      <c r="C141" s="38">
        <v>30</v>
      </c>
      <c r="D141" s="39" t="s">
        <v>436</v>
      </c>
      <c r="E141" s="43">
        <v>2</v>
      </c>
      <c r="F141" s="3">
        <v>1441</v>
      </c>
      <c r="G141" s="3">
        <v>1430</v>
      </c>
      <c r="H141" s="3">
        <v>768</v>
      </c>
      <c r="I141" s="3">
        <v>218</v>
      </c>
      <c r="J141" s="3">
        <v>142</v>
      </c>
      <c r="K141" s="3">
        <v>831</v>
      </c>
      <c r="L141" s="3">
        <v>504</v>
      </c>
      <c r="M141" s="3">
        <v>624</v>
      </c>
      <c r="N141" s="40">
        <v>905.18</v>
      </c>
      <c r="O141" s="40">
        <v>313400</v>
      </c>
      <c r="P141" s="38">
        <v>178.67316270800001</v>
      </c>
      <c r="Q141" s="38">
        <v>11</v>
      </c>
      <c r="R141" s="38">
        <f t="shared" si="2"/>
        <v>1.5797962836120993</v>
      </c>
      <c r="S141" s="41">
        <f>Rådatakommune[[#This Row],[B12]]/Rådatakommune[[#This Row],[B02]]-1</f>
        <v>-7.6335877862595547E-3</v>
      </c>
      <c r="T141" s="41">
        <f>Rådatakommune[[#This Row],[Kvinner20-39]]/Rådatakommune[[#This Row],[B12]]</f>
        <v>9.9300699300699305E-2</v>
      </c>
      <c r="U141" s="41">
        <f>Rådatakommune[[#This Row],[Eldre67+]]/Rådatakommune[[#This Row],[B12]]</f>
        <v>0.15244755244755245</v>
      </c>
      <c r="V141" s="41">
        <f>Rådatakommune[[#This Row],[S11]]/Rådatakommune[[#This Row],[S01]]-1</f>
        <v>0.23809523809523814</v>
      </c>
      <c r="W141" s="41">
        <f>Rådatakommune[[#This Row],[Y11]]/Rådatakommune[[#This Row],[Folk20-64]]</f>
        <v>0.92418772563176899</v>
      </c>
    </row>
    <row r="142" spans="1:23" s="38" customFormat="1" ht="12.75">
      <c r="A142" s="42" t="s">
        <v>140</v>
      </c>
      <c r="B142" s="37">
        <v>8</v>
      </c>
      <c r="C142" s="38">
        <v>31</v>
      </c>
      <c r="D142" s="39" t="s">
        <v>436</v>
      </c>
      <c r="E142" s="43">
        <v>2</v>
      </c>
      <c r="F142" s="3">
        <v>1333</v>
      </c>
      <c r="G142" s="3">
        <v>1335</v>
      </c>
      <c r="H142" s="3">
        <v>705</v>
      </c>
      <c r="I142" s="3">
        <v>212</v>
      </c>
      <c r="J142" s="3">
        <v>132</v>
      </c>
      <c r="K142" s="3">
        <v>739</v>
      </c>
      <c r="L142" s="3">
        <v>534</v>
      </c>
      <c r="M142" s="3">
        <v>533</v>
      </c>
      <c r="N142" s="40">
        <v>1280.5899999999999</v>
      </c>
      <c r="O142" s="40">
        <v>302900</v>
      </c>
      <c r="P142" s="38">
        <v>198.182136974</v>
      </c>
      <c r="Q142" s="38">
        <v>11</v>
      </c>
      <c r="R142" s="38">
        <f t="shared" si="2"/>
        <v>1.0424882280823684</v>
      </c>
      <c r="S142" s="41">
        <f>Rådatakommune[[#This Row],[B12]]/Rådatakommune[[#This Row],[B02]]-1</f>
        <v>1.5003750937734317E-3</v>
      </c>
      <c r="T142" s="41">
        <f>Rådatakommune[[#This Row],[Kvinner20-39]]/Rådatakommune[[#This Row],[B12]]</f>
        <v>9.8876404494382023E-2</v>
      </c>
      <c r="U142" s="41">
        <f>Rådatakommune[[#This Row],[Eldre67+]]/Rådatakommune[[#This Row],[B12]]</f>
        <v>0.15880149812734082</v>
      </c>
      <c r="V142" s="41">
        <f>Rådatakommune[[#This Row],[S11]]/Rådatakommune[[#This Row],[S01]]-1</f>
        <v>-1.8726591760299671E-3</v>
      </c>
      <c r="W142" s="41">
        <f>Rådatakommune[[#This Row],[Y11]]/Rådatakommune[[#This Row],[Folk20-64]]</f>
        <v>0.95399188092016241</v>
      </c>
    </row>
    <row r="143" spans="1:23" s="38" customFormat="1" ht="12.75">
      <c r="A143" s="42" t="s">
        <v>141</v>
      </c>
      <c r="B143" s="37">
        <v>8</v>
      </c>
      <c r="C143" s="38">
        <v>32</v>
      </c>
      <c r="D143" s="39" t="s">
        <v>436</v>
      </c>
      <c r="E143" s="43">
        <v>2</v>
      </c>
      <c r="F143" s="3">
        <v>2497</v>
      </c>
      <c r="G143" s="3">
        <v>2287</v>
      </c>
      <c r="H143" s="3">
        <v>1185</v>
      </c>
      <c r="I143" s="3">
        <v>419</v>
      </c>
      <c r="J143" s="3">
        <v>207</v>
      </c>
      <c r="K143" s="3">
        <v>1284</v>
      </c>
      <c r="L143" s="3">
        <v>1031</v>
      </c>
      <c r="M143" s="3">
        <v>1034</v>
      </c>
      <c r="N143" s="40">
        <v>984.4799999999999</v>
      </c>
      <c r="O143" s="40">
        <v>326000</v>
      </c>
      <c r="P143" s="38">
        <v>179.84152778500001</v>
      </c>
      <c r="Q143" s="38">
        <v>10</v>
      </c>
      <c r="R143" s="38">
        <f t="shared" si="2"/>
        <v>2.3230537948967984</v>
      </c>
      <c r="S143" s="41">
        <f>Rådatakommune[[#This Row],[B12]]/Rådatakommune[[#This Row],[B02]]-1</f>
        <v>-8.4100921105326409E-2</v>
      </c>
      <c r="T143" s="41">
        <f>Rådatakommune[[#This Row],[Kvinner20-39]]/Rådatakommune[[#This Row],[B12]]</f>
        <v>9.0511587232181903E-2</v>
      </c>
      <c r="U143" s="41">
        <f>Rådatakommune[[#This Row],[Eldre67+]]/Rådatakommune[[#This Row],[B12]]</f>
        <v>0.18320944468736336</v>
      </c>
      <c r="V143" s="41">
        <f>Rådatakommune[[#This Row],[S11]]/Rådatakommune[[#This Row],[S01]]-1</f>
        <v>2.9097963142579175E-3</v>
      </c>
      <c r="W143" s="41">
        <f>Rådatakommune[[#This Row],[Y11]]/Rådatakommune[[#This Row],[Folk20-64]]</f>
        <v>0.92289719626168221</v>
      </c>
    </row>
    <row r="144" spans="1:23" s="38" customFormat="1" ht="12.75">
      <c r="A144" s="42" t="s">
        <v>142</v>
      </c>
      <c r="B144" s="37">
        <v>8</v>
      </c>
      <c r="C144" s="38">
        <v>32</v>
      </c>
      <c r="D144" s="39" t="s">
        <v>436</v>
      </c>
      <c r="E144" s="43">
        <v>2</v>
      </c>
      <c r="F144" s="3">
        <v>3850</v>
      </c>
      <c r="G144" s="3">
        <v>3700</v>
      </c>
      <c r="H144" s="3">
        <v>2038</v>
      </c>
      <c r="I144" s="3">
        <v>591</v>
      </c>
      <c r="J144" s="3">
        <v>414</v>
      </c>
      <c r="K144" s="3">
        <v>2105</v>
      </c>
      <c r="L144" s="3">
        <v>1695</v>
      </c>
      <c r="M144" s="3">
        <v>1729</v>
      </c>
      <c r="N144" s="40">
        <v>3105.83</v>
      </c>
      <c r="O144" s="40">
        <v>329400</v>
      </c>
      <c r="P144" s="38">
        <v>172.00671521300001</v>
      </c>
      <c r="Q144" s="38">
        <v>10</v>
      </c>
      <c r="R144" s="38">
        <f t="shared" si="2"/>
        <v>1.1913079595470455</v>
      </c>
      <c r="S144" s="41">
        <f>Rådatakommune[[#This Row],[B12]]/Rådatakommune[[#This Row],[B02]]-1</f>
        <v>-3.8961038961038974E-2</v>
      </c>
      <c r="T144" s="41">
        <f>Rådatakommune[[#This Row],[Kvinner20-39]]/Rådatakommune[[#This Row],[B12]]</f>
        <v>0.11189189189189189</v>
      </c>
      <c r="U144" s="41">
        <f>Rådatakommune[[#This Row],[Eldre67+]]/Rådatakommune[[#This Row],[B12]]</f>
        <v>0.15972972972972974</v>
      </c>
      <c r="V144" s="41">
        <f>Rådatakommune[[#This Row],[S11]]/Rådatakommune[[#This Row],[S01]]-1</f>
        <v>2.0058997050147465E-2</v>
      </c>
      <c r="W144" s="41">
        <f>Rådatakommune[[#This Row],[Y11]]/Rådatakommune[[#This Row],[Folk20-64]]</f>
        <v>0.96817102137767219</v>
      </c>
    </row>
    <row r="145" spans="1:23" s="38" customFormat="1" ht="12.75">
      <c r="A145" s="42" t="s">
        <v>143</v>
      </c>
      <c r="B145" s="37">
        <v>9</v>
      </c>
      <c r="C145" s="38">
        <v>33</v>
      </c>
      <c r="D145" s="39" t="s">
        <v>433</v>
      </c>
      <c r="E145" s="43">
        <v>1</v>
      </c>
      <c r="F145" s="3">
        <v>7027</v>
      </c>
      <c r="G145" s="3">
        <v>6899</v>
      </c>
      <c r="H145" s="3">
        <v>3248</v>
      </c>
      <c r="I145" s="3">
        <v>1125</v>
      </c>
      <c r="J145" s="3">
        <v>737</v>
      </c>
      <c r="K145" s="3">
        <v>4001</v>
      </c>
      <c r="L145" s="3">
        <v>2706</v>
      </c>
      <c r="M145" s="3">
        <v>2666</v>
      </c>
      <c r="N145" s="40">
        <v>193.01</v>
      </c>
      <c r="O145" s="40">
        <v>307500</v>
      </c>
      <c r="P145" s="38">
        <v>170.76195718899999</v>
      </c>
      <c r="Q145" s="38">
        <v>5</v>
      </c>
      <c r="R145" s="38">
        <f t="shared" si="2"/>
        <v>35.744261955339105</v>
      </c>
      <c r="S145" s="41">
        <f>Rådatakommune[[#This Row],[B12]]/Rådatakommune[[#This Row],[B02]]-1</f>
        <v>-1.821545467482566E-2</v>
      </c>
      <c r="T145" s="41">
        <f>Rådatakommune[[#This Row],[Kvinner20-39]]/Rådatakommune[[#This Row],[B12]]</f>
        <v>0.1068270763878823</v>
      </c>
      <c r="U145" s="41">
        <f>Rådatakommune[[#This Row],[Eldre67+]]/Rådatakommune[[#This Row],[B12]]</f>
        <v>0.16306711117553269</v>
      </c>
      <c r="V145" s="41">
        <f>Rådatakommune[[#This Row],[S11]]/Rådatakommune[[#This Row],[S01]]-1</f>
        <v>-1.4781966001478186E-2</v>
      </c>
      <c r="W145" s="41">
        <f>Rådatakommune[[#This Row],[Y11]]/Rådatakommune[[#This Row],[Folk20-64]]</f>
        <v>0.81179705073731567</v>
      </c>
    </row>
    <row r="146" spans="1:23" s="38" customFormat="1" ht="12.75">
      <c r="A146" s="42" t="s">
        <v>144</v>
      </c>
      <c r="B146" s="37">
        <v>9</v>
      </c>
      <c r="C146" s="38">
        <v>34</v>
      </c>
      <c r="D146" s="39" t="s">
        <v>432</v>
      </c>
      <c r="E146" s="43">
        <v>1</v>
      </c>
      <c r="F146" s="3">
        <v>18307</v>
      </c>
      <c r="G146" s="3">
        <v>21301</v>
      </c>
      <c r="H146" s="3">
        <v>10436</v>
      </c>
      <c r="I146" s="3">
        <v>2534</v>
      </c>
      <c r="J146" s="3">
        <v>2729</v>
      </c>
      <c r="K146" s="3">
        <v>12393</v>
      </c>
      <c r="L146" s="3">
        <v>7815</v>
      </c>
      <c r="M146" s="3">
        <v>8362</v>
      </c>
      <c r="N146" s="40">
        <v>303.52999999999997</v>
      </c>
      <c r="O146" s="40">
        <v>334000</v>
      </c>
      <c r="P146" s="38">
        <v>176.65751568659999</v>
      </c>
      <c r="Q146" s="38">
        <v>4</v>
      </c>
      <c r="R146" s="38">
        <f t="shared" si="2"/>
        <v>70.177577175238042</v>
      </c>
      <c r="S146" s="41">
        <f>Rådatakommune[[#This Row],[B12]]/Rådatakommune[[#This Row],[B02]]-1</f>
        <v>0.16354399956300858</v>
      </c>
      <c r="T146" s="41">
        <f>Rådatakommune[[#This Row],[Kvinner20-39]]/Rådatakommune[[#This Row],[B12]]</f>
        <v>0.1281160508896296</v>
      </c>
      <c r="U146" s="41">
        <f>Rådatakommune[[#This Row],[Eldre67+]]/Rådatakommune[[#This Row],[B12]]</f>
        <v>0.11896155110088728</v>
      </c>
      <c r="V146" s="41">
        <f>Rådatakommune[[#This Row],[S11]]/Rådatakommune[[#This Row],[S01]]-1</f>
        <v>6.9993602047344838E-2</v>
      </c>
      <c r="W146" s="41">
        <f>Rådatakommune[[#This Row],[Y11]]/Rådatakommune[[#This Row],[Folk20-64]]</f>
        <v>0.84208827563947386</v>
      </c>
    </row>
    <row r="147" spans="1:23" s="38" customFormat="1" ht="12.75">
      <c r="A147" s="42" t="s">
        <v>145</v>
      </c>
      <c r="B147" s="37">
        <v>9</v>
      </c>
      <c r="C147" s="38">
        <v>34</v>
      </c>
      <c r="D147" s="39" t="s">
        <v>432</v>
      </c>
      <c r="E147" s="43">
        <v>1</v>
      </c>
      <c r="F147" s="3">
        <v>39554</v>
      </c>
      <c r="G147" s="3">
        <v>42801</v>
      </c>
      <c r="H147" s="3">
        <v>20619</v>
      </c>
      <c r="I147" s="3">
        <v>5755</v>
      </c>
      <c r="J147" s="3">
        <v>5258</v>
      </c>
      <c r="K147" s="3">
        <v>25321</v>
      </c>
      <c r="L147" s="3">
        <v>20055</v>
      </c>
      <c r="M147" s="3">
        <v>21397</v>
      </c>
      <c r="N147" s="40">
        <v>270.04000000000002</v>
      </c>
      <c r="O147" s="40">
        <v>338900</v>
      </c>
      <c r="P147" s="38">
        <v>189.936887773</v>
      </c>
      <c r="Q147" s="38">
        <v>4</v>
      </c>
      <c r="R147" s="38">
        <f t="shared" si="2"/>
        <v>158.49874092727003</v>
      </c>
      <c r="S147" s="41">
        <f>Rådatakommune[[#This Row],[B12]]/Rådatakommune[[#This Row],[B02]]-1</f>
        <v>8.2090306922182332E-2</v>
      </c>
      <c r="T147" s="41">
        <f>Rådatakommune[[#This Row],[Kvinner20-39]]/Rådatakommune[[#This Row],[B12]]</f>
        <v>0.12284759701876125</v>
      </c>
      <c r="U147" s="41">
        <f>Rådatakommune[[#This Row],[Eldre67+]]/Rådatakommune[[#This Row],[B12]]</f>
        <v>0.13445947524590546</v>
      </c>
      <c r="V147" s="41">
        <f>Rådatakommune[[#This Row],[S11]]/Rådatakommune[[#This Row],[S01]]-1</f>
        <v>6.6915981052106721E-2</v>
      </c>
      <c r="W147" s="41">
        <f>Rådatakommune[[#This Row],[Y11]]/Rådatakommune[[#This Row],[Folk20-64]]</f>
        <v>0.81430433237233912</v>
      </c>
    </row>
    <row r="148" spans="1:23" s="38" customFormat="1" ht="12.75">
      <c r="A148" s="42" t="s">
        <v>146</v>
      </c>
      <c r="B148" s="37">
        <v>9</v>
      </c>
      <c r="C148" s="38">
        <v>33</v>
      </c>
      <c r="D148" s="39" t="s">
        <v>433</v>
      </c>
      <c r="E148" s="43" t="s">
        <v>435</v>
      </c>
      <c r="F148" s="3">
        <v>2486</v>
      </c>
      <c r="G148" s="3">
        <v>2478</v>
      </c>
      <c r="H148" s="3">
        <v>1178</v>
      </c>
      <c r="I148" s="3">
        <v>370</v>
      </c>
      <c r="J148" s="3">
        <v>286</v>
      </c>
      <c r="K148" s="3">
        <v>1448</v>
      </c>
      <c r="L148" s="3">
        <v>807</v>
      </c>
      <c r="M148" s="3">
        <v>867</v>
      </c>
      <c r="N148" s="40">
        <v>322.14</v>
      </c>
      <c r="O148" s="40">
        <v>289900</v>
      </c>
      <c r="P148" s="38">
        <v>157.53217205000001</v>
      </c>
      <c r="Q148" s="38">
        <v>5</v>
      </c>
      <c r="R148" s="38">
        <f t="shared" si="2"/>
        <v>7.6923076923076925</v>
      </c>
      <c r="S148" s="41">
        <f>Rådatakommune[[#This Row],[B12]]/Rådatakommune[[#This Row],[B02]]-1</f>
        <v>-3.2180209171359664E-3</v>
      </c>
      <c r="T148" s="41">
        <f>Rådatakommune[[#This Row],[Kvinner20-39]]/Rådatakommune[[#This Row],[B12]]</f>
        <v>0.11541565778853914</v>
      </c>
      <c r="U148" s="41">
        <f>Rådatakommune[[#This Row],[Eldre67+]]/Rådatakommune[[#This Row],[B12]]</f>
        <v>0.14931396287328491</v>
      </c>
      <c r="V148" s="41">
        <f>Rådatakommune[[#This Row],[S11]]/Rådatakommune[[#This Row],[S01]]-1</f>
        <v>7.4349442379182173E-2</v>
      </c>
      <c r="W148" s="41">
        <f>Rådatakommune[[#This Row],[Y11]]/Rådatakommune[[#This Row],[Folk20-64]]</f>
        <v>0.81353591160220995</v>
      </c>
    </row>
    <row r="149" spans="1:23" s="38" customFormat="1" ht="12.75">
      <c r="A149" s="42" t="s">
        <v>147</v>
      </c>
      <c r="B149" s="37">
        <v>9</v>
      </c>
      <c r="C149" s="38">
        <v>34</v>
      </c>
      <c r="D149" s="39" t="s">
        <v>433</v>
      </c>
      <c r="E149" s="43" t="s">
        <v>435</v>
      </c>
      <c r="F149" s="3">
        <v>1831</v>
      </c>
      <c r="G149" s="3">
        <v>1933</v>
      </c>
      <c r="H149" s="3">
        <v>935</v>
      </c>
      <c r="I149" s="3">
        <v>275</v>
      </c>
      <c r="J149" s="3">
        <v>218</v>
      </c>
      <c r="K149" s="3">
        <v>1080</v>
      </c>
      <c r="L149" s="3">
        <v>574</v>
      </c>
      <c r="M149" s="3">
        <v>662</v>
      </c>
      <c r="N149" s="40">
        <v>355.65</v>
      </c>
      <c r="O149" s="40">
        <v>328100</v>
      </c>
      <c r="P149" s="38">
        <v>165.528904119</v>
      </c>
      <c r="Q149" s="38">
        <v>4</v>
      </c>
      <c r="R149" s="38">
        <f t="shared" si="2"/>
        <v>5.4351187965696619</v>
      </c>
      <c r="S149" s="41">
        <f>Rådatakommune[[#This Row],[B12]]/Rådatakommune[[#This Row],[B02]]-1</f>
        <v>5.5707263790278461E-2</v>
      </c>
      <c r="T149" s="41">
        <f>Rådatakommune[[#This Row],[Kvinner20-39]]/Rådatakommune[[#This Row],[B12]]</f>
        <v>0.11277806518365235</v>
      </c>
      <c r="U149" s="41">
        <f>Rådatakommune[[#This Row],[Eldre67+]]/Rådatakommune[[#This Row],[B12]]</f>
        <v>0.14226590791515778</v>
      </c>
      <c r="V149" s="41">
        <f>Rådatakommune[[#This Row],[S11]]/Rådatakommune[[#This Row],[S01]]-1</f>
        <v>0.1533101045296168</v>
      </c>
      <c r="W149" s="41">
        <f>Rådatakommune[[#This Row],[Y11]]/Rådatakommune[[#This Row],[Folk20-64]]</f>
        <v>0.8657407407407407</v>
      </c>
    </row>
    <row r="150" spans="1:23" s="38" customFormat="1" ht="12.75">
      <c r="A150" s="42" t="s">
        <v>148</v>
      </c>
      <c r="B150" s="37">
        <v>9</v>
      </c>
      <c r="C150" s="38">
        <v>34</v>
      </c>
      <c r="D150" s="39" t="s">
        <v>433</v>
      </c>
      <c r="E150" s="43">
        <v>1</v>
      </c>
      <c r="F150" s="3">
        <v>5957</v>
      </c>
      <c r="G150" s="3">
        <v>6019</v>
      </c>
      <c r="H150" s="3">
        <v>2840</v>
      </c>
      <c r="I150" s="3">
        <v>918</v>
      </c>
      <c r="J150" s="3">
        <v>706</v>
      </c>
      <c r="K150" s="3">
        <v>3496</v>
      </c>
      <c r="L150" s="3">
        <v>2015</v>
      </c>
      <c r="M150" s="3">
        <v>2469</v>
      </c>
      <c r="N150" s="40">
        <v>217.89999999999998</v>
      </c>
      <c r="O150" s="40">
        <v>318200</v>
      </c>
      <c r="P150" s="38">
        <v>172.09824199299999</v>
      </c>
      <c r="Q150" s="38">
        <v>4</v>
      </c>
      <c r="R150" s="38">
        <f t="shared" si="2"/>
        <v>27.622762735199636</v>
      </c>
      <c r="S150" s="41">
        <f>Rådatakommune[[#This Row],[B12]]/Rådatakommune[[#This Row],[B02]]-1</f>
        <v>1.0407923451401624E-2</v>
      </c>
      <c r="T150" s="41">
        <f>Rådatakommune[[#This Row],[Kvinner20-39]]/Rådatakommune[[#This Row],[B12]]</f>
        <v>0.11729523176607409</v>
      </c>
      <c r="U150" s="41">
        <f>Rådatakommune[[#This Row],[Eldre67+]]/Rådatakommune[[#This Row],[B12]]</f>
        <v>0.15251702940687822</v>
      </c>
      <c r="V150" s="41">
        <f>Rådatakommune[[#This Row],[S11]]/Rådatakommune[[#This Row],[S01]]-1</f>
        <v>0.22531017369727047</v>
      </c>
      <c r="W150" s="41">
        <f>Rådatakommune[[#This Row],[Y11]]/Rådatakommune[[#This Row],[Folk20-64]]</f>
        <v>0.81235697940503437</v>
      </c>
    </row>
    <row r="151" spans="1:23" s="38" customFormat="1" ht="12.75">
      <c r="A151" s="42" t="s">
        <v>149</v>
      </c>
      <c r="B151" s="37">
        <v>9</v>
      </c>
      <c r="C151" s="38">
        <v>34</v>
      </c>
      <c r="D151" s="39" t="s">
        <v>434</v>
      </c>
      <c r="E151" s="43">
        <v>1</v>
      </c>
      <c r="F151" s="3">
        <v>4630</v>
      </c>
      <c r="G151" s="3">
        <v>5257</v>
      </c>
      <c r="H151" s="3">
        <v>2610</v>
      </c>
      <c r="I151" s="3">
        <v>567</v>
      </c>
      <c r="J151" s="3">
        <v>688</v>
      </c>
      <c r="K151" s="3">
        <v>3092</v>
      </c>
      <c r="L151" s="3">
        <v>1108</v>
      </c>
      <c r="M151" s="3">
        <v>1389</v>
      </c>
      <c r="N151" s="40">
        <v>644.54999999999995</v>
      </c>
      <c r="O151" s="40">
        <v>320900</v>
      </c>
      <c r="P151" s="38">
        <v>192.36414494499999</v>
      </c>
      <c r="Q151" s="38">
        <v>4</v>
      </c>
      <c r="R151" s="38">
        <f t="shared" si="2"/>
        <v>8.1560778837948966</v>
      </c>
      <c r="S151" s="41">
        <f>Rådatakommune[[#This Row],[B12]]/Rådatakommune[[#This Row],[B02]]-1</f>
        <v>0.13542116630669554</v>
      </c>
      <c r="T151" s="41">
        <f>Rådatakommune[[#This Row],[Kvinner20-39]]/Rådatakommune[[#This Row],[B12]]</f>
        <v>0.13087312155221609</v>
      </c>
      <c r="U151" s="41">
        <f>Rådatakommune[[#This Row],[Eldre67+]]/Rådatakommune[[#This Row],[B12]]</f>
        <v>0.10785619174434088</v>
      </c>
      <c r="V151" s="41">
        <f>Rådatakommune[[#This Row],[S11]]/Rådatakommune[[#This Row],[S01]]-1</f>
        <v>0.25361010830324915</v>
      </c>
      <c r="W151" s="41">
        <f>Rådatakommune[[#This Row],[Y11]]/Rådatakommune[[#This Row],[Folk20-64]]</f>
        <v>0.84411384217335061</v>
      </c>
    </row>
    <row r="152" spans="1:23" s="38" customFormat="1" ht="12.75">
      <c r="A152" s="42" t="s">
        <v>150</v>
      </c>
      <c r="B152" s="37">
        <v>9</v>
      </c>
      <c r="C152" s="38">
        <v>37</v>
      </c>
      <c r="D152" s="39" t="s">
        <v>432</v>
      </c>
      <c r="E152" s="43">
        <v>1</v>
      </c>
      <c r="F152" s="3">
        <v>8930</v>
      </c>
      <c r="G152" s="3">
        <v>9878</v>
      </c>
      <c r="H152" s="3">
        <v>5009</v>
      </c>
      <c r="I152" s="3">
        <v>1266</v>
      </c>
      <c r="J152" s="3">
        <v>1175</v>
      </c>
      <c r="K152" s="3">
        <v>5722</v>
      </c>
      <c r="L152" s="3">
        <v>3127</v>
      </c>
      <c r="M152" s="3">
        <v>4206</v>
      </c>
      <c r="N152" s="40">
        <v>190.25</v>
      </c>
      <c r="O152" s="40">
        <v>358400</v>
      </c>
      <c r="P152" s="38">
        <v>167.557695524</v>
      </c>
      <c r="Q152" s="38">
        <v>2</v>
      </c>
      <c r="R152" s="38">
        <f t="shared" si="2"/>
        <v>51.921156373193163</v>
      </c>
      <c r="S152" s="41">
        <f>Rådatakommune[[#This Row],[B12]]/Rådatakommune[[#This Row],[B02]]-1</f>
        <v>0.10615901455767074</v>
      </c>
      <c r="T152" s="41">
        <f>Rådatakommune[[#This Row],[Kvinner20-39]]/Rådatakommune[[#This Row],[B12]]</f>
        <v>0.11895120469730715</v>
      </c>
      <c r="U152" s="41">
        <f>Rådatakommune[[#This Row],[Eldre67+]]/Rådatakommune[[#This Row],[B12]]</f>
        <v>0.12816359586960924</v>
      </c>
      <c r="V152" s="41">
        <f>Rådatakommune[[#This Row],[S11]]/Rådatakommune[[#This Row],[S01]]-1</f>
        <v>0.34505916213623289</v>
      </c>
      <c r="W152" s="41">
        <f>Rådatakommune[[#This Row],[Y11]]/Rådatakommune[[#This Row],[Folk20-64]]</f>
        <v>0.87539321915414192</v>
      </c>
    </row>
    <row r="153" spans="1:23" s="38" customFormat="1" ht="12.75">
      <c r="A153" s="42" t="s">
        <v>151</v>
      </c>
      <c r="B153" s="37">
        <v>9</v>
      </c>
      <c r="C153" s="38">
        <v>37</v>
      </c>
      <c r="D153" s="39" t="s">
        <v>434</v>
      </c>
      <c r="E153" s="43">
        <v>1</v>
      </c>
      <c r="F153" s="3">
        <v>4315</v>
      </c>
      <c r="G153" s="3">
        <v>4828</v>
      </c>
      <c r="H153" s="3">
        <v>2453</v>
      </c>
      <c r="I153" s="3">
        <v>559</v>
      </c>
      <c r="J153" s="3">
        <v>618</v>
      </c>
      <c r="K153" s="3">
        <v>2731</v>
      </c>
      <c r="L153" s="3">
        <v>1534</v>
      </c>
      <c r="M153" s="3">
        <v>1651</v>
      </c>
      <c r="N153" s="40">
        <v>674.20999999999992</v>
      </c>
      <c r="O153" s="40">
        <v>311000</v>
      </c>
      <c r="P153" s="38">
        <v>165.76153669030001</v>
      </c>
      <c r="Q153" s="38">
        <v>2</v>
      </c>
      <c r="R153" s="38">
        <f t="shared" si="2"/>
        <v>7.1609735838981932</v>
      </c>
      <c r="S153" s="41">
        <f>Rådatakommune[[#This Row],[B12]]/Rådatakommune[[#This Row],[B02]]-1</f>
        <v>0.11888760139049825</v>
      </c>
      <c r="T153" s="41">
        <f>Rådatakommune[[#This Row],[Kvinner20-39]]/Rådatakommune[[#This Row],[B12]]</f>
        <v>0.12800331400165699</v>
      </c>
      <c r="U153" s="41">
        <f>Rådatakommune[[#This Row],[Eldre67+]]/Rådatakommune[[#This Row],[B12]]</f>
        <v>0.11578293289146645</v>
      </c>
      <c r="V153" s="41">
        <f>Rådatakommune[[#This Row],[S11]]/Rådatakommune[[#This Row],[S01]]-1</f>
        <v>7.6271186440677985E-2</v>
      </c>
      <c r="W153" s="41">
        <f>Rådatakommune[[#This Row],[Y11]]/Rådatakommune[[#This Row],[Folk20-64]]</f>
        <v>0.89820578542658369</v>
      </c>
    </row>
    <row r="154" spans="1:23" s="38" customFormat="1" ht="12.75">
      <c r="A154" s="42" t="s">
        <v>152</v>
      </c>
      <c r="B154" s="37">
        <v>9</v>
      </c>
      <c r="C154" s="38">
        <v>34</v>
      </c>
      <c r="D154" s="39" t="s">
        <v>436</v>
      </c>
      <c r="E154" s="43" t="s">
        <v>435</v>
      </c>
      <c r="F154" s="3">
        <v>1853</v>
      </c>
      <c r="G154" s="3">
        <v>1825</v>
      </c>
      <c r="H154" s="3">
        <v>849</v>
      </c>
      <c r="I154" s="3">
        <v>294</v>
      </c>
      <c r="J154" s="3">
        <v>180</v>
      </c>
      <c r="K154" s="3">
        <v>1045</v>
      </c>
      <c r="L154" s="3">
        <v>714</v>
      </c>
      <c r="M154" s="3">
        <v>713</v>
      </c>
      <c r="N154" s="40">
        <v>1130.6100000000001</v>
      </c>
      <c r="O154" s="40">
        <v>293800</v>
      </c>
      <c r="P154" s="38">
        <v>195.034897704</v>
      </c>
      <c r="Q154" s="38">
        <v>4</v>
      </c>
      <c r="R154" s="38">
        <f t="shared" si="2"/>
        <v>1.6141728801266571</v>
      </c>
      <c r="S154" s="41">
        <f>Rådatakommune[[#This Row],[B12]]/Rådatakommune[[#This Row],[B02]]-1</f>
        <v>-1.5110631408526753E-2</v>
      </c>
      <c r="T154" s="41">
        <f>Rådatakommune[[#This Row],[Kvinner20-39]]/Rådatakommune[[#This Row],[B12]]</f>
        <v>9.8630136986301367E-2</v>
      </c>
      <c r="U154" s="41">
        <f>Rådatakommune[[#This Row],[Eldre67+]]/Rådatakommune[[#This Row],[B12]]</f>
        <v>0.1610958904109589</v>
      </c>
      <c r="V154" s="41">
        <f>Rådatakommune[[#This Row],[S11]]/Rådatakommune[[#This Row],[S01]]-1</f>
        <v>-1.4005602240896309E-3</v>
      </c>
      <c r="W154" s="41">
        <f>Rådatakommune[[#This Row],[Y11]]/Rådatakommune[[#This Row],[Folk20-64]]</f>
        <v>0.81244019138755985</v>
      </c>
    </row>
    <row r="155" spans="1:23" s="38" customFormat="1" ht="12.75">
      <c r="A155" s="42" t="s">
        <v>153</v>
      </c>
      <c r="B155" s="37">
        <v>9</v>
      </c>
      <c r="C155" s="38">
        <v>37</v>
      </c>
      <c r="D155" s="39" t="s">
        <v>434</v>
      </c>
      <c r="E155" s="43" t="s">
        <v>435</v>
      </c>
      <c r="F155" s="3">
        <v>1113</v>
      </c>
      <c r="G155" s="3">
        <v>1298</v>
      </c>
      <c r="H155" s="3">
        <v>631</v>
      </c>
      <c r="I155" s="3">
        <v>135</v>
      </c>
      <c r="J155" s="3">
        <v>168</v>
      </c>
      <c r="K155" s="3">
        <v>772</v>
      </c>
      <c r="L155" s="3">
        <v>289</v>
      </c>
      <c r="M155" s="3">
        <v>389</v>
      </c>
      <c r="N155" s="40">
        <v>261.63</v>
      </c>
      <c r="O155" s="40">
        <v>303300</v>
      </c>
      <c r="P155" s="38">
        <v>182.4194957501</v>
      </c>
      <c r="Q155" s="38">
        <v>2</v>
      </c>
      <c r="R155" s="38">
        <f t="shared" si="2"/>
        <v>4.9612047548064062</v>
      </c>
      <c r="S155" s="41">
        <f>Rådatakommune[[#This Row],[B12]]/Rådatakommune[[#This Row],[B02]]-1</f>
        <v>0.16621743036837366</v>
      </c>
      <c r="T155" s="41">
        <f>Rådatakommune[[#This Row],[Kvinner20-39]]/Rådatakommune[[#This Row],[B12]]</f>
        <v>0.12942989214175654</v>
      </c>
      <c r="U155" s="41">
        <f>Rådatakommune[[#This Row],[Eldre67+]]/Rådatakommune[[#This Row],[B12]]</f>
        <v>0.10400616332819723</v>
      </c>
      <c r="V155" s="41">
        <f>Rådatakommune[[#This Row],[S11]]/Rådatakommune[[#This Row],[S01]]-1</f>
        <v>0.34602076124567471</v>
      </c>
      <c r="W155" s="41">
        <f>Rådatakommune[[#This Row],[Y11]]/Rådatakommune[[#This Row],[Folk20-64]]</f>
        <v>0.81735751295336789</v>
      </c>
    </row>
    <row r="156" spans="1:23" s="38" customFormat="1" ht="12.75">
      <c r="A156" s="42" t="s">
        <v>154</v>
      </c>
      <c r="B156" s="37">
        <v>9</v>
      </c>
      <c r="C156" s="38">
        <v>35</v>
      </c>
      <c r="D156" s="39" t="s">
        <v>433</v>
      </c>
      <c r="E156" s="43">
        <v>2</v>
      </c>
      <c r="F156" s="3">
        <v>3337</v>
      </c>
      <c r="G156" s="3">
        <v>3496</v>
      </c>
      <c r="H156" s="3">
        <v>1727</v>
      </c>
      <c r="I156" s="3">
        <v>533</v>
      </c>
      <c r="J156" s="3">
        <v>412</v>
      </c>
      <c r="K156" s="3">
        <v>1953</v>
      </c>
      <c r="L156" s="3">
        <v>1295</v>
      </c>
      <c r="M156" s="3">
        <v>1629</v>
      </c>
      <c r="N156" s="40">
        <v>550.22</v>
      </c>
      <c r="O156" s="40">
        <v>320800</v>
      </c>
      <c r="P156" s="38">
        <v>200.94224946590001</v>
      </c>
      <c r="Q156" s="38">
        <v>5</v>
      </c>
      <c r="R156" s="38">
        <f t="shared" si="2"/>
        <v>6.353822107520628</v>
      </c>
      <c r="S156" s="41">
        <f>Rådatakommune[[#This Row],[B12]]/Rådatakommune[[#This Row],[B02]]-1</f>
        <v>4.7647587653581125E-2</v>
      </c>
      <c r="T156" s="41">
        <f>Rådatakommune[[#This Row],[Kvinner20-39]]/Rådatakommune[[#This Row],[B12]]</f>
        <v>0.11784897025171624</v>
      </c>
      <c r="U156" s="41">
        <f>Rådatakommune[[#This Row],[Eldre67+]]/Rådatakommune[[#This Row],[B12]]</f>
        <v>0.15245995423340961</v>
      </c>
      <c r="V156" s="41">
        <f>Rådatakommune[[#This Row],[S11]]/Rådatakommune[[#This Row],[S01]]-1</f>
        <v>0.25791505791505798</v>
      </c>
      <c r="W156" s="41">
        <f>Rådatakommune[[#This Row],[Y11]]/Rådatakommune[[#This Row],[Folk20-64]]</f>
        <v>0.88428059395801328</v>
      </c>
    </row>
    <row r="157" spans="1:23" s="38" customFormat="1" ht="12.75">
      <c r="A157" s="42" t="s">
        <v>155</v>
      </c>
      <c r="B157" s="37">
        <v>9</v>
      </c>
      <c r="C157" s="38">
        <v>35</v>
      </c>
      <c r="D157" s="39" t="s">
        <v>433</v>
      </c>
      <c r="E157" s="43">
        <v>2</v>
      </c>
      <c r="F157" s="3">
        <v>1314</v>
      </c>
      <c r="G157" s="3">
        <v>1219</v>
      </c>
      <c r="H157" s="3">
        <v>613</v>
      </c>
      <c r="I157" s="3">
        <v>202</v>
      </c>
      <c r="J157" s="3">
        <v>118</v>
      </c>
      <c r="K157" s="3">
        <v>719</v>
      </c>
      <c r="L157" s="3">
        <v>755</v>
      </c>
      <c r="M157" s="3">
        <v>523</v>
      </c>
      <c r="N157" s="40">
        <v>1311.65</v>
      </c>
      <c r="O157" s="40">
        <v>310900</v>
      </c>
      <c r="P157" s="38">
        <v>226.9347835088</v>
      </c>
      <c r="Q157" s="38">
        <v>5</v>
      </c>
      <c r="R157" s="38">
        <f t="shared" si="2"/>
        <v>0.92936377844699414</v>
      </c>
      <c r="S157" s="41">
        <f>Rådatakommune[[#This Row],[B12]]/Rådatakommune[[#This Row],[B02]]-1</f>
        <v>-7.2298325722983225E-2</v>
      </c>
      <c r="T157" s="41">
        <f>Rådatakommune[[#This Row],[Kvinner20-39]]/Rådatakommune[[#This Row],[B12]]</f>
        <v>9.6800656275635763E-2</v>
      </c>
      <c r="U157" s="41">
        <f>Rådatakommune[[#This Row],[Eldre67+]]/Rådatakommune[[#This Row],[B12]]</f>
        <v>0.16570959803117311</v>
      </c>
      <c r="V157" s="41">
        <f>Rådatakommune[[#This Row],[S11]]/Rådatakommune[[#This Row],[S01]]-1</f>
        <v>-0.30728476821192052</v>
      </c>
      <c r="W157" s="41">
        <f>Rådatakommune[[#This Row],[Y11]]/Rådatakommune[[#This Row],[Folk20-64]]</f>
        <v>0.85257301808066754</v>
      </c>
    </row>
    <row r="158" spans="1:23" s="38" customFormat="1" ht="12.75">
      <c r="A158" s="42" t="s">
        <v>156</v>
      </c>
      <c r="B158" s="37">
        <v>9</v>
      </c>
      <c r="C158" s="38">
        <v>36</v>
      </c>
      <c r="D158" s="39" t="s">
        <v>433</v>
      </c>
      <c r="E158" s="43">
        <v>2</v>
      </c>
      <c r="F158" s="3">
        <v>1439</v>
      </c>
      <c r="G158" s="3">
        <v>1293</v>
      </c>
      <c r="H158" s="3">
        <v>690</v>
      </c>
      <c r="I158" s="3">
        <v>207</v>
      </c>
      <c r="J158" s="3">
        <v>121</v>
      </c>
      <c r="K158" s="3">
        <v>742</v>
      </c>
      <c r="L158" s="3">
        <v>585</v>
      </c>
      <c r="M158" s="3">
        <v>639</v>
      </c>
      <c r="N158" s="40">
        <v>1264.8700000000001</v>
      </c>
      <c r="O158" s="40">
        <v>333000</v>
      </c>
      <c r="P158" s="38">
        <v>226.27603550000001</v>
      </c>
      <c r="Q158" s="38">
        <v>11</v>
      </c>
      <c r="R158" s="38">
        <f t="shared" si="2"/>
        <v>1.0222394396262064</v>
      </c>
      <c r="S158" s="41">
        <f>Rådatakommune[[#This Row],[B12]]/Rådatakommune[[#This Row],[B02]]-1</f>
        <v>-0.10145934676858925</v>
      </c>
      <c r="T158" s="41">
        <f>Rådatakommune[[#This Row],[Kvinner20-39]]/Rådatakommune[[#This Row],[B12]]</f>
        <v>9.3580819798917247E-2</v>
      </c>
      <c r="U158" s="41">
        <f>Rådatakommune[[#This Row],[Eldre67+]]/Rådatakommune[[#This Row],[B12]]</f>
        <v>0.16009280742459397</v>
      </c>
      <c r="V158" s="41">
        <f>Rådatakommune[[#This Row],[S11]]/Rådatakommune[[#This Row],[S01]]-1</f>
        <v>9.2307692307692202E-2</v>
      </c>
      <c r="W158" s="41">
        <f>Rådatakommune[[#This Row],[Y11]]/Rådatakommune[[#This Row],[Folk20-64]]</f>
        <v>0.92991913746630728</v>
      </c>
    </row>
    <row r="159" spans="1:23" s="38" customFormat="1" ht="12.75">
      <c r="A159" s="42" t="s">
        <v>157</v>
      </c>
      <c r="B159" s="37">
        <v>9</v>
      </c>
      <c r="C159" s="38">
        <v>36</v>
      </c>
      <c r="D159" s="39" t="s">
        <v>433</v>
      </c>
      <c r="E159" s="43">
        <v>2</v>
      </c>
      <c r="F159" s="3">
        <v>852</v>
      </c>
      <c r="G159" s="3">
        <v>970</v>
      </c>
      <c r="H159" s="3">
        <v>591</v>
      </c>
      <c r="I159" s="3">
        <v>94</v>
      </c>
      <c r="J159" s="3">
        <v>133</v>
      </c>
      <c r="K159" s="3">
        <v>611</v>
      </c>
      <c r="L159" s="3">
        <v>450</v>
      </c>
      <c r="M159" s="3">
        <v>585</v>
      </c>
      <c r="N159" s="40">
        <v>1467.13</v>
      </c>
      <c r="O159" s="40">
        <v>358800</v>
      </c>
      <c r="P159" s="38">
        <v>222.61062649499999</v>
      </c>
      <c r="Q159" s="38">
        <v>11</v>
      </c>
      <c r="R159" s="38">
        <f t="shared" si="2"/>
        <v>0.66115477156080238</v>
      </c>
      <c r="S159" s="41">
        <f>Rådatakommune[[#This Row],[B12]]/Rådatakommune[[#This Row],[B02]]-1</f>
        <v>0.13849765258215951</v>
      </c>
      <c r="T159" s="41">
        <f>Rådatakommune[[#This Row],[Kvinner20-39]]/Rådatakommune[[#This Row],[B12]]</f>
        <v>0.13711340206185568</v>
      </c>
      <c r="U159" s="41">
        <f>Rådatakommune[[#This Row],[Eldre67+]]/Rådatakommune[[#This Row],[B12]]</f>
        <v>9.6907216494845363E-2</v>
      </c>
      <c r="V159" s="41">
        <f>Rådatakommune[[#This Row],[S11]]/Rådatakommune[[#This Row],[S01]]-1</f>
        <v>0.30000000000000004</v>
      </c>
      <c r="W159" s="41">
        <f>Rådatakommune[[#This Row],[Y11]]/Rådatakommune[[#This Row],[Folk20-64]]</f>
        <v>0.96726677577741405</v>
      </c>
    </row>
    <row r="160" spans="1:23" s="38" customFormat="1" ht="12.75">
      <c r="A160" s="42" t="s">
        <v>158</v>
      </c>
      <c r="B160" s="37">
        <v>10</v>
      </c>
      <c r="C160" s="38">
        <v>37</v>
      </c>
      <c r="D160" s="39" t="s">
        <v>432</v>
      </c>
      <c r="E160" s="43">
        <v>1</v>
      </c>
      <c r="F160" s="3">
        <v>73977</v>
      </c>
      <c r="G160" s="3">
        <v>83243</v>
      </c>
      <c r="H160" s="3">
        <v>41982</v>
      </c>
      <c r="I160" s="3">
        <v>10303</v>
      </c>
      <c r="J160" s="3">
        <v>11487</v>
      </c>
      <c r="K160" s="3">
        <v>49651</v>
      </c>
      <c r="L160" s="3">
        <v>40641</v>
      </c>
      <c r="M160" s="3">
        <v>51220</v>
      </c>
      <c r="N160" s="40">
        <v>276.44</v>
      </c>
      <c r="O160" s="40">
        <v>353800</v>
      </c>
      <c r="P160" s="38">
        <v>159.89607002190002</v>
      </c>
      <c r="Q160" s="38">
        <v>2</v>
      </c>
      <c r="R160" s="38">
        <f t="shared" si="2"/>
        <v>301.12501808710749</v>
      </c>
      <c r="S160" s="41">
        <f>Rådatakommune[[#This Row],[B12]]/Rådatakommune[[#This Row],[B02]]-1</f>
        <v>0.12525514686997319</v>
      </c>
      <c r="T160" s="41">
        <f>Rådatakommune[[#This Row],[Kvinner20-39]]/Rådatakommune[[#This Row],[B12]]</f>
        <v>0.13799358504619008</v>
      </c>
      <c r="U160" s="41">
        <f>Rådatakommune[[#This Row],[Eldre67+]]/Rådatakommune[[#This Row],[B12]]</f>
        <v>0.12377016686087719</v>
      </c>
      <c r="V160" s="41">
        <f>Rådatakommune[[#This Row],[S11]]/Rådatakommune[[#This Row],[S01]]-1</f>
        <v>0.26030363426096792</v>
      </c>
      <c r="W160" s="41">
        <f>Rådatakommune[[#This Row],[Y11]]/Rådatakommune[[#This Row],[Folk20-64]]</f>
        <v>0.84554188233872429</v>
      </c>
    </row>
    <row r="161" spans="1:23" s="38" customFormat="1" ht="12.75">
      <c r="A161" s="42" t="s">
        <v>159</v>
      </c>
      <c r="B161" s="37">
        <v>10</v>
      </c>
      <c r="C161" s="38">
        <v>38</v>
      </c>
      <c r="D161" s="39" t="s">
        <v>432</v>
      </c>
      <c r="E161" s="43">
        <v>1</v>
      </c>
      <c r="F161" s="3">
        <v>13417</v>
      </c>
      <c r="G161" s="3">
        <v>15149</v>
      </c>
      <c r="H161" s="3">
        <v>7222</v>
      </c>
      <c r="I161" s="3">
        <v>2014</v>
      </c>
      <c r="J161" s="3">
        <v>1894</v>
      </c>
      <c r="K161" s="3">
        <v>8728</v>
      </c>
      <c r="L161" s="3">
        <v>5171</v>
      </c>
      <c r="M161" s="3">
        <v>6216</v>
      </c>
      <c r="N161" s="40">
        <v>222.44</v>
      </c>
      <c r="O161" s="40">
        <v>332300</v>
      </c>
      <c r="P161" s="38">
        <v>196.11172585</v>
      </c>
      <c r="Q161" s="38">
        <v>5</v>
      </c>
      <c r="R161" s="38">
        <f t="shared" si="2"/>
        <v>68.103758316849493</v>
      </c>
      <c r="S161" s="41">
        <f>Rådatakommune[[#This Row],[B12]]/Rådatakommune[[#This Row],[B02]]-1</f>
        <v>0.12908996049787591</v>
      </c>
      <c r="T161" s="41">
        <f>Rådatakommune[[#This Row],[Kvinner20-39]]/Rådatakommune[[#This Row],[B12]]</f>
        <v>0.12502475410918212</v>
      </c>
      <c r="U161" s="41">
        <f>Rådatakommune[[#This Row],[Eldre67+]]/Rådatakommune[[#This Row],[B12]]</f>
        <v>0.13294606904746187</v>
      </c>
      <c r="V161" s="41">
        <f>Rådatakommune[[#This Row],[S11]]/Rådatakommune[[#This Row],[S01]]-1</f>
        <v>0.20208857087603938</v>
      </c>
      <c r="W161" s="41">
        <f>Rådatakommune[[#This Row],[Y11]]/Rådatakommune[[#This Row],[Folk20-64]]</f>
        <v>0.82745187901008255</v>
      </c>
    </row>
    <row r="162" spans="1:23" s="38" customFormat="1" ht="12.75">
      <c r="A162" s="42" t="s">
        <v>160</v>
      </c>
      <c r="B162" s="37">
        <v>10</v>
      </c>
      <c r="C162" s="38">
        <v>39</v>
      </c>
      <c r="D162" s="39" t="s">
        <v>433</v>
      </c>
      <c r="E162" s="43">
        <v>1</v>
      </c>
      <c r="F162" s="3">
        <v>9497</v>
      </c>
      <c r="G162" s="3">
        <v>9433</v>
      </c>
      <c r="H162" s="3">
        <v>4555</v>
      </c>
      <c r="I162" s="3">
        <v>1467</v>
      </c>
      <c r="J162" s="3">
        <v>1058</v>
      </c>
      <c r="K162" s="3">
        <v>5197</v>
      </c>
      <c r="L162" s="3">
        <v>3958</v>
      </c>
      <c r="M162" s="3">
        <v>3661</v>
      </c>
      <c r="N162" s="40">
        <v>262.47000000000003</v>
      </c>
      <c r="O162" s="40">
        <v>336900</v>
      </c>
      <c r="P162" s="38">
        <v>234.81368318579999</v>
      </c>
      <c r="Q162" s="38">
        <v>6</v>
      </c>
      <c r="R162" s="38">
        <f t="shared" si="2"/>
        <v>35.939345449003689</v>
      </c>
      <c r="S162" s="41">
        <f>Rådatakommune[[#This Row],[B12]]/Rådatakommune[[#This Row],[B02]]-1</f>
        <v>-6.7389702011161345E-3</v>
      </c>
      <c r="T162" s="41">
        <f>Rådatakommune[[#This Row],[Kvinner20-39]]/Rådatakommune[[#This Row],[B12]]</f>
        <v>0.11215944026290682</v>
      </c>
      <c r="U162" s="41">
        <f>Rådatakommune[[#This Row],[Eldre67+]]/Rådatakommune[[#This Row],[B12]]</f>
        <v>0.15551786282200786</v>
      </c>
      <c r="V162" s="41">
        <f>Rådatakommune[[#This Row],[S11]]/Rådatakommune[[#This Row],[S01]]-1</f>
        <v>-7.5037897928246555E-2</v>
      </c>
      <c r="W162" s="41">
        <f>Rådatakommune[[#This Row],[Y11]]/Rådatakommune[[#This Row],[Folk20-64]]</f>
        <v>0.87646719261112183</v>
      </c>
    </row>
    <row r="163" spans="1:23" s="38" customFormat="1" ht="12.75">
      <c r="A163" s="42" t="s">
        <v>161</v>
      </c>
      <c r="B163" s="37">
        <v>10</v>
      </c>
      <c r="C163" s="38">
        <v>40</v>
      </c>
      <c r="D163" s="39" t="s">
        <v>433</v>
      </c>
      <c r="E163" s="43">
        <v>1</v>
      </c>
      <c r="F163" s="3">
        <v>8839</v>
      </c>
      <c r="G163" s="3">
        <v>9046</v>
      </c>
      <c r="H163" s="3">
        <v>4562</v>
      </c>
      <c r="I163" s="3">
        <v>1481</v>
      </c>
      <c r="J163" s="3">
        <v>954</v>
      </c>
      <c r="K163" s="3">
        <v>5102</v>
      </c>
      <c r="L163" s="3">
        <v>3847</v>
      </c>
      <c r="M163" s="3">
        <v>4159</v>
      </c>
      <c r="N163" s="40">
        <v>543.22</v>
      </c>
      <c r="O163" s="40">
        <v>337400</v>
      </c>
      <c r="P163" s="38">
        <v>247.06975202699999</v>
      </c>
      <c r="Q163" s="38">
        <v>6</v>
      </c>
      <c r="R163" s="38">
        <f t="shared" si="2"/>
        <v>16.652553293324988</v>
      </c>
      <c r="S163" s="41">
        <f>Rådatakommune[[#This Row],[B12]]/Rådatakommune[[#This Row],[B02]]-1</f>
        <v>2.3418938793981159E-2</v>
      </c>
      <c r="T163" s="41">
        <f>Rådatakommune[[#This Row],[Kvinner20-39]]/Rådatakommune[[#This Row],[B12]]</f>
        <v>0.10546097722750387</v>
      </c>
      <c r="U163" s="41">
        <f>Rådatakommune[[#This Row],[Eldre67+]]/Rådatakommune[[#This Row],[B12]]</f>
        <v>0.16371877072739333</v>
      </c>
      <c r="V163" s="41">
        <f>Rådatakommune[[#This Row],[S11]]/Rådatakommune[[#This Row],[S01]]-1</f>
        <v>8.1102157525344332E-2</v>
      </c>
      <c r="W163" s="41">
        <f>Rådatakommune[[#This Row],[Y11]]/Rådatakommune[[#This Row],[Folk20-64]]</f>
        <v>0.89415915327322615</v>
      </c>
    </row>
    <row r="164" spans="1:23" s="38" customFormat="1" ht="12.75">
      <c r="A164" s="42" t="s">
        <v>162</v>
      </c>
      <c r="B164" s="37">
        <v>10</v>
      </c>
      <c r="C164" s="38">
        <v>37</v>
      </c>
      <c r="D164" s="39" t="s">
        <v>432</v>
      </c>
      <c r="E164" s="43">
        <v>1</v>
      </c>
      <c r="F164" s="3">
        <v>12255</v>
      </c>
      <c r="G164" s="3">
        <v>13583</v>
      </c>
      <c r="H164" s="3">
        <v>6717</v>
      </c>
      <c r="I164" s="3">
        <v>1606</v>
      </c>
      <c r="J164" s="3">
        <v>1806</v>
      </c>
      <c r="K164" s="3">
        <v>7948</v>
      </c>
      <c r="L164" s="3">
        <v>3786</v>
      </c>
      <c r="M164" s="3">
        <v>4235</v>
      </c>
      <c r="N164" s="40">
        <v>384.48</v>
      </c>
      <c r="O164" s="40">
        <v>321600</v>
      </c>
      <c r="P164" s="38">
        <v>160.01284094569999</v>
      </c>
      <c r="Q164" s="38">
        <v>2</v>
      </c>
      <c r="R164" s="38">
        <f t="shared" si="2"/>
        <v>35.328235538909695</v>
      </c>
      <c r="S164" s="41">
        <f>Rådatakommune[[#This Row],[B12]]/Rådatakommune[[#This Row],[B02]]-1</f>
        <v>0.10836393308853531</v>
      </c>
      <c r="T164" s="41">
        <f>Rådatakommune[[#This Row],[Kvinner20-39]]/Rådatakommune[[#This Row],[B12]]</f>
        <v>0.13296031804461458</v>
      </c>
      <c r="U164" s="41">
        <f>Rådatakommune[[#This Row],[Eldre67+]]/Rådatakommune[[#This Row],[B12]]</f>
        <v>0.11823603033203268</v>
      </c>
      <c r="V164" s="41">
        <f>Rådatakommune[[#This Row],[S11]]/Rådatakommune[[#This Row],[S01]]-1</f>
        <v>0.11859482303222402</v>
      </c>
      <c r="W164" s="41">
        <f>Rådatakommune[[#This Row],[Y11]]/Rådatakommune[[#This Row],[Folk20-64]]</f>
        <v>0.84511826874685458</v>
      </c>
    </row>
    <row r="165" spans="1:23" s="38" customFormat="1" ht="12.75">
      <c r="A165" s="42" t="s">
        <v>163</v>
      </c>
      <c r="B165" s="37">
        <v>10</v>
      </c>
      <c r="C165" s="38">
        <v>37</v>
      </c>
      <c r="D165" s="39" t="s">
        <v>432</v>
      </c>
      <c r="E165" s="43">
        <v>1</v>
      </c>
      <c r="F165" s="3">
        <v>5502</v>
      </c>
      <c r="G165" s="3">
        <v>6165</v>
      </c>
      <c r="H165" s="3">
        <v>3021</v>
      </c>
      <c r="I165" s="3">
        <v>669</v>
      </c>
      <c r="J165" s="3">
        <v>830</v>
      </c>
      <c r="K165" s="3">
        <v>3585</v>
      </c>
      <c r="L165" s="3">
        <v>1531</v>
      </c>
      <c r="M165" s="3">
        <v>2323</v>
      </c>
      <c r="N165" s="40">
        <v>215.95</v>
      </c>
      <c r="O165" s="40">
        <v>323300</v>
      </c>
      <c r="P165" s="38">
        <v>171.1676260998</v>
      </c>
      <c r="Q165" s="38">
        <v>2</v>
      </c>
      <c r="R165" s="38">
        <f t="shared" si="2"/>
        <v>28.548275063672147</v>
      </c>
      <c r="S165" s="41">
        <f>Rådatakommune[[#This Row],[B12]]/Rådatakommune[[#This Row],[B02]]-1</f>
        <v>0.12050163576881134</v>
      </c>
      <c r="T165" s="41">
        <f>Rådatakommune[[#This Row],[Kvinner20-39]]/Rådatakommune[[#This Row],[B12]]</f>
        <v>0.13463098134630982</v>
      </c>
      <c r="U165" s="41">
        <f>Rådatakommune[[#This Row],[Eldre67+]]/Rådatakommune[[#This Row],[B12]]</f>
        <v>0.10851581508515815</v>
      </c>
      <c r="V165" s="41">
        <f>Rådatakommune[[#This Row],[S11]]/Rådatakommune[[#This Row],[S01]]-1</f>
        <v>0.51730894839973884</v>
      </c>
      <c r="W165" s="41">
        <f>Rådatakommune[[#This Row],[Y11]]/Rådatakommune[[#This Row],[Folk20-64]]</f>
        <v>0.84267782426778237</v>
      </c>
    </row>
    <row r="166" spans="1:23" s="38" customFormat="1" ht="12.75">
      <c r="A166" s="42" t="s">
        <v>164</v>
      </c>
      <c r="B166" s="37">
        <v>10</v>
      </c>
      <c r="C166" s="38">
        <v>37</v>
      </c>
      <c r="D166" s="39" t="s">
        <v>432</v>
      </c>
      <c r="E166" s="43">
        <v>1</v>
      </c>
      <c r="F166" s="3">
        <v>9229</v>
      </c>
      <c r="G166" s="3">
        <v>10855</v>
      </c>
      <c r="H166" s="3">
        <v>5438</v>
      </c>
      <c r="I166" s="3">
        <v>1238</v>
      </c>
      <c r="J166" s="3">
        <v>1375</v>
      </c>
      <c r="K166" s="3">
        <v>6209</v>
      </c>
      <c r="L166" s="3">
        <v>2750</v>
      </c>
      <c r="M166" s="3">
        <v>3503</v>
      </c>
      <c r="N166" s="40">
        <v>151.29</v>
      </c>
      <c r="O166" s="40">
        <v>355500</v>
      </c>
      <c r="P166" s="38">
        <v>172.7294660579</v>
      </c>
      <c r="Q166" s="38">
        <v>2</v>
      </c>
      <c r="R166" s="38">
        <f t="shared" si="2"/>
        <v>71.749619935223748</v>
      </c>
      <c r="S166" s="41">
        <f>Rådatakommune[[#This Row],[B12]]/Rådatakommune[[#This Row],[B02]]-1</f>
        <v>0.17618376855563977</v>
      </c>
      <c r="T166" s="41">
        <f>Rådatakommune[[#This Row],[Kvinner20-39]]/Rådatakommune[[#This Row],[B12]]</f>
        <v>0.12666973744818055</v>
      </c>
      <c r="U166" s="41">
        <f>Rådatakommune[[#This Row],[Eldre67+]]/Rådatakommune[[#This Row],[B12]]</f>
        <v>0.11404882542607093</v>
      </c>
      <c r="V166" s="41">
        <f>Rådatakommune[[#This Row],[S11]]/Rådatakommune[[#This Row],[S01]]-1</f>
        <v>0.27381818181818174</v>
      </c>
      <c r="W166" s="41">
        <f>Rådatakommune[[#This Row],[Y11]]/Rådatakommune[[#This Row],[Folk20-64]]</f>
        <v>0.87582541472056696</v>
      </c>
    </row>
    <row r="167" spans="1:23" s="38" customFormat="1" ht="12.75">
      <c r="A167" s="42" t="s">
        <v>165</v>
      </c>
      <c r="B167" s="37">
        <v>10</v>
      </c>
      <c r="C167" s="38">
        <v>38</v>
      </c>
      <c r="D167" s="39" t="s">
        <v>433</v>
      </c>
      <c r="E167" s="43">
        <v>1</v>
      </c>
      <c r="F167" s="3">
        <v>2184</v>
      </c>
      <c r="G167" s="3">
        <v>2286</v>
      </c>
      <c r="H167" s="3">
        <v>1104</v>
      </c>
      <c r="I167" s="3">
        <v>287</v>
      </c>
      <c r="J167" s="3">
        <v>262</v>
      </c>
      <c r="K167" s="3">
        <v>1305</v>
      </c>
      <c r="L167" s="3">
        <v>743</v>
      </c>
      <c r="M167" s="3">
        <v>616</v>
      </c>
      <c r="N167" s="40">
        <v>395.02</v>
      </c>
      <c r="O167" s="40">
        <v>316100</v>
      </c>
      <c r="P167" s="38">
        <v>193.35977505689999</v>
      </c>
      <c r="Q167" s="38">
        <v>5</v>
      </c>
      <c r="R167" s="38">
        <f t="shared" si="2"/>
        <v>5.7870487570249614</v>
      </c>
      <c r="S167" s="41">
        <f>Rådatakommune[[#This Row],[B12]]/Rådatakommune[[#This Row],[B02]]-1</f>
        <v>4.6703296703296759E-2</v>
      </c>
      <c r="T167" s="41">
        <f>Rådatakommune[[#This Row],[Kvinner20-39]]/Rådatakommune[[#This Row],[B12]]</f>
        <v>0.11461067366579178</v>
      </c>
      <c r="U167" s="41">
        <f>Rådatakommune[[#This Row],[Eldre67+]]/Rådatakommune[[#This Row],[B12]]</f>
        <v>0.12554680664916884</v>
      </c>
      <c r="V167" s="41">
        <f>Rådatakommune[[#This Row],[S11]]/Rådatakommune[[#This Row],[S01]]-1</f>
        <v>-0.17092866756392999</v>
      </c>
      <c r="W167" s="41">
        <f>Rådatakommune[[#This Row],[Y11]]/Rådatakommune[[#This Row],[Folk20-64]]</f>
        <v>0.84597701149425286</v>
      </c>
    </row>
    <row r="168" spans="1:23" s="38" customFormat="1" ht="12.75">
      <c r="A168" s="42" t="s">
        <v>166</v>
      </c>
      <c r="B168" s="37">
        <v>10</v>
      </c>
      <c r="C168" s="38">
        <v>41</v>
      </c>
      <c r="D168" s="39" t="s">
        <v>433</v>
      </c>
      <c r="E168" s="43" t="s">
        <v>435</v>
      </c>
      <c r="F168" s="3">
        <v>902</v>
      </c>
      <c r="G168" s="3">
        <v>912</v>
      </c>
      <c r="H168" s="3">
        <v>471</v>
      </c>
      <c r="I168" s="3">
        <v>129</v>
      </c>
      <c r="J168" s="3">
        <v>83</v>
      </c>
      <c r="K168" s="3">
        <v>488</v>
      </c>
      <c r="L168" s="3">
        <v>489</v>
      </c>
      <c r="M168" s="3">
        <v>658</v>
      </c>
      <c r="N168" s="40">
        <v>887.52</v>
      </c>
      <c r="O168" s="40">
        <v>336000</v>
      </c>
      <c r="P168" s="38">
        <v>220.3435747648</v>
      </c>
      <c r="Q168" s="38">
        <v>5</v>
      </c>
      <c r="R168" s="38">
        <f t="shared" si="2"/>
        <v>1.0275824770146025</v>
      </c>
      <c r="S168" s="41">
        <f>Rådatakommune[[#This Row],[B12]]/Rådatakommune[[#This Row],[B02]]-1</f>
        <v>1.1086474501108556E-2</v>
      </c>
      <c r="T168" s="41">
        <f>Rådatakommune[[#This Row],[Kvinner20-39]]/Rådatakommune[[#This Row],[B12]]</f>
        <v>9.1008771929824567E-2</v>
      </c>
      <c r="U168" s="41">
        <f>Rådatakommune[[#This Row],[Eldre67+]]/Rådatakommune[[#This Row],[B12]]</f>
        <v>0.14144736842105263</v>
      </c>
      <c r="V168" s="41">
        <f>Rådatakommune[[#This Row],[S11]]/Rådatakommune[[#This Row],[S01]]-1</f>
        <v>0.34560327198364016</v>
      </c>
      <c r="W168" s="41">
        <f>Rådatakommune[[#This Row],[Y11]]/Rådatakommune[[#This Row],[Folk20-64]]</f>
        <v>0.9651639344262295</v>
      </c>
    </row>
    <row r="169" spans="1:23" s="38" customFormat="1" ht="12.75">
      <c r="A169" s="42" t="s">
        <v>167</v>
      </c>
      <c r="B169" s="37">
        <v>10</v>
      </c>
      <c r="C169" s="38">
        <v>38</v>
      </c>
      <c r="D169" s="39" t="s">
        <v>433</v>
      </c>
      <c r="E169" s="43" t="s">
        <v>435</v>
      </c>
      <c r="F169" s="3">
        <v>1554</v>
      </c>
      <c r="G169" s="3">
        <v>1689</v>
      </c>
      <c r="H169" s="3">
        <v>865</v>
      </c>
      <c r="I169" s="3">
        <v>229</v>
      </c>
      <c r="J169" s="3">
        <v>199</v>
      </c>
      <c r="K169" s="3">
        <v>935</v>
      </c>
      <c r="L169" s="3">
        <v>597</v>
      </c>
      <c r="M169" s="3">
        <v>694</v>
      </c>
      <c r="N169" s="40">
        <v>251.46</v>
      </c>
      <c r="O169" s="40">
        <v>321900</v>
      </c>
      <c r="P169" s="38">
        <v>203.20316415510001</v>
      </c>
      <c r="Q169" s="38">
        <v>5</v>
      </c>
      <c r="R169" s="38">
        <f t="shared" si="2"/>
        <v>6.7167740396086852</v>
      </c>
      <c r="S169" s="41">
        <f>Rådatakommune[[#This Row],[B12]]/Rådatakommune[[#This Row],[B02]]-1</f>
        <v>8.687258687258681E-2</v>
      </c>
      <c r="T169" s="41">
        <f>Rådatakommune[[#This Row],[Kvinner20-39]]/Rådatakommune[[#This Row],[B12]]</f>
        <v>0.11782119597394908</v>
      </c>
      <c r="U169" s="41">
        <f>Rådatakommune[[#This Row],[Eldre67+]]/Rådatakommune[[#This Row],[B12]]</f>
        <v>0.13558318531675548</v>
      </c>
      <c r="V169" s="41">
        <f>Rådatakommune[[#This Row],[S11]]/Rådatakommune[[#This Row],[S01]]-1</f>
        <v>0.16247906197654949</v>
      </c>
      <c r="W169" s="41">
        <f>Rådatakommune[[#This Row],[Y11]]/Rådatakommune[[#This Row],[Folk20-64]]</f>
        <v>0.92513368983957223</v>
      </c>
    </row>
    <row r="170" spans="1:23" s="38" customFormat="1" ht="12.75">
      <c r="A170" s="42" t="s">
        <v>168</v>
      </c>
      <c r="B170" s="37">
        <v>10</v>
      </c>
      <c r="C170" s="38">
        <v>38</v>
      </c>
      <c r="D170" s="39" t="s">
        <v>434</v>
      </c>
      <c r="E170" s="43">
        <v>1</v>
      </c>
      <c r="F170" s="3">
        <v>4413</v>
      </c>
      <c r="G170" s="3">
        <v>4753</v>
      </c>
      <c r="H170" s="3">
        <v>2329</v>
      </c>
      <c r="I170" s="3">
        <v>672</v>
      </c>
      <c r="J170" s="3">
        <v>530</v>
      </c>
      <c r="K170" s="3">
        <v>2684</v>
      </c>
      <c r="L170" s="3">
        <v>1556</v>
      </c>
      <c r="M170" s="3">
        <v>1853</v>
      </c>
      <c r="N170" s="40">
        <v>316.39999999999998</v>
      </c>
      <c r="O170" s="40">
        <v>305400</v>
      </c>
      <c r="P170" s="38">
        <v>202.8812841079</v>
      </c>
      <c r="Q170" s="38">
        <v>5</v>
      </c>
      <c r="R170" s="38">
        <f t="shared" si="2"/>
        <v>15.022123893805311</v>
      </c>
      <c r="S170" s="41">
        <f>Rådatakommune[[#This Row],[B12]]/Rådatakommune[[#This Row],[B02]]-1</f>
        <v>7.7045094040335327E-2</v>
      </c>
      <c r="T170" s="41">
        <f>Rådatakommune[[#This Row],[Kvinner20-39]]/Rådatakommune[[#This Row],[B12]]</f>
        <v>0.11150852093414686</v>
      </c>
      <c r="U170" s="41">
        <f>Rådatakommune[[#This Row],[Eldre67+]]/Rådatakommune[[#This Row],[B12]]</f>
        <v>0.14138438880706922</v>
      </c>
      <c r="V170" s="41">
        <f>Rådatakommune[[#This Row],[S11]]/Rådatakommune[[#This Row],[S01]]-1</f>
        <v>0.19087403598971719</v>
      </c>
      <c r="W170" s="41">
        <f>Rådatakommune[[#This Row],[Y11]]/Rådatakommune[[#This Row],[Folk20-64]]</f>
        <v>0.8677347242921013</v>
      </c>
    </row>
    <row r="171" spans="1:23" s="38" customFormat="1" ht="12.75">
      <c r="A171" s="42" t="s">
        <v>169</v>
      </c>
      <c r="B171" s="37">
        <v>10</v>
      </c>
      <c r="C171" s="38">
        <v>39</v>
      </c>
      <c r="D171" s="39" t="s">
        <v>434</v>
      </c>
      <c r="E171" s="43">
        <v>1</v>
      </c>
      <c r="F171" s="3">
        <v>7192</v>
      </c>
      <c r="G171" s="3">
        <v>7895</v>
      </c>
      <c r="H171" s="3">
        <v>3812</v>
      </c>
      <c r="I171" s="3">
        <v>979</v>
      </c>
      <c r="J171" s="3">
        <v>972</v>
      </c>
      <c r="K171" s="3">
        <v>4394</v>
      </c>
      <c r="L171" s="3">
        <v>2969</v>
      </c>
      <c r="M171" s="3">
        <v>3822</v>
      </c>
      <c r="N171" s="40">
        <v>391.02</v>
      </c>
      <c r="O171" s="40">
        <v>322400</v>
      </c>
      <c r="P171" s="38">
        <v>220.60799680370002</v>
      </c>
      <c r="Q171" s="38">
        <v>5</v>
      </c>
      <c r="R171" s="38">
        <f t="shared" si="2"/>
        <v>20.190783080149355</v>
      </c>
      <c r="S171" s="41">
        <f>Rådatakommune[[#This Row],[B12]]/Rådatakommune[[#This Row],[B02]]-1</f>
        <v>9.774749721913234E-2</v>
      </c>
      <c r="T171" s="41">
        <f>Rådatakommune[[#This Row],[Kvinner20-39]]/Rådatakommune[[#This Row],[B12]]</f>
        <v>0.12311589613679544</v>
      </c>
      <c r="U171" s="41">
        <f>Rådatakommune[[#This Row],[Eldre67+]]/Rådatakommune[[#This Row],[B12]]</f>
        <v>0.1240025332488917</v>
      </c>
      <c r="V171" s="41">
        <f>Rådatakommune[[#This Row],[S11]]/Rådatakommune[[#This Row],[S01]]-1</f>
        <v>0.28730212192657456</v>
      </c>
      <c r="W171" s="41">
        <f>Rådatakommune[[#This Row],[Y11]]/Rådatakommune[[#This Row],[Folk20-64]]</f>
        <v>0.86754665452890301</v>
      </c>
    </row>
    <row r="172" spans="1:23" s="38" customFormat="1" ht="12.75">
      <c r="A172" s="42" t="s">
        <v>170</v>
      </c>
      <c r="B172" s="37">
        <v>10</v>
      </c>
      <c r="C172" s="38">
        <v>39</v>
      </c>
      <c r="D172" s="39" t="s">
        <v>433</v>
      </c>
      <c r="E172" s="43" t="s">
        <v>435</v>
      </c>
      <c r="F172" s="3">
        <v>1602</v>
      </c>
      <c r="G172" s="3">
        <v>1665</v>
      </c>
      <c r="H172" s="3">
        <v>872</v>
      </c>
      <c r="I172" s="3">
        <v>229</v>
      </c>
      <c r="J172" s="3">
        <v>206</v>
      </c>
      <c r="K172" s="3">
        <v>941</v>
      </c>
      <c r="L172" s="3">
        <v>551</v>
      </c>
      <c r="M172" s="3">
        <v>653</v>
      </c>
      <c r="N172" s="40">
        <v>461.32</v>
      </c>
      <c r="O172" s="40">
        <v>340400</v>
      </c>
      <c r="P172" s="38">
        <v>214.71333862310001</v>
      </c>
      <c r="Q172" s="38">
        <v>5</v>
      </c>
      <c r="R172" s="38">
        <f t="shared" si="2"/>
        <v>3.6092083586230816</v>
      </c>
      <c r="S172" s="41">
        <f>Rådatakommune[[#This Row],[B12]]/Rådatakommune[[#This Row],[B02]]-1</f>
        <v>3.9325842696629199E-2</v>
      </c>
      <c r="T172" s="41">
        <f>Rådatakommune[[#This Row],[Kvinner20-39]]/Rådatakommune[[#This Row],[B12]]</f>
        <v>0.12372372372372373</v>
      </c>
      <c r="U172" s="41">
        <f>Rådatakommune[[#This Row],[Eldre67+]]/Rådatakommune[[#This Row],[B12]]</f>
        <v>0.13753753753753753</v>
      </c>
      <c r="V172" s="41">
        <f>Rådatakommune[[#This Row],[S11]]/Rådatakommune[[#This Row],[S01]]-1</f>
        <v>0.18511796733212349</v>
      </c>
      <c r="W172" s="41">
        <f>Rådatakommune[[#This Row],[Y11]]/Rådatakommune[[#This Row],[Folk20-64]]</f>
        <v>0.92667375132837404</v>
      </c>
    </row>
    <row r="173" spans="1:23" s="38" customFormat="1" ht="12.75">
      <c r="A173" s="42" t="s">
        <v>171</v>
      </c>
      <c r="B173" s="37">
        <v>10</v>
      </c>
      <c r="C173" s="38">
        <v>40</v>
      </c>
      <c r="D173" s="39" t="s">
        <v>433</v>
      </c>
      <c r="E173" s="43">
        <v>1</v>
      </c>
      <c r="F173" s="3">
        <v>5530</v>
      </c>
      <c r="G173" s="3">
        <v>5834</v>
      </c>
      <c r="H173" s="3">
        <v>2888</v>
      </c>
      <c r="I173" s="3">
        <v>865</v>
      </c>
      <c r="J173" s="3">
        <v>641</v>
      </c>
      <c r="K173" s="3">
        <v>3296</v>
      </c>
      <c r="L173" s="3">
        <v>2276</v>
      </c>
      <c r="M173" s="3">
        <v>2363</v>
      </c>
      <c r="N173" s="40">
        <v>963.18999999999994</v>
      </c>
      <c r="O173" s="40">
        <v>318700</v>
      </c>
      <c r="P173" s="38">
        <v>232.85211337140001</v>
      </c>
      <c r="Q173" s="38">
        <v>6</v>
      </c>
      <c r="R173" s="38">
        <f t="shared" si="2"/>
        <v>6.0569565713929761</v>
      </c>
      <c r="S173" s="41">
        <f>Rådatakommune[[#This Row],[B12]]/Rådatakommune[[#This Row],[B02]]-1</f>
        <v>5.4972875226039886E-2</v>
      </c>
      <c r="T173" s="41">
        <f>Rådatakommune[[#This Row],[Kvinner20-39]]/Rådatakommune[[#This Row],[B12]]</f>
        <v>0.10987315735344531</v>
      </c>
      <c r="U173" s="41">
        <f>Rådatakommune[[#This Row],[Eldre67+]]/Rådatakommune[[#This Row],[B12]]</f>
        <v>0.14826876928351046</v>
      </c>
      <c r="V173" s="41">
        <f>Rådatakommune[[#This Row],[S11]]/Rådatakommune[[#This Row],[S01]]-1</f>
        <v>3.8224956063268811E-2</v>
      </c>
      <c r="W173" s="41">
        <f>Rådatakommune[[#This Row],[Y11]]/Rådatakommune[[#This Row],[Folk20-64]]</f>
        <v>0.87621359223300976</v>
      </c>
    </row>
    <row r="174" spans="1:23" s="38" customFormat="1" ht="12.75">
      <c r="A174" s="42" t="s">
        <v>172</v>
      </c>
      <c r="B174" s="37">
        <v>10</v>
      </c>
      <c r="C174" s="38">
        <v>42</v>
      </c>
      <c r="D174" s="39" t="s">
        <v>433</v>
      </c>
      <c r="E174" s="43" t="s">
        <v>435</v>
      </c>
      <c r="F174" s="3">
        <v>1758</v>
      </c>
      <c r="G174" s="3">
        <v>1816</v>
      </c>
      <c r="H174" s="3">
        <v>1009</v>
      </c>
      <c r="I174" s="3">
        <v>272</v>
      </c>
      <c r="J174" s="3">
        <v>218</v>
      </c>
      <c r="K174" s="3">
        <v>1027</v>
      </c>
      <c r="L174" s="3">
        <v>906</v>
      </c>
      <c r="M174" s="3">
        <v>1045</v>
      </c>
      <c r="N174" s="40">
        <v>1554.8300000000002</v>
      </c>
      <c r="O174" s="40">
        <v>367200</v>
      </c>
      <c r="P174" s="38">
        <v>237.8116612961</v>
      </c>
      <c r="Q174" s="38">
        <v>7</v>
      </c>
      <c r="R174" s="38">
        <f t="shared" si="2"/>
        <v>1.1679733475685443</v>
      </c>
      <c r="S174" s="41">
        <f>Rådatakommune[[#This Row],[B12]]/Rådatakommune[[#This Row],[B02]]-1</f>
        <v>3.2992036405005587E-2</v>
      </c>
      <c r="T174" s="41">
        <f>Rådatakommune[[#This Row],[Kvinner20-39]]/Rådatakommune[[#This Row],[B12]]</f>
        <v>0.12004405286343613</v>
      </c>
      <c r="U174" s="41">
        <f>Rådatakommune[[#This Row],[Eldre67+]]/Rådatakommune[[#This Row],[B12]]</f>
        <v>0.14977973568281938</v>
      </c>
      <c r="V174" s="41">
        <f>Rådatakommune[[#This Row],[S11]]/Rådatakommune[[#This Row],[S01]]-1</f>
        <v>0.15342163355408389</v>
      </c>
      <c r="W174" s="41">
        <f>Rådatakommune[[#This Row],[Y11]]/Rådatakommune[[#This Row],[Folk20-64]]</f>
        <v>0.98247322297955209</v>
      </c>
    </row>
    <row r="175" spans="1:23" s="38" customFormat="1" ht="12.75">
      <c r="A175" s="42" t="s">
        <v>173</v>
      </c>
      <c r="B175" s="37">
        <v>11</v>
      </c>
      <c r="C175" s="38">
        <v>43</v>
      </c>
      <c r="D175" s="39" t="s">
        <v>432</v>
      </c>
      <c r="E175" s="43">
        <v>1</v>
      </c>
      <c r="F175" s="3">
        <v>13324</v>
      </c>
      <c r="G175" s="3">
        <v>14475</v>
      </c>
      <c r="H175" s="3">
        <v>7627</v>
      </c>
      <c r="I175" s="3">
        <v>1856</v>
      </c>
      <c r="J175" s="3">
        <v>1689</v>
      </c>
      <c r="K175" s="3">
        <v>8347</v>
      </c>
      <c r="L175" s="3">
        <v>6099</v>
      </c>
      <c r="M175" s="3">
        <v>6616</v>
      </c>
      <c r="N175" s="40">
        <v>431.70000000000005</v>
      </c>
      <c r="O175" s="40">
        <v>359600</v>
      </c>
      <c r="P175" s="38">
        <v>211.1310995696</v>
      </c>
      <c r="Q175" s="38">
        <v>5</v>
      </c>
      <c r="R175" s="38">
        <f t="shared" si="2"/>
        <v>33.530229325920772</v>
      </c>
      <c r="S175" s="41">
        <f>Rådatakommune[[#This Row],[B12]]/Rådatakommune[[#This Row],[B02]]-1</f>
        <v>8.6385469828880179E-2</v>
      </c>
      <c r="T175" s="41">
        <f>Rådatakommune[[#This Row],[Kvinner20-39]]/Rådatakommune[[#This Row],[B12]]</f>
        <v>0.1166839378238342</v>
      </c>
      <c r="U175" s="41">
        <f>Rådatakommune[[#This Row],[Eldre67+]]/Rådatakommune[[#This Row],[B12]]</f>
        <v>0.12822107081174439</v>
      </c>
      <c r="V175" s="41">
        <f>Rådatakommune[[#This Row],[S11]]/Rådatakommune[[#This Row],[S01]]-1</f>
        <v>8.4767994753238263E-2</v>
      </c>
      <c r="W175" s="41">
        <f>Rådatakommune[[#This Row],[Y11]]/Rådatakommune[[#This Row],[Folk20-64]]</f>
        <v>0.91374146399904155</v>
      </c>
    </row>
    <row r="176" spans="1:23" s="38" customFormat="1" ht="12.75">
      <c r="A176" s="42" t="s">
        <v>174</v>
      </c>
      <c r="B176" s="37">
        <v>11</v>
      </c>
      <c r="C176" s="38">
        <v>44</v>
      </c>
      <c r="D176" s="39" t="s">
        <v>432</v>
      </c>
      <c r="E176" s="43">
        <v>1</v>
      </c>
      <c r="F176" s="3">
        <v>54929</v>
      </c>
      <c r="G176" s="3">
        <v>67814</v>
      </c>
      <c r="H176" s="3">
        <v>36857</v>
      </c>
      <c r="I176" s="3">
        <v>6469</v>
      </c>
      <c r="J176" s="3">
        <v>9605</v>
      </c>
      <c r="K176" s="3">
        <v>40894</v>
      </c>
      <c r="L176" s="3">
        <v>26100</v>
      </c>
      <c r="M176" s="3">
        <v>37015</v>
      </c>
      <c r="N176" s="40">
        <v>304.61</v>
      </c>
      <c r="O176" s="40">
        <v>403900</v>
      </c>
      <c r="P176" s="38">
        <v>162.3933241945</v>
      </c>
      <c r="Q176" s="38">
        <v>2</v>
      </c>
      <c r="R176" s="38">
        <f t="shared" si="2"/>
        <v>222.62565247365484</v>
      </c>
      <c r="S176" s="41">
        <f>Rådatakommune[[#This Row],[B12]]/Rådatakommune[[#This Row],[B02]]-1</f>
        <v>0.2345755429736569</v>
      </c>
      <c r="T176" s="41">
        <f>Rådatakommune[[#This Row],[Kvinner20-39]]/Rådatakommune[[#This Row],[B12]]</f>
        <v>0.14163742000176954</v>
      </c>
      <c r="U176" s="41">
        <f>Rådatakommune[[#This Row],[Eldre67+]]/Rådatakommune[[#This Row],[B12]]</f>
        <v>9.5393281623263632E-2</v>
      </c>
      <c r="V176" s="41">
        <f>Rådatakommune[[#This Row],[S11]]/Rådatakommune[[#This Row],[S01]]-1</f>
        <v>0.41819923371647505</v>
      </c>
      <c r="W176" s="41">
        <f>Rådatakommune[[#This Row],[Y11]]/Rådatakommune[[#This Row],[Folk20-64]]</f>
        <v>0.90128136156893435</v>
      </c>
    </row>
    <row r="177" spans="1:23" s="38" customFormat="1" ht="12.75">
      <c r="A177" s="42" t="s">
        <v>175</v>
      </c>
      <c r="B177" s="37">
        <v>11</v>
      </c>
      <c r="C177" s="38">
        <v>44</v>
      </c>
      <c r="D177" s="39" t="s">
        <v>432</v>
      </c>
      <c r="E177" s="43">
        <v>1</v>
      </c>
      <c r="F177" s="3">
        <v>109710</v>
      </c>
      <c r="G177" s="3">
        <v>127506</v>
      </c>
      <c r="H177" s="3">
        <v>69789</v>
      </c>
      <c r="I177" s="3">
        <v>13232</v>
      </c>
      <c r="J177" s="3">
        <v>18966</v>
      </c>
      <c r="K177" s="3">
        <v>79531</v>
      </c>
      <c r="L177" s="3">
        <v>67220</v>
      </c>
      <c r="M177" s="3">
        <v>80799</v>
      </c>
      <c r="N177" s="40">
        <v>71.45</v>
      </c>
      <c r="O177" s="40">
        <v>445500</v>
      </c>
      <c r="P177" s="38">
        <v>163.6584520923</v>
      </c>
      <c r="Q177" s="38">
        <v>2</v>
      </c>
      <c r="R177" s="38">
        <f t="shared" si="2"/>
        <v>1784.5486354093771</v>
      </c>
      <c r="S177" s="41">
        <f>Rådatakommune[[#This Row],[B12]]/Rådatakommune[[#This Row],[B02]]-1</f>
        <v>0.16220946130708236</v>
      </c>
      <c r="T177" s="41">
        <f>Rådatakommune[[#This Row],[Kvinner20-39]]/Rådatakommune[[#This Row],[B12]]</f>
        <v>0.14874594136746505</v>
      </c>
      <c r="U177" s="41">
        <f>Rådatakommune[[#This Row],[Eldre67+]]/Rådatakommune[[#This Row],[B12]]</f>
        <v>0.1037755086035167</v>
      </c>
      <c r="V177" s="41">
        <f>Rådatakommune[[#This Row],[S11]]/Rådatakommune[[#This Row],[S01]]-1</f>
        <v>0.20200833085391245</v>
      </c>
      <c r="W177" s="41">
        <f>Rådatakommune[[#This Row],[Y11]]/Rådatakommune[[#This Row],[Folk20-64]]</f>
        <v>0.87750688410808364</v>
      </c>
    </row>
    <row r="178" spans="1:23" s="38" customFormat="1" ht="12.75">
      <c r="A178" s="42" t="s">
        <v>176</v>
      </c>
      <c r="B178" s="37">
        <v>11</v>
      </c>
      <c r="C178" s="38">
        <v>45</v>
      </c>
      <c r="D178" s="39" t="s">
        <v>432</v>
      </c>
      <c r="E178" s="43">
        <v>1</v>
      </c>
      <c r="F178" s="3">
        <v>30742</v>
      </c>
      <c r="G178" s="3">
        <v>35099</v>
      </c>
      <c r="H178" s="3">
        <v>17899</v>
      </c>
      <c r="I178" s="3">
        <v>4424</v>
      </c>
      <c r="J178" s="3">
        <v>4710</v>
      </c>
      <c r="K178" s="3">
        <v>21174</v>
      </c>
      <c r="L178" s="3">
        <v>17900</v>
      </c>
      <c r="M178" s="3">
        <v>21734</v>
      </c>
      <c r="N178" s="40">
        <v>72.72</v>
      </c>
      <c r="O178" s="40">
        <v>359700</v>
      </c>
      <c r="P178" s="38">
        <v>163.7287982348</v>
      </c>
      <c r="Q178" s="38">
        <v>4</v>
      </c>
      <c r="R178" s="38">
        <f t="shared" si="2"/>
        <v>482.65951595159515</v>
      </c>
      <c r="S178" s="41">
        <f>Rådatakommune[[#This Row],[B12]]/Rådatakommune[[#This Row],[B02]]-1</f>
        <v>0.14172792921735744</v>
      </c>
      <c r="T178" s="41">
        <f>Rådatakommune[[#This Row],[Kvinner20-39]]/Rådatakommune[[#This Row],[B12]]</f>
        <v>0.13419185731787231</v>
      </c>
      <c r="U178" s="41">
        <f>Rådatakommune[[#This Row],[Eldre67+]]/Rådatakommune[[#This Row],[B12]]</f>
        <v>0.12604347702213739</v>
      </c>
      <c r="V178" s="41">
        <f>Rådatakommune[[#This Row],[S11]]/Rådatakommune[[#This Row],[S01]]-1</f>
        <v>0.21418994413407821</v>
      </c>
      <c r="W178" s="41">
        <f>Rådatakommune[[#This Row],[Y11]]/Rådatakommune[[#This Row],[Folk20-64]]</f>
        <v>0.84532917729290635</v>
      </c>
    </row>
    <row r="179" spans="1:23" s="38" customFormat="1" ht="12.75">
      <c r="A179" s="42" t="s">
        <v>177</v>
      </c>
      <c r="B179" s="37">
        <v>11</v>
      </c>
      <c r="C179" s="38">
        <v>43</v>
      </c>
      <c r="D179" s="39" t="s">
        <v>433</v>
      </c>
      <c r="E179" s="43">
        <v>1</v>
      </c>
      <c r="F179" s="3">
        <v>3309</v>
      </c>
      <c r="G179" s="3">
        <v>3257</v>
      </c>
      <c r="H179" s="3">
        <v>1598</v>
      </c>
      <c r="I179" s="3">
        <v>537</v>
      </c>
      <c r="J179" s="3">
        <v>355</v>
      </c>
      <c r="K179" s="3">
        <v>1794</v>
      </c>
      <c r="L179" s="3">
        <v>1109</v>
      </c>
      <c r="M179" s="3">
        <v>1190</v>
      </c>
      <c r="N179" s="40">
        <v>294.79000000000002</v>
      </c>
      <c r="O179" s="40">
        <v>333400</v>
      </c>
      <c r="P179" s="38">
        <v>227.12412678430002</v>
      </c>
      <c r="Q179" s="38">
        <v>5</v>
      </c>
      <c r="R179" s="38">
        <f t="shared" si="2"/>
        <v>11.048543030631974</v>
      </c>
      <c r="S179" s="41">
        <f>Rådatakommune[[#This Row],[B12]]/Rådatakommune[[#This Row],[B02]]-1</f>
        <v>-1.5714717437292247E-2</v>
      </c>
      <c r="T179" s="41">
        <f>Rådatakommune[[#This Row],[Kvinner20-39]]/Rådatakommune[[#This Row],[B12]]</f>
        <v>0.10899600859686828</v>
      </c>
      <c r="U179" s="41">
        <f>Rådatakommune[[#This Row],[Eldre67+]]/Rådatakommune[[#This Row],[B12]]</f>
        <v>0.16487565244089653</v>
      </c>
      <c r="V179" s="41">
        <f>Rådatakommune[[#This Row],[S11]]/Rådatakommune[[#This Row],[S01]]-1</f>
        <v>7.3038773669972912E-2</v>
      </c>
      <c r="W179" s="41">
        <f>Rådatakommune[[#This Row],[Y11]]/Rådatakommune[[#This Row],[Folk20-64]]</f>
        <v>0.89074693422519513</v>
      </c>
    </row>
    <row r="180" spans="1:23" s="38" customFormat="1" ht="12.75">
      <c r="A180" s="42" t="s">
        <v>178</v>
      </c>
      <c r="B180" s="37">
        <v>11</v>
      </c>
      <c r="C180" s="38">
        <v>40</v>
      </c>
      <c r="D180" s="39" t="s">
        <v>433</v>
      </c>
      <c r="E180" s="43">
        <v>1</v>
      </c>
      <c r="F180" s="3">
        <v>3130</v>
      </c>
      <c r="G180" s="3">
        <v>3183</v>
      </c>
      <c r="H180" s="3">
        <v>1634</v>
      </c>
      <c r="I180" s="3">
        <v>421</v>
      </c>
      <c r="J180" s="3">
        <v>376</v>
      </c>
      <c r="K180" s="3">
        <v>1775</v>
      </c>
      <c r="L180" s="3">
        <v>1424</v>
      </c>
      <c r="M180" s="3">
        <v>1602</v>
      </c>
      <c r="N180" s="40">
        <v>408.40999999999997</v>
      </c>
      <c r="O180" s="40">
        <v>324400</v>
      </c>
      <c r="P180" s="38">
        <v>232.28126672689999</v>
      </c>
      <c r="Q180" s="38">
        <v>6</v>
      </c>
      <c r="R180" s="38">
        <f t="shared" si="2"/>
        <v>7.7936387453784191</v>
      </c>
      <c r="S180" s="41">
        <f>Rådatakommune[[#This Row],[B12]]/Rådatakommune[[#This Row],[B02]]-1</f>
        <v>1.6932907348242709E-2</v>
      </c>
      <c r="T180" s="41">
        <f>Rådatakommune[[#This Row],[Kvinner20-39]]/Rådatakommune[[#This Row],[B12]]</f>
        <v>0.11812755262331134</v>
      </c>
      <c r="U180" s="41">
        <f>Rådatakommune[[#This Row],[Eldre67+]]/Rådatakommune[[#This Row],[B12]]</f>
        <v>0.13226515865535657</v>
      </c>
      <c r="V180" s="41">
        <f>Rådatakommune[[#This Row],[S11]]/Rådatakommune[[#This Row],[S01]]-1</f>
        <v>0.125</v>
      </c>
      <c r="W180" s="41">
        <f>Rådatakommune[[#This Row],[Y11]]/Rådatakommune[[#This Row],[Folk20-64]]</f>
        <v>0.92056338028169016</v>
      </c>
    </row>
    <row r="181" spans="1:23" s="38" customFormat="1" ht="12.75">
      <c r="A181" s="42" t="s">
        <v>179</v>
      </c>
      <c r="B181" s="37">
        <v>11</v>
      </c>
      <c r="C181" s="38">
        <v>44</v>
      </c>
      <c r="D181" s="39" t="s">
        <v>432</v>
      </c>
      <c r="E181" s="43">
        <v>1</v>
      </c>
      <c r="F181" s="3">
        <v>2467</v>
      </c>
      <c r="G181" s="3">
        <v>2739</v>
      </c>
      <c r="H181" s="3">
        <v>1525</v>
      </c>
      <c r="I181" s="3">
        <v>319</v>
      </c>
      <c r="J181" s="3">
        <v>334</v>
      </c>
      <c r="K181" s="3">
        <v>1554</v>
      </c>
      <c r="L181" s="3">
        <v>994</v>
      </c>
      <c r="M181" s="3">
        <v>1148</v>
      </c>
      <c r="N181" s="40">
        <v>650.55999999999995</v>
      </c>
      <c r="O181" s="40">
        <v>357200</v>
      </c>
      <c r="P181" s="38">
        <v>191.23009832079998</v>
      </c>
      <c r="Q181" s="38">
        <v>2</v>
      </c>
      <c r="R181" s="38">
        <f t="shared" si="2"/>
        <v>4.2102188883423519</v>
      </c>
      <c r="S181" s="41">
        <f>Rådatakommune[[#This Row],[B12]]/Rådatakommune[[#This Row],[B02]]-1</f>
        <v>0.11025537089582493</v>
      </c>
      <c r="T181" s="41">
        <f>Rådatakommune[[#This Row],[Kvinner20-39]]/Rådatakommune[[#This Row],[B12]]</f>
        <v>0.12194231471339904</v>
      </c>
      <c r="U181" s="41">
        <f>Rådatakommune[[#This Row],[Eldre67+]]/Rådatakommune[[#This Row],[B12]]</f>
        <v>0.11646586345381527</v>
      </c>
      <c r="V181" s="41">
        <f>Rådatakommune[[#This Row],[S11]]/Rådatakommune[[#This Row],[S01]]-1</f>
        <v>0.15492957746478875</v>
      </c>
      <c r="W181" s="41">
        <f>Rådatakommune[[#This Row],[Y11]]/Rådatakommune[[#This Row],[Folk20-64]]</f>
        <v>0.98133848133848134</v>
      </c>
    </row>
    <row r="182" spans="1:23" s="38" customFormat="1" ht="12.75">
      <c r="A182" s="42" t="s">
        <v>180</v>
      </c>
      <c r="B182" s="37">
        <v>11</v>
      </c>
      <c r="C182" s="38">
        <v>44</v>
      </c>
      <c r="D182" s="39" t="s">
        <v>432</v>
      </c>
      <c r="E182" s="43">
        <v>1</v>
      </c>
      <c r="F182" s="3">
        <v>14203</v>
      </c>
      <c r="G182" s="3">
        <v>17244</v>
      </c>
      <c r="H182" s="3">
        <v>9661</v>
      </c>
      <c r="I182" s="3">
        <v>1753</v>
      </c>
      <c r="J182" s="3">
        <v>2331</v>
      </c>
      <c r="K182" s="3">
        <v>9945</v>
      </c>
      <c r="L182" s="3">
        <v>5746</v>
      </c>
      <c r="M182" s="3">
        <v>7520</v>
      </c>
      <c r="N182" s="40">
        <v>258.01</v>
      </c>
      <c r="O182" s="40">
        <v>363700</v>
      </c>
      <c r="P182" s="38">
        <v>186.00411608580001</v>
      </c>
      <c r="Q182" s="38">
        <v>2</v>
      </c>
      <c r="R182" s="38">
        <f t="shared" si="2"/>
        <v>66.834618813224296</v>
      </c>
      <c r="S182" s="41">
        <f>Rådatakommune[[#This Row],[B12]]/Rådatakommune[[#This Row],[B02]]-1</f>
        <v>0.21410969513483069</v>
      </c>
      <c r="T182" s="41">
        <f>Rådatakommune[[#This Row],[Kvinner20-39]]/Rådatakommune[[#This Row],[B12]]</f>
        <v>0.13517745302713988</v>
      </c>
      <c r="U182" s="41">
        <f>Rådatakommune[[#This Row],[Eldre67+]]/Rådatakommune[[#This Row],[B12]]</f>
        <v>0.10165854790071908</v>
      </c>
      <c r="V182" s="41">
        <f>Rådatakommune[[#This Row],[S11]]/Rådatakommune[[#This Row],[S01]]-1</f>
        <v>0.30873651235642185</v>
      </c>
      <c r="W182" s="41">
        <f>Rådatakommune[[#This Row],[Y11]]/Rådatakommune[[#This Row],[Folk20-64]]</f>
        <v>0.97144293614881849</v>
      </c>
    </row>
    <row r="183" spans="1:23" s="38" customFormat="1" ht="12.75">
      <c r="A183" s="42" t="s">
        <v>181</v>
      </c>
      <c r="B183" s="37">
        <v>11</v>
      </c>
      <c r="C183" s="38">
        <v>44</v>
      </c>
      <c r="D183" s="39" t="s">
        <v>432</v>
      </c>
      <c r="E183" s="43">
        <v>1</v>
      </c>
      <c r="F183" s="3">
        <v>14009</v>
      </c>
      <c r="G183" s="3">
        <v>17746</v>
      </c>
      <c r="H183" s="3">
        <v>9852</v>
      </c>
      <c r="I183" s="3">
        <v>1638</v>
      </c>
      <c r="J183" s="3">
        <v>2457</v>
      </c>
      <c r="K183" s="3">
        <v>10321</v>
      </c>
      <c r="L183" s="3">
        <v>5184</v>
      </c>
      <c r="M183" s="3">
        <v>7590</v>
      </c>
      <c r="N183" s="40">
        <v>113.5</v>
      </c>
      <c r="O183" s="40">
        <v>384300</v>
      </c>
      <c r="P183" s="38">
        <v>168.0772505681</v>
      </c>
      <c r="Q183" s="38">
        <v>2</v>
      </c>
      <c r="R183" s="38">
        <f t="shared" si="2"/>
        <v>156.352422907489</v>
      </c>
      <c r="S183" s="41">
        <f>Rådatakommune[[#This Row],[B12]]/Rådatakommune[[#This Row],[B02]]-1</f>
        <v>0.26675708473124415</v>
      </c>
      <c r="T183" s="41">
        <f>Rådatakommune[[#This Row],[Kvinner20-39]]/Rådatakommune[[#This Row],[B12]]</f>
        <v>0.13845373605319508</v>
      </c>
      <c r="U183" s="41">
        <f>Rådatakommune[[#This Row],[Eldre67+]]/Rådatakommune[[#This Row],[B12]]</f>
        <v>9.2302490702130063E-2</v>
      </c>
      <c r="V183" s="41">
        <f>Rådatakommune[[#This Row],[S11]]/Rådatakommune[[#This Row],[S01]]-1</f>
        <v>0.46412037037037046</v>
      </c>
      <c r="W183" s="41">
        <f>Rådatakommune[[#This Row],[Y11]]/Rådatakommune[[#This Row],[Folk20-64]]</f>
        <v>0.95455866679585311</v>
      </c>
    </row>
    <row r="184" spans="1:23" s="38" customFormat="1" ht="12.75">
      <c r="A184" s="42" t="s">
        <v>182</v>
      </c>
      <c r="B184" s="37">
        <v>11</v>
      </c>
      <c r="C184" s="38">
        <v>44</v>
      </c>
      <c r="D184" s="39" t="s">
        <v>432</v>
      </c>
      <c r="E184" s="43">
        <v>1</v>
      </c>
      <c r="F184" s="3">
        <v>13593</v>
      </c>
      <c r="G184" s="3">
        <v>16769</v>
      </c>
      <c r="H184" s="3">
        <v>9354</v>
      </c>
      <c r="I184" s="3">
        <v>1692</v>
      </c>
      <c r="J184" s="3">
        <v>2276</v>
      </c>
      <c r="K184" s="3">
        <v>9871</v>
      </c>
      <c r="L184" s="3">
        <v>6034</v>
      </c>
      <c r="M184" s="3">
        <v>7314</v>
      </c>
      <c r="N184" s="40">
        <v>183.67</v>
      </c>
      <c r="O184" s="40">
        <v>390800</v>
      </c>
      <c r="P184" s="38">
        <v>172.35607635719998</v>
      </c>
      <c r="Q184" s="38">
        <v>2</v>
      </c>
      <c r="R184" s="38">
        <f t="shared" si="2"/>
        <v>91.29961343714271</v>
      </c>
      <c r="S184" s="41">
        <f>Rådatakommune[[#This Row],[B12]]/Rådatakommune[[#This Row],[B02]]-1</f>
        <v>0.23364967262561609</v>
      </c>
      <c r="T184" s="41">
        <f>Rådatakommune[[#This Row],[Kvinner20-39]]/Rådatakommune[[#This Row],[B12]]</f>
        <v>0.13572663843997854</v>
      </c>
      <c r="U184" s="41">
        <f>Rådatakommune[[#This Row],[Eldre67+]]/Rådatakommune[[#This Row],[B12]]</f>
        <v>0.10090047110740057</v>
      </c>
      <c r="V184" s="41">
        <f>Rådatakommune[[#This Row],[S11]]/Rådatakommune[[#This Row],[S01]]-1</f>
        <v>0.21213125621478279</v>
      </c>
      <c r="W184" s="41">
        <f>Rådatakommune[[#This Row],[Y11]]/Rådatakommune[[#This Row],[Folk20-64]]</f>
        <v>0.94762435416877722</v>
      </c>
    </row>
    <row r="185" spans="1:23" s="38" customFormat="1" ht="12.75">
      <c r="A185" s="42" t="s">
        <v>183</v>
      </c>
      <c r="B185" s="37">
        <v>11</v>
      </c>
      <c r="C185" s="38">
        <v>44</v>
      </c>
      <c r="D185" s="39" t="s">
        <v>432</v>
      </c>
      <c r="E185" s="43">
        <v>1</v>
      </c>
      <c r="F185" s="3">
        <v>9104</v>
      </c>
      <c r="G185" s="3">
        <v>10778</v>
      </c>
      <c r="H185" s="3">
        <v>6144</v>
      </c>
      <c r="I185" s="3">
        <v>781</v>
      </c>
      <c r="J185" s="3">
        <v>1519</v>
      </c>
      <c r="K185" s="3">
        <v>6470</v>
      </c>
      <c r="L185" s="3">
        <v>2710</v>
      </c>
      <c r="M185" s="3">
        <v>3497</v>
      </c>
      <c r="N185" s="40">
        <v>617.5</v>
      </c>
      <c r="O185" s="40">
        <v>371000</v>
      </c>
      <c r="P185" s="38">
        <v>172.67071374099999</v>
      </c>
      <c r="Q185" s="38">
        <v>2</v>
      </c>
      <c r="R185" s="38">
        <f t="shared" si="2"/>
        <v>17.45425101214575</v>
      </c>
      <c r="S185" s="41">
        <f>Rådatakommune[[#This Row],[B12]]/Rådatakommune[[#This Row],[B02]]-1</f>
        <v>0.1838752196836555</v>
      </c>
      <c r="T185" s="41">
        <f>Rådatakommune[[#This Row],[Kvinner20-39]]/Rådatakommune[[#This Row],[B12]]</f>
        <v>0.14093523844869177</v>
      </c>
      <c r="U185" s="41">
        <f>Rådatakommune[[#This Row],[Eldre67+]]/Rådatakommune[[#This Row],[B12]]</f>
        <v>7.2462423455186498E-2</v>
      </c>
      <c r="V185" s="41">
        <f>Rådatakommune[[#This Row],[S11]]/Rådatakommune[[#This Row],[S01]]-1</f>
        <v>0.29040590405904054</v>
      </c>
      <c r="W185" s="41">
        <f>Rådatakommune[[#This Row],[Y11]]/Rådatakommune[[#This Row],[Folk20-64]]</f>
        <v>0.94961360123647609</v>
      </c>
    </row>
    <row r="186" spans="1:23" s="38" customFormat="1" ht="12.75">
      <c r="A186" s="42" t="s">
        <v>184</v>
      </c>
      <c r="B186" s="37">
        <v>11</v>
      </c>
      <c r="C186" s="38">
        <v>44</v>
      </c>
      <c r="D186" s="39" t="s">
        <v>432</v>
      </c>
      <c r="E186" s="43">
        <v>1</v>
      </c>
      <c r="F186" s="3">
        <v>19231</v>
      </c>
      <c r="G186" s="3">
        <v>23877</v>
      </c>
      <c r="H186" s="3">
        <v>13081</v>
      </c>
      <c r="I186" s="3">
        <v>2278</v>
      </c>
      <c r="J186" s="3">
        <v>3267</v>
      </c>
      <c r="K186" s="3">
        <v>14136</v>
      </c>
      <c r="L186" s="3">
        <v>13561</v>
      </c>
      <c r="M186" s="3">
        <v>20140</v>
      </c>
      <c r="N186" s="40">
        <v>69.13</v>
      </c>
      <c r="O186" s="40">
        <v>448600</v>
      </c>
      <c r="P186" s="38">
        <v>154.23509961164001</v>
      </c>
      <c r="Q186" s="38">
        <v>2</v>
      </c>
      <c r="R186" s="38">
        <f t="shared" si="2"/>
        <v>345.39273831910896</v>
      </c>
      <c r="S186" s="41">
        <f>Rådatakommune[[#This Row],[B12]]/Rådatakommune[[#This Row],[B02]]-1</f>
        <v>0.24158910093078889</v>
      </c>
      <c r="T186" s="41">
        <f>Rådatakommune[[#This Row],[Kvinner20-39]]/Rådatakommune[[#This Row],[B12]]</f>
        <v>0.13682623445156428</v>
      </c>
      <c r="U186" s="41">
        <f>Rådatakommune[[#This Row],[Eldre67+]]/Rådatakommune[[#This Row],[B12]]</f>
        <v>9.5405620471583533E-2</v>
      </c>
      <c r="V186" s="41">
        <f>Rådatakommune[[#This Row],[S11]]/Rådatakommune[[#This Row],[S01]]-1</f>
        <v>0.48514121377479547</v>
      </c>
      <c r="W186" s="41">
        <f>Rådatakommune[[#This Row],[Y11]]/Rådatakommune[[#This Row],[Folk20-64]]</f>
        <v>0.92536785512167519</v>
      </c>
    </row>
    <row r="187" spans="1:23" s="38" customFormat="1" ht="12.75">
      <c r="A187" s="42" t="s">
        <v>185</v>
      </c>
      <c r="B187" s="37">
        <v>11</v>
      </c>
      <c r="C187" s="38">
        <v>44</v>
      </c>
      <c r="D187" s="39" t="s">
        <v>432</v>
      </c>
      <c r="E187" s="43">
        <v>1</v>
      </c>
      <c r="F187" s="3">
        <v>8880</v>
      </c>
      <c r="G187" s="3">
        <v>10265</v>
      </c>
      <c r="H187" s="3">
        <v>5438</v>
      </c>
      <c r="I187" s="3">
        <v>1075</v>
      </c>
      <c r="J187" s="3">
        <v>1299</v>
      </c>
      <c r="K187" s="3">
        <v>5898</v>
      </c>
      <c r="L187" s="3">
        <v>2739</v>
      </c>
      <c r="M187" s="3">
        <v>3851</v>
      </c>
      <c r="N187" s="40">
        <v>24.7</v>
      </c>
      <c r="O187" s="40">
        <v>423500</v>
      </c>
      <c r="P187" s="38">
        <v>167.16741645830001</v>
      </c>
      <c r="Q187" s="38">
        <v>2</v>
      </c>
      <c r="R187" s="38">
        <f t="shared" si="2"/>
        <v>415.58704453441294</v>
      </c>
      <c r="S187" s="41">
        <f>Rådatakommune[[#This Row],[B12]]/Rådatakommune[[#This Row],[B02]]-1</f>
        <v>0.15596846846846857</v>
      </c>
      <c r="T187" s="41">
        <f>Rådatakommune[[#This Row],[Kvinner20-39]]/Rådatakommune[[#This Row],[B12]]</f>
        <v>0.12654651729176813</v>
      </c>
      <c r="U187" s="41">
        <f>Rådatakommune[[#This Row],[Eldre67+]]/Rådatakommune[[#This Row],[B12]]</f>
        <v>0.10472479298587432</v>
      </c>
      <c r="V187" s="41">
        <f>Rådatakommune[[#This Row],[S11]]/Rådatakommune[[#This Row],[S01]]-1</f>
        <v>0.4059875867104783</v>
      </c>
      <c r="W187" s="41">
        <f>Rådatakommune[[#This Row],[Y11]]/Rådatakommune[[#This Row],[Folk20-64]]</f>
        <v>0.92200746015598511</v>
      </c>
    </row>
    <row r="188" spans="1:23" s="38" customFormat="1" ht="12.75">
      <c r="A188" s="42" t="s">
        <v>186</v>
      </c>
      <c r="B188" s="37">
        <v>11</v>
      </c>
      <c r="C188" s="38">
        <v>44</v>
      </c>
      <c r="D188" s="39" t="s">
        <v>434</v>
      </c>
      <c r="E188" s="43">
        <v>1</v>
      </c>
      <c r="F188" s="3">
        <v>1055</v>
      </c>
      <c r="G188" s="3">
        <v>1190</v>
      </c>
      <c r="H188" s="3">
        <v>629</v>
      </c>
      <c r="I188" s="3">
        <v>164</v>
      </c>
      <c r="J188" s="3">
        <v>121</v>
      </c>
      <c r="K188" s="3">
        <v>648</v>
      </c>
      <c r="L188" s="3">
        <v>489</v>
      </c>
      <c r="M188" s="3">
        <v>528</v>
      </c>
      <c r="N188" s="40">
        <v>780.06999999999994</v>
      </c>
      <c r="O188" s="40">
        <v>353900</v>
      </c>
      <c r="P188" s="38">
        <v>199.67011548409999</v>
      </c>
      <c r="Q188" s="38">
        <v>2</v>
      </c>
      <c r="R188" s="38">
        <f t="shared" si="2"/>
        <v>1.5255041214250005</v>
      </c>
      <c r="S188" s="41">
        <f>Rådatakommune[[#This Row],[B12]]/Rådatakommune[[#This Row],[B02]]-1</f>
        <v>0.12796208530805697</v>
      </c>
      <c r="T188" s="41">
        <f>Rådatakommune[[#This Row],[Kvinner20-39]]/Rådatakommune[[#This Row],[B12]]</f>
        <v>0.10168067226890756</v>
      </c>
      <c r="U188" s="41">
        <f>Rådatakommune[[#This Row],[Eldre67+]]/Rådatakommune[[#This Row],[B12]]</f>
        <v>0.13781512605042018</v>
      </c>
      <c r="V188" s="41">
        <f>Rådatakommune[[#This Row],[S11]]/Rådatakommune[[#This Row],[S01]]-1</f>
        <v>7.9754601226993849E-2</v>
      </c>
      <c r="W188" s="41">
        <f>Rådatakommune[[#This Row],[Y11]]/Rådatakommune[[#This Row],[Folk20-64]]</f>
        <v>0.97067901234567899</v>
      </c>
    </row>
    <row r="189" spans="1:23" s="38" customFormat="1" ht="12.75">
      <c r="A189" s="42" t="s">
        <v>187</v>
      </c>
      <c r="B189" s="37">
        <v>11</v>
      </c>
      <c r="C189" s="38">
        <v>44</v>
      </c>
      <c r="D189" s="39" t="s">
        <v>432</v>
      </c>
      <c r="E189" s="43">
        <v>1</v>
      </c>
      <c r="F189" s="3">
        <v>10188</v>
      </c>
      <c r="G189" s="3">
        <v>11533</v>
      </c>
      <c r="H189" s="3">
        <v>5989</v>
      </c>
      <c r="I189" s="3">
        <v>1371</v>
      </c>
      <c r="J189" s="3">
        <v>1519</v>
      </c>
      <c r="K189" s="3">
        <v>6551</v>
      </c>
      <c r="L189" s="3">
        <v>3285</v>
      </c>
      <c r="M189" s="3">
        <v>4276</v>
      </c>
      <c r="N189" s="40">
        <v>218.17000000000002</v>
      </c>
      <c r="O189" s="40">
        <v>364000</v>
      </c>
      <c r="P189" s="38">
        <v>208.71012144549999</v>
      </c>
      <c r="Q189" s="38">
        <v>2</v>
      </c>
      <c r="R189" s="38">
        <f t="shared" si="2"/>
        <v>52.862446715863776</v>
      </c>
      <c r="S189" s="41">
        <f>Rådatakommune[[#This Row],[B12]]/Rådatakommune[[#This Row],[B02]]-1</f>
        <v>0.13201806046329012</v>
      </c>
      <c r="T189" s="41">
        <f>Rådatakommune[[#This Row],[Kvinner20-39]]/Rådatakommune[[#This Row],[B12]]</f>
        <v>0.13170900893089396</v>
      </c>
      <c r="U189" s="41">
        <f>Rådatakommune[[#This Row],[Eldre67+]]/Rådatakommune[[#This Row],[B12]]</f>
        <v>0.11887626810023411</v>
      </c>
      <c r="V189" s="41">
        <f>Rådatakommune[[#This Row],[S11]]/Rådatakommune[[#This Row],[S01]]-1</f>
        <v>0.30167427701674288</v>
      </c>
      <c r="W189" s="41">
        <f>Rådatakommune[[#This Row],[Y11]]/Rådatakommune[[#This Row],[Folk20-64]]</f>
        <v>0.91421157075255688</v>
      </c>
    </row>
    <row r="190" spans="1:23" s="38" customFormat="1" ht="12.75">
      <c r="A190" s="42" t="s">
        <v>188</v>
      </c>
      <c r="B190" s="37">
        <v>11</v>
      </c>
      <c r="C190" s="38">
        <v>46</v>
      </c>
      <c r="D190" s="39" t="s">
        <v>433</v>
      </c>
      <c r="E190" s="43">
        <v>2</v>
      </c>
      <c r="F190" s="3">
        <v>2708</v>
      </c>
      <c r="G190" s="3">
        <v>2807</v>
      </c>
      <c r="H190" s="3">
        <v>1506</v>
      </c>
      <c r="I190" s="3">
        <v>411</v>
      </c>
      <c r="J190" s="3">
        <v>321</v>
      </c>
      <c r="K190" s="3">
        <v>1563</v>
      </c>
      <c r="L190" s="3">
        <v>1348</v>
      </c>
      <c r="M190" s="3">
        <v>1467</v>
      </c>
      <c r="N190" s="40">
        <v>1088.96</v>
      </c>
      <c r="O190" s="40">
        <v>350700</v>
      </c>
      <c r="P190" s="38">
        <v>252.69941515799999</v>
      </c>
      <c r="Q190" s="38">
        <v>11</v>
      </c>
      <c r="R190" s="38">
        <f t="shared" si="2"/>
        <v>2.5776888039964736</v>
      </c>
      <c r="S190" s="41">
        <f>Rådatakommune[[#This Row],[B12]]/Rådatakommune[[#This Row],[B02]]-1</f>
        <v>3.6558345642540679E-2</v>
      </c>
      <c r="T190" s="41">
        <f>Rådatakommune[[#This Row],[Kvinner20-39]]/Rådatakommune[[#This Row],[B12]]</f>
        <v>0.11435696473102958</v>
      </c>
      <c r="U190" s="41">
        <f>Rådatakommune[[#This Row],[Eldre67+]]/Rådatakommune[[#This Row],[B12]]</f>
        <v>0.14641966512290702</v>
      </c>
      <c r="V190" s="41">
        <f>Rådatakommune[[#This Row],[S11]]/Rådatakommune[[#This Row],[S01]]-1</f>
        <v>8.8278931750741751E-2</v>
      </c>
      <c r="W190" s="41">
        <f>Rådatakommune[[#This Row],[Y11]]/Rådatakommune[[#This Row],[Folk20-64]]</f>
        <v>0.96353166986564298</v>
      </c>
    </row>
    <row r="191" spans="1:23" s="38" customFormat="1" ht="12.75">
      <c r="A191" s="42" t="s">
        <v>189</v>
      </c>
      <c r="B191" s="37">
        <v>11</v>
      </c>
      <c r="C191" s="38">
        <v>47</v>
      </c>
      <c r="D191" s="39" t="s">
        <v>433</v>
      </c>
      <c r="E191" s="43">
        <v>2</v>
      </c>
      <c r="F191" s="3">
        <v>3984</v>
      </c>
      <c r="G191" s="3">
        <v>3845</v>
      </c>
      <c r="H191" s="3">
        <v>2043</v>
      </c>
      <c r="I191" s="3">
        <v>625</v>
      </c>
      <c r="J191" s="3">
        <v>406</v>
      </c>
      <c r="K191" s="3">
        <v>2116</v>
      </c>
      <c r="L191" s="3">
        <v>1945</v>
      </c>
      <c r="M191" s="3">
        <v>2140</v>
      </c>
      <c r="N191" s="40">
        <v>1737.1599999999999</v>
      </c>
      <c r="O191" s="40">
        <v>335000</v>
      </c>
      <c r="P191" s="38">
        <v>239.61046894770001</v>
      </c>
      <c r="Q191" s="38">
        <v>10</v>
      </c>
      <c r="R191" s="38">
        <f t="shared" si="2"/>
        <v>2.2133827626701055</v>
      </c>
      <c r="S191" s="41">
        <f>Rådatakommune[[#This Row],[B12]]/Rådatakommune[[#This Row],[B02]]-1</f>
        <v>-3.4889558232931717E-2</v>
      </c>
      <c r="T191" s="41">
        <f>Rådatakommune[[#This Row],[Kvinner20-39]]/Rådatakommune[[#This Row],[B12]]</f>
        <v>0.10559167750325098</v>
      </c>
      <c r="U191" s="41">
        <f>Rådatakommune[[#This Row],[Eldre67+]]/Rådatakommune[[#This Row],[B12]]</f>
        <v>0.1625487646293888</v>
      </c>
      <c r="V191" s="41">
        <f>Rådatakommune[[#This Row],[S11]]/Rådatakommune[[#This Row],[S01]]-1</f>
        <v>0.10025706940874035</v>
      </c>
      <c r="W191" s="41">
        <f>Rådatakommune[[#This Row],[Y11]]/Rådatakommune[[#This Row],[Folk20-64]]</f>
        <v>0.96550094517958407</v>
      </c>
    </row>
    <row r="192" spans="1:23" s="38" customFormat="1" ht="12.75">
      <c r="A192" s="42" t="s">
        <v>190</v>
      </c>
      <c r="B192" s="37">
        <v>11</v>
      </c>
      <c r="C192" s="38">
        <v>48</v>
      </c>
      <c r="D192" s="39" t="s">
        <v>436</v>
      </c>
      <c r="E192" s="43" t="s">
        <v>435</v>
      </c>
      <c r="F192" s="3">
        <v>4926</v>
      </c>
      <c r="G192" s="3">
        <v>4754</v>
      </c>
      <c r="H192" s="3">
        <v>2418</v>
      </c>
      <c r="I192" s="3">
        <v>858</v>
      </c>
      <c r="J192" s="3">
        <v>528</v>
      </c>
      <c r="K192" s="3">
        <v>2667</v>
      </c>
      <c r="L192" s="3">
        <v>2040</v>
      </c>
      <c r="M192" s="3">
        <v>2131</v>
      </c>
      <c r="N192" s="40">
        <v>546.36</v>
      </c>
      <c r="O192" s="40">
        <v>337900</v>
      </c>
      <c r="P192" s="38">
        <v>251.86443753</v>
      </c>
      <c r="Q192" s="38">
        <v>9</v>
      </c>
      <c r="R192" s="38">
        <f t="shared" si="2"/>
        <v>8.7012226370890993</v>
      </c>
      <c r="S192" s="41">
        <f>Rådatakommune[[#This Row],[B12]]/Rådatakommune[[#This Row],[B02]]-1</f>
        <v>-3.491676816889977E-2</v>
      </c>
      <c r="T192" s="41">
        <f>Rådatakommune[[#This Row],[Kvinner20-39]]/Rådatakommune[[#This Row],[B12]]</f>
        <v>0.1110643668489693</v>
      </c>
      <c r="U192" s="41">
        <f>Rådatakommune[[#This Row],[Eldre67+]]/Rådatakommune[[#This Row],[B12]]</f>
        <v>0.18047959612957509</v>
      </c>
      <c r="V192" s="41">
        <f>Rådatakommune[[#This Row],[S11]]/Rådatakommune[[#This Row],[S01]]-1</f>
        <v>4.4607843137254966E-2</v>
      </c>
      <c r="W192" s="41">
        <f>Rådatakommune[[#This Row],[Y11]]/Rådatakommune[[#This Row],[Folk20-64]]</f>
        <v>0.906636670416198</v>
      </c>
    </row>
    <row r="193" spans="1:23" s="38" customFormat="1" ht="12.75">
      <c r="A193" s="42" t="s">
        <v>191</v>
      </c>
      <c r="B193" s="37">
        <v>11</v>
      </c>
      <c r="C193" s="38">
        <v>44</v>
      </c>
      <c r="D193" s="39" t="s">
        <v>433</v>
      </c>
      <c r="E193" s="43" t="s">
        <v>435</v>
      </c>
      <c r="F193" s="3">
        <v>2822</v>
      </c>
      <c r="G193" s="3">
        <v>2955</v>
      </c>
      <c r="H193" s="3">
        <v>1674</v>
      </c>
      <c r="I193" s="3">
        <v>437</v>
      </c>
      <c r="J193" s="3">
        <v>327</v>
      </c>
      <c r="K193" s="3">
        <v>1676</v>
      </c>
      <c r="L193" s="3">
        <v>1252</v>
      </c>
      <c r="M193" s="3">
        <v>1462</v>
      </c>
      <c r="N193" s="40">
        <v>104.38</v>
      </c>
      <c r="O193" s="40">
        <v>365700</v>
      </c>
      <c r="P193" s="38">
        <v>194.4205606006</v>
      </c>
      <c r="Q193" s="38">
        <v>2</v>
      </c>
      <c r="R193" s="38">
        <f t="shared" si="2"/>
        <v>28.310021076834644</v>
      </c>
      <c r="S193" s="41">
        <f>Rådatakommune[[#This Row],[B12]]/Rådatakommune[[#This Row],[B02]]-1</f>
        <v>4.7129695251594717E-2</v>
      </c>
      <c r="T193" s="41">
        <f>Rådatakommune[[#This Row],[Kvinner20-39]]/Rådatakommune[[#This Row],[B12]]</f>
        <v>0.11065989847715736</v>
      </c>
      <c r="U193" s="41">
        <f>Rådatakommune[[#This Row],[Eldre67+]]/Rådatakommune[[#This Row],[B12]]</f>
        <v>0.1478849407783418</v>
      </c>
      <c r="V193" s="41">
        <f>Rådatakommune[[#This Row],[S11]]/Rådatakommune[[#This Row],[S01]]-1</f>
        <v>0.16773162939297115</v>
      </c>
      <c r="W193" s="41">
        <f>Rådatakommune[[#This Row],[Y11]]/Rådatakommune[[#This Row],[Folk20-64]]</f>
        <v>0.99880668257756566</v>
      </c>
    </row>
    <row r="194" spans="1:23" s="38" customFormat="1" ht="12.75">
      <c r="A194" s="42" t="s">
        <v>192</v>
      </c>
      <c r="B194" s="37">
        <v>11</v>
      </c>
      <c r="C194" s="38">
        <v>44</v>
      </c>
      <c r="D194" s="39" t="s">
        <v>432</v>
      </c>
      <c r="E194" s="43">
        <v>1</v>
      </c>
      <c r="F194" s="3">
        <v>3249</v>
      </c>
      <c r="G194" s="3">
        <v>4388</v>
      </c>
      <c r="H194" s="3">
        <v>2410</v>
      </c>
      <c r="I194" s="3">
        <v>417</v>
      </c>
      <c r="J194" s="3">
        <v>579</v>
      </c>
      <c r="K194" s="3">
        <v>2510</v>
      </c>
      <c r="L194" s="3">
        <v>1043</v>
      </c>
      <c r="M194" s="3">
        <v>1195</v>
      </c>
      <c r="N194" s="40">
        <v>65.3</v>
      </c>
      <c r="O194" s="40">
        <v>421600</v>
      </c>
      <c r="P194" s="38">
        <v>180.61545932019999</v>
      </c>
      <c r="Q194" s="38">
        <v>2</v>
      </c>
      <c r="R194" s="38">
        <f t="shared" si="2"/>
        <v>67.197549770290962</v>
      </c>
      <c r="S194" s="41">
        <f>Rådatakommune[[#This Row],[B12]]/Rådatakommune[[#This Row],[B02]]-1</f>
        <v>0.350569405971068</v>
      </c>
      <c r="T194" s="41">
        <f>Rådatakommune[[#This Row],[Kvinner20-39]]/Rådatakommune[[#This Row],[B12]]</f>
        <v>0.13195077484047402</v>
      </c>
      <c r="U194" s="41">
        <f>Rådatakommune[[#This Row],[Eldre67+]]/Rådatakommune[[#This Row],[B12]]</f>
        <v>9.5031905195989058E-2</v>
      </c>
      <c r="V194" s="41">
        <f>Rådatakommune[[#This Row],[S11]]/Rådatakommune[[#This Row],[S01]]-1</f>
        <v>0.14573346116970276</v>
      </c>
      <c r="W194" s="41">
        <f>Rådatakommune[[#This Row],[Y11]]/Rådatakommune[[#This Row],[Folk20-64]]</f>
        <v>0.96015936254980083</v>
      </c>
    </row>
    <row r="195" spans="1:23" s="38" customFormat="1" ht="12.75">
      <c r="A195" s="42" t="s">
        <v>193</v>
      </c>
      <c r="B195" s="37">
        <v>11</v>
      </c>
      <c r="C195" s="38">
        <v>44</v>
      </c>
      <c r="D195" s="39" t="s">
        <v>433</v>
      </c>
      <c r="E195" s="43">
        <v>2</v>
      </c>
      <c r="F195" s="3">
        <v>520</v>
      </c>
      <c r="G195" s="3">
        <v>519</v>
      </c>
      <c r="H195" s="3">
        <v>260</v>
      </c>
      <c r="I195" s="3">
        <v>105</v>
      </c>
      <c r="J195" s="3">
        <v>50</v>
      </c>
      <c r="K195" s="3">
        <v>266</v>
      </c>
      <c r="L195" s="3">
        <v>248</v>
      </c>
      <c r="M195" s="3">
        <v>319</v>
      </c>
      <c r="N195" s="40">
        <v>6.17</v>
      </c>
      <c r="O195" s="40">
        <v>341400</v>
      </c>
      <c r="P195" s="38">
        <v>224.42987368960002</v>
      </c>
      <c r="Q195" s="38">
        <v>2</v>
      </c>
      <c r="R195" s="38">
        <f t="shared" ref="R195:R258" si="3">G195/N195</f>
        <v>84.116693679092378</v>
      </c>
      <c r="S195" s="41">
        <f>Rådatakommune[[#This Row],[B12]]/Rådatakommune[[#This Row],[B02]]-1</f>
        <v>-1.9230769230769162E-3</v>
      </c>
      <c r="T195" s="41">
        <f>Rådatakommune[[#This Row],[Kvinner20-39]]/Rådatakommune[[#This Row],[B12]]</f>
        <v>9.6339113680154145E-2</v>
      </c>
      <c r="U195" s="41">
        <f>Rådatakommune[[#This Row],[Eldre67+]]/Rådatakommune[[#This Row],[B12]]</f>
        <v>0.20231213872832371</v>
      </c>
      <c r="V195" s="41">
        <f>Rådatakommune[[#This Row],[S11]]/Rådatakommune[[#This Row],[S01]]-1</f>
        <v>0.28629032258064524</v>
      </c>
      <c r="W195" s="41">
        <f>Rådatakommune[[#This Row],[Y11]]/Rådatakommune[[#This Row],[Folk20-64]]</f>
        <v>0.97744360902255634</v>
      </c>
    </row>
    <row r="196" spans="1:23" s="38" customFormat="1" ht="12.75">
      <c r="A196" s="42" t="s">
        <v>194</v>
      </c>
      <c r="B196" s="37">
        <v>11</v>
      </c>
      <c r="C196" s="38">
        <v>45</v>
      </c>
      <c r="D196" s="39" t="s">
        <v>434</v>
      </c>
      <c r="E196" s="43">
        <v>1</v>
      </c>
      <c r="F196" s="3">
        <v>765</v>
      </c>
      <c r="G196" s="3">
        <v>851</v>
      </c>
      <c r="H196" s="3">
        <v>429</v>
      </c>
      <c r="I196" s="3">
        <v>135</v>
      </c>
      <c r="J196" s="3">
        <v>98</v>
      </c>
      <c r="K196" s="3">
        <v>455</v>
      </c>
      <c r="L196" s="3">
        <v>323</v>
      </c>
      <c r="M196" s="3">
        <v>292</v>
      </c>
      <c r="N196" s="40">
        <v>47.17</v>
      </c>
      <c r="O196" s="40">
        <v>351300</v>
      </c>
      <c r="P196" s="38">
        <v>195.3012530446</v>
      </c>
      <c r="Q196" s="38">
        <v>4</v>
      </c>
      <c r="R196" s="38">
        <f t="shared" si="3"/>
        <v>18.041127835488659</v>
      </c>
      <c r="S196" s="41">
        <f>Rådatakommune[[#This Row],[B12]]/Rådatakommune[[#This Row],[B02]]-1</f>
        <v>0.11241830065359482</v>
      </c>
      <c r="T196" s="41">
        <f>Rådatakommune[[#This Row],[Kvinner20-39]]/Rådatakommune[[#This Row],[B12]]</f>
        <v>0.11515863689776733</v>
      </c>
      <c r="U196" s="41">
        <f>Rådatakommune[[#This Row],[Eldre67+]]/Rådatakommune[[#This Row],[B12]]</f>
        <v>0.15863689776733256</v>
      </c>
      <c r="V196" s="41">
        <f>Rådatakommune[[#This Row],[S11]]/Rådatakommune[[#This Row],[S01]]-1</f>
        <v>-9.5975232198142413E-2</v>
      </c>
      <c r="W196" s="41">
        <f>Rådatakommune[[#This Row],[Y11]]/Rådatakommune[[#This Row],[Folk20-64]]</f>
        <v>0.94285714285714284</v>
      </c>
    </row>
    <row r="197" spans="1:23" s="38" customFormat="1" ht="12.75">
      <c r="A197" s="42" t="s">
        <v>195</v>
      </c>
      <c r="B197" s="37">
        <v>11</v>
      </c>
      <c r="C197" s="38">
        <v>45</v>
      </c>
      <c r="D197" s="39" t="s">
        <v>432</v>
      </c>
      <c r="E197" s="43">
        <v>1</v>
      </c>
      <c r="F197" s="3">
        <v>9036</v>
      </c>
      <c r="G197" s="3">
        <v>10320</v>
      </c>
      <c r="H197" s="3">
        <v>5572</v>
      </c>
      <c r="I197" s="3">
        <v>1162</v>
      </c>
      <c r="J197" s="3">
        <v>1252</v>
      </c>
      <c r="K197" s="3">
        <v>5833</v>
      </c>
      <c r="L197" s="3">
        <v>3452</v>
      </c>
      <c r="M197" s="3">
        <v>4475</v>
      </c>
      <c r="N197" s="40">
        <v>425.51</v>
      </c>
      <c r="O197" s="40">
        <v>415000</v>
      </c>
      <c r="P197" s="38">
        <v>170.3523457014</v>
      </c>
      <c r="Q197" s="38">
        <v>4</v>
      </c>
      <c r="R197" s="38">
        <f t="shared" si="3"/>
        <v>24.253249042325681</v>
      </c>
      <c r="S197" s="41">
        <f>Rådatakommune[[#This Row],[B12]]/Rådatakommune[[#This Row],[B02]]-1</f>
        <v>0.14209827357237725</v>
      </c>
      <c r="T197" s="41">
        <f>Rådatakommune[[#This Row],[Kvinner20-39]]/Rådatakommune[[#This Row],[B12]]</f>
        <v>0.12131782945736434</v>
      </c>
      <c r="U197" s="41">
        <f>Rådatakommune[[#This Row],[Eldre67+]]/Rådatakommune[[#This Row],[B12]]</f>
        <v>0.1125968992248062</v>
      </c>
      <c r="V197" s="41">
        <f>Rådatakommune[[#This Row],[S11]]/Rådatakommune[[#This Row],[S01]]-1</f>
        <v>0.29634994206257237</v>
      </c>
      <c r="W197" s="41">
        <f>Rådatakommune[[#This Row],[Y11]]/Rådatakommune[[#This Row],[Folk20-64]]</f>
        <v>0.9552545859763415</v>
      </c>
    </row>
    <row r="198" spans="1:23" s="38" customFormat="1" ht="12.75">
      <c r="A198" s="42" t="s">
        <v>196</v>
      </c>
      <c r="B198" s="37">
        <v>11</v>
      </c>
      <c r="C198" s="38">
        <v>45</v>
      </c>
      <c r="D198" s="39" t="s">
        <v>432</v>
      </c>
      <c r="E198" s="43">
        <v>1</v>
      </c>
      <c r="F198" s="3">
        <v>37093</v>
      </c>
      <c r="G198" s="3">
        <v>40536</v>
      </c>
      <c r="H198" s="3">
        <v>20029</v>
      </c>
      <c r="I198" s="3">
        <v>4942</v>
      </c>
      <c r="J198" s="3">
        <v>5130</v>
      </c>
      <c r="K198" s="3">
        <v>23414</v>
      </c>
      <c r="L198" s="3">
        <v>13210</v>
      </c>
      <c r="M198" s="3">
        <v>14780</v>
      </c>
      <c r="N198" s="40">
        <v>229.68</v>
      </c>
      <c r="O198" s="40">
        <v>351200</v>
      </c>
      <c r="P198" s="38">
        <v>160.56813710329999</v>
      </c>
      <c r="Q198" s="38">
        <v>4</v>
      </c>
      <c r="R198" s="38">
        <f t="shared" si="3"/>
        <v>176.48902821316614</v>
      </c>
      <c r="S198" s="41">
        <f>Rådatakommune[[#This Row],[B12]]/Rådatakommune[[#This Row],[B02]]-1</f>
        <v>9.2820747849998719E-2</v>
      </c>
      <c r="T198" s="41">
        <f>Rådatakommune[[#This Row],[Kvinner20-39]]/Rådatakommune[[#This Row],[B12]]</f>
        <v>0.12655417406749556</v>
      </c>
      <c r="U198" s="41">
        <f>Rådatakommune[[#This Row],[Eldre67+]]/Rådatakommune[[#This Row],[B12]]</f>
        <v>0.12191632129465167</v>
      </c>
      <c r="V198" s="41">
        <f>Rådatakommune[[#This Row],[S11]]/Rådatakommune[[#This Row],[S01]]-1</f>
        <v>0.11884935654806972</v>
      </c>
      <c r="W198" s="41">
        <f>Rådatakommune[[#This Row],[Y11]]/Rådatakommune[[#This Row],[Folk20-64]]</f>
        <v>0.8554283761851883</v>
      </c>
    </row>
    <row r="199" spans="1:23" s="38" customFormat="1" ht="12.75">
      <c r="A199" s="42" t="s">
        <v>197</v>
      </c>
      <c r="B199" s="37">
        <v>11</v>
      </c>
      <c r="C199" s="38">
        <v>49</v>
      </c>
      <c r="D199" s="39" t="s">
        <v>436</v>
      </c>
      <c r="E199" s="43">
        <v>2</v>
      </c>
      <c r="F199" s="3">
        <v>233</v>
      </c>
      <c r="G199" s="3">
        <v>218</v>
      </c>
      <c r="H199" s="3">
        <v>127</v>
      </c>
      <c r="I199" s="3">
        <v>37</v>
      </c>
      <c r="J199" s="3">
        <v>19</v>
      </c>
      <c r="K199" s="3">
        <v>125</v>
      </c>
      <c r="L199" s="3">
        <v>119</v>
      </c>
      <c r="M199" s="3">
        <v>116</v>
      </c>
      <c r="N199" s="40">
        <v>6.3</v>
      </c>
      <c r="O199" s="40">
        <v>363700</v>
      </c>
      <c r="P199" s="38">
        <v>233</v>
      </c>
      <c r="Q199" s="38">
        <v>11</v>
      </c>
      <c r="R199" s="38">
        <f t="shared" si="3"/>
        <v>34.603174603174601</v>
      </c>
      <c r="S199" s="41">
        <f>Rådatakommune[[#This Row],[B12]]/Rådatakommune[[#This Row],[B02]]-1</f>
        <v>-6.4377682403433445E-2</v>
      </c>
      <c r="T199" s="41">
        <f>Rådatakommune[[#This Row],[Kvinner20-39]]/Rådatakommune[[#This Row],[B12]]</f>
        <v>8.7155963302752298E-2</v>
      </c>
      <c r="U199" s="41">
        <f>Rådatakommune[[#This Row],[Eldre67+]]/Rådatakommune[[#This Row],[B12]]</f>
        <v>0.16972477064220184</v>
      </c>
      <c r="V199" s="41">
        <f>Rådatakommune[[#This Row],[S11]]/Rådatakommune[[#This Row],[S01]]-1</f>
        <v>-2.5210084033613467E-2</v>
      </c>
      <c r="W199" s="41">
        <f>Rådatakommune[[#This Row],[Y11]]/Rådatakommune[[#This Row],[Folk20-64]]</f>
        <v>1.016</v>
      </c>
    </row>
    <row r="200" spans="1:23" s="38" customFormat="1" ht="12.75">
      <c r="A200" s="42" t="s">
        <v>198</v>
      </c>
      <c r="B200" s="37">
        <v>11</v>
      </c>
      <c r="C200" s="38">
        <v>45</v>
      </c>
      <c r="D200" s="39" t="s">
        <v>433</v>
      </c>
      <c r="E200" s="43" t="s">
        <v>435</v>
      </c>
      <c r="F200" s="3">
        <v>8165</v>
      </c>
      <c r="G200" s="3">
        <v>8447</v>
      </c>
      <c r="H200" s="3">
        <v>4559</v>
      </c>
      <c r="I200" s="3">
        <v>1222</v>
      </c>
      <c r="J200" s="3">
        <v>967</v>
      </c>
      <c r="K200" s="3">
        <v>4714</v>
      </c>
      <c r="L200" s="3">
        <v>3753</v>
      </c>
      <c r="M200" s="3">
        <v>4748</v>
      </c>
      <c r="N200" s="40">
        <v>620.49</v>
      </c>
      <c r="O200" s="40">
        <v>352000</v>
      </c>
      <c r="P200" s="38">
        <v>200.6499809458</v>
      </c>
      <c r="Q200" s="38">
        <v>4</v>
      </c>
      <c r="R200" s="38">
        <f t="shared" si="3"/>
        <v>13.613434543667102</v>
      </c>
      <c r="S200" s="41">
        <f>Rådatakommune[[#This Row],[B12]]/Rådatakommune[[#This Row],[B02]]-1</f>
        <v>3.4537660747091303E-2</v>
      </c>
      <c r="T200" s="41">
        <f>Rådatakommune[[#This Row],[Kvinner20-39]]/Rådatakommune[[#This Row],[B12]]</f>
        <v>0.11447851308156742</v>
      </c>
      <c r="U200" s="41">
        <f>Rådatakommune[[#This Row],[Eldre67+]]/Rådatakommune[[#This Row],[B12]]</f>
        <v>0.14466674559015036</v>
      </c>
      <c r="V200" s="41">
        <f>Rådatakommune[[#This Row],[S11]]/Rådatakommune[[#This Row],[S01]]-1</f>
        <v>0.26512123634425788</v>
      </c>
      <c r="W200" s="41">
        <f>Rådatakommune[[#This Row],[Y11]]/Rådatakommune[[#This Row],[Folk20-64]]</f>
        <v>0.96711921934662703</v>
      </c>
    </row>
    <row r="201" spans="1:23" s="38" customFormat="1" ht="12.75">
      <c r="A201" s="42" t="s">
        <v>199</v>
      </c>
      <c r="B201" s="37">
        <v>12</v>
      </c>
      <c r="C201" s="38">
        <v>50</v>
      </c>
      <c r="D201" s="39" t="s">
        <v>432</v>
      </c>
      <c r="E201" s="43">
        <v>1</v>
      </c>
      <c r="F201" s="3">
        <v>233291</v>
      </c>
      <c r="G201" s="3">
        <v>263762</v>
      </c>
      <c r="H201" s="3">
        <v>139687</v>
      </c>
      <c r="I201" s="3">
        <v>32611</v>
      </c>
      <c r="J201" s="3">
        <v>39032</v>
      </c>
      <c r="K201" s="3">
        <v>162384</v>
      </c>
      <c r="L201" s="3">
        <v>133113</v>
      </c>
      <c r="M201" s="3">
        <v>158780</v>
      </c>
      <c r="N201" s="40">
        <v>465.45000000000005</v>
      </c>
      <c r="O201" s="40">
        <v>375300</v>
      </c>
      <c r="P201" s="38">
        <v>165.9361952889</v>
      </c>
      <c r="Q201" s="38">
        <v>1</v>
      </c>
      <c r="R201" s="38">
        <f t="shared" si="3"/>
        <v>566.6817058760339</v>
      </c>
      <c r="S201" s="41">
        <f>Rådatakommune[[#This Row],[B12]]/Rådatakommune[[#This Row],[B02]]-1</f>
        <v>0.13061369705646597</v>
      </c>
      <c r="T201" s="41">
        <f>Rådatakommune[[#This Row],[Kvinner20-39]]/Rådatakommune[[#This Row],[B12]]</f>
        <v>0.14798189276696416</v>
      </c>
      <c r="U201" s="41">
        <f>Rådatakommune[[#This Row],[Eldre67+]]/Rådatakommune[[#This Row],[B12]]</f>
        <v>0.12363797666077751</v>
      </c>
      <c r="V201" s="41">
        <f>Rådatakommune[[#This Row],[S11]]/Rådatakommune[[#This Row],[S01]]-1</f>
        <v>0.19282113692877489</v>
      </c>
      <c r="W201" s="41">
        <f>Rådatakommune[[#This Row],[Y11]]/Rådatakommune[[#This Row],[Folk20-64]]</f>
        <v>0.86022637698295401</v>
      </c>
    </row>
    <row r="202" spans="1:23" s="38" customFormat="1" ht="12.75">
      <c r="A202" s="42" t="s">
        <v>200</v>
      </c>
      <c r="B202" s="37">
        <v>12</v>
      </c>
      <c r="C202" s="38">
        <v>45</v>
      </c>
      <c r="D202" s="39" t="s">
        <v>433</v>
      </c>
      <c r="E202" s="43" t="s">
        <v>435</v>
      </c>
      <c r="F202" s="3">
        <v>3966</v>
      </c>
      <c r="G202" s="3">
        <v>3963</v>
      </c>
      <c r="H202" s="3">
        <v>2154</v>
      </c>
      <c r="I202" s="3">
        <v>651</v>
      </c>
      <c r="J202" s="3">
        <v>436</v>
      </c>
      <c r="K202" s="3">
        <v>2221</v>
      </c>
      <c r="L202" s="3">
        <v>1527</v>
      </c>
      <c r="M202" s="3">
        <v>1775</v>
      </c>
      <c r="N202" s="40">
        <v>735.34</v>
      </c>
      <c r="O202" s="40">
        <v>334800</v>
      </c>
      <c r="P202" s="38">
        <v>211.40325304460001</v>
      </c>
      <c r="Q202" s="38">
        <v>8</v>
      </c>
      <c r="R202" s="38">
        <f t="shared" si="3"/>
        <v>5.389343704952811</v>
      </c>
      <c r="S202" s="41">
        <f>Rådatakommune[[#This Row],[B12]]/Rådatakommune[[#This Row],[B02]]-1</f>
        <v>-7.5642965204236745E-4</v>
      </c>
      <c r="T202" s="41">
        <f>Rådatakommune[[#This Row],[Kvinner20-39]]/Rådatakommune[[#This Row],[B12]]</f>
        <v>0.11001766338632349</v>
      </c>
      <c r="U202" s="41">
        <f>Rådatakommune[[#This Row],[Eldre67+]]/Rådatakommune[[#This Row],[B12]]</f>
        <v>0.16426949280847841</v>
      </c>
      <c r="V202" s="41">
        <f>Rådatakommune[[#This Row],[S11]]/Rådatakommune[[#This Row],[S01]]-1</f>
        <v>0.1624099541584807</v>
      </c>
      <c r="W202" s="41">
        <f>Rådatakommune[[#This Row],[Y11]]/Rådatakommune[[#This Row],[Folk20-64]]</f>
        <v>0.96983340837460608</v>
      </c>
    </row>
    <row r="203" spans="1:23" s="38" customFormat="1" ht="12.75">
      <c r="A203" s="42" t="s">
        <v>201</v>
      </c>
      <c r="B203" s="37">
        <v>12</v>
      </c>
      <c r="C203" s="38">
        <v>45</v>
      </c>
      <c r="D203" s="39" t="s">
        <v>434</v>
      </c>
      <c r="E203" s="43">
        <v>1</v>
      </c>
      <c r="F203" s="3">
        <v>4683</v>
      </c>
      <c r="G203" s="3">
        <v>5228</v>
      </c>
      <c r="H203" s="3">
        <v>2663</v>
      </c>
      <c r="I203" s="3">
        <v>615</v>
      </c>
      <c r="J203" s="3">
        <v>612</v>
      </c>
      <c r="K203" s="3">
        <v>2978</v>
      </c>
      <c r="L203" s="3">
        <v>1091</v>
      </c>
      <c r="M203" s="3">
        <v>1358</v>
      </c>
      <c r="N203" s="40">
        <v>245.76</v>
      </c>
      <c r="O203" s="40">
        <v>349300</v>
      </c>
      <c r="P203" s="38">
        <v>179.69353327940001</v>
      </c>
      <c r="Q203" s="38">
        <v>4</v>
      </c>
      <c r="R203" s="38">
        <f t="shared" si="3"/>
        <v>21.272786458333336</v>
      </c>
      <c r="S203" s="41">
        <f>Rådatakommune[[#This Row],[B12]]/Rådatakommune[[#This Row],[B02]]-1</f>
        <v>0.11637838992099092</v>
      </c>
      <c r="T203" s="41">
        <f>Rådatakommune[[#This Row],[Kvinner20-39]]/Rådatakommune[[#This Row],[B12]]</f>
        <v>0.117061973986228</v>
      </c>
      <c r="U203" s="41">
        <f>Rådatakommune[[#This Row],[Eldre67+]]/Rådatakommune[[#This Row],[B12]]</f>
        <v>0.11763580719204285</v>
      </c>
      <c r="V203" s="41">
        <f>Rådatakommune[[#This Row],[S11]]/Rådatakommune[[#This Row],[S01]]-1</f>
        <v>0.24472960586617787</v>
      </c>
      <c r="W203" s="41">
        <f>Rådatakommune[[#This Row],[Y11]]/Rådatakommune[[#This Row],[Folk20-64]]</f>
        <v>0.89422431161853588</v>
      </c>
    </row>
    <row r="204" spans="1:23" s="38" customFormat="1" ht="12.75">
      <c r="A204" s="42" t="s">
        <v>202</v>
      </c>
      <c r="B204" s="37">
        <v>12</v>
      </c>
      <c r="C204" s="38">
        <v>51</v>
      </c>
      <c r="D204" s="39" t="s">
        <v>434</v>
      </c>
      <c r="E204" s="43" t="s">
        <v>435</v>
      </c>
      <c r="F204" s="3">
        <v>10892</v>
      </c>
      <c r="G204" s="3">
        <v>11503</v>
      </c>
      <c r="H204" s="3">
        <v>5795</v>
      </c>
      <c r="I204" s="3">
        <v>1432</v>
      </c>
      <c r="J204" s="3">
        <v>1372</v>
      </c>
      <c r="K204" s="3">
        <v>6412</v>
      </c>
      <c r="L204" s="3">
        <v>4403</v>
      </c>
      <c r="M204" s="3">
        <v>4865</v>
      </c>
      <c r="N204" s="40">
        <v>246.13</v>
      </c>
      <c r="O204" s="40">
        <v>359500</v>
      </c>
      <c r="P204" s="38">
        <v>186.0814002134</v>
      </c>
      <c r="Q204" s="38">
        <v>6</v>
      </c>
      <c r="R204" s="38">
        <f t="shared" si="3"/>
        <v>46.7354649981717</v>
      </c>
      <c r="S204" s="41">
        <f>Rådatakommune[[#This Row],[B12]]/Rådatakommune[[#This Row],[B02]]-1</f>
        <v>5.6096217407271443E-2</v>
      </c>
      <c r="T204" s="41">
        <f>Rådatakommune[[#This Row],[Kvinner20-39]]/Rådatakommune[[#This Row],[B12]]</f>
        <v>0.11927323306963401</v>
      </c>
      <c r="U204" s="41">
        <f>Rådatakommune[[#This Row],[Eldre67+]]/Rådatakommune[[#This Row],[B12]]</f>
        <v>0.12448926367034686</v>
      </c>
      <c r="V204" s="41">
        <f>Rådatakommune[[#This Row],[S11]]/Rådatakommune[[#This Row],[S01]]-1</f>
        <v>0.10492845786963434</v>
      </c>
      <c r="W204" s="41">
        <f>Rådatakommune[[#This Row],[Y11]]/Rådatakommune[[#This Row],[Folk20-64]]</f>
        <v>0.90377417342482846</v>
      </c>
    </row>
    <row r="205" spans="1:23" s="38" customFormat="1" ht="12.75">
      <c r="A205" s="42" t="s">
        <v>203</v>
      </c>
      <c r="B205" s="37">
        <v>12</v>
      </c>
      <c r="C205" s="38">
        <v>51</v>
      </c>
      <c r="D205" s="39" t="s">
        <v>432</v>
      </c>
      <c r="E205" s="43">
        <v>1</v>
      </c>
      <c r="F205" s="3">
        <v>16219</v>
      </c>
      <c r="G205" s="3">
        <v>17957</v>
      </c>
      <c r="H205" s="3">
        <v>9213</v>
      </c>
      <c r="I205" s="3">
        <v>2079</v>
      </c>
      <c r="J205" s="3">
        <v>2243</v>
      </c>
      <c r="K205" s="3">
        <v>10349</v>
      </c>
      <c r="L205" s="3">
        <v>8388</v>
      </c>
      <c r="M205" s="3">
        <v>9228</v>
      </c>
      <c r="N205" s="40">
        <v>143.66999999999999</v>
      </c>
      <c r="O205" s="40">
        <v>360300</v>
      </c>
      <c r="P205" s="38">
        <v>167.7926574599</v>
      </c>
      <c r="Q205" s="38">
        <v>6</v>
      </c>
      <c r="R205" s="38">
        <f t="shared" si="3"/>
        <v>124.98781930813671</v>
      </c>
      <c r="S205" s="41">
        <f>Rådatakommune[[#This Row],[B12]]/Rådatakommune[[#This Row],[B02]]-1</f>
        <v>0.10715827116345022</v>
      </c>
      <c r="T205" s="41">
        <f>Rådatakommune[[#This Row],[Kvinner20-39]]/Rådatakommune[[#This Row],[B12]]</f>
        <v>0.12490950604221195</v>
      </c>
      <c r="U205" s="41">
        <f>Rådatakommune[[#This Row],[Eldre67+]]/Rådatakommune[[#This Row],[B12]]</f>
        <v>0.11577657737929498</v>
      </c>
      <c r="V205" s="41">
        <f>Rådatakommune[[#This Row],[S11]]/Rådatakommune[[#This Row],[S01]]-1</f>
        <v>0.10014306151645203</v>
      </c>
      <c r="W205" s="41">
        <f>Rådatakommune[[#This Row],[Y11]]/Rådatakommune[[#This Row],[Folk20-64]]</f>
        <v>0.89023094018745774</v>
      </c>
    </row>
    <row r="206" spans="1:23" s="38" customFormat="1" ht="12.75">
      <c r="A206" s="42" t="s">
        <v>204</v>
      </c>
      <c r="B206" s="37">
        <v>12</v>
      </c>
      <c r="C206" s="38">
        <v>51</v>
      </c>
      <c r="D206" s="39" t="s">
        <v>433</v>
      </c>
      <c r="E206" s="43">
        <v>1</v>
      </c>
      <c r="F206" s="3">
        <v>2921</v>
      </c>
      <c r="G206" s="3">
        <v>2944</v>
      </c>
      <c r="H206" s="3">
        <v>1544</v>
      </c>
      <c r="I206" s="3">
        <v>368</v>
      </c>
      <c r="J206" s="3">
        <v>346</v>
      </c>
      <c r="K206" s="3">
        <v>1676</v>
      </c>
      <c r="L206" s="3">
        <v>1113</v>
      </c>
      <c r="M206" s="3">
        <v>1232</v>
      </c>
      <c r="N206" s="40">
        <v>142.44999999999999</v>
      </c>
      <c r="O206" s="40">
        <v>376300</v>
      </c>
      <c r="P206" s="38">
        <v>171.59349923880001</v>
      </c>
      <c r="Q206" s="38">
        <v>6</v>
      </c>
      <c r="R206" s="38">
        <f t="shared" si="3"/>
        <v>20.66690066690067</v>
      </c>
      <c r="S206" s="41">
        <f>Rådatakommune[[#This Row],[B12]]/Rådatakommune[[#This Row],[B02]]-1</f>
        <v>7.8740157480314821E-3</v>
      </c>
      <c r="T206" s="41">
        <f>Rådatakommune[[#This Row],[Kvinner20-39]]/Rådatakommune[[#This Row],[B12]]</f>
        <v>0.11752717391304347</v>
      </c>
      <c r="U206" s="41">
        <f>Rådatakommune[[#This Row],[Eldre67+]]/Rådatakommune[[#This Row],[B12]]</f>
        <v>0.125</v>
      </c>
      <c r="V206" s="41">
        <f>Rådatakommune[[#This Row],[S11]]/Rådatakommune[[#This Row],[S01]]-1</f>
        <v>0.10691823899371067</v>
      </c>
      <c r="W206" s="41">
        <f>Rådatakommune[[#This Row],[Y11]]/Rådatakommune[[#This Row],[Folk20-64]]</f>
        <v>0.92124105011933177</v>
      </c>
    </row>
    <row r="207" spans="1:23" s="38" customFormat="1" ht="12.75">
      <c r="A207" s="42" t="s">
        <v>205</v>
      </c>
      <c r="B207" s="37">
        <v>12</v>
      </c>
      <c r="C207" s="38">
        <v>51</v>
      </c>
      <c r="D207" s="39" t="s">
        <v>433</v>
      </c>
      <c r="E207" s="43" t="s">
        <v>435</v>
      </c>
      <c r="F207" s="3">
        <v>2843</v>
      </c>
      <c r="G207" s="3">
        <v>2766</v>
      </c>
      <c r="H207" s="3">
        <v>1360</v>
      </c>
      <c r="I207" s="3">
        <v>547</v>
      </c>
      <c r="J207" s="3">
        <v>264</v>
      </c>
      <c r="K207" s="3">
        <v>1487</v>
      </c>
      <c r="L207" s="3">
        <v>993</v>
      </c>
      <c r="M207" s="3">
        <v>1080</v>
      </c>
      <c r="N207" s="40">
        <v>255.22</v>
      </c>
      <c r="O207" s="40">
        <v>330400</v>
      </c>
      <c r="P207" s="38">
        <v>199.9430332709</v>
      </c>
      <c r="Q207" s="38">
        <v>6</v>
      </c>
      <c r="R207" s="38">
        <f t="shared" si="3"/>
        <v>10.837708643523236</v>
      </c>
      <c r="S207" s="41">
        <f>Rådatakommune[[#This Row],[B12]]/Rådatakommune[[#This Row],[B02]]-1</f>
        <v>-2.7084066127330275E-2</v>
      </c>
      <c r="T207" s="41">
        <f>Rådatakommune[[#This Row],[Kvinner20-39]]/Rådatakommune[[#This Row],[B12]]</f>
        <v>9.5444685466377438E-2</v>
      </c>
      <c r="U207" s="41">
        <f>Rådatakommune[[#This Row],[Eldre67+]]/Rådatakommune[[#This Row],[B12]]</f>
        <v>0.19775849602313811</v>
      </c>
      <c r="V207" s="41">
        <f>Rådatakommune[[#This Row],[S11]]/Rådatakommune[[#This Row],[S01]]-1</f>
        <v>8.7613293051359564E-2</v>
      </c>
      <c r="W207" s="41">
        <f>Rådatakommune[[#This Row],[Y11]]/Rådatakommune[[#This Row],[Folk20-64]]</f>
        <v>0.91459314055144592</v>
      </c>
    </row>
    <row r="208" spans="1:23" s="38" customFormat="1" ht="12.75">
      <c r="A208" s="42" t="s">
        <v>206</v>
      </c>
      <c r="B208" s="37">
        <v>12</v>
      </c>
      <c r="C208" s="38">
        <v>53</v>
      </c>
      <c r="D208" s="39" t="s">
        <v>433</v>
      </c>
      <c r="E208" s="43" t="s">
        <v>435</v>
      </c>
      <c r="F208" s="3">
        <v>13140</v>
      </c>
      <c r="G208" s="3">
        <v>13318</v>
      </c>
      <c r="H208" s="3">
        <v>6602</v>
      </c>
      <c r="I208" s="3">
        <v>2095</v>
      </c>
      <c r="J208" s="3">
        <v>1438</v>
      </c>
      <c r="K208" s="3">
        <v>7354</v>
      </c>
      <c r="L208" s="3">
        <v>5657</v>
      </c>
      <c r="M208" s="3">
        <v>6028</v>
      </c>
      <c r="N208" s="40">
        <v>1128.02</v>
      </c>
      <c r="O208" s="40">
        <v>335600</v>
      </c>
      <c r="P208" s="38">
        <v>267.881399837</v>
      </c>
      <c r="Q208" s="38">
        <v>8</v>
      </c>
      <c r="R208" s="38">
        <f t="shared" si="3"/>
        <v>11.806528253045158</v>
      </c>
      <c r="S208" s="41">
        <f>Rådatakommune[[#This Row],[B12]]/Rådatakommune[[#This Row],[B02]]-1</f>
        <v>1.3546423135464281E-2</v>
      </c>
      <c r="T208" s="41">
        <f>Rådatakommune[[#This Row],[Kvinner20-39]]/Rådatakommune[[#This Row],[B12]]</f>
        <v>0.10797417029584022</v>
      </c>
      <c r="U208" s="41">
        <f>Rådatakommune[[#This Row],[Eldre67+]]/Rådatakommune[[#This Row],[B12]]</f>
        <v>0.15730590178705511</v>
      </c>
      <c r="V208" s="41">
        <f>Rådatakommune[[#This Row],[S11]]/Rådatakommune[[#This Row],[S01]]-1</f>
        <v>6.5582464203641555E-2</v>
      </c>
      <c r="W208" s="41">
        <f>Rådatakommune[[#This Row],[Y11]]/Rådatakommune[[#This Row],[Folk20-64]]</f>
        <v>0.89774272504759312</v>
      </c>
    </row>
    <row r="209" spans="1:23" s="38" customFormat="1" ht="12.75">
      <c r="A209" s="42" t="s">
        <v>207</v>
      </c>
      <c r="B209" s="37">
        <v>12</v>
      </c>
      <c r="C209" s="38">
        <v>52</v>
      </c>
      <c r="D209" s="39" t="s">
        <v>436</v>
      </c>
      <c r="E209" s="43" t="s">
        <v>435</v>
      </c>
      <c r="F209" s="3">
        <v>1112</v>
      </c>
      <c r="G209" s="3">
        <v>1050</v>
      </c>
      <c r="H209" s="3">
        <v>521</v>
      </c>
      <c r="I209" s="3">
        <v>207</v>
      </c>
      <c r="J209" s="3">
        <v>97</v>
      </c>
      <c r="K209" s="3">
        <v>546</v>
      </c>
      <c r="L209" s="3">
        <v>464</v>
      </c>
      <c r="M209" s="3">
        <v>414</v>
      </c>
      <c r="N209" s="40">
        <v>209.95</v>
      </c>
      <c r="O209" s="40">
        <v>323800</v>
      </c>
      <c r="P209" s="38">
        <v>232.38977560059999</v>
      </c>
      <c r="Q209" s="38">
        <v>9</v>
      </c>
      <c r="R209" s="38">
        <f t="shared" si="3"/>
        <v>5.0011907597046923</v>
      </c>
      <c r="S209" s="41">
        <f>Rådatakommune[[#This Row],[B12]]/Rådatakommune[[#This Row],[B02]]-1</f>
        <v>-5.5755395683453224E-2</v>
      </c>
      <c r="T209" s="41">
        <f>Rådatakommune[[#This Row],[Kvinner20-39]]/Rådatakommune[[#This Row],[B12]]</f>
        <v>9.2380952380952383E-2</v>
      </c>
      <c r="U209" s="41">
        <f>Rådatakommune[[#This Row],[Eldre67+]]/Rådatakommune[[#This Row],[B12]]</f>
        <v>0.19714285714285715</v>
      </c>
      <c r="V209" s="41">
        <f>Rådatakommune[[#This Row],[S11]]/Rådatakommune[[#This Row],[S01]]-1</f>
        <v>-0.10775862068965514</v>
      </c>
      <c r="W209" s="41">
        <f>Rådatakommune[[#This Row],[Y11]]/Rådatakommune[[#This Row],[Folk20-64]]</f>
        <v>0.95421245421245426</v>
      </c>
    </row>
    <row r="210" spans="1:23" s="38" customFormat="1" ht="12.75">
      <c r="A210" s="42" t="s">
        <v>208</v>
      </c>
      <c r="B210" s="37">
        <v>12</v>
      </c>
      <c r="C210" s="38">
        <v>54</v>
      </c>
      <c r="D210" s="39" t="s">
        <v>436</v>
      </c>
      <c r="E210" s="43">
        <v>2</v>
      </c>
      <c r="F210" s="3">
        <v>7575</v>
      </c>
      <c r="G210" s="3">
        <v>6946</v>
      </c>
      <c r="H210" s="3">
        <v>3450</v>
      </c>
      <c r="I210" s="3">
        <v>1335</v>
      </c>
      <c r="J210" s="3">
        <v>719</v>
      </c>
      <c r="K210" s="3">
        <v>3872</v>
      </c>
      <c r="L210" s="3">
        <v>3720</v>
      </c>
      <c r="M210" s="3">
        <v>3641</v>
      </c>
      <c r="N210" s="40">
        <v>1615.9299999999998</v>
      </c>
      <c r="O210" s="40">
        <v>329100</v>
      </c>
      <c r="P210" s="38">
        <v>269.01517326499999</v>
      </c>
      <c r="Q210" s="38">
        <v>7</v>
      </c>
      <c r="R210" s="38">
        <f t="shared" si="3"/>
        <v>4.298453522120389</v>
      </c>
      <c r="S210" s="41">
        <f>Rådatakommune[[#This Row],[B12]]/Rådatakommune[[#This Row],[B02]]-1</f>
        <v>-8.3036303630363073E-2</v>
      </c>
      <c r="T210" s="41">
        <f>Rådatakommune[[#This Row],[Kvinner20-39]]/Rådatakommune[[#This Row],[B12]]</f>
        <v>0.10351281312985891</v>
      </c>
      <c r="U210" s="41">
        <f>Rådatakommune[[#This Row],[Eldre67+]]/Rådatakommune[[#This Row],[B12]]</f>
        <v>0.19219694788367406</v>
      </c>
      <c r="V210" s="41">
        <f>Rådatakommune[[#This Row],[S11]]/Rådatakommune[[#This Row],[S01]]-1</f>
        <v>-2.123655913978495E-2</v>
      </c>
      <c r="W210" s="41">
        <f>Rådatakommune[[#This Row],[Y11]]/Rådatakommune[[#This Row],[Folk20-64]]</f>
        <v>0.89101239669421484</v>
      </c>
    </row>
    <row r="211" spans="1:23" s="38" customFormat="1" ht="12.75">
      <c r="A211" s="42" t="s">
        <v>209</v>
      </c>
      <c r="B211" s="37">
        <v>12</v>
      </c>
      <c r="C211" s="38">
        <v>54</v>
      </c>
      <c r="D211" s="39" t="s">
        <v>436</v>
      </c>
      <c r="E211" s="43">
        <v>2</v>
      </c>
      <c r="F211" s="3">
        <v>3560</v>
      </c>
      <c r="G211" s="3">
        <v>3417</v>
      </c>
      <c r="H211" s="3">
        <v>1798</v>
      </c>
      <c r="I211" s="3">
        <v>658</v>
      </c>
      <c r="J211" s="3">
        <v>349</v>
      </c>
      <c r="K211" s="3">
        <v>1846</v>
      </c>
      <c r="L211" s="3">
        <v>1381</v>
      </c>
      <c r="M211" s="3">
        <v>1455</v>
      </c>
      <c r="N211" s="40">
        <v>1398.8500000000001</v>
      </c>
      <c r="O211" s="40">
        <v>327800</v>
      </c>
      <c r="P211" s="38">
        <v>284.77290619600001</v>
      </c>
      <c r="Q211" s="38">
        <v>7</v>
      </c>
      <c r="R211" s="38">
        <f t="shared" si="3"/>
        <v>2.4427208063766663</v>
      </c>
      <c r="S211" s="41">
        <f>Rådatakommune[[#This Row],[B12]]/Rådatakommune[[#This Row],[B02]]-1</f>
        <v>-4.0168539325842745E-2</v>
      </c>
      <c r="T211" s="41">
        <f>Rådatakommune[[#This Row],[Kvinner20-39]]/Rådatakommune[[#This Row],[B12]]</f>
        <v>0.10213637693883523</v>
      </c>
      <c r="U211" s="41">
        <f>Rådatakommune[[#This Row],[Eldre67+]]/Rådatakommune[[#This Row],[B12]]</f>
        <v>0.19256657887035411</v>
      </c>
      <c r="V211" s="41">
        <f>Rådatakommune[[#This Row],[S11]]/Rådatakommune[[#This Row],[S01]]-1</f>
        <v>5.3584359160028905E-2</v>
      </c>
      <c r="W211" s="41">
        <f>Rådatakommune[[#This Row],[Y11]]/Rådatakommune[[#This Row],[Folk20-64]]</f>
        <v>0.97399783315276278</v>
      </c>
    </row>
    <row r="212" spans="1:23" s="38" customFormat="1" ht="12.75">
      <c r="A212" s="42" t="s">
        <v>210</v>
      </c>
      <c r="B212" s="37">
        <v>12</v>
      </c>
      <c r="C212" s="38">
        <v>54</v>
      </c>
      <c r="D212" s="39" t="s">
        <v>436</v>
      </c>
      <c r="E212" s="43">
        <v>2</v>
      </c>
      <c r="F212" s="3">
        <v>959</v>
      </c>
      <c r="G212" s="3">
        <v>957</v>
      </c>
      <c r="H212" s="3">
        <v>541</v>
      </c>
      <c r="I212" s="3">
        <v>158</v>
      </c>
      <c r="J212" s="3">
        <v>104</v>
      </c>
      <c r="K212" s="3">
        <v>559</v>
      </c>
      <c r="L212" s="3">
        <v>434</v>
      </c>
      <c r="M212" s="3">
        <v>416</v>
      </c>
      <c r="N212" s="40">
        <v>1491.5800000000002</v>
      </c>
      <c r="O212" s="40">
        <v>333300</v>
      </c>
      <c r="P212" s="38">
        <v>260.496367023</v>
      </c>
      <c r="Q212" s="38">
        <v>9</v>
      </c>
      <c r="R212" s="38">
        <f t="shared" si="3"/>
        <v>0.64160152321699127</v>
      </c>
      <c r="S212" s="41">
        <f>Rådatakommune[[#This Row],[B12]]/Rådatakommune[[#This Row],[B02]]-1</f>
        <v>-2.0855057351407691E-3</v>
      </c>
      <c r="T212" s="41">
        <f>Rådatakommune[[#This Row],[Kvinner20-39]]/Rådatakommune[[#This Row],[B12]]</f>
        <v>0.10867293625914315</v>
      </c>
      <c r="U212" s="41">
        <f>Rådatakommune[[#This Row],[Eldre67+]]/Rådatakommune[[#This Row],[B12]]</f>
        <v>0.16509926854754442</v>
      </c>
      <c r="V212" s="41">
        <f>Rådatakommune[[#This Row],[S11]]/Rådatakommune[[#This Row],[S01]]-1</f>
        <v>-4.1474654377880227E-2</v>
      </c>
      <c r="W212" s="41">
        <f>Rådatakommune[[#This Row],[Y11]]/Rådatakommune[[#This Row],[Folk20-64]]</f>
        <v>0.96779964221824688</v>
      </c>
    </row>
    <row r="213" spans="1:23" s="38" customFormat="1" ht="12.75">
      <c r="A213" s="42" t="s">
        <v>211</v>
      </c>
      <c r="B213" s="37">
        <v>12</v>
      </c>
      <c r="C213" s="38">
        <v>55</v>
      </c>
      <c r="D213" s="39" t="s">
        <v>436</v>
      </c>
      <c r="E213" s="43">
        <v>2</v>
      </c>
      <c r="F213" s="3">
        <v>1201</v>
      </c>
      <c r="G213" s="3">
        <v>1112</v>
      </c>
      <c r="H213" s="3">
        <v>572</v>
      </c>
      <c r="I213" s="3">
        <v>222</v>
      </c>
      <c r="J213" s="3">
        <v>105</v>
      </c>
      <c r="K213" s="3">
        <v>587</v>
      </c>
      <c r="L213" s="3">
        <v>593</v>
      </c>
      <c r="M213" s="3">
        <v>475</v>
      </c>
      <c r="N213" s="40">
        <v>720.77</v>
      </c>
      <c r="O213" s="40">
        <v>303100</v>
      </c>
      <c r="P213" s="38">
        <v>271.93243606800002</v>
      </c>
      <c r="Q213" s="38">
        <v>6</v>
      </c>
      <c r="R213" s="38">
        <f t="shared" si="3"/>
        <v>1.5427945114252812</v>
      </c>
      <c r="S213" s="41">
        <f>Rådatakommune[[#This Row],[B12]]/Rådatakommune[[#This Row],[B02]]-1</f>
        <v>-7.4104912572856008E-2</v>
      </c>
      <c r="T213" s="41">
        <f>Rådatakommune[[#This Row],[Kvinner20-39]]/Rådatakommune[[#This Row],[B12]]</f>
        <v>9.4424460431654672E-2</v>
      </c>
      <c r="U213" s="41">
        <f>Rådatakommune[[#This Row],[Eldre67+]]/Rådatakommune[[#This Row],[B12]]</f>
        <v>0.19964028776978418</v>
      </c>
      <c r="V213" s="41">
        <f>Rådatakommune[[#This Row],[S11]]/Rådatakommune[[#This Row],[S01]]-1</f>
        <v>-0.19898819561551429</v>
      </c>
      <c r="W213" s="41">
        <f>Rådatakommune[[#This Row],[Y11]]/Rådatakommune[[#This Row],[Folk20-64]]</f>
        <v>0.97444633730834751</v>
      </c>
    </row>
    <row r="214" spans="1:23" s="38" customFormat="1" ht="12.75">
      <c r="A214" s="42" t="s">
        <v>212</v>
      </c>
      <c r="B214" s="37">
        <v>12</v>
      </c>
      <c r="C214" s="38">
        <v>55</v>
      </c>
      <c r="D214" s="39" t="s">
        <v>433</v>
      </c>
      <c r="E214" s="43">
        <v>2</v>
      </c>
      <c r="F214" s="3">
        <v>1051</v>
      </c>
      <c r="G214" s="3">
        <v>923</v>
      </c>
      <c r="H214" s="3">
        <v>486</v>
      </c>
      <c r="I214" s="3">
        <v>168</v>
      </c>
      <c r="J214" s="3">
        <v>90</v>
      </c>
      <c r="K214" s="3">
        <v>526</v>
      </c>
      <c r="L214" s="3">
        <v>449</v>
      </c>
      <c r="M214" s="3">
        <v>350</v>
      </c>
      <c r="N214" s="40">
        <v>212.51999999999998</v>
      </c>
      <c r="O214" s="40">
        <v>308700</v>
      </c>
      <c r="P214" s="38">
        <v>261.12910347299999</v>
      </c>
      <c r="Q214" s="38">
        <v>6</v>
      </c>
      <c r="R214" s="38">
        <f t="shared" si="3"/>
        <v>4.3431206474684743</v>
      </c>
      <c r="S214" s="41">
        <f>Rådatakommune[[#This Row],[B12]]/Rådatakommune[[#This Row],[B02]]-1</f>
        <v>-0.12178877259752618</v>
      </c>
      <c r="T214" s="41">
        <f>Rådatakommune[[#This Row],[Kvinner20-39]]/Rådatakommune[[#This Row],[B12]]</f>
        <v>9.7508125677139762E-2</v>
      </c>
      <c r="U214" s="41">
        <f>Rådatakommune[[#This Row],[Eldre67+]]/Rådatakommune[[#This Row],[B12]]</f>
        <v>0.18201516793066089</v>
      </c>
      <c r="V214" s="41">
        <f>Rådatakommune[[#This Row],[S11]]/Rådatakommune[[#This Row],[S01]]-1</f>
        <v>-0.22048997772828505</v>
      </c>
      <c r="W214" s="41">
        <f>Rådatakommune[[#This Row],[Y11]]/Rådatakommune[[#This Row],[Folk20-64]]</f>
        <v>0.92395437262357416</v>
      </c>
    </row>
    <row r="215" spans="1:23" s="38" customFormat="1" ht="12.75">
      <c r="A215" s="42" t="s">
        <v>213</v>
      </c>
      <c r="B215" s="37">
        <v>12</v>
      </c>
      <c r="C215" s="38">
        <v>55</v>
      </c>
      <c r="D215" s="39" t="s">
        <v>433</v>
      </c>
      <c r="E215" s="43">
        <v>1</v>
      </c>
      <c r="F215" s="3">
        <v>13751</v>
      </c>
      <c r="G215" s="3">
        <v>13978</v>
      </c>
      <c r="H215" s="3">
        <v>7284</v>
      </c>
      <c r="I215" s="3">
        <v>2408</v>
      </c>
      <c r="J215" s="3">
        <v>1570</v>
      </c>
      <c r="K215" s="3">
        <v>7724</v>
      </c>
      <c r="L215" s="3">
        <v>6154</v>
      </c>
      <c r="M215" s="3">
        <v>6809</v>
      </c>
      <c r="N215" s="40">
        <v>1805.84</v>
      </c>
      <c r="O215" s="40">
        <v>323000</v>
      </c>
      <c r="P215" s="38">
        <v>238.41622768139999</v>
      </c>
      <c r="Q215" s="38">
        <v>6</v>
      </c>
      <c r="R215" s="38">
        <f t="shared" si="3"/>
        <v>7.74044212111815</v>
      </c>
      <c r="S215" s="41">
        <f>Rådatakommune[[#This Row],[B12]]/Rådatakommune[[#This Row],[B02]]-1</f>
        <v>1.6507890335248243E-2</v>
      </c>
      <c r="T215" s="41">
        <f>Rådatakommune[[#This Row],[Kvinner20-39]]/Rådatakommune[[#This Row],[B12]]</f>
        <v>0.11231935899270282</v>
      </c>
      <c r="U215" s="41">
        <f>Rådatakommune[[#This Row],[Eldre67+]]/Rådatakommune[[#This Row],[B12]]</f>
        <v>0.1722707111174703</v>
      </c>
      <c r="V215" s="41">
        <f>Rådatakommune[[#This Row],[S11]]/Rådatakommune[[#This Row],[S01]]-1</f>
        <v>0.10643483912902174</v>
      </c>
      <c r="W215" s="41">
        <f>Rådatakommune[[#This Row],[Y11]]/Rådatakommune[[#This Row],[Folk20-64]]</f>
        <v>0.94303469704816156</v>
      </c>
    </row>
    <row r="216" spans="1:23" s="38" customFormat="1" ht="12.75">
      <c r="A216" s="42" t="s">
        <v>214</v>
      </c>
      <c r="B216" s="37">
        <v>12</v>
      </c>
      <c r="C216" s="38">
        <v>52</v>
      </c>
      <c r="D216" s="39" t="s">
        <v>433</v>
      </c>
      <c r="E216" s="43" t="s">
        <v>435</v>
      </c>
      <c r="F216" s="3">
        <v>8516</v>
      </c>
      <c r="G216" s="3">
        <v>8522</v>
      </c>
      <c r="H216" s="3">
        <v>4351</v>
      </c>
      <c r="I216" s="3">
        <v>1455</v>
      </c>
      <c r="J216" s="3">
        <v>908</v>
      </c>
      <c r="K216" s="3">
        <v>4720</v>
      </c>
      <c r="L216" s="3">
        <v>3906</v>
      </c>
      <c r="M216" s="3">
        <v>3918</v>
      </c>
      <c r="N216" s="40">
        <v>616.57000000000005</v>
      </c>
      <c r="O216" s="40">
        <v>328500</v>
      </c>
      <c r="P216" s="38">
        <v>217.27167989010002</v>
      </c>
      <c r="Q216" s="38">
        <v>5</v>
      </c>
      <c r="R216" s="38">
        <f t="shared" si="3"/>
        <v>13.82162609273886</v>
      </c>
      <c r="S216" s="41">
        <f>Rådatakommune[[#This Row],[B12]]/Rådatakommune[[#This Row],[B02]]-1</f>
        <v>7.0455612963837844E-4</v>
      </c>
      <c r="T216" s="41">
        <f>Rådatakommune[[#This Row],[Kvinner20-39]]/Rådatakommune[[#This Row],[B12]]</f>
        <v>0.10654775874207932</v>
      </c>
      <c r="U216" s="41">
        <f>Rådatakommune[[#This Row],[Eldre67+]]/Rådatakommune[[#This Row],[B12]]</f>
        <v>0.17073456934991785</v>
      </c>
      <c r="V216" s="41">
        <f>Rådatakommune[[#This Row],[S11]]/Rådatakommune[[#This Row],[S01]]-1</f>
        <v>3.0721966205837781E-3</v>
      </c>
      <c r="W216" s="41">
        <f>Rådatakommune[[#This Row],[Y11]]/Rådatakommune[[#This Row],[Folk20-64]]</f>
        <v>0.92182203389830508</v>
      </c>
    </row>
    <row r="217" spans="1:23" s="38" customFormat="1" ht="12.75">
      <c r="A217" s="42" t="s">
        <v>215</v>
      </c>
      <c r="B217" s="37">
        <v>12</v>
      </c>
      <c r="C217" s="38">
        <v>50</v>
      </c>
      <c r="D217" s="39" t="s">
        <v>434</v>
      </c>
      <c r="E217" s="43">
        <v>1</v>
      </c>
      <c r="F217" s="3">
        <v>3723</v>
      </c>
      <c r="G217" s="3">
        <v>3811</v>
      </c>
      <c r="H217" s="3">
        <v>1953</v>
      </c>
      <c r="I217" s="3">
        <v>645</v>
      </c>
      <c r="J217" s="3">
        <v>384</v>
      </c>
      <c r="K217" s="3">
        <v>2053</v>
      </c>
      <c r="L217" s="3">
        <v>1769</v>
      </c>
      <c r="M217" s="3">
        <v>1816</v>
      </c>
      <c r="N217" s="40">
        <v>378.37</v>
      </c>
      <c r="O217" s="40">
        <v>349800</v>
      </c>
      <c r="P217" s="38">
        <v>210.13089505889999</v>
      </c>
      <c r="Q217" s="38">
        <v>1</v>
      </c>
      <c r="R217" s="38">
        <f t="shared" si="3"/>
        <v>10.072151597642518</v>
      </c>
      <c r="S217" s="41">
        <f>Rådatakommune[[#This Row],[B12]]/Rådatakommune[[#This Row],[B02]]-1</f>
        <v>2.3636852001074349E-2</v>
      </c>
      <c r="T217" s="41">
        <f>Rådatakommune[[#This Row],[Kvinner20-39]]/Rådatakommune[[#This Row],[B12]]</f>
        <v>0.10076095512988717</v>
      </c>
      <c r="U217" s="41">
        <f>Rådatakommune[[#This Row],[Eldre67+]]/Rådatakommune[[#This Row],[B12]]</f>
        <v>0.16924691681973236</v>
      </c>
      <c r="V217" s="41">
        <f>Rådatakommune[[#This Row],[S11]]/Rådatakommune[[#This Row],[S01]]-1</f>
        <v>2.6568682871678906E-2</v>
      </c>
      <c r="W217" s="41">
        <f>Rådatakommune[[#This Row],[Y11]]/Rådatakommune[[#This Row],[Folk20-64]]</f>
        <v>0.95129079396005845</v>
      </c>
    </row>
    <row r="218" spans="1:23" s="38" customFormat="1" ht="12.75">
      <c r="A218" s="42" t="s">
        <v>216</v>
      </c>
      <c r="B218" s="37">
        <v>12</v>
      </c>
      <c r="C218" s="38">
        <v>50</v>
      </c>
      <c r="D218" s="39" t="s">
        <v>433</v>
      </c>
      <c r="E218" s="43">
        <v>1</v>
      </c>
      <c r="F218" s="3">
        <v>2343</v>
      </c>
      <c r="G218" s="3">
        <v>2417</v>
      </c>
      <c r="H218" s="3">
        <v>1227</v>
      </c>
      <c r="I218" s="3">
        <v>361</v>
      </c>
      <c r="J218" s="3">
        <v>283</v>
      </c>
      <c r="K218" s="3">
        <v>1408</v>
      </c>
      <c r="L218" s="3">
        <v>562</v>
      </c>
      <c r="M218" s="3">
        <v>585</v>
      </c>
      <c r="N218" s="40">
        <v>269.15999999999997</v>
      </c>
      <c r="O218" s="40">
        <v>330500</v>
      </c>
      <c r="P218" s="38">
        <v>196.37052294670002</v>
      </c>
      <c r="Q218" s="38">
        <v>1</v>
      </c>
      <c r="R218" s="38">
        <f t="shared" si="3"/>
        <v>8.9797889731015026</v>
      </c>
      <c r="S218" s="41">
        <f>Rådatakommune[[#This Row],[B12]]/Rådatakommune[[#This Row],[B02]]-1</f>
        <v>3.158344003414415E-2</v>
      </c>
      <c r="T218" s="41">
        <f>Rådatakommune[[#This Row],[Kvinner20-39]]/Rådatakommune[[#This Row],[B12]]</f>
        <v>0.11708729830368225</v>
      </c>
      <c r="U218" s="41">
        <f>Rådatakommune[[#This Row],[Eldre67+]]/Rådatakommune[[#This Row],[B12]]</f>
        <v>0.14935870914356641</v>
      </c>
      <c r="V218" s="41">
        <f>Rådatakommune[[#This Row],[S11]]/Rådatakommune[[#This Row],[S01]]-1</f>
        <v>4.0925266903914626E-2</v>
      </c>
      <c r="W218" s="41">
        <f>Rådatakommune[[#This Row],[Y11]]/Rådatakommune[[#This Row],[Folk20-64]]</f>
        <v>0.87144886363636365</v>
      </c>
    </row>
    <row r="219" spans="1:23" s="38" customFormat="1" ht="12.75">
      <c r="A219" s="42" t="s">
        <v>217</v>
      </c>
      <c r="B219" s="37">
        <v>12</v>
      </c>
      <c r="C219" s="38">
        <v>50</v>
      </c>
      <c r="D219" s="39" t="s">
        <v>432</v>
      </c>
      <c r="E219" s="43">
        <v>1</v>
      </c>
      <c r="F219" s="3">
        <v>14103</v>
      </c>
      <c r="G219" s="3">
        <v>17726</v>
      </c>
      <c r="H219" s="3">
        <v>9406</v>
      </c>
      <c r="I219" s="3">
        <v>1844</v>
      </c>
      <c r="J219" s="3">
        <v>2357</v>
      </c>
      <c r="K219" s="3">
        <v>10374</v>
      </c>
      <c r="L219" s="3">
        <v>4780</v>
      </c>
      <c r="M219" s="3">
        <v>5863</v>
      </c>
      <c r="N219" s="40">
        <v>139.81</v>
      </c>
      <c r="O219" s="40">
        <v>365700</v>
      </c>
      <c r="P219" s="38">
        <v>177.61945657640001</v>
      </c>
      <c r="Q219" s="38">
        <v>1</v>
      </c>
      <c r="R219" s="38">
        <f t="shared" si="3"/>
        <v>126.78635290751734</v>
      </c>
      <c r="S219" s="41">
        <f>Rådatakommune[[#This Row],[B12]]/Rådatakommune[[#This Row],[B02]]-1</f>
        <v>0.25689569595121609</v>
      </c>
      <c r="T219" s="41">
        <f>Rådatakommune[[#This Row],[Kvinner20-39]]/Rådatakommune[[#This Row],[B12]]</f>
        <v>0.13296852081687915</v>
      </c>
      <c r="U219" s="41">
        <f>Rådatakommune[[#This Row],[Eldre67+]]/Rådatakommune[[#This Row],[B12]]</f>
        <v>0.10402798149610741</v>
      </c>
      <c r="V219" s="41">
        <f>Rådatakommune[[#This Row],[S11]]/Rådatakommune[[#This Row],[S01]]-1</f>
        <v>0.22656903765690384</v>
      </c>
      <c r="W219" s="41">
        <f>Rådatakommune[[#This Row],[Y11]]/Rådatakommune[[#This Row],[Folk20-64]]</f>
        <v>0.90668980142664357</v>
      </c>
    </row>
    <row r="220" spans="1:23" s="38" customFormat="1" ht="12.75">
      <c r="A220" s="42" t="s">
        <v>218</v>
      </c>
      <c r="B220" s="37">
        <v>12</v>
      </c>
      <c r="C220" s="38">
        <v>56</v>
      </c>
      <c r="D220" s="39" t="s">
        <v>433</v>
      </c>
      <c r="E220" s="43">
        <v>1</v>
      </c>
      <c r="F220" s="3">
        <v>4460</v>
      </c>
      <c r="G220" s="3">
        <v>4792</v>
      </c>
      <c r="H220" s="3">
        <v>2606</v>
      </c>
      <c r="I220" s="3">
        <v>602</v>
      </c>
      <c r="J220" s="3">
        <v>610</v>
      </c>
      <c r="K220" s="3">
        <v>2739</v>
      </c>
      <c r="L220" s="3">
        <v>2271</v>
      </c>
      <c r="M220" s="3">
        <v>2696</v>
      </c>
      <c r="N220" s="40">
        <v>117.22</v>
      </c>
      <c r="O220" s="40">
        <v>439700</v>
      </c>
      <c r="P220" s="38">
        <v>216.4344654484</v>
      </c>
      <c r="Q220" s="38">
        <v>5</v>
      </c>
      <c r="R220" s="38">
        <f t="shared" si="3"/>
        <v>40.880395836887907</v>
      </c>
      <c r="S220" s="41">
        <f>Rådatakommune[[#This Row],[B12]]/Rådatakommune[[#This Row],[B02]]-1</f>
        <v>7.4439461883408109E-2</v>
      </c>
      <c r="T220" s="41">
        <f>Rådatakommune[[#This Row],[Kvinner20-39]]/Rådatakommune[[#This Row],[B12]]</f>
        <v>0.12729549248747912</v>
      </c>
      <c r="U220" s="41">
        <f>Rådatakommune[[#This Row],[Eldre67+]]/Rådatakommune[[#This Row],[B12]]</f>
        <v>0.12562604340567612</v>
      </c>
      <c r="V220" s="41">
        <f>Rådatakommune[[#This Row],[S11]]/Rådatakommune[[#This Row],[S01]]-1</f>
        <v>0.18714222809335102</v>
      </c>
      <c r="W220" s="41">
        <f>Rådatakommune[[#This Row],[Y11]]/Rådatakommune[[#This Row],[Folk20-64]]</f>
        <v>0.95144213216502371</v>
      </c>
    </row>
    <row r="221" spans="1:23" s="38" customFormat="1" ht="12.75">
      <c r="A221" s="42" t="s">
        <v>219</v>
      </c>
      <c r="B221" s="37">
        <v>12</v>
      </c>
      <c r="C221" s="38">
        <v>50</v>
      </c>
      <c r="D221" s="39" t="s">
        <v>432</v>
      </c>
      <c r="E221" s="43">
        <v>1</v>
      </c>
      <c r="F221" s="3">
        <v>5250</v>
      </c>
      <c r="G221" s="3">
        <v>6409</v>
      </c>
      <c r="H221" s="3">
        <v>3277</v>
      </c>
      <c r="I221" s="3">
        <v>675</v>
      </c>
      <c r="J221" s="3">
        <v>845</v>
      </c>
      <c r="K221" s="3">
        <v>3775</v>
      </c>
      <c r="L221" s="3">
        <v>1514</v>
      </c>
      <c r="M221" s="3">
        <v>1623</v>
      </c>
      <c r="N221" s="40">
        <v>99.71</v>
      </c>
      <c r="O221" s="40">
        <v>350800</v>
      </c>
      <c r="P221" s="38">
        <v>185.0303220815</v>
      </c>
      <c r="Q221" s="38">
        <v>1</v>
      </c>
      <c r="R221" s="38">
        <f t="shared" si="3"/>
        <v>64.276401564537167</v>
      </c>
      <c r="S221" s="41">
        <f>Rådatakommune[[#This Row],[B12]]/Rådatakommune[[#This Row],[B02]]-1</f>
        <v>0.22076190476190471</v>
      </c>
      <c r="T221" s="41">
        <f>Rådatakommune[[#This Row],[Kvinner20-39]]/Rådatakommune[[#This Row],[B12]]</f>
        <v>0.13184584178498987</v>
      </c>
      <c r="U221" s="41">
        <f>Rådatakommune[[#This Row],[Eldre67+]]/Rådatakommune[[#This Row],[B12]]</f>
        <v>0.10532064284599782</v>
      </c>
      <c r="V221" s="41">
        <f>Rådatakommune[[#This Row],[S11]]/Rådatakommune[[#This Row],[S01]]-1</f>
        <v>7.1994715984147861E-2</v>
      </c>
      <c r="W221" s="41">
        <f>Rådatakommune[[#This Row],[Y11]]/Rådatakommune[[#This Row],[Folk20-64]]</f>
        <v>0.86807947019867548</v>
      </c>
    </row>
    <row r="222" spans="1:23" s="38" customFormat="1" ht="12.75">
      <c r="A222" s="42" t="s">
        <v>220</v>
      </c>
      <c r="B222" s="37">
        <v>12</v>
      </c>
      <c r="C222" s="38">
        <v>50</v>
      </c>
      <c r="D222" s="39" t="s">
        <v>432</v>
      </c>
      <c r="E222" s="43">
        <v>1</v>
      </c>
      <c r="F222" s="3">
        <v>18927</v>
      </c>
      <c r="G222" s="3">
        <v>22720</v>
      </c>
      <c r="H222" s="3">
        <v>11781</v>
      </c>
      <c r="I222" s="3">
        <v>1953</v>
      </c>
      <c r="J222" s="3">
        <v>2931</v>
      </c>
      <c r="K222" s="3">
        <v>13219</v>
      </c>
      <c r="L222" s="3">
        <v>7001</v>
      </c>
      <c r="M222" s="3">
        <v>10818</v>
      </c>
      <c r="N222" s="40">
        <v>148.17000000000002</v>
      </c>
      <c r="O222" s="40">
        <v>376300</v>
      </c>
      <c r="P222" s="38">
        <v>169.6017537351</v>
      </c>
      <c r="Q222" s="38">
        <v>1</v>
      </c>
      <c r="R222" s="38">
        <f t="shared" si="3"/>
        <v>153.33738273604641</v>
      </c>
      <c r="S222" s="41">
        <f>Rådatakommune[[#This Row],[B12]]/Rådatakommune[[#This Row],[B02]]-1</f>
        <v>0.20040154276958844</v>
      </c>
      <c r="T222" s="41">
        <f>Rådatakommune[[#This Row],[Kvinner20-39]]/Rådatakommune[[#This Row],[B12]]</f>
        <v>0.12900528169014083</v>
      </c>
      <c r="U222" s="41">
        <f>Rådatakommune[[#This Row],[Eldre67+]]/Rådatakommune[[#This Row],[B12]]</f>
        <v>8.5959507042253525E-2</v>
      </c>
      <c r="V222" s="41">
        <f>Rådatakommune[[#This Row],[S11]]/Rådatakommune[[#This Row],[S01]]-1</f>
        <v>0.54520782745322105</v>
      </c>
      <c r="W222" s="41">
        <f>Rådatakommune[[#This Row],[Y11]]/Rådatakommune[[#This Row],[Folk20-64]]</f>
        <v>0.89121718738179889</v>
      </c>
    </row>
    <row r="223" spans="1:23" s="38" customFormat="1" ht="12.75">
      <c r="A223" s="42" t="s">
        <v>221</v>
      </c>
      <c r="B223" s="37">
        <v>12</v>
      </c>
      <c r="C223" s="38">
        <v>50</v>
      </c>
      <c r="D223" s="39" t="s">
        <v>432</v>
      </c>
      <c r="E223" s="43">
        <v>1</v>
      </c>
      <c r="F223" s="3">
        <v>20575</v>
      </c>
      <c r="G223" s="3">
        <v>26210</v>
      </c>
      <c r="H223" s="3">
        <v>13543</v>
      </c>
      <c r="I223" s="3">
        <v>2582</v>
      </c>
      <c r="J223" s="3">
        <v>3522</v>
      </c>
      <c r="K223" s="3">
        <v>15221</v>
      </c>
      <c r="L223" s="3">
        <v>5387</v>
      </c>
      <c r="M223" s="3">
        <v>7158</v>
      </c>
      <c r="N223" s="40">
        <v>100.69</v>
      </c>
      <c r="O223" s="40">
        <v>358900</v>
      </c>
      <c r="P223" s="38">
        <v>168.44934224920001</v>
      </c>
      <c r="Q223" s="38">
        <v>1</v>
      </c>
      <c r="R223" s="38">
        <f t="shared" si="3"/>
        <v>260.30390306882509</v>
      </c>
      <c r="S223" s="41">
        <f>Rådatakommune[[#This Row],[B12]]/Rådatakommune[[#This Row],[B02]]-1</f>
        <v>0.27387606318347513</v>
      </c>
      <c r="T223" s="41">
        <f>Rådatakommune[[#This Row],[Kvinner20-39]]/Rådatakommune[[#This Row],[B12]]</f>
        <v>0.13437619229301792</v>
      </c>
      <c r="U223" s="41">
        <f>Rådatakommune[[#This Row],[Eldre67+]]/Rådatakommune[[#This Row],[B12]]</f>
        <v>9.8512018313620761E-2</v>
      </c>
      <c r="V223" s="41">
        <f>Rådatakommune[[#This Row],[S11]]/Rådatakommune[[#This Row],[S01]]-1</f>
        <v>0.32875440876183415</v>
      </c>
      <c r="W223" s="41">
        <f>Rådatakommune[[#This Row],[Y11]]/Rådatakommune[[#This Row],[Folk20-64]]</f>
        <v>0.88975757177583603</v>
      </c>
    </row>
    <row r="224" spans="1:23" s="38" customFormat="1" ht="12.75">
      <c r="A224" s="42" t="s">
        <v>222</v>
      </c>
      <c r="B224" s="37">
        <v>12</v>
      </c>
      <c r="C224" s="38">
        <v>50</v>
      </c>
      <c r="D224" s="39" t="s">
        <v>433</v>
      </c>
      <c r="E224" s="43">
        <v>1</v>
      </c>
      <c r="F224" s="3">
        <v>4187</v>
      </c>
      <c r="G224" s="3">
        <v>4138</v>
      </c>
      <c r="H224" s="3">
        <v>1946</v>
      </c>
      <c r="I224" s="3">
        <v>798</v>
      </c>
      <c r="J224" s="3">
        <v>453</v>
      </c>
      <c r="K224" s="3">
        <v>2206</v>
      </c>
      <c r="L224" s="3">
        <v>1701</v>
      </c>
      <c r="M224" s="3">
        <v>1450</v>
      </c>
      <c r="N224" s="40">
        <v>715.65</v>
      </c>
      <c r="O224" s="40">
        <v>305900</v>
      </c>
      <c r="P224" s="38">
        <v>205.93643129629999</v>
      </c>
      <c r="Q224" s="38">
        <v>1</v>
      </c>
      <c r="R224" s="38">
        <f t="shared" si="3"/>
        <v>5.7821560818836026</v>
      </c>
      <c r="S224" s="41">
        <f>Rådatakommune[[#This Row],[B12]]/Rådatakommune[[#This Row],[B02]]-1</f>
        <v>-1.1702889897301172E-2</v>
      </c>
      <c r="T224" s="41">
        <f>Rådatakommune[[#This Row],[Kvinner20-39]]/Rådatakommune[[#This Row],[B12]]</f>
        <v>0.10947317544707588</v>
      </c>
      <c r="U224" s="41">
        <f>Rådatakommune[[#This Row],[Eldre67+]]/Rådatakommune[[#This Row],[B12]]</f>
        <v>0.19284678588690188</v>
      </c>
      <c r="V224" s="41">
        <f>Rådatakommune[[#This Row],[S11]]/Rådatakommune[[#This Row],[S01]]-1</f>
        <v>-0.14756025867136979</v>
      </c>
      <c r="W224" s="41">
        <f>Rådatakommune[[#This Row],[Y11]]/Rådatakommune[[#This Row],[Folk20-64]]</f>
        <v>0.88213961922030826</v>
      </c>
    </row>
    <row r="225" spans="1:23" s="38" customFormat="1" ht="12.75">
      <c r="A225" s="42" t="s">
        <v>223</v>
      </c>
      <c r="B225" s="37">
        <v>12</v>
      </c>
      <c r="C225" s="38">
        <v>57</v>
      </c>
      <c r="D225" s="39" t="s">
        <v>433</v>
      </c>
      <c r="E225" s="43" t="s">
        <v>435</v>
      </c>
      <c r="F225" s="3">
        <v>345</v>
      </c>
      <c r="G225" s="3">
        <v>370</v>
      </c>
      <c r="H225" s="3">
        <v>175</v>
      </c>
      <c r="I225" s="3">
        <v>53</v>
      </c>
      <c r="J225" s="3">
        <v>42</v>
      </c>
      <c r="K225" s="3">
        <v>199</v>
      </c>
      <c r="L225" s="3">
        <v>210</v>
      </c>
      <c r="M225" s="3">
        <v>221</v>
      </c>
      <c r="N225" s="40">
        <v>412.15000000000003</v>
      </c>
      <c r="O225" s="40">
        <v>321900</v>
      </c>
      <c r="P225" s="38">
        <v>230.6496714914</v>
      </c>
      <c r="Q225" s="38">
        <v>5</v>
      </c>
      <c r="R225" s="38">
        <f t="shared" si="3"/>
        <v>0.89773140846779076</v>
      </c>
      <c r="S225" s="41">
        <f>Rådatakommune[[#This Row],[B12]]/Rådatakommune[[#This Row],[B02]]-1</f>
        <v>7.2463768115942129E-2</v>
      </c>
      <c r="T225" s="41">
        <f>Rådatakommune[[#This Row],[Kvinner20-39]]/Rådatakommune[[#This Row],[B12]]</f>
        <v>0.11351351351351352</v>
      </c>
      <c r="U225" s="41">
        <f>Rådatakommune[[#This Row],[Eldre67+]]/Rådatakommune[[#This Row],[B12]]</f>
        <v>0.14324324324324325</v>
      </c>
      <c r="V225" s="41">
        <f>Rådatakommune[[#This Row],[S11]]/Rådatakommune[[#This Row],[S01]]-1</f>
        <v>5.2380952380952417E-2</v>
      </c>
      <c r="W225" s="41">
        <f>Rådatakommune[[#This Row],[Y11]]/Rådatakommune[[#This Row],[Folk20-64]]</f>
        <v>0.87939698492462315</v>
      </c>
    </row>
    <row r="226" spans="1:23" s="38" customFormat="1" ht="12.75">
      <c r="A226" s="42" t="s">
        <v>224</v>
      </c>
      <c r="B226" s="37">
        <v>12</v>
      </c>
      <c r="C226" s="38">
        <v>50</v>
      </c>
      <c r="D226" s="39" t="s">
        <v>432</v>
      </c>
      <c r="E226" s="43">
        <v>1</v>
      </c>
      <c r="F226" s="3">
        <v>7104</v>
      </c>
      <c r="G226" s="3">
        <v>7521</v>
      </c>
      <c r="H226" s="3">
        <v>3829</v>
      </c>
      <c r="I226" s="3">
        <v>1056</v>
      </c>
      <c r="J226" s="3">
        <v>893</v>
      </c>
      <c r="K226" s="3">
        <v>4253</v>
      </c>
      <c r="L226" s="3">
        <v>2391</v>
      </c>
      <c r="M226" s="3">
        <v>2589</v>
      </c>
      <c r="N226" s="40">
        <v>255.17</v>
      </c>
      <c r="O226" s="40">
        <v>324100</v>
      </c>
      <c r="P226" s="38">
        <v>190.7207743479</v>
      </c>
      <c r="Q226" s="38">
        <v>1</v>
      </c>
      <c r="R226" s="38">
        <f t="shared" si="3"/>
        <v>29.474468001724343</v>
      </c>
      <c r="S226" s="41">
        <f>Rådatakommune[[#This Row],[B12]]/Rådatakommune[[#This Row],[B02]]-1</f>
        <v>5.8699324324324342E-2</v>
      </c>
      <c r="T226" s="41">
        <f>Rådatakommune[[#This Row],[Kvinner20-39]]/Rådatakommune[[#This Row],[B12]]</f>
        <v>0.11873421087621328</v>
      </c>
      <c r="U226" s="41">
        <f>Rådatakommune[[#This Row],[Eldre67+]]/Rådatakommune[[#This Row],[B12]]</f>
        <v>0.14040686078978859</v>
      </c>
      <c r="V226" s="41">
        <f>Rådatakommune[[#This Row],[S11]]/Rådatakommune[[#This Row],[S01]]-1</f>
        <v>8.2810539523211935E-2</v>
      </c>
      <c r="W226" s="41">
        <f>Rådatakommune[[#This Row],[Y11]]/Rådatakommune[[#This Row],[Folk20-64]]</f>
        <v>0.90030566658829059</v>
      </c>
    </row>
    <row r="227" spans="1:23" s="38" customFormat="1" ht="12.75">
      <c r="A227" s="42" t="s">
        <v>225</v>
      </c>
      <c r="B227" s="37">
        <v>12</v>
      </c>
      <c r="C227" s="38">
        <v>50</v>
      </c>
      <c r="D227" s="39" t="s">
        <v>432</v>
      </c>
      <c r="E227" s="43">
        <v>1</v>
      </c>
      <c r="F227" s="3">
        <v>5577</v>
      </c>
      <c r="G227" s="3">
        <v>7036</v>
      </c>
      <c r="H227" s="3">
        <v>3623</v>
      </c>
      <c r="I227" s="3">
        <v>664</v>
      </c>
      <c r="J227" s="3">
        <v>948</v>
      </c>
      <c r="K227" s="3">
        <v>4110</v>
      </c>
      <c r="L227" s="3">
        <v>1523</v>
      </c>
      <c r="M227" s="3">
        <v>2084</v>
      </c>
      <c r="N227" s="40">
        <v>92.59</v>
      </c>
      <c r="O227" s="40">
        <v>358600</v>
      </c>
      <c r="P227" s="38">
        <v>188.41234132950001</v>
      </c>
      <c r="Q227" s="38">
        <v>1</v>
      </c>
      <c r="R227" s="38">
        <f t="shared" si="3"/>
        <v>75.99092774597689</v>
      </c>
      <c r="S227" s="41">
        <f>Rådatakommune[[#This Row],[B12]]/Rådatakommune[[#This Row],[B02]]-1</f>
        <v>0.26161018468710773</v>
      </c>
      <c r="T227" s="41">
        <f>Rådatakommune[[#This Row],[Kvinner20-39]]/Rådatakommune[[#This Row],[B12]]</f>
        <v>0.13473564525298465</v>
      </c>
      <c r="U227" s="41">
        <f>Rådatakommune[[#This Row],[Eldre67+]]/Rådatakommune[[#This Row],[B12]]</f>
        <v>9.437180216031836E-2</v>
      </c>
      <c r="V227" s="41">
        <f>Rådatakommune[[#This Row],[S11]]/Rådatakommune[[#This Row],[S01]]-1</f>
        <v>0.36835193696651336</v>
      </c>
      <c r="W227" s="41">
        <f>Rådatakommune[[#This Row],[Y11]]/Rådatakommune[[#This Row],[Folk20-64]]</f>
        <v>0.88150851581508516</v>
      </c>
    </row>
    <row r="228" spans="1:23" s="38" customFormat="1" ht="12.75">
      <c r="A228" s="42" t="s">
        <v>226</v>
      </c>
      <c r="B228" s="37">
        <v>12</v>
      </c>
      <c r="C228" s="38">
        <v>50</v>
      </c>
      <c r="D228" s="39" t="s">
        <v>432</v>
      </c>
      <c r="E228" s="43">
        <v>1</v>
      </c>
      <c r="F228" s="3">
        <v>3786</v>
      </c>
      <c r="G228" s="3">
        <v>4419</v>
      </c>
      <c r="H228" s="3">
        <v>2165</v>
      </c>
      <c r="I228" s="3">
        <v>560</v>
      </c>
      <c r="J228" s="3">
        <v>536</v>
      </c>
      <c r="K228" s="3">
        <v>2535</v>
      </c>
      <c r="L228" s="3">
        <v>1098</v>
      </c>
      <c r="M228" s="3">
        <v>1380</v>
      </c>
      <c r="N228" s="40">
        <v>66.569999999999993</v>
      </c>
      <c r="O228" s="40">
        <v>349500</v>
      </c>
      <c r="P228" s="38">
        <v>201.9975581134</v>
      </c>
      <c r="Q228" s="38">
        <v>1</v>
      </c>
      <c r="R228" s="38">
        <f t="shared" si="3"/>
        <v>66.381252816584052</v>
      </c>
      <c r="S228" s="41">
        <f>Rådatakommune[[#This Row],[B12]]/Rådatakommune[[#This Row],[B02]]-1</f>
        <v>0.16719492868462749</v>
      </c>
      <c r="T228" s="41">
        <f>Rådatakommune[[#This Row],[Kvinner20-39]]/Rådatakommune[[#This Row],[B12]]</f>
        <v>0.12129441050011315</v>
      </c>
      <c r="U228" s="41">
        <f>Rådatakommune[[#This Row],[Eldre67+]]/Rådatakommune[[#This Row],[B12]]</f>
        <v>0.12672550350758091</v>
      </c>
      <c r="V228" s="41">
        <f>Rådatakommune[[#This Row],[S11]]/Rådatakommune[[#This Row],[S01]]-1</f>
        <v>0.25683060109289624</v>
      </c>
      <c r="W228" s="41">
        <f>Rådatakommune[[#This Row],[Y11]]/Rådatakommune[[#This Row],[Folk20-64]]</f>
        <v>0.854043392504931</v>
      </c>
    </row>
    <row r="229" spans="1:23" s="38" customFormat="1" ht="12.75">
      <c r="A229" s="42" t="s">
        <v>227</v>
      </c>
      <c r="B229" s="37">
        <v>12</v>
      </c>
      <c r="C229" s="38">
        <v>50</v>
      </c>
      <c r="D229" s="39" t="s">
        <v>434</v>
      </c>
      <c r="E229" s="43">
        <v>1</v>
      </c>
      <c r="F229" s="3">
        <v>4618</v>
      </c>
      <c r="G229" s="3">
        <v>4952</v>
      </c>
      <c r="H229" s="3">
        <v>2554</v>
      </c>
      <c r="I229" s="3">
        <v>696</v>
      </c>
      <c r="J229" s="3">
        <v>580</v>
      </c>
      <c r="K229" s="3">
        <v>2884</v>
      </c>
      <c r="L229" s="3">
        <v>1508</v>
      </c>
      <c r="M229" s="3">
        <v>1578</v>
      </c>
      <c r="N229" s="40">
        <v>111.85</v>
      </c>
      <c r="O229" s="40">
        <v>323700</v>
      </c>
      <c r="P229" s="38">
        <v>209.8803556702</v>
      </c>
      <c r="Q229" s="38">
        <v>1</v>
      </c>
      <c r="R229" s="38">
        <f t="shared" si="3"/>
        <v>44.273580688421994</v>
      </c>
      <c r="S229" s="41">
        <f>Rådatakommune[[#This Row],[B12]]/Rådatakommune[[#This Row],[B02]]-1</f>
        <v>7.2325682113469014E-2</v>
      </c>
      <c r="T229" s="41">
        <f>Rådatakommune[[#This Row],[Kvinner20-39]]/Rådatakommune[[#This Row],[B12]]</f>
        <v>0.11712439418416801</v>
      </c>
      <c r="U229" s="41">
        <f>Rådatakommune[[#This Row],[Eldre67+]]/Rådatakommune[[#This Row],[B12]]</f>
        <v>0.14054927302100162</v>
      </c>
      <c r="V229" s="41">
        <f>Rådatakommune[[#This Row],[S11]]/Rådatakommune[[#This Row],[S01]]-1</f>
        <v>4.6419098143235971E-2</v>
      </c>
      <c r="W229" s="41">
        <f>Rådatakommune[[#This Row],[Y11]]/Rådatakommune[[#This Row],[Folk20-64]]</f>
        <v>0.88557558945908466</v>
      </c>
    </row>
    <row r="230" spans="1:23" s="38" customFormat="1" ht="12.75">
      <c r="A230" s="42" t="s">
        <v>228</v>
      </c>
      <c r="B230" s="37">
        <v>12</v>
      </c>
      <c r="C230" s="38">
        <v>50</v>
      </c>
      <c r="D230" s="39" t="s">
        <v>432</v>
      </c>
      <c r="E230" s="43">
        <v>1</v>
      </c>
      <c r="F230" s="3">
        <v>12612</v>
      </c>
      <c r="G230" s="3">
        <v>14668</v>
      </c>
      <c r="H230" s="3">
        <v>7595</v>
      </c>
      <c r="I230" s="3">
        <v>1793</v>
      </c>
      <c r="J230" s="3">
        <v>1785</v>
      </c>
      <c r="K230" s="3">
        <v>8443</v>
      </c>
      <c r="L230" s="3">
        <v>5665</v>
      </c>
      <c r="M230" s="3">
        <v>7049</v>
      </c>
      <c r="N230" s="40">
        <v>475.99</v>
      </c>
      <c r="O230" s="40">
        <v>366100</v>
      </c>
      <c r="P230" s="38">
        <v>189.42105585589999</v>
      </c>
      <c r="Q230" s="38">
        <v>1</v>
      </c>
      <c r="R230" s="38">
        <f t="shared" si="3"/>
        <v>30.8157734406185</v>
      </c>
      <c r="S230" s="41">
        <f>Rådatakommune[[#This Row],[B12]]/Rådatakommune[[#This Row],[B02]]-1</f>
        <v>0.16301934665398043</v>
      </c>
      <c r="T230" s="41">
        <f>Rådatakommune[[#This Row],[Kvinner20-39]]/Rådatakommune[[#This Row],[B12]]</f>
        <v>0.12169348241068993</v>
      </c>
      <c r="U230" s="41">
        <f>Rådatakommune[[#This Row],[Eldre67+]]/Rådatakommune[[#This Row],[B12]]</f>
        <v>0.1222388873738751</v>
      </c>
      <c r="V230" s="41">
        <f>Rådatakommune[[#This Row],[S11]]/Rådatakommune[[#This Row],[S01]]-1</f>
        <v>0.24430714916151808</v>
      </c>
      <c r="W230" s="41">
        <f>Rådatakommune[[#This Row],[Y11]]/Rådatakommune[[#This Row],[Folk20-64]]</f>
        <v>0.89956176714437996</v>
      </c>
    </row>
    <row r="231" spans="1:23" s="38" customFormat="1" ht="12.75">
      <c r="A231" s="42" t="s">
        <v>229</v>
      </c>
      <c r="B231" s="37">
        <v>12</v>
      </c>
      <c r="C231" s="38">
        <v>50</v>
      </c>
      <c r="D231" s="39" t="s">
        <v>434</v>
      </c>
      <c r="E231" s="43">
        <v>1</v>
      </c>
      <c r="F231" s="3">
        <v>2515</v>
      </c>
      <c r="G231" s="3">
        <v>2776</v>
      </c>
      <c r="H231" s="3">
        <v>1481</v>
      </c>
      <c r="I231" s="3">
        <v>407</v>
      </c>
      <c r="J231" s="3">
        <v>312</v>
      </c>
      <c r="K231" s="3">
        <v>1639</v>
      </c>
      <c r="L231" s="3">
        <v>977</v>
      </c>
      <c r="M231" s="3">
        <v>1135</v>
      </c>
      <c r="N231" s="40">
        <v>57.470000000000006</v>
      </c>
      <c r="O231" s="40">
        <v>378500</v>
      </c>
      <c r="P231" s="38">
        <v>223.17225905230001</v>
      </c>
      <c r="Q231" s="38">
        <v>1</v>
      </c>
      <c r="R231" s="38">
        <f t="shared" si="3"/>
        <v>48.303462676178874</v>
      </c>
      <c r="S231" s="41">
        <f>Rådatakommune[[#This Row],[B12]]/Rådatakommune[[#This Row],[B02]]-1</f>
        <v>0.10377733598409544</v>
      </c>
      <c r="T231" s="41">
        <f>Rådatakommune[[#This Row],[Kvinner20-39]]/Rådatakommune[[#This Row],[B12]]</f>
        <v>0.11239193083573487</v>
      </c>
      <c r="U231" s="41">
        <f>Rådatakommune[[#This Row],[Eldre67+]]/Rådatakommune[[#This Row],[B12]]</f>
        <v>0.14661383285302593</v>
      </c>
      <c r="V231" s="41">
        <f>Rådatakommune[[#This Row],[S11]]/Rådatakommune[[#This Row],[S01]]-1</f>
        <v>0.1617195496417605</v>
      </c>
      <c r="W231" s="41">
        <f>Rådatakommune[[#This Row],[Y11]]/Rådatakommune[[#This Row],[Folk20-64]]</f>
        <v>0.90359975594874919</v>
      </c>
    </row>
    <row r="232" spans="1:23" s="38" customFormat="1" ht="12.75">
      <c r="A232" s="42" t="s">
        <v>230</v>
      </c>
      <c r="B232" s="37">
        <v>12</v>
      </c>
      <c r="C232" s="38">
        <v>58</v>
      </c>
      <c r="D232" s="39" t="s">
        <v>433</v>
      </c>
      <c r="E232" s="43">
        <v>2</v>
      </c>
      <c r="F232" s="3">
        <v>685</v>
      </c>
      <c r="G232" s="3">
        <v>576</v>
      </c>
      <c r="H232" s="3">
        <v>273</v>
      </c>
      <c r="I232" s="3">
        <v>127</v>
      </c>
      <c r="J232" s="3">
        <v>52</v>
      </c>
      <c r="K232" s="3">
        <v>302</v>
      </c>
      <c r="L232" s="3">
        <v>295</v>
      </c>
      <c r="M232" s="3">
        <v>267</v>
      </c>
      <c r="N232" s="40">
        <v>9.26</v>
      </c>
      <c r="O232" s="40">
        <v>354400</v>
      </c>
      <c r="P232" s="38">
        <v>258.81720152700001</v>
      </c>
      <c r="Q232" s="38">
        <v>11</v>
      </c>
      <c r="R232" s="38">
        <f t="shared" si="3"/>
        <v>62.203023758099356</v>
      </c>
      <c r="S232" s="41">
        <f>Rådatakommune[[#This Row],[B12]]/Rådatakommune[[#This Row],[B02]]-1</f>
        <v>-0.15912408759124086</v>
      </c>
      <c r="T232" s="41">
        <f>Rådatakommune[[#This Row],[Kvinner20-39]]/Rådatakommune[[#This Row],[B12]]</f>
        <v>9.0277777777777776E-2</v>
      </c>
      <c r="U232" s="41">
        <f>Rådatakommune[[#This Row],[Eldre67+]]/Rådatakommune[[#This Row],[B12]]</f>
        <v>0.2204861111111111</v>
      </c>
      <c r="V232" s="41">
        <f>Rådatakommune[[#This Row],[S11]]/Rådatakommune[[#This Row],[S01]]-1</f>
        <v>-9.4915254237288083E-2</v>
      </c>
      <c r="W232" s="41">
        <f>Rådatakommune[[#This Row],[Y11]]/Rådatakommune[[#This Row],[Folk20-64]]</f>
        <v>0.90397350993377479</v>
      </c>
    </row>
    <row r="233" spans="1:23" s="38" customFormat="1" ht="12.75">
      <c r="A233" s="42" t="s">
        <v>231</v>
      </c>
      <c r="B233" s="37">
        <v>12</v>
      </c>
      <c r="C233" s="38">
        <v>59</v>
      </c>
      <c r="D233" s="39" t="s">
        <v>433</v>
      </c>
      <c r="E233" s="43">
        <v>2</v>
      </c>
      <c r="F233" s="3">
        <v>1763</v>
      </c>
      <c r="G233" s="3">
        <v>1683</v>
      </c>
      <c r="H233" s="3">
        <v>880</v>
      </c>
      <c r="I233" s="3">
        <v>329</v>
      </c>
      <c r="J233" s="3">
        <v>159</v>
      </c>
      <c r="K233" s="3">
        <v>900</v>
      </c>
      <c r="L233" s="3">
        <v>606</v>
      </c>
      <c r="M233" s="3">
        <v>573</v>
      </c>
      <c r="N233" s="40">
        <v>556.49</v>
      </c>
      <c r="O233" s="40">
        <v>335400</v>
      </c>
      <c r="P233" s="38">
        <v>229.0801952889</v>
      </c>
      <c r="Q233" s="38">
        <v>5</v>
      </c>
      <c r="R233" s="38">
        <f t="shared" si="3"/>
        <v>3.0243131053567898</v>
      </c>
      <c r="S233" s="41">
        <f>Rådatakommune[[#This Row],[B12]]/Rådatakommune[[#This Row],[B02]]-1</f>
        <v>-4.5377197958026083E-2</v>
      </c>
      <c r="T233" s="41">
        <f>Rådatakommune[[#This Row],[Kvinner20-39]]/Rådatakommune[[#This Row],[B12]]</f>
        <v>9.4474153297682703E-2</v>
      </c>
      <c r="U233" s="41">
        <f>Rådatakommune[[#This Row],[Eldre67+]]/Rådatakommune[[#This Row],[B12]]</f>
        <v>0.19548425430778371</v>
      </c>
      <c r="V233" s="41">
        <f>Rådatakommune[[#This Row],[S11]]/Rådatakommune[[#This Row],[S01]]-1</f>
        <v>-5.4455445544554504E-2</v>
      </c>
      <c r="W233" s="41">
        <f>Rådatakommune[[#This Row],[Y11]]/Rådatakommune[[#This Row],[Folk20-64]]</f>
        <v>0.97777777777777775</v>
      </c>
    </row>
    <row r="234" spans="1:23" s="38" customFormat="1" ht="12.75">
      <c r="A234" s="42" t="s">
        <v>232</v>
      </c>
      <c r="B234" s="37">
        <v>14</v>
      </c>
      <c r="C234" s="38">
        <v>60</v>
      </c>
      <c r="D234" s="39" t="s">
        <v>433</v>
      </c>
      <c r="E234" s="37" t="s">
        <v>435</v>
      </c>
      <c r="F234" s="3">
        <v>11323</v>
      </c>
      <c r="G234" s="3">
        <v>11654</v>
      </c>
      <c r="H234" s="3">
        <v>6068</v>
      </c>
      <c r="I234" s="3">
        <v>1398</v>
      </c>
      <c r="J234" s="3">
        <v>1373</v>
      </c>
      <c r="K234" s="3">
        <v>6740</v>
      </c>
      <c r="L234" s="3">
        <v>5383</v>
      </c>
      <c r="M234" s="3">
        <v>5789</v>
      </c>
      <c r="N234" s="40">
        <v>692.1</v>
      </c>
      <c r="O234" s="40">
        <v>347100</v>
      </c>
      <c r="P234" s="38">
        <v>167.71914329310999</v>
      </c>
      <c r="Q234" s="38">
        <v>7</v>
      </c>
      <c r="R234" s="38">
        <f t="shared" si="3"/>
        <v>16.838607137696865</v>
      </c>
      <c r="S234" s="41">
        <f>Rådatakommune[[#This Row],[B12]]/Rådatakommune[[#This Row],[B02]]-1</f>
        <v>2.9232535547116578E-2</v>
      </c>
      <c r="T234" s="41">
        <f>Rådatakommune[[#This Row],[Kvinner20-39]]/Rådatakommune[[#This Row],[B12]]</f>
        <v>0.11781362622275614</v>
      </c>
      <c r="U234" s="41">
        <f>Rådatakommune[[#This Row],[Eldre67+]]/Rådatakommune[[#This Row],[B12]]</f>
        <v>0.11995881242491849</v>
      </c>
      <c r="V234" s="41">
        <f>Rådatakommune[[#This Row],[S11]]/Rådatakommune[[#This Row],[S01]]-1</f>
        <v>7.5422626788036462E-2</v>
      </c>
      <c r="W234" s="41">
        <f>Rådatakommune[[#This Row],[Y11]]/Rådatakommune[[#This Row],[Folk20-64]]</f>
        <v>0.90029673590504455</v>
      </c>
    </row>
    <row r="235" spans="1:23" s="38" customFormat="1" ht="12.75">
      <c r="A235" s="42" t="s">
        <v>233</v>
      </c>
      <c r="B235" s="37">
        <v>14</v>
      </c>
      <c r="C235" s="38">
        <v>59</v>
      </c>
      <c r="D235" s="39" t="s">
        <v>433</v>
      </c>
      <c r="E235" s="37">
        <v>2</v>
      </c>
      <c r="F235" s="3">
        <v>2473</v>
      </c>
      <c r="G235" s="3">
        <v>2310</v>
      </c>
      <c r="H235" s="3">
        <v>1224</v>
      </c>
      <c r="I235" s="3">
        <v>409</v>
      </c>
      <c r="J235" s="3">
        <v>243</v>
      </c>
      <c r="K235" s="3">
        <v>1274</v>
      </c>
      <c r="L235" s="3">
        <v>1124</v>
      </c>
      <c r="M235" s="3">
        <v>1233</v>
      </c>
      <c r="N235" s="40">
        <v>597.21999999999991</v>
      </c>
      <c r="O235" s="40">
        <v>336000</v>
      </c>
      <c r="P235" s="38">
        <v>260.20679225499998</v>
      </c>
      <c r="Q235" s="38">
        <v>11</v>
      </c>
      <c r="R235" s="38">
        <f t="shared" si="3"/>
        <v>3.8679213690097458</v>
      </c>
      <c r="S235" s="41">
        <f>Rådatakommune[[#This Row],[B12]]/Rådatakommune[[#This Row],[B02]]-1</f>
        <v>-6.5911847957945802E-2</v>
      </c>
      <c r="T235" s="41">
        <f>Rådatakommune[[#This Row],[Kvinner20-39]]/Rådatakommune[[#This Row],[B12]]</f>
        <v>0.10519480519480519</v>
      </c>
      <c r="U235" s="41">
        <f>Rådatakommune[[#This Row],[Eldre67+]]/Rådatakommune[[#This Row],[B12]]</f>
        <v>0.17705627705627705</v>
      </c>
      <c r="V235" s="41">
        <f>Rådatakommune[[#This Row],[S11]]/Rådatakommune[[#This Row],[S01]]-1</f>
        <v>9.6975088967971468E-2</v>
      </c>
      <c r="W235" s="41">
        <f>Rådatakommune[[#This Row],[Y11]]/Rådatakommune[[#This Row],[Folk20-64]]</f>
        <v>0.96075353218210358</v>
      </c>
    </row>
    <row r="236" spans="1:23" s="38" customFormat="1" ht="12.75">
      <c r="A236" s="42" t="s">
        <v>234</v>
      </c>
      <c r="B236" s="37">
        <v>14</v>
      </c>
      <c r="C236" s="38">
        <v>61</v>
      </c>
      <c r="D236" s="39" t="s">
        <v>433</v>
      </c>
      <c r="E236" s="37">
        <v>2</v>
      </c>
      <c r="F236" s="3">
        <v>921</v>
      </c>
      <c r="G236" s="3">
        <v>851</v>
      </c>
      <c r="H236" s="3">
        <v>456</v>
      </c>
      <c r="I236" s="3">
        <v>166</v>
      </c>
      <c r="J236" s="3">
        <v>62</v>
      </c>
      <c r="K236" s="3">
        <v>469</v>
      </c>
      <c r="L236" s="3">
        <v>439</v>
      </c>
      <c r="M236" s="3">
        <v>413</v>
      </c>
      <c r="N236" s="40">
        <v>228.45</v>
      </c>
      <c r="O236" s="40">
        <v>319500</v>
      </c>
      <c r="P236" s="38">
        <v>311.54441855300001</v>
      </c>
      <c r="Q236" s="38">
        <v>11</v>
      </c>
      <c r="R236" s="38">
        <f t="shared" si="3"/>
        <v>3.7251039614795363</v>
      </c>
      <c r="S236" s="41">
        <f>Rådatakommune[[#This Row],[B12]]/Rådatakommune[[#This Row],[B02]]-1</f>
        <v>-7.6004343105320338E-2</v>
      </c>
      <c r="T236" s="41">
        <f>Rådatakommune[[#This Row],[Kvinner20-39]]/Rådatakommune[[#This Row],[B12]]</f>
        <v>7.2855464159811992E-2</v>
      </c>
      <c r="U236" s="41">
        <f>Rådatakommune[[#This Row],[Eldre67+]]/Rådatakommune[[#This Row],[B12]]</f>
        <v>0.19506462984723855</v>
      </c>
      <c r="V236" s="41">
        <f>Rådatakommune[[#This Row],[S11]]/Rådatakommune[[#This Row],[S01]]-1</f>
        <v>-5.9225512528473856E-2</v>
      </c>
      <c r="W236" s="41">
        <f>Rådatakommune[[#This Row],[Y11]]/Rådatakommune[[#This Row],[Folk20-64]]</f>
        <v>0.97228144989339016</v>
      </c>
    </row>
    <row r="237" spans="1:23" s="38" customFormat="1" ht="12.75">
      <c r="A237" s="42" t="s">
        <v>235</v>
      </c>
      <c r="B237" s="37">
        <v>14</v>
      </c>
      <c r="C237" s="38">
        <v>67</v>
      </c>
      <c r="D237" s="39" t="s">
        <v>433</v>
      </c>
      <c r="E237" s="37">
        <v>2</v>
      </c>
      <c r="F237" s="3">
        <v>1528</v>
      </c>
      <c r="G237" s="3">
        <v>1461</v>
      </c>
      <c r="H237" s="3">
        <v>732</v>
      </c>
      <c r="I237" s="3">
        <v>291</v>
      </c>
      <c r="J237" s="3">
        <v>112</v>
      </c>
      <c r="K237" s="3">
        <v>775</v>
      </c>
      <c r="L237" s="3">
        <v>748</v>
      </c>
      <c r="M237" s="3">
        <v>672</v>
      </c>
      <c r="N237" s="40">
        <v>259.07</v>
      </c>
      <c r="O237" s="40">
        <v>305700</v>
      </c>
      <c r="P237" s="38">
        <v>210.9768493549</v>
      </c>
      <c r="Q237" s="38">
        <v>11</v>
      </c>
      <c r="R237" s="38">
        <f t="shared" si="3"/>
        <v>5.6394024780947234</v>
      </c>
      <c r="S237" s="41">
        <f>Rådatakommune[[#This Row],[B12]]/Rådatakommune[[#This Row],[B02]]-1</f>
        <v>-4.3848167539267013E-2</v>
      </c>
      <c r="T237" s="41">
        <f>Rådatakommune[[#This Row],[Kvinner20-39]]/Rådatakommune[[#This Row],[B12]]</f>
        <v>7.665982203969883E-2</v>
      </c>
      <c r="U237" s="41">
        <f>Rådatakommune[[#This Row],[Eldre67+]]/Rådatakommune[[#This Row],[B12]]</f>
        <v>0.19917864476386038</v>
      </c>
      <c r="V237" s="41">
        <f>Rådatakommune[[#This Row],[S11]]/Rådatakommune[[#This Row],[S01]]-1</f>
        <v>-0.10160427807486627</v>
      </c>
      <c r="W237" s="41">
        <f>Rådatakommune[[#This Row],[Y11]]/Rådatakommune[[#This Row],[Folk20-64]]</f>
        <v>0.94451612903225801</v>
      </c>
    </row>
    <row r="238" spans="1:23" s="38" customFormat="1" ht="12.75">
      <c r="A238" s="42" t="s">
        <v>236</v>
      </c>
      <c r="B238" s="37">
        <v>14</v>
      </c>
      <c r="C238" s="38">
        <v>62</v>
      </c>
      <c r="D238" s="39" t="s">
        <v>433</v>
      </c>
      <c r="E238" s="37">
        <v>2</v>
      </c>
      <c r="F238" s="3">
        <v>4632</v>
      </c>
      <c r="G238" s="3">
        <v>4216</v>
      </c>
      <c r="H238" s="3">
        <v>2059</v>
      </c>
      <c r="I238" s="3">
        <v>736</v>
      </c>
      <c r="J238" s="3">
        <v>418</v>
      </c>
      <c r="K238" s="3">
        <v>2330</v>
      </c>
      <c r="L238" s="3">
        <v>2281</v>
      </c>
      <c r="M238" s="3">
        <v>1721</v>
      </c>
      <c r="N238" s="40">
        <v>907.92000000000007</v>
      </c>
      <c r="O238" s="40">
        <v>328400</v>
      </c>
      <c r="P238" s="38">
        <v>199.5717368473</v>
      </c>
      <c r="Q238" s="38">
        <v>9</v>
      </c>
      <c r="R238" s="38">
        <f t="shared" si="3"/>
        <v>4.6435809322407255</v>
      </c>
      <c r="S238" s="41">
        <f>Rådatakommune[[#This Row],[B12]]/Rådatakommune[[#This Row],[B02]]-1</f>
        <v>-8.9810017271157117E-2</v>
      </c>
      <c r="T238" s="41">
        <f>Rådatakommune[[#This Row],[Kvinner20-39]]/Rådatakommune[[#This Row],[B12]]</f>
        <v>9.9146110056926001E-2</v>
      </c>
      <c r="U238" s="41">
        <f>Rådatakommune[[#This Row],[Eldre67+]]/Rådatakommune[[#This Row],[B12]]</f>
        <v>0.17457305502846299</v>
      </c>
      <c r="V238" s="41">
        <f>Rådatakommune[[#This Row],[S11]]/Rådatakommune[[#This Row],[S01]]-1</f>
        <v>-0.24550635686102584</v>
      </c>
      <c r="W238" s="41">
        <f>Rådatakommune[[#This Row],[Y11]]/Rådatakommune[[#This Row],[Folk20-64]]</f>
        <v>0.88369098712446348</v>
      </c>
    </row>
    <row r="239" spans="1:23" s="38" customFormat="1" ht="12.75">
      <c r="A239" s="42" t="s">
        <v>237</v>
      </c>
      <c r="B239" s="37">
        <v>14</v>
      </c>
      <c r="C239" s="38">
        <v>63</v>
      </c>
      <c r="D239" s="39" t="s">
        <v>433</v>
      </c>
      <c r="E239" s="37">
        <v>2</v>
      </c>
      <c r="F239" s="3">
        <v>2915</v>
      </c>
      <c r="G239" s="3">
        <v>2748</v>
      </c>
      <c r="H239" s="3">
        <v>1397</v>
      </c>
      <c r="I239" s="3">
        <v>577</v>
      </c>
      <c r="J239" s="3">
        <v>271</v>
      </c>
      <c r="K239" s="3">
        <v>1460</v>
      </c>
      <c r="L239" s="3">
        <v>1250</v>
      </c>
      <c r="M239" s="3">
        <v>1260</v>
      </c>
      <c r="N239" s="40">
        <v>833.28000000000009</v>
      </c>
      <c r="O239" s="40">
        <v>317500</v>
      </c>
      <c r="P239" s="38">
        <v>220.90600000000001</v>
      </c>
      <c r="Q239" s="38">
        <v>11</v>
      </c>
      <c r="R239" s="38">
        <f t="shared" si="3"/>
        <v>3.2978110599078336</v>
      </c>
      <c r="S239" s="41">
        <f>Rådatakommune[[#This Row],[B12]]/Rådatakommune[[#This Row],[B02]]-1</f>
        <v>-5.7289879931389343E-2</v>
      </c>
      <c r="T239" s="41">
        <f>Rådatakommune[[#This Row],[Kvinner20-39]]/Rådatakommune[[#This Row],[B12]]</f>
        <v>9.8617176128093162E-2</v>
      </c>
      <c r="U239" s="41">
        <f>Rådatakommune[[#This Row],[Eldre67+]]/Rådatakommune[[#This Row],[B12]]</f>
        <v>0.20997088791848617</v>
      </c>
      <c r="V239" s="41">
        <f>Rådatakommune[[#This Row],[S11]]/Rådatakommune[[#This Row],[S01]]-1</f>
        <v>8.0000000000000071E-3</v>
      </c>
      <c r="W239" s="41">
        <f>Rådatakommune[[#This Row],[Y11]]/Rådatakommune[[#This Row],[Folk20-64]]</f>
        <v>0.95684931506849313</v>
      </c>
    </row>
    <row r="240" spans="1:23" s="38" customFormat="1" ht="12.75">
      <c r="A240" s="42" t="s">
        <v>238</v>
      </c>
      <c r="B240" s="37">
        <v>14</v>
      </c>
      <c r="C240" s="38">
        <v>62</v>
      </c>
      <c r="D240" s="39" t="s">
        <v>433</v>
      </c>
      <c r="E240" s="37">
        <v>2</v>
      </c>
      <c r="F240" s="3">
        <v>1506</v>
      </c>
      <c r="G240" s="3">
        <v>1338</v>
      </c>
      <c r="H240" s="3">
        <v>726</v>
      </c>
      <c r="I240" s="3">
        <v>205</v>
      </c>
      <c r="J240" s="3">
        <v>148</v>
      </c>
      <c r="K240" s="3">
        <v>760</v>
      </c>
      <c r="L240" s="3">
        <v>670</v>
      </c>
      <c r="M240" s="3">
        <v>631</v>
      </c>
      <c r="N240" s="40">
        <v>429.84</v>
      </c>
      <c r="O240" s="40">
        <v>313500</v>
      </c>
      <c r="P240" s="38">
        <v>210.31716023410002</v>
      </c>
      <c r="Q240" s="38">
        <v>9</v>
      </c>
      <c r="R240" s="38">
        <f t="shared" si="3"/>
        <v>3.1127861529871583</v>
      </c>
      <c r="S240" s="41">
        <f>Rådatakommune[[#This Row],[B12]]/Rådatakommune[[#This Row],[B02]]-1</f>
        <v>-0.11155378486055778</v>
      </c>
      <c r="T240" s="41">
        <f>Rådatakommune[[#This Row],[Kvinner20-39]]/Rådatakommune[[#This Row],[B12]]</f>
        <v>0.11061285500747384</v>
      </c>
      <c r="U240" s="41">
        <f>Rådatakommune[[#This Row],[Eldre67+]]/Rådatakommune[[#This Row],[B12]]</f>
        <v>0.1532137518684604</v>
      </c>
      <c r="V240" s="41">
        <f>Rådatakommune[[#This Row],[S11]]/Rådatakommune[[#This Row],[S01]]-1</f>
        <v>-5.8208955223880587E-2</v>
      </c>
      <c r="W240" s="41">
        <f>Rådatakommune[[#This Row],[Y11]]/Rådatakommune[[#This Row],[Folk20-64]]</f>
        <v>0.95526315789473681</v>
      </c>
    </row>
    <row r="241" spans="1:23" s="38" customFormat="1" ht="12.75">
      <c r="A241" s="42" t="s">
        <v>239</v>
      </c>
      <c r="B241" s="37">
        <v>14</v>
      </c>
      <c r="C241" s="38">
        <v>64</v>
      </c>
      <c r="D241" s="39" t="s">
        <v>433</v>
      </c>
      <c r="E241" s="37">
        <v>2</v>
      </c>
      <c r="F241" s="3">
        <v>2199</v>
      </c>
      <c r="G241" s="3">
        <v>2236</v>
      </c>
      <c r="H241" s="3">
        <v>1211</v>
      </c>
      <c r="I241" s="3">
        <v>340</v>
      </c>
      <c r="J241" s="3">
        <v>259</v>
      </c>
      <c r="K241" s="3">
        <v>1245</v>
      </c>
      <c r="L241" s="3">
        <v>1733</v>
      </c>
      <c r="M241" s="3">
        <v>1604</v>
      </c>
      <c r="N241" s="40">
        <v>180.04</v>
      </c>
      <c r="O241" s="40">
        <v>360700</v>
      </c>
      <c r="P241" s="38">
        <v>181.30705130249999</v>
      </c>
      <c r="Q241" s="38">
        <v>8</v>
      </c>
      <c r="R241" s="38">
        <f t="shared" si="3"/>
        <v>12.419462341701845</v>
      </c>
      <c r="S241" s="41">
        <f>Rådatakommune[[#This Row],[B12]]/Rådatakommune[[#This Row],[B02]]-1</f>
        <v>1.6825829922692215E-2</v>
      </c>
      <c r="T241" s="41">
        <f>Rådatakommune[[#This Row],[Kvinner20-39]]/Rådatakommune[[#This Row],[B12]]</f>
        <v>0.11583184257602862</v>
      </c>
      <c r="U241" s="41">
        <f>Rådatakommune[[#This Row],[Eldre67+]]/Rådatakommune[[#This Row],[B12]]</f>
        <v>0.15205724508050089</v>
      </c>
      <c r="V241" s="41">
        <f>Rådatakommune[[#This Row],[S11]]/Rådatakommune[[#This Row],[S01]]-1</f>
        <v>-7.4437391806116526E-2</v>
      </c>
      <c r="W241" s="41">
        <f>Rådatakommune[[#This Row],[Y11]]/Rådatakommune[[#This Row],[Folk20-64]]</f>
        <v>0.97269076305220881</v>
      </c>
    </row>
    <row r="242" spans="1:23" s="38" customFormat="1" ht="12.75">
      <c r="A242" s="42" t="s">
        <v>240</v>
      </c>
      <c r="B242" s="37">
        <v>14</v>
      </c>
      <c r="C242" s="38">
        <v>64</v>
      </c>
      <c r="D242" s="39" t="s">
        <v>433</v>
      </c>
      <c r="E242" s="37" t="s">
        <v>435</v>
      </c>
      <c r="F242" s="3">
        <v>6604</v>
      </c>
      <c r="G242" s="3">
        <v>7348</v>
      </c>
      <c r="H242" s="3">
        <v>4076</v>
      </c>
      <c r="I242" s="3">
        <v>954</v>
      </c>
      <c r="J242" s="3">
        <v>956</v>
      </c>
      <c r="K242" s="3">
        <v>4315</v>
      </c>
      <c r="L242" s="3">
        <v>3673</v>
      </c>
      <c r="M242" s="3">
        <v>4181</v>
      </c>
      <c r="N242" s="40">
        <v>745.91</v>
      </c>
      <c r="O242" s="40">
        <v>333300</v>
      </c>
      <c r="P242" s="38">
        <v>163.75476108149999</v>
      </c>
      <c r="Q242" s="38">
        <v>8</v>
      </c>
      <c r="R242" s="38">
        <f t="shared" si="3"/>
        <v>9.8510544167526923</v>
      </c>
      <c r="S242" s="41">
        <f>Rådatakommune[[#This Row],[B12]]/Rådatakommune[[#This Row],[B02]]-1</f>
        <v>0.11265899454875838</v>
      </c>
      <c r="T242" s="41">
        <f>Rådatakommune[[#This Row],[Kvinner20-39]]/Rådatakommune[[#This Row],[B12]]</f>
        <v>0.13010342950462711</v>
      </c>
      <c r="U242" s="41">
        <f>Rådatakommune[[#This Row],[Eldre67+]]/Rådatakommune[[#This Row],[B12]]</f>
        <v>0.12983124659771367</v>
      </c>
      <c r="V242" s="41">
        <f>Rådatakommune[[#This Row],[S11]]/Rådatakommune[[#This Row],[S01]]-1</f>
        <v>0.13830656139395581</v>
      </c>
      <c r="W242" s="41">
        <f>Rådatakommune[[#This Row],[Y11]]/Rådatakommune[[#This Row],[Folk20-64]]</f>
        <v>0.94461181923522597</v>
      </c>
    </row>
    <row r="243" spans="1:23" s="38" customFormat="1" ht="12.75">
      <c r="A243" s="42" t="s">
        <v>241</v>
      </c>
      <c r="B243" s="37">
        <v>14</v>
      </c>
      <c r="C243" s="38">
        <v>65</v>
      </c>
      <c r="D243" s="39" t="s">
        <v>433</v>
      </c>
      <c r="E243" s="37">
        <v>2</v>
      </c>
      <c r="F243" s="3">
        <v>1807</v>
      </c>
      <c r="G243" s="3">
        <v>1712</v>
      </c>
      <c r="H243" s="3">
        <v>932</v>
      </c>
      <c r="I243" s="3">
        <v>281</v>
      </c>
      <c r="J243" s="3">
        <v>177</v>
      </c>
      <c r="K243" s="3">
        <v>987</v>
      </c>
      <c r="L243" s="3">
        <v>893</v>
      </c>
      <c r="M243" s="3">
        <v>908</v>
      </c>
      <c r="N243" s="40">
        <v>1467.85</v>
      </c>
      <c r="O243" s="40">
        <v>329200</v>
      </c>
      <c r="P243" s="38">
        <v>206.8877959502</v>
      </c>
      <c r="Q243" s="38">
        <v>11</v>
      </c>
      <c r="R243" s="38">
        <f t="shared" si="3"/>
        <v>1.1663317096433561</v>
      </c>
      <c r="S243" s="41">
        <f>Rådatakommune[[#This Row],[B12]]/Rådatakommune[[#This Row],[B02]]-1</f>
        <v>-5.2573325954620942E-2</v>
      </c>
      <c r="T243" s="41">
        <f>Rådatakommune[[#This Row],[Kvinner20-39]]/Rådatakommune[[#This Row],[B12]]</f>
        <v>0.10338785046728972</v>
      </c>
      <c r="U243" s="41">
        <f>Rådatakommune[[#This Row],[Eldre67+]]/Rådatakommune[[#This Row],[B12]]</f>
        <v>0.16413551401869159</v>
      </c>
      <c r="V243" s="41">
        <f>Rådatakommune[[#This Row],[S11]]/Rådatakommune[[#This Row],[S01]]-1</f>
        <v>1.6797312430011146E-2</v>
      </c>
      <c r="W243" s="41">
        <f>Rådatakommune[[#This Row],[Y11]]/Rådatakommune[[#This Row],[Folk20-64]]</f>
        <v>0.9442755825734549</v>
      </c>
    </row>
    <row r="244" spans="1:23" s="38" customFormat="1" ht="12.75">
      <c r="A244" s="42" t="s">
        <v>242</v>
      </c>
      <c r="B244" s="37">
        <v>14</v>
      </c>
      <c r="C244" s="38">
        <v>66</v>
      </c>
      <c r="D244" s="39" t="s">
        <v>433</v>
      </c>
      <c r="E244" s="37">
        <v>2</v>
      </c>
      <c r="F244" s="3">
        <v>2178</v>
      </c>
      <c r="G244" s="3">
        <v>2205</v>
      </c>
      <c r="H244" s="3">
        <v>1165</v>
      </c>
      <c r="I244" s="3">
        <v>365</v>
      </c>
      <c r="J244" s="3">
        <v>238</v>
      </c>
      <c r="K244" s="3">
        <v>1247</v>
      </c>
      <c r="L244" s="3">
        <v>1060</v>
      </c>
      <c r="M244" s="3">
        <v>1039</v>
      </c>
      <c r="N244" s="40">
        <v>1342.45</v>
      </c>
      <c r="O244" s="40">
        <v>329300</v>
      </c>
      <c r="P244" s="38">
        <v>179.94548692429998</v>
      </c>
      <c r="Q244" s="38">
        <v>9</v>
      </c>
      <c r="R244" s="38">
        <f t="shared" si="3"/>
        <v>1.6425192744608736</v>
      </c>
      <c r="S244" s="41">
        <f>Rådatakommune[[#This Row],[B12]]/Rådatakommune[[#This Row],[B02]]-1</f>
        <v>1.2396694214876103E-2</v>
      </c>
      <c r="T244" s="41">
        <f>Rådatakommune[[#This Row],[Kvinner20-39]]/Rådatakommune[[#This Row],[B12]]</f>
        <v>0.10793650793650794</v>
      </c>
      <c r="U244" s="41">
        <f>Rådatakommune[[#This Row],[Eldre67+]]/Rådatakommune[[#This Row],[B12]]</f>
        <v>0.1655328798185941</v>
      </c>
      <c r="V244" s="41">
        <f>Rådatakommune[[#This Row],[S11]]/Rådatakommune[[#This Row],[S01]]-1</f>
        <v>-1.9811320754717032E-2</v>
      </c>
      <c r="W244" s="41">
        <f>Rådatakommune[[#This Row],[Y11]]/Rådatakommune[[#This Row],[Folk20-64]]</f>
        <v>0.93424218123496394</v>
      </c>
    </row>
    <row r="245" spans="1:23" s="38" customFormat="1" ht="12.75">
      <c r="A245" s="42" t="s">
        <v>243</v>
      </c>
      <c r="B245" s="37">
        <v>14</v>
      </c>
      <c r="C245" s="38">
        <v>66</v>
      </c>
      <c r="D245" s="39" t="s">
        <v>433</v>
      </c>
      <c r="E245" s="37">
        <v>2</v>
      </c>
      <c r="F245" s="3">
        <v>5709</v>
      </c>
      <c r="G245" s="3">
        <v>5572</v>
      </c>
      <c r="H245" s="3">
        <v>2800</v>
      </c>
      <c r="I245" s="3">
        <v>1014</v>
      </c>
      <c r="J245" s="3">
        <v>575</v>
      </c>
      <c r="K245" s="3">
        <v>3168</v>
      </c>
      <c r="L245" s="3">
        <v>3092</v>
      </c>
      <c r="M245" s="3">
        <v>2975</v>
      </c>
      <c r="N245" s="40">
        <v>976.57999999999993</v>
      </c>
      <c r="O245" s="40">
        <v>364600</v>
      </c>
      <c r="P245" s="38">
        <v>192.52787012959999</v>
      </c>
      <c r="Q245" s="38">
        <v>9</v>
      </c>
      <c r="R245" s="38">
        <f t="shared" si="3"/>
        <v>5.7056257551864675</v>
      </c>
      <c r="S245" s="41">
        <f>Rådatakommune[[#This Row],[B12]]/Rådatakommune[[#This Row],[B02]]-1</f>
        <v>-2.3997197407601978E-2</v>
      </c>
      <c r="T245" s="41">
        <f>Rådatakommune[[#This Row],[Kvinner20-39]]/Rådatakommune[[#This Row],[B12]]</f>
        <v>0.10319454414931802</v>
      </c>
      <c r="U245" s="41">
        <f>Rådatakommune[[#This Row],[Eldre67+]]/Rådatakommune[[#This Row],[B12]]</f>
        <v>0.18198133524766691</v>
      </c>
      <c r="V245" s="41">
        <f>Rådatakommune[[#This Row],[S11]]/Rådatakommune[[#This Row],[S01]]-1</f>
        <v>-3.7839586028460492E-2</v>
      </c>
      <c r="W245" s="41">
        <f>Rådatakommune[[#This Row],[Y11]]/Rådatakommune[[#This Row],[Folk20-64]]</f>
        <v>0.88383838383838387</v>
      </c>
    </row>
    <row r="246" spans="1:23" s="38" customFormat="1" ht="12.75">
      <c r="A246" s="42" t="s">
        <v>244</v>
      </c>
      <c r="B246" s="37">
        <v>14</v>
      </c>
      <c r="C246" s="38">
        <v>64</v>
      </c>
      <c r="D246" s="39" t="s">
        <v>433</v>
      </c>
      <c r="E246" s="37">
        <v>2</v>
      </c>
      <c r="F246" s="3">
        <v>4968</v>
      </c>
      <c r="G246" s="3">
        <v>5026</v>
      </c>
      <c r="H246" s="3">
        <v>2602</v>
      </c>
      <c r="I246" s="3">
        <v>852</v>
      </c>
      <c r="J246" s="3">
        <v>552</v>
      </c>
      <c r="K246" s="3">
        <v>2764</v>
      </c>
      <c r="L246" s="3">
        <v>1903</v>
      </c>
      <c r="M246" s="3">
        <v>1988</v>
      </c>
      <c r="N246" s="40">
        <v>2706.42</v>
      </c>
      <c r="O246" s="40">
        <v>310000</v>
      </c>
      <c r="P246" s="38">
        <v>184.57999999999998</v>
      </c>
      <c r="Q246" s="38">
        <v>8</v>
      </c>
      <c r="R246" s="38">
        <f t="shared" si="3"/>
        <v>1.8570657917100819</v>
      </c>
      <c r="S246" s="41">
        <f>Rådatakommune[[#This Row],[B12]]/Rådatakommune[[#This Row],[B02]]-1</f>
        <v>1.1674718196457379E-2</v>
      </c>
      <c r="T246" s="41">
        <f>Rådatakommune[[#This Row],[Kvinner20-39]]/Rådatakommune[[#This Row],[B12]]</f>
        <v>0.10982888977317946</v>
      </c>
      <c r="U246" s="41">
        <f>Rådatakommune[[#This Row],[Eldre67+]]/Rådatakommune[[#This Row],[B12]]</f>
        <v>0.16951850378034222</v>
      </c>
      <c r="V246" s="41">
        <f>Rådatakommune[[#This Row],[S11]]/Rådatakommune[[#This Row],[S01]]-1</f>
        <v>4.4666316342616863E-2</v>
      </c>
      <c r="W246" s="41">
        <f>Rådatakommune[[#This Row],[Y11]]/Rådatakommune[[#This Row],[Folk20-64]]</f>
        <v>0.94138929088277856</v>
      </c>
    </row>
    <row r="247" spans="1:23" s="38" customFormat="1" ht="12.75">
      <c r="A247" s="42" t="s">
        <v>245</v>
      </c>
      <c r="B247" s="37">
        <v>14</v>
      </c>
      <c r="C247" s="38">
        <v>68</v>
      </c>
      <c r="D247" s="39" t="s">
        <v>433</v>
      </c>
      <c r="E247" s="37">
        <v>2</v>
      </c>
      <c r="F247" s="3">
        <v>3344</v>
      </c>
      <c r="G247" s="3">
        <v>3010</v>
      </c>
      <c r="H247" s="3">
        <v>1499</v>
      </c>
      <c r="I247" s="3">
        <v>628</v>
      </c>
      <c r="J247" s="3">
        <v>265</v>
      </c>
      <c r="K247" s="3">
        <v>1581</v>
      </c>
      <c r="L247" s="3">
        <v>1195</v>
      </c>
      <c r="M247" s="3">
        <v>1157</v>
      </c>
      <c r="N247" s="40">
        <v>326.5</v>
      </c>
      <c r="O247" s="40">
        <v>312100</v>
      </c>
      <c r="P247" s="38">
        <v>216.42007094429999</v>
      </c>
      <c r="Q247" s="38">
        <v>8</v>
      </c>
      <c r="R247" s="38">
        <f t="shared" si="3"/>
        <v>9.2189892802450224</v>
      </c>
      <c r="S247" s="41">
        <f>Rådatakommune[[#This Row],[B12]]/Rådatakommune[[#This Row],[B02]]-1</f>
        <v>-9.9880382775119569E-2</v>
      </c>
      <c r="T247" s="41">
        <f>Rådatakommune[[#This Row],[Kvinner20-39]]/Rådatakommune[[#This Row],[B12]]</f>
        <v>8.8039867109634545E-2</v>
      </c>
      <c r="U247" s="41">
        <f>Rådatakommune[[#This Row],[Eldre67+]]/Rådatakommune[[#This Row],[B12]]</f>
        <v>0.20863787375415282</v>
      </c>
      <c r="V247" s="41">
        <f>Rådatakommune[[#This Row],[S11]]/Rådatakommune[[#This Row],[S01]]-1</f>
        <v>-3.1799163179916268E-2</v>
      </c>
      <c r="W247" s="41">
        <f>Rådatakommune[[#This Row],[Y11]]/Rådatakommune[[#This Row],[Folk20-64]]</f>
        <v>0.94813409234661605</v>
      </c>
    </row>
    <row r="248" spans="1:23" s="38" customFormat="1" ht="12.75">
      <c r="A248" s="42" t="s">
        <v>246</v>
      </c>
      <c r="B248" s="37">
        <v>14</v>
      </c>
      <c r="C248" s="38">
        <v>68</v>
      </c>
      <c r="D248" s="39" t="s">
        <v>433</v>
      </c>
      <c r="E248" s="37">
        <v>2</v>
      </c>
      <c r="F248" s="3">
        <v>2935</v>
      </c>
      <c r="G248" s="3">
        <v>2832</v>
      </c>
      <c r="H248" s="3">
        <v>1336</v>
      </c>
      <c r="I248" s="3">
        <v>517</v>
      </c>
      <c r="J248" s="3">
        <v>297</v>
      </c>
      <c r="K248" s="3">
        <v>1447</v>
      </c>
      <c r="L248" s="3">
        <v>1207</v>
      </c>
      <c r="M248" s="3">
        <v>1198</v>
      </c>
      <c r="N248" s="40">
        <v>416.71000000000004</v>
      </c>
      <c r="O248" s="40">
        <v>278600</v>
      </c>
      <c r="P248" s="38">
        <v>178.87110704610001</v>
      </c>
      <c r="Q248" s="38">
        <v>6</v>
      </c>
      <c r="R248" s="38">
        <f t="shared" si="3"/>
        <v>6.7960932063065433</v>
      </c>
      <c r="S248" s="41">
        <f>Rådatakommune[[#This Row],[B12]]/Rådatakommune[[#This Row],[B02]]-1</f>
        <v>-3.5093696763202731E-2</v>
      </c>
      <c r="T248" s="41">
        <f>Rådatakommune[[#This Row],[Kvinner20-39]]/Rådatakommune[[#This Row],[B12]]</f>
        <v>0.1048728813559322</v>
      </c>
      <c r="U248" s="41">
        <f>Rådatakommune[[#This Row],[Eldre67+]]/Rådatakommune[[#This Row],[B12]]</f>
        <v>0.18255649717514125</v>
      </c>
      <c r="V248" s="41">
        <f>Rådatakommune[[#This Row],[S11]]/Rådatakommune[[#This Row],[S01]]-1</f>
        <v>-7.4565037282519064E-3</v>
      </c>
      <c r="W248" s="41">
        <f>Rådatakommune[[#This Row],[Y11]]/Rådatakommune[[#This Row],[Folk20-64]]</f>
        <v>0.92328956461644784</v>
      </c>
    </row>
    <row r="249" spans="1:23" s="38" customFormat="1" ht="12.75">
      <c r="A249" s="42" t="s">
        <v>247</v>
      </c>
      <c r="B249" s="37">
        <v>14</v>
      </c>
      <c r="C249" s="38">
        <v>68</v>
      </c>
      <c r="D249" s="39" t="s">
        <v>433</v>
      </c>
      <c r="E249" s="37">
        <v>2</v>
      </c>
      <c r="F249" s="3">
        <v>2824</v>
      </c>
      <c r="G249" s="3">
        <v>2848</v>
      </c>
      <c r="H249" s="3">
        <v>1513</v>
      </c>
      <c r="I249" s="3">
        <v>430</v>
      </c>
      <c r="J249" s="3">
        <v>316</v>
      </c>
      <c r="K249" s="3">
        <v>1585</v>
      </c>
      <c r="L249" s="3">
        <v>1024</v>
      </c>
      <c r="M249" s="3">
        <v>1031</v>
      </c>
      <c r="N249" s="40">
        <v>581.93999999999994</v>
      </c>
      <c r="O249" s="40">
        <v>322700</v>
      </c>
      <c r="P249" s="38">
        <v>167.7804442316</v>
      </c>
      <c r="Q249" s="38">
        <v>6</v>
      </c>
      <c r="R249" s="38">
        <f t="shared" si="3"/>
        <v>4.8939753239165551</v>
      </c>
      <c r="S249" s="41">
        <f>Rådatakommune[[#This Row],[B12]]/Rådatakommune[[#This Row],[B02]]-1</f>
        <v>8.4985835694051381E-3</v>
      </c>
      <c r="T249" s="41">
        <f>Rådatakommune[[#This Row],[Kvinner20-39]]/Rådatakommune[[#This Row],[B12]]</f>
        <v>0.11095505617977527</v>
      </c>
      <c r="U249" s="41">
        <f>Rådatakommune[[#This Row],[Eldre67+]]/Rådatakommune[[#This Row],[B12]]</f>
        <v>0.15098314606741572</v>
      </c>
      <c r="V249" s="41">
        <f>Rådatakommune[[#This Row],[S11]]/Rådatakommune[[#This Row],[S01]]-1</f>
        <v>6.8359375E-3</v>
      </c>
      <c r="W249" s="41">
        <f>Rådatakommune[[#This Row],[Y11]]/Rådatakommune[[#This Row],[Folk20-64]]</f>
        <v>0.95457413249211354</v>
      </c>
    </row>
    <row r="250" spans="1:23" s="38" customFormat="1" ht="12.75">
      <c r="A250" s="42" t="s">
        <v>248</v>
      </c>
      <c r="B250" s="37">
        <v>14</v>
      </c>
      <c r="C250" s="38">
        <v>68</v>
      </c>
      <c r="D250" s="39" t="s">
        <v>433</v>
      </c>
      <c r="E250" s="37">
        <v>2</v>
      </c>
      <c r="F250" s="3">
        <v>2978</v>
      </c>
      <c r="G250" s="3">
        <v>3052</v>
      </c>
      <c r="H250" s="3">
        <v>1629</v>
      </c>
      <c r="I250" s="3">
        <v>457</v>
      </c>
      <c r="J250" s="3">
        <v>348</v>
      </c>
      <c r="K250" s="3">
        <v>1676</v>
      </c>
      <c r="L250" s="3">
        <v>1005</v>
      </c>
      <c r="M250" s="3">
        <v>1010</v>
      </c>
      <c r="N250" s="40">
        <v>670.86</v>
      </c>
      <c r="O250" s="40">
        <v>325500</v>
      </c>
      <c r="P250" s="38">
        <v>193.67538588470001</v>
      </c>
      <c r="Q250" s="38">
        <v>6</v>
      </c>
      <c r="R250" s="38">
        <f t="shared" si="3"/>
        <v>4.5493843722982437</v>
      </c>
      <c r="S250" s="41">
        <f>Rådatakommune[[#This Row],[B12]]/Rådatakommune[[#This Row],[B02]]-1</f>
        <v>2.4848891873740842E-2</v>
      </c>
      <c r="T250" s="41">
        <f>Rådatakommune[[#This Row],[Kvinner20-39]]/Rådatakommune[[#This Row],[B12]]</f>
        <v>0.11402359108781127</v>
      </c>
      <c r="U250" s="41">
        <f>Rådatakommune[[#This Row],[Eldre67+]]/Rådatakommune[[#This Row],[B12]]</f>
        <v>0.14973787680209699</v>
      </c>
      <c r="V250" s="41">
        <f>Rådatakommune[[#This Row],[S11]]/Rådatakommune[[#This Row],[S01]]-1</f>
        <v>4.9751243781095411E-3</v>
      </c>
      <c r="W250" s="41">
        <f>Rådatakommune[[#This Row],[Y11]]/Rådatakommune[[#This Row],[Folk20-64]]</f>
        <v>0.97195704057279231</v>
      </c>
    </row>
    <row r="251" spans="1:23" s="38" customFormat="1" ht="12.75">
      <c r="A251" s="42" t="s">
        <v>249</v>
      </c>
      <c r="B251" s="37">
        <v>14</v>
      </c>
      <c r="C251" s="38">
        <v>68</v>
      </c>
      <c r="D251" s="39" t="s">
        <v>433</v>
      </c>
      <c r="E251" s="37" t="s">
        <v>435</v>
      </c>
      <c r="F251" s="3">
        <v>10765</v>
      </c>
      <c r="G251" s="3">
        <v>12307</v>
      </c>
      <c r="H251" s="3">
        <v>6949</v>
      </c>
      <c r="I251" s="3">
        <v>1123</v>
      </c>
      <c r="J251" s="3">
        <v>1642</v>
      </c>
      <c r="K251" s="3">
        <v>7354</v>
      </c>
      <c r="L251" s="3">
        <v>7659</v>
      </c>
      <c r="M251" s="3">
        <v>9015</v>
      </c>
      <c r="N251" s="40">
        <v>586.01</v>
      </c>
      <c r="O251" s="40">
        <v>357700</v>
      </c>
      <c r="P251" s="38">
        <v>169.29508102310001</v>
      </c>
      <c r="Q251" s="38">
        <v>6</v>
      </c>
      <c r="R251" s="38">
        <f t="shared" si="3"/>
        <v>21.001348099861776</v>
      </c>
      <c r="S251" s="41">
        <f>Rådatakommune[[#This Row],[B12]]/Rådatakommune[[#This Row],[B02]]-1</f>
        <v>0.14324198792382714</v>
      </c>
      <c r="T251" s="41">
        <f>Rådatakommune[[#This Row],[Kvinner20-39]]/Rådatakommune[[#This Row],[B12]]</f>
        <v>0.13342000487527422</v>
      </c>
      <c r="U251" s="41">
        <f>Rådatakommune[[#This Row],[Eldre67+]]/Rådatakommune[[#This Row],[B12]]</f>
        <v>9.1248882749654661E-2</v>
      </c>
      <c r="V251" s="41">
        <f>Rådatakommune[[#This Row],[S11]]/Rådatakommune[[#This Row],[S01]]-1</f>
        <v>0.17704661182922043</v>
      </c>
      <c r="W251" s="41">
        <f>Rådatakommune[[#This Row],[Y11]]/Rådatakommune[[#This Row],[Folk20-64]]</f>
        <v>0.94492793037802558</v>
      </c>
    </row>
    <row r="252" spans="1:23" s="38" customFormat="1" ht="12.75">
      <c r="A252" s="42" t="s">
        <v>250</v>
      </c>
      <c r="B252" s="37">
        <v>14</v>
      </c>
      <c r="C252" s="38">
        <v>68</v>
      </c>
      <c r="D252" s="39" t="s">
        <v>433</v>
      </c>
      <c r="E252" s="37">
        <v>2</v>
      </c>
      <c r="F252" s="3">
        <v>2751</v>
      </c>
      <c r="G252" s="3">
        <v>2710</v>
      </c>
      <c r="H252" s="3">
        <v>1467</v>
      </c>
      <c r="I252" s="3">
        <v>396</v>
      </c>
      <c r="J252" s="3">
        <v>310</v>
      </c>
      <c r="K252" s="3">
        <v>1514</v>
      </c>
      <c r="L252" s="3">
        <v>701</v>
      </c>
      <c r="M252" s="3">
        <v>647</v>
      </c>
      <c r="N252" s="40">
        <v>369.81</v>
      </c>
      <c r="O252" s="40">
        <v>327600</v>
      </c>
      <c r="P252" s="38">
        <v>179.29323702440001</v>
      </c>
      <c r="Q252" s="38">
        <v>6</v>
      </c>
      <c r="R252" s="38">
        <f t="shared" si="3"/>
        <v>7.3280873962304964</v>
      </c>
      <c r="S252" s="41">
        <f>Rådatakommune[[#This Row],[B12]]/Rådatakommune[[#This Row],[B02]]-1</f>
        <v>-1.4903671392221041E-2</v>
      </c>
      <c r="T252" s="41">
        <f>Rådatakommune[[#This Row],[Kvinner20-39]]/Rådatakommune[[#This Row],[B12]]</f>
        <v>0.11439114391143912</v>
      </c>
      <c r="U252" s="41">
        <f>Rådatakommune[[#This Row],[Eldre67+]]/Rådatakommune[[#This Row],[B12]]</f>
        <v>0.14612546125461254</v>
      </c>
      <c r="V252" s="41">
        <f>Rådatakommune[[#This Row],[S11]]/Rådatakommune[[#This Row],[S01]]-1</f>
        <v>-7.7032810271041363E-2</v>
      </c>
      <c r="W252" s="41">
        <f>Rådatakommune[[#This Row],[Y11]]/Rådatakommune[[#This Row],[Folk20-64]]</f>
        <v>0.96895640686922058</v>
      </c>
    </row>
    <row r="253" spans="1:23" s="38" customFormat="1" ht="12.75">
      <c r="A253" s="42" t="s">
        <v>251</v>
      </c>
      <c r="B253" s="37">
        <v>14</v>
      </c>
      <c r="C253" s="38">
        <v>69</v>
      </c>
      <c r="D253" s="39" t="s">
        <v>433</v>
      </c>
      <c r="E253" s="37">
        <v>2</v>
      </c>
      <c r="F253" s="3">
        <v>4093</v>
      </c>
      <c r="G253" s="3">
        <v>3891</v>
      </c>
      <c r="H253" s="3">
        <v>1867</v>
      </c>
      <c r="I253" s="3">
        <v>817</v>
      </c>
      <c r="J253" s="3">
        <v>372</v>
      </c>
      <c r="K253" s="3">
        <v>2023</v>
      </c>
      <c r="L253" s="3">
        <v>1799</v>
      </c>
      <c r="M253" s="3">
        <v>1601</v>
      </c>
      <c r="N253" s="40">
        <v>832.43999999999994</v>
      </c>
      <c r="O253" s="40">
        <v>314200</v>
      </c>
      <c r="P253" s="38">
        <v>215.2085479863</v>
      </c>
      <c r="Q253" s="38">
        <v>11</v>
      </c>
      <c r="R253" s="38">
        <f t="shared" si="3"/>
        <v>4.6742107539282109</v>
      </c>
      <c r="S253" s="41">
        <f>Rådatakommune[[#This Row],[B12]]/Rådatakommune[[#This Row],[B02]]-1</f>
        <v>-4.9352553139506483E-2</v>
      </c>
      <c r="T253" s="41">
        <f>Rådatakommune[[#This Row],[Kvinner20-39]]/Rådatakommune[[#This Row],[B12]]</f>
        <v>9.5605242868157289E-2</v>
      </c>
      <c r="U253" s="41">
        <f>Rådatakommune[[#This Row],[Eldre67+]]/Rådatakommune[[#This Row],[B12]]</f>
        <v>0.20997172963248523</v>
      </c>
      <c r="V253" s="41">
        <f>Rådatakommune[[#This Row],[S11]]/Rådatakommune[[#This Row],[S01]]-1</f>
        <v>-0.11006114508060039</v>
      </c>
      <c r="W253" s="41">
        <f>Rådatakommune[[#This Row],[Y11]]/Rådatakommune[[#This Row],[Folk20-64]]</f>
        <v>0.9228868017795353</v>
      </c>
    </row>
    <row r="254" spans="1:23" s="38" customFormat="1" ht="12.75">
      <c r="A254" s="42" t="s">
        <v>252</v>
      </c>
      <c r="B254" s="37">
        <v>14</v>
      </c>
      <c r="C254" s="38">
        <v>70</v>
      </c>
      <c r="D254" s="39" t="s">
        <v>433</v>
      </c>
      <c r="E254" s="37">
        <v>2</v>
      </c>
      <c r="F254" s="3">
        <v>6385</v>
      </c>
      <c r="G254" s="3">
        <v>6129</v>
      </c>
      <c r="H254" s="3">
        <v>3129</v>
      </c>
      <c r="I254" s="3">
        <v>983</v>
      </c>
      <c r="J254" s="3">
        <v>619</v>
      </c>
      <c r="K254" s="3">
        <v>3431</v>
      </c>
      <c r="L254" s="3">
        <v>3208</v>
      </c>
      <c r="M254" s="3">
        <v>3102</v>
      </c>
      <c r="N254" s="40">
        <v>176.51999999999998</v>
      </c>
      <c r="O254" s="40">
        <v>335100</v>
      </c>
      <c r="P254" s="38">
        <v>219.7428749115</v>
      </c>
      <c r="Q254" s="38">
        <v>9</v>
      </c>
      <c r="R254" s="38">
        <f t="shared" si="3"/>
        <v>34.721278042148199</v>
      </c>
      <c r="S254" s="41">
        <f>Rådatakommune[[#This Row],[B12]]/Rådatakommune[[#This Row],[B02]]-1</f>
        <v>-4.0093970242756516E-2</v>
      </c>
      <c r="T254" s="41">
        <f>Rådatakommune[[#This Row],[Kvinner20-39]]/Rådatakommune[[#This Row],[B12]]</f>
        <v>0.10099526839614946</v>
      </c>
      <c r="U254" s="41">
        <f>Rådatakommune[[#This Row],[Eldre67+]]/Rådatakommune[[#This Row],[B12]]</f>
        <v>0.16038505465818242</v>
      </c>
      <c r="V254" s="41">
        <f>Rådatakommune[[#This Row],[S11]]/Rådatakommune[[#This Row],[S01]]-1</f>
        <v>-3.3042394014962562E-2</v>
      </c>
      <c r="W254" s="41">
        <f>Rådatakommune[[#This Row],[Y11]]/Rådatakommune[[#This Row],[Folk20-64]]</f>
        <v>0.91197901486447097</v>
      </c>
    </row>
    <row r="255" spans="1:23" s="38" customFormat="1" ht="12.75">
      <c r="A255" s="42" t="s">
        <v>253</v>
      </c>
      <c r="B255" s="37">
        <v>14</v>
      </c>
      <c r="C255" s="38">
        <v>70</v>
      </c>
      <c r="D255" s="39" t="s">
        <v>433</v>
      </c>
      <c r="E255" s="37">
        <v>2</v>
      </c>
      <c r="F255" s="3">
        <v>3037</v>
      </c>
      <c r="G255" s="3">
        <v>2831</v>
      </c>
      <c r="H255" s="3">
        <v>1475</v>
      </c>
      <c r="I255" s="3">
        <v>494</v>
      </c>
      <c r="J255" s="3">
        <v>262</v>
      </c>
      <c r="K255" s="3">
        <v>1555</v>
      </c>
      <c r="L255" s="3">
        <v>1309</v>
      </c>
      <c r="M255" s="3">
        <v>1197</v>
      </c>
      <c r="N255" s="40">
        <v>226.14000000000001</v>
      </c>
      <c r="O255" s="40">
        <v>323500</v>
      </c>
      <c r="P255" s="38">
        <v>225.99359593779999</v>
      </c>
      <c r="Q255" s="38">
        <v>9</v>
      </c>
      <c r="R255" s="38">
        <f t="shared" si="3"/>
        <v>12.518793667639514</v>
      </c>
      <c r="S255" s="41">
        <f>Rådatakommune[[#This Row],[B12]]/Rådatakommune[[#This Row],[B02]]-1</f>
        <v>-6.7830095488969344E-2</v>
      </c>
      <c r="T255" s="41">
        <f>Rådatakommune[[#This Row],[Kvinner20-39]]/Rådatakommune[[#This Row],[B12]]</f>
        <v>9.2546803249735077E-2</v>
      </c>
      <c r="U255" s="41">
        <f>Rådatakommune[[#This Row],[Eldre67+]]/Rådatakommune[[#This Row],[B12]]</f>
        <v>0.17449664429530201</v>
      </c>
      <c r="V255" s="41">
        <f>Rådatakommune[[#This Row],[S11]]/Rådatakommune[[#This Row],[S01]]-1</f>
        <v>-8.5561497326203217E-2</v>
      </c>
      <c r="W255" s="41">
        <f>Rådatakommune[[#This Row],[Y11]]/Rådatakommune[[#This Row],[Folk20-64]]</f>
        <v>0.94855305466237938</v>
      </c>
    </row>
    <row r="256" spans="1:23" s="38" customFormat="1" ht="12.75">
      <c r="A256" s="42" t="s">
        <v>254</v>
      </c>
      <c r="B256" s="37">
        <v>14</v>
      </c>
      <c r="C256" s="38">
        <v>72</v>
      </c>
      <c r="D256" s="39" t="s">
        <v>433</v>
      </c>
      <c r="E256" s="37">
        <v>2</v>
      </c>
      <c r="F256" s="3">
        <v>5758</v>
      </c>
      <c r="G256" s="3">
        <v>5950</v>
      </c>
      <c r="H256" s="3">
        <v>3165</v>
      </c>
      <c r="I256" s="3">
        <v>819</v>
      </c>
      <c r="J256" s="3">
        <v>710</v>
      </c>
      <c r="K256" s="3">
        <v>3361</v>
      </c>
      <c r="L256" s="3">
        <v>2735</v>
      </c>
      <c r="M256" s="3">
        <v>2815</v>
      </c>
      <c r="N256" s="40">
        <v>469.24</v>
      </c>
      <c r="O256" s="40">
        <v>320500</v>
      </c>
      <c r="P256" s="38">
        <v>174.667456805</v>
      </c>
      <c r="Q256" s="38">
        <v>8</v>
      </c>
      <c r="R256" s="38">
        <f t="shared" si="3"/>
        <v>12.680078424686727</v>
      </c>
      <c r="S256" s="41">
        <f>Rådatakommune[[#This Row],[B12]]/Rådatakommune[[#This Row],[B02]]-1</f>
        <v>3.3344911427579005E-2</v>
      </c>
      <c r="T256" s="41">
        <f>Rådatakommune[[#This Row],[Kvinner20-39]]/Rådatakommune[[#This Row],[B12]]</f>
        <v>0.11932773109243698</v>
      </c>
      <c r="U256" s="41">
        <f>Rådatakommune[[#This Row],[Eldre67+]]/Rådatakommune[[#This Row],[B12]]</f>
        <v>0.1376470588235294</v>
      </c>
      <c r="V256" s="41">
        <f>Rådatakommune[[#This Row],[S11]]/Rådatakommune[[#This Row],[S01]]-1</f>
        <v>2.9250457038391131E-2</v>
      </c>
      <c r="W256" s="41">
        <f>Rådatakommune[[#This Row],[Y11]]/Rådatakommune[[#This Row],[Folk20-64]]</f>
        <v>0.94168402261231776</v>
      </c>
    </row>
    <row r="257" spans="1:23" s="38" customFormat="1" ht="12.75">
      <c r="A257" s="42" t="s">
        <v>255</v>
      </c>
      <c r="B257" s="37">
        <v>14</v>
      </c>
      <c r="C257" s="38">
        <v>72</v>
      </c>
      <c r="D257" s="39" t="s">
        <v>433</v>
      </c>
      <c r="E257" s="37">
        <v>2</v>
      </c>
      <c r="F257" s="3">
        <v>1197</v>
      </c>
      <c r="G257" s="3">
        <v>1220</v>
      </c>
      <c r="H257" s="3">
        <v>669</v>
      </c>
      <c r="I257" s="3">
        <v>206</v>
      </c>
      <c r="J257" s="3">
        <v>128</v>
      </c>
      <c r="K257" s="3">
        <v>638</v>
      </c>
      <c r="L257" s="3">
        <v>502</v>
      </c>
      <c r="M257" s="3">
        <v>466</v>
      </c>
      <c r="N257" s="40">
        <v>191.6</v>
      </c>
      <c r="O257" s="40">
        <v>295700</v>
      </c>
      <c r="P257" s="38">
        <v>201.13440440639999</v>
      </c>
      <c r="Q257" s="38">
        <v>8</v>
      </c>
      <c r="R257" s="38">
        <f t="shared" si="3"/>
        <v>6.367432150313153</v>
      </c>
      <c r="S257" s="41">
        <f>Rådatakommune[[#This Row],[B12]]/Rådatakommune[[#This Row],[B02]]-1</f>
        <v>1.9214703425229684E-2</v>
      </c>
      <c r="T257" s="41">
        <f>Rådatakommune[[#This Row],[Kvinner20-39]]/Rådatakommune[[#This Row],[B12]]</f>
        <v>0.10491803278688525</v>
      </c>
      <c r="U257" s="41">
        <f>Rådatakommune[[#This Row],[Eldre67+]]/Rådatakommune[[#This Row],[B12]]</f>
        <v>0.16885245901639345</v>
      </c>
      <c r="V257" s="41">
        <f>Rådatakommune[[#This Row],[S11]]/Rådatakommune[[#This Row],[S01]]-1</f>
        <v>-7.1713147410358613E-2</v>
      </c>
      <c r="W257" s="41">
        <f>Rådatakommune[[#This Row],[Y11]]/Rådatakommune[[#This Row],[Folk20-64]]</f>
        <v>1.0485893416927901</v>
      </c>
    </row>
    <row r="258" spans="1:23" s="38" customFormat="1" ht="12.75">
      <c r="A258" s="42" t="s">
        <v>256</v>
      </c>
      <c r="B258" s="37">
        <v>14</v>
      </c>
      <c r="C258" s="38">
        <v>71</v>
      </c>
      <c r="D258" s="39" t="s">
        <v>433</v>
      </c>
      <c r="E258" s="37">
        <v>2</v>
      </c>
      <c r="F258" s="3">
        <v>5716</v>
      </c>
      <c r="G258" s="3">
        <v>5679</v>
      </c>
      <c r="H258" s="3">
        <v>3022</v>
      </c>
      <c r="I258" s="3">
        <v>988</v>
      </c>
      <c r="J258" s="3">
        <v>591</v>
      </c>
      <c r="K258" s="3">
        <v>3078</v>
      </c>
      <c r="L258" s="3">
        <v>2571</v>
      </c>
      <c r="M258" s="3">
        <v>2761</v>
      </c>
      <c r="N258" s="40">
        <v>1031.22</v>
      </c>
      <c r="O258" s="40">
        <v>319400</v>
      </c>
      <c r="P258" s="38">
        <v>165.96171553433999</v>
      </c>
      <c r="Q258" s="38">
        <v>9</v>
      </c>
      <c r="R258" s="38">
        <f t="shared" si="3"/>
        <v>5.5070692965613546</v>
      </c>
      <c r="S258" s="41">
        <f>Rådatakommune[[#This Row],[B12]]/Rådatakommune[[#This Row],[B02]]-1</f>
        <v>-6.4730580825752559E-3</v>
      </c>
      <c r="T258" s="41">
        <f>Rådatakommune[[#This Row],[Kvinner20-39]]/Rådatakommune[[#This Row],[B12]]</f>
        <v>0.10406761753829899</v>
      </c>
      <c r="U258" s="41">
        <f>Rådatakommune[[#This Row],[Eldre67+]]/Rådatakommune[[#This Row],[B12]]</f>
        <v>0.17397429124845923</v>
      </c>
      <c r="V258" s="41">
        <f>Rådatakommune[[#This Row],[S11]]/Rådatakommune[[#This Row],[S01]]-1</f>
        <v>7.3901205756514932E-2</v>
      </c>
      <c r="W258" s="41">
        <f>Rådatakommune[[#This Row],[Y11]]/Rådatakommune[[#This Row],[Folk20-64]]</f>
        <v>0.98180636777128005</v>
      </c>
    </row>
    <row r="259" spans="1:23" s="38" customFormat="1" ht="12.75">
      <c r="A259" s="42" t="s">
        <v>257</v>
      </c>
      <c r="B259" s="37">
        <v>14</v>
      </c>
      <c r="C259" s="38">
        <v>72</v>
      </c>
      <c r="D259" s="39" t="s">
        <v>433</v>
      </c>
      <c r="E259" s="37">
        <v>2</v>
      </c>
      <c r="F259" s="3">
        <v>6734</v>
      </c>
      <c r="G259" s="3">
        <v>7065</v>
      </c>
      <c r="H259" s="3">
        <v>3836</v>
      </c>
      <c r="I259" s="3">
        <v>1056</v>
      </c>
      <c r="J259" s="3">
        <v>761</v>
      </c>
      <c r="K259" s="3">
        <v>3945</v>
      </c>
      <c r="L259" s="3">
        <v>3671</v>
      </c>
      <c r="M259" s="3">
        <v>3874</v>
      </c>
      <c r="N259" s="40">
        <v>1377.26</v>
      </c>
      <c r="O259" s="40">
        <v>311400</v>
      </c>
      <c r="P259" s="38">
        <v>202.31840518939998</v>
      </c>
      <c r="Q259" s="38">
        <v>8</v>
      </c>
      <c r="R259" s="38">
        <f t="shared" ref="R259:R322" si="4">G259/N259</f>
        <v>5.1297503739308485</v>
      </c>
      <c r="S259" s="41">
        <f>Rådatakommune[[#This Row],[B12]]/Rådatakommune[[#This Row],[B02]]-1</f>
        <v>4.9153549153549081E-2</v>
      </c>
      <c r="T259" s="41">
        <f>Rådatakommune[[#This Row],[Kvinner20-39]]/Rådatakommune[[#This Row],[B12]]</f>
        <v>0.10771408351026185</v>
      </c>
      <c r="U259" s="41">
        <f>Rådatakommune[[#This Row],[Eldre67+]]/Rådatakommune[[#This Row],[B12]]</f>
        <v>0.1494692144373673</v>
      </c>
      <c r="V259" s="41">
        <f>Rådatakommune[[#This Row],[S11]]/Rådatakommune[[#This Row],[S01]]-1</f>
        <v>5.5298283846363372E-2</v>
      </c>
      <c r="W259" s="41">
        <f>Rådatakommune[[#This Row],[Y11]]/Rådatakommune[[#This Row],[Folk20-64]]</f>
        <v>0.97237008871989861</v>
      </c>
    </row>
    <row r="260" spans="1:23" s="38" customFormat="1" ht="12.75">
      <c r="A260" s="42" t="s">
        <v>258</v>
      </c>
      <c r="B260" s="37">
        <v>15</v>
      </c>
      <c r="C260" s="38">
        <v>73</v>
      </c>
      <c r="D260" s="39" t="s">
        <v>432</v>
      </c>
      <c r="E260" s="43">
        <v>1</v>
      </c>
      <c r="F260" s="3">
        <v>23876</v>
      </c>
      <c r="G260" s="3">
        <v>25488</v>
      </c>
      <c r="H260" s="3">
        <v>13652</v>
      </c>
      <c r="I260" s="3">
        <v>3557</v>
      </c>
      <c r="J260" s="3">
        <v>2974</v>
      </c>
      <c r="K260" s="3">
        <v>15018</v>
      </c>
      <c r="L260" s="3">
        <v>14734</v>
      </c>
      <c r="M260" s="3">
        <v>16915</v>
      </c>
      <c r="N260" s="40">
        <v>363.12</v>
      </c>
      <c r="O260" s="40">
        <v>360200</v>
      </c>
      <c r="P260" s="38">
        <v>156.37562192599</v>
      </c>
      <c r="Q260" s="38">
        <v>4</v>
      </c>
      <c r="R260" s="38">
        <f t="shared" si="4"/>
        <v>70.191672174487778</v>
      </c>
      <c r="S260" s="41">
        <f>Rådatakommune[[#This Row],[B12]]/Rådatakommune[[#This Row],[B02]]-1</f>
        <v>6.7515496733121072E-2</v>
      </c>
      <c r="T260" s="41">
        <f>Rådatakommune[[#This Row],[Kvinner20-39]]/Rådatakommune[[#This Row],[B12]]</f>
        <v>0.11668236032642812</v>
      </c>
      <c r="U260" s="41">
        <f>Rådatakommune[[#This Row],[Eldre67+]]/Rådatakommune[[#This Row],[B12]]</f>
        <v>0.13955586942875078</v>
      </c>
      <c r="V260" s="41">
        <f>Rådatakommune[[#This Row],[S11]]/Rådatakommune[[#This Row],[S01]]-1</f>
        <v>0.14802497624541866</v>
      </c>
      <c r="W260" s="41">
        <f>Rådatakommune[[#This Row],[Y11]]/Rådatakommune[[#This Row],[Folk20-64]]</f>
        <v>0.90904248235450791</v>
      </c>
    </row>
    <row r="261" spans="1:23" s="38" customFormat="1" ht="12.75">
      <c r="A261" s="42" t="s">
        <v>259</v>
      </c>
      <c r="B261" s="37">
        <v>15</v>
      </c>
      <c r="C261" s="38">
        <v>75</v>
      </c>
      <c r="D261" s="39" t="s">
        <v>432</v>
      </c>
      <c r="E261" s="43">
        <v>1</v>
      </c>
      <c r="F261" s="3">
        <v>39373</v>
      </c>
      <c r="G261" s="3">
        <v>44416</v>
      </c>
      <c r="H261" s="3">
        <v>23971</v>
      </c>
      <c r="I261" s="3">
        <v>5632</v>
      </c>
      <c r="J261" s="3">
        <v>5843</v>
      </c>
      <c r="K261" s="3">
        <v>26701</v>
      </c>
      <c r="L261" s="3">
        <v>22736</v>
      </c>
      <c r="M261" s="3">
        <v>27402</v>
      </c>
      <c r="N261" s="40">
        <v>98.78</v>
      </c>
      <c r="O261" s="40">
        <v>367300</v>
      </c>
      <c r="P261" s="38">
        <v>164.21314231069999</v>
      </c>
      <c r="Q261" s="38">
        <v>4</v>
      </c>
      <c r="R261" s="38">
        <f t="shared" si="4"/>
        <v>449.64567726260378</v>
      </c>
      <c r="S261" s="41">
        <f>Rådatakommune[[#This Row],[B12]]/Rådatakommune[[#This Row],[B02]]-1</f>
        <v>0.1280826962639372</v>
      </c>
      <c r="T261" s="41">
        <f>Rådatakommune[[#This Row],[Kvinner20-39]]/Rådatakommune[[#This Row],[B12]]</f>
        <v>0.13155169308357348</v>
      </c>
      <c r="U261" s="41">
        <f>Rådatakommune[[#This Row],[Eldre67+]]/Rådatakommune[[#This Row],[B12]]</f>
        <v>0.12680115273775217</v>
      </c>
      <c r="V261" s="41">
        <f>Rådatakommune[[#This Row],[S11]]/Rådatakommune[[#This Row],[S01]]-1</f>
        <v>0.20522519352568613</v>
      </c>
      <c r="W261" s="41">
        <f>Rådatakommune[[#This Row],[Y11]]/Rådatakommune[[#This Row],[Folk20-64]]</f>
        <v>0.89775663832815256</v>
      </c>
    </row>
    <row r="262" spans="1:23" s="38" customFormat="1" ht="12.75">
      <c r="A262" s="42" t="s">
        <v>260</v>
      </c>
      <c r="B262" s="37">
        <v>15</v>
      </c>
      <c r="C262" s="38">
        <v>74</v>
      </c>
      <c r="D262" s="39" t="s">
        <v>433</v>
      </c>
      <c r="E262" s="43">
        <v>1</v>
      </c>
      <c r="F262" s="3">
        <v>22225</v>
      </c>
      <c r="G262" s="3">
        <v>23813</v>
      </c>
      <c r="H262" s="3">
        <v>11878</v>
      </c>
      <c r="I262" s="3">
        <v>3291</v>
      </c>
      <c r="J262" s="3">
        <v>2825</v>
      </c>
      <c r="K262" s="3">
        <v>14191</v>
      </c>
      <c r="L262" s="3">
        <v>9905</v>
      </c>
      <c r="M262" s="3">
        <v>11799</v>
      </c>
      <c r="N262" s="40">
        <v>87.54</v>
      </c>
      <c r="O262" s="40">
        <v>347100</v>
      </c>
      <c r="P262" s="38">
        <v>163.25430925117001</v>
      </c>
      <c r="Q262" s="38">
        <v>5</v>
      </c>
      <c r="R262" s="38">
        <f t="shared" si="4"/>
        <v>272.02421750057113</v>
      </c>
      <c r="S262" s="41">
        <f>Rådatakommune[[#This Row],[B12]]/Rådatakommune[[#This Row],[B02]]-1</f>
        <v>7.1451068616422919E-2</v>
      </c>
      <c r="T262" s="41">
        <f>Rådatakommune[[#This Row],[Kvinner20-39]]/Rådatakommune[[#This Row],[B12]]</f>
        <v>0.1186326796287742</v>
      </c>
      <c r="U262" s="41">
        <f>Rådatakommune[[#This Row],[Eldre67+]]/Rådatakommune[[#This Row],[B12]]</f>
        <v>0.13820182253391006</v>
      </c>
      <c r="V262" s="41">
        <f>Rådatakommune[[#This Row],[S11]]/Rådatakommune[[#This Row],[S01]]-1</f>
        <v>0.19121655729429587</v>
      </c>
      <c r="W262" s="41">
        <f>Rådatakommune[[#This Row],[Y11]]/Rådatakommune[[#This Row],[Folk20-64]]</f>
        <v>0.83700937213727011</v>
      </c>
    </row>
    <row r="263" spans="1:23" s="38" customFormat="1" ht="12.75">
      <c r="A263" s="42" t="s">
        <v>261</v>
      </c>
      <c r="B263" s="37">
        <v>15</v>
      </c>
      <c r="C263" s="38">
        <v>76</v>
      </c>
      <c r="D263" s="39" t="s">
        <v>433</v>
      </c>
      <c r="E263" s="43" t="s">
        <v>435</v>
      </c>
      <c r="F263" s="3">
        <v>3899</v>
      </c>
      <c r="G263" s="3">
        <v>3388</v>
      </c>
      <c r="H263" s="3">
        <v>1673</v>
      </c>
      <c r="I263" s="3">
        <v>641</v>
      </c>
      <c r="J263" s="3">
        <v>298</v>
      </c>
      <c r="K263" s="3">
        <v>1869</v>
      </c>
      <c r="L263" s="3">
        <v>1515</v>
      </c>
      <c r="M263" s="3">
        <v>1335</v>
      </c>
      <c r="N263" s="40">
        <v>385.23</v>
      </c>
      <c r="O263" s="40">
        <v>326800</v>
      </c>
      <c r="P263" s="38">
        <v>222.10938798839999</v>
      </c>
      <c r="Q263" s="38">
        <v>11</v>
      </c>
      <c r="R263" s="38">
        <f t="shared" si="4"/>
        <v>8.7947459958985537</v>
      </c>
      <c r="S263" s="41">
        <f>Rådatakommune[[#This Row],[B12]]/Rådatakommune[[#This Row],[B02]]-1</f>
        <v>-0.13105924596050267</v>
      </c>
      <c r="T263" s="41">
        <f>Rådatakommune[[#This Row],[Kvinner20-39]]/Rådatakommune[[#This Row],[B12]]</f>
        <v>8.7957497048406136E-2</v>
      </c>
      <c r="U263" s="41">
        <f>Rådatakommune[[#This Row],[Eldre67+]]/Rådatakommune[[#This Row],[B12]]</f>
        <v>0.18919716646989373</v>
      </c>
      <c r="V263" s="41">
        <f>Rådatakommune[[#This Row],[S11]]/Rådatakommune[[#This Row],[S01]]-1</f>
        <v>-0.11881188118811881</v>
      </c>
      <c r="W263" s="41">
        <f>Rådatakommune[[#This Row],[Y11]]/Rådatakommune[[#This Row],[Folk20-64]]</f>
        <v>0.89513108614232206</v>
      </c>
    </row>
    <row r="264" spans="1:23" s="38" customFormat="1" ht="12.75">
      <c r="A264" s="42" t="s">
        <v>262</v>
      </c>
      <c r="B264" s="37">
        <v>15</v>
      </c>
      <c r="C264" s="38">
        <v>77</v>
      </c>
      <c r="D264" s="39" t="s">
        <v>433</v>
      </c>
      <c r="E264" s="43" t="s">
        <v>435</v>
      </c>
      <c r="F264" s="3">
        <v>2633</v>
      </c>
      <c r="G264" s="3">
        <v>2588</v>
      </c>
      <c r="H264" s="3">
        <v>1326</v>
      </c>
      <c r="I264" s="3">
        <v>467</v>
      </c>
      <c r="J264" s="3">
        <v>244</v>
      </c>
      <c r="K264" s="3">
        <v>1474</v>
      </c>
      <c r="L264" s="3">
        <v>1216</v>
      </c>
      <c r="M264" s="3">
        <v>1259</v>
      </c>
      <c r="N264" s="40">
        <v>93.13</v>
      </c>
      <c r="O264" s="40">
        <v>333100</v>
      </c>
      <c r="P264" s="38">
        <v>196.13497547899999</v>
      </c>
      <c r="Q264" s="38">
        <v>6</v>
      </c>
      <c r="R264" s="38">
        <f t="shared" si="4"/>
        <v>27.7891119939869</v>
      </c>
      <c r="S264" s="41">
        <f>Rådatakommune[[#This Row],[B12]]/Rådatakommune[[#This Row],[B02]]-1</f>
        <v>-1.7090770983668846E-2</v>
      </c>
      <c r="T264" s="41">
        <f>Rådatakommune[[#This Row],[Kvinner20-39]]/Rådatakommune[[#This Row],[B12]]</f>
        <v>9.428129829984544E-2</v>
      </c>
      <c r="U264" s="41">
        <f>Rådatakommune[[#This Row],[Eldre67+]]/Rådatakommune[[#This Row],[B12]]</f>
        <v>0.18044822256568779</v>
      </c>
      <c r="V264" s="41">
        <f>Rådatakommune[[#This Row],[S11]]/Rådatakommune[[#This Row],[S01]]-1</f>
        <v>3.5361842105263053E-2</v>
      </c>
      <c r="W264" s="41">
        <f>Rådatakommune[[#This Row],[Y11]]/Rådatakommune[[#This Row],[Folk20-64]]</f>
        <v>0.89959294436906379</v>
      </c>
    </row>
    <row r="265" spans="1:23" s="38" customFormat="1" ht="12.75">
      <c r="A265" s="42" t="s">
        <v>263</v>
      </c>
      <c r="B265" s="37">
        <v>15</v>
      </c>
      <c r="C265" s="38">
        <v>77</v>
      </c>
      <c r="D265" s="39" t="s">
        <v>433</v>
      </c>
      <c r="E265" s="43" t="s">
        <v>435</v>
      </c>
      <c r="F265" s="3">
        <v>8374</v>
      </c>
      <c r="G265" s="3">
        <v>8727</v>
      </c>
      <c r="H265" s="3">
        <v>4393</v>
      </c>
      <c r="I265" s="3">
        <v>1277</v>
      </c>
      <c r="J265" s="3">
        <v>1014</v>
      </c>
      <c r="K265" s="3">
        <v>5004</v>
      </c>
      <c r="L265" s="3">
        <v>3551</v>
      </c>
      <c r="M265" s="3">
        <v>4097</v>
      </c>
      <c r="N265" s="40">
        <v>119.77</v>
      </c>
      <c r="O265" s="40">
        <v>373600</v>
      </c>
      <c r="P265" s="38">
        <v>196.72895152569998</v>
      </c>
      <c r="Q265" s="38">
        <v>6</v>
      </c>
      <c r="R265" s="38">
        <f t="shared" si="4"/>
        <v>72.864657259747858</v>
      </c>
      <c r="S265" s="41">
        <f>Rådatakommune[[#This Row],[B12]]/Rådatakommune[[#This Row],[B02]]-1</f>
        <v>4.2154287079054109E-2</v>
      </c>
      <c r="T265" s="41">
        <f>Rådatakommune[[#This Row],[Kvinner20-39]]/Rådatakommune[[#This Row],[B12]]</f>
        <v>0.11619113097284291</v>
      </c>
      <c r="U265" s="41">
        <f>Rådatakommune[[#This Row],[Eldre67+]]/Rådatakommune[[#This Row],[B12]]</f>
        <v>0.14632748940071044</v>
      </c>
      <c r="V265" s="41">
        <f>Rådatakommune[[#This Row],[S11]]/Rådatakommune[[#This Row],[S01]]-1</f>
        <v>0.15375950436496755</v>
      </c>
      <c r="W265" s="41">
        <f>Rådatakommune[[#This Row],[Y11]]/Rådatakommune[[#This Row],[Folk20-64]]</f>
        <v>0.87789768185451633</v>
      </c>
    </row>
    <row r="266" spans="1:23" s="38" customFormat="1" ht="12.75">
      <c r="A266" s="42" t="s">
        <v>264</v>
      </c>
      <c r="B266" s="37">
        <v>15</v>
      </c>
      <c r="C266" s="38">
        <v>77</v>
      </c>
      <c r="D266" s="39" t="s">
        <v>434</v>
      </c>
      <c r="E266" s="43">
        <v>1</v>
      </c>
      <c r="F266" s="3">
        <v>6664</v>
      </c>
      <c r="G266" s="3">
        <v>7828</v>
      </c>
      <c r="H266" s="3">
        <v>4158</v>
      </c>
      <c r="I266" s="3">
        <v>899</v>
      </c>
      <c r="J266" s="3">
        <v>894</v>
      </c>
      <c r="K266" s="3">
        <v>4595</v>
      </c>
      <c r="L266" s="3">
        <v>3676</v>
      </c>
      <c r="M266" s="3">
        <v>5149</v>
      </c>
      <c r="N266" s="40">
        <v>97.42</v>
      </c>
      <c r="O266" s="40">
        <v>374400</v>
      </c>
      <c r="P266" s="38">
        <v>184.39490742629999</v>
      </c>
      <c r="Q266" s="38">
        <v>5</v>
      </c>
      <c r="R266" s="38">
        <f t="shared" si="4"/>
        <v>80.353110244303011</v>
      </c>
      <c r="S266" s="41">
        <f>Rådatakommune[[#This Row],[B12]]/Rådatakommune[[#This Row],[B02]]-1</f>
        <v>0.17466986794717898</v>
      </c>
      <c r="T266" s="41">
        <f>Rådatakommune[[#This Row],[Kvinner20-39]]/Rådatakommune[[#This Row],[B12]]</f>
        <v>0.11420541645375575</v>
      </c>
      <c r="U266" s="41">
        <f>Rådatakommune[[#This Row],[Eldre67+]]/Rådatakommune[[#This Row],[B12]]</f>
        <v>0.11484414920797138</v>
      </c>
      <c r="V266" s="41">
        <f>Rådatakommune[[#This Row],[S11]]/Rådatakommune[[#This Row],[S01]]-1</f>
        <v>0.40070729053318832</v>
      </c>
      <c r="W266" s="41">
        <f>Rådatakommune[[#This Row],[Y11]]/Rådatakommune[[#This Row],[Folk20-64]]</f>
        <v>0.90489662676822635</v>
      </c>
    </row>
    <row r="267" spans="1:23" s="38" customFormat="1" ht="12.75">
      <c r="A267" s="42" t="s">
        <v>265</v>
      </c>
      <c r="B267" s="37">
        <v>15</v>
      </c>
      <c r="C267" s="38">
        <v>77</v>
      </c>
      <c r="D267" s="39" t="s">
        <v>434</v>
      </c>
      <c r="E267" s="43">
        <v>1</v>
      </c>
      <c r="F267" s="3">
        <v>4780</v>
      </c>
      <c r="G267" s="3">
        <v>5000</v>
      </c>
      <c r="H267" s="3">
        <v>2534</v>
      </c>
      <c r="I267" s="3">
        <v>693</v>
      </c>
      <c r="J267" s="3">
        <v>618</v>
      </c>
      <c r="K267" s="3">
        <v>2896</v>
      </c>
      <c r="L267" s="3">
        <v>2032</v>
      </c>
      <c r="M267" s="3">
        <v>1969</v>
      </c>
      <c r="N267" s="40">
        <v>82.320000000000007</v>
      </c>
      <c r="O267" s="40">
        <v>345200</v>
      </c>
      <c r="P267" s="38">
        <v>192.1349900772</v>
      </c>
      <c r="Q267" s="38">
        <v>5</v>
      </c>
      <c r="R267" s="38">
        <f t="shared" si="4"/>
        <v>60.738581146744409</v>
      </c>
      <c r="S267" s="41">
        <f>Rådatakommune[[#This Row],[B12]]/Rådatakommune[[#This Row],[B02]]-1</f>
        <v>4.6025104602510414E-2</v>
      </c>
      <c r="T267" s="41">
        <f>Rådatakommune[[#This Row],[Kvinner20-39]]/Rådatakommune[[#This Row],[B12]]</f>
        <v>0.1236</v>
      </c>
      <c r="U267" s="41">
        <f>Rådatakommune[[#This Row],[Eldre67+]]/Rådatakommune[[#This Row],[B12]]</f>
        <v>0.1386</v>
      </c>
      <c r="V267" s="41">
        <f>Rådatakommune[[#This Row],[S11]]/Rådatakommune[[#This Row],[S01]]-1</f>
        <v>-3.1003937007873961E-2</v>
      </c>
      <c r="W267" s="41">
        <f>Rådatakommune[[#This Row],[Y11]]/Rådatakommune[[#This Row],[Folk20-64]]</f>
        <v>0.875</v>
      </c>
    </row>
    <row r="268" spans="1:23" s="38" customFormat="1" ht="12.75">
      <c r="A268" s="42" t="s">
        <v>266</v>
      </c>
      <c r="B268" s="37">
        <v>15</v>
      </c>
      <c r="C268" s="38">
        <v>78</v>
      </c>
      <c r="D268" s="39" t="s">
        <v>433</v>
      </c>
      <c r="E268" s="43">
        <v>1</v>
      </c>
      <c r="F268" s="3">
        <v>8329</v>
      </c>
      <c r="G268" s="3">
        <v>8693</v>
      </c>
      <c r="H268" s="3">
        <v>4351</v>
      </c>
      <c r="I268" s="3">
        <v>1291</v>
      </c>
      <c r="J268" s="3">
        <v>1043</v>
      </c>
      <c r="K268" s="3">
        <v>4920</v>
      </c>
      <c r="L268" s="3">
        <v>3887</v>
      </c>
      <c r="M268" s="3">
        <v>4264</v>
      </c>
      <c r="N268" s="40">
        <v>547.53</v>
      </c>
      <c r="O268" s="40">
        <v>321400</v>
      </c>
      <c r="P268" s="38">
        <v>166.68273346682</v>
      </c>
      <c r="Q268" s="38">
        <v>6</v>
      </c>
      <c r="R268" s="38">
        <f t="shared" si="4"/>
        <v>15.876755611564663</v>
      </c>
      <c r="S268" s="41">
        <f>Rådatakommune[[#This Row],[B12]]/Rådatakommune[[#This Row],[B02]]-1</f>
        <v>4.370272541721687E-2</v>
      </c>
      <c r="T268" s="41">
        <f>Rådatakommune[[#This Row],[Kvinner20-39]]/Rådatakommune[[#This Row],[B12]]</f>
        <v>0.11998159438628782</v>
      </c>
      <c r="U268" s="41">
        <f>Rådatakommune[[#This Row],[Eldre67+]]/Rådatakommune[[#This Row],[B12]]</f>
        <v>0.14851029564017026</v>
      </c>
      <c r="V268" s="41">
        <f>Rådatakommune[[#This Row],[S11]]/Rådatakommune[[#This Row],[S01]]-1</f>
        <v>9.6989966555183882E-2</v>
      </c>
      <c r="W268" s="41">
        <f>Rådatakommune[[#This Row],[Y11]]/Rådatakommune[[#This Row],[Folk20-64]]</f>
        <v>0.884349593495935</v>
      </c>
    </row>
    <row r="269" spans="1:23" s="38" customFormat="1" ht="12.75">
      <c r="A269" s="42" t="s">
        <v>267</v>
      </c>
      <c r="B269" s="37">
        <v>15</v>
      </c>
      <c r="C269" s="38">
        <v>78</v>
      </c>
      <c r="D269" s="39" t="s">
        <v>433</v>
      </c>
      <c r="E269" s="43">
        <v>1</v>
      </c>
      <c r="F269" s="3">
        <v>10218</v>
      </c>
      <c r="G269" s="3">
        <v>10398</v>
      </c>
      <c r="H269" s="3">
        <v>5329</v>
      </c>
      <c r="I269" s="3">
        <v>1617</v>
      </c>
      <c r="J269" s="3">
        <v>1203</v>
      </c>
      <c r="K269" s="3">
        <v>5878</v>
      </c>
      <c r="L269" s="3">
        <v>4264</v>
      </c>
      <c r="M269" s="3">
        <v>4691</v>
      </c>
      <c r="N269" s="40">
        <v>804.9</v>
      </c>
      <c r="O269" s="40">
        <v>323700</v>
      </c>
      <c r="P269" s="38">
        <v>164.22849042957</v>
      </c>
      <c r="Q269" s="38">
        <v>6</v>
      </c>
      <c r="R269" s="38">
        <f t="shared" si="4"/>
        <v>12.918374953410362</v>
      </c>
      <c r="S269" s="41">
        <f>Rådatakommune[[#This Row],[B12]]/Rådatakommune[[#This Row],[B02]]-1</f>
        <v>1.7615971814445075E-2</v>
      </c>
      <c r="T269" s="41">
        <f>Rådatakommune[[#This Row],[Kvinner20-39]]/Rådatakommune[[#This Row],[B12]]</f>
        <v>0.11569532602423543</v>
      </c>
      <c r="U269" s="41">
        <f>Rådatakommune[[#This Row],[Eldre67+]]/Rådatakommune[[#This Row],[B12]]</f>
        <v>0.15551067512983266</v>
      </c>
      <c r="V269" s="41">
        <f>Rådatakommune[[#This Row],[S11]]/Rådatakommune[[#This Row],[S01]]-1</f>
        <v>0.1001407129455909</v>
      </c>
      <c r="W269" s="41">
        <f>Rådatakommune[[#This Row],[Y11]]/Rådatakommune[[#This Row],[Folk20-64]]</f>
        <v>0.90660088465464439</v>
      </c>
    </row>
    <row r="270" spans="1:23" s="38" customFormat="1" ht="12.75">
      <c r="A270" s="42" t="s">
        <v>268</v>
      </c>
      <c r="B270" s="37">
        <v>15</v>
      </c>
      <c r="C270" s="38">
        <v>75</v>
      </c>
      <c r="D270" s="39" t="s">
        <v>432</v>
      </c>
      <c r="E270" s="43">
        <v>1</v>
      </c>
      <c r="F270" s="3">
        <v>2096</v>
      </c>
      <c r="G270" s="3">
        <v>2202</v>
      </c>
      <c r="H270" s="3">
        <v>1168</v>
      </c>
      <c r="I270" s="3">
        <v>327</v>
      </c>
      <c r="J270" s="3">
        <v>256</v>
      </c>
      <c r="K270" s="3">
        <v>1271</v>
      </c>
      <c r="L270" s="3">
        <v>732</v>
      </c>
      <c r="M270" s="3">
        <v>936</v>
      </c>
      <c r="N270" s="40">
        <v>132.29999999999998</v>
      </c>
      <c r="O270" s="40">
        <v>329200</v>
      </c>
      <c r="P270" s="38">
        <v>194.3731327381</v>
      </c>
      <c r="Q270" s="38">
        <v>4</v>
      </c>
      <c r="R270" s="38">
        <f t="shared" si="4"/>
        <v>16.643990929705218</v>
      </c>
      <c r="S270" s="41">
        <f>Rådatakommune[[#This Row],[B12]]/Rådatakommune[[#This Row],[B02]]-1</f>
        <v>5.0572519083969425E-2</v>
      </c>
      <c r="T270" s="41">
        <f>Rådatakommune[[#This Row],[Kvinner20-39]]/Rådatakommune[[#This Row],[B12]]</f>
        <v>0.11625794732061762</v>
      </c>
      <c r="U270" s="41">
        <f>Rådatakommune[[#This Row],[Eldre67+]]/Rådatakommune[[#This Row],[B12]]</f>
        <v>0.14850136239782016</v>
      </c>
      <c r="V270" s="41">
        <f>Rådatakommune[[#This Row],[S11]]/Rådatakommune[[#This Row],[S01]]-1</f>
        <v>0.27868852459016402</v>
      </c>
      <c r="W270" s="41">
        <f>Rådatakommune[[#This Row],[Y11]]/Rådatakommune[[#This Row],[Folk20-64]]</f>
        <v>0.9189614476789929</v>
      </c>
    </row>
    <row r="271" spans="1:23" s="38" customFormat="1" ht="12.75">
      <c r="A271" s="42" t="s">
        <v>269</v>
      </c>
      <c r="B271" s="37">
        <v>15</v>
      </c>
      <c r="C271" s="38">
        <v>79</v>
      </c>
      <c r="D271" s="39" t="s">
        <v>433</v>
      </c>
      <c r="E271" s="43">
        <v>2</v>
      </c>
      <c r="F271" s="3">
        <v>1905</v>
      </c>
      <c r="G271" s="3">
        <v>1738</v>
      </c>
      <c r="H271" s="3">
        <v>949</v>
      </c>
      <c r="I271" s="3">
        <v>322</v>
      </c>
      <c r="J271" s="3">
        <v>184</v>
      </c>
      <c r="K271" s="3">
        <v>914</v>
      </c>
      <c r="L271" s="3">
        <v>880</v>
      </c>
      <c r="M271" s="3">
        <v>918</v>
      </c>
      <c r="N271" s="40">
        <v>943.54</v>
      </c>
      <c r="O271" s="40">
        <v>309900</v>
      </c>
      <c r="P271" s="38">
        <v>235.66948088730001</v>
      </c>
      <c r="Q271" s="38">
        <v>9</v>
      </c>
      <c r="R271" s="38">
        <f t="shared" si="4"/>
        <v>1.8419992793098332</v>
      </c>
      <c r="S271" s="41">
        <f>Rådatakommune[[#This Row],[B12]]/Rådatakommune[[#This Row],[B02]]-1</f>
        <v>-8.7664041994750641E-2</v>
      </c>
      <c r="T271" s="41">
        <f>Rådatakommune[[#This Row],[Kvinner20-39]]/Rådatakommune[[#This Row],[B12]]</f>
        <v>0.10586881472957423</v>
      </c>
      <c r="U271" s="41">
        <f>Rådatakommune[[#This Row],[Eldre67+]]/Rådatakommune[[#This Row],[B12]]</f>
        <v>0.1852704257767549</v>
      </c>
      <c r="V271" s="41">
        <f>Rådatakommune[[#This Row],[S11]]/Rådatakommune[[#This Row],[S01]]-1</f>
        <v>4.318181818181821E-2</v>
      </c>
      <c r="W271" s="41">
        <f>Rådatakommune[[#This Row],[Y11]]/Rådatakommune[[#This Row],[Folk20-64]]</f>
        <v>1.038293216630197</v>
      </c>
    </row>
    <row r="272" spans="1:23" s="38" customFormat="1" ht="12.75">
      <c r="A272" s="42" t="s">
        <v>270</v>
      </c>
      <c r="B272" s="37">
        <v>15</v>
      </c>
      <c r="C272" s="38">
        <v>79</v>
      </c>
      <c r="D272" s="39" t="s">
        <v>433</v>
      </c>
      <c r="E272" s="43">
        <v>2</v>
      </c>
      <c r="F272" s="3">
        <v>4683</v>
      </c>
      <c r="G272" s="3">
        <v>4602</v>
      </c>
      <c r="H272" s="3">
        <v>2509</v>
      </c>
      <c r="I272" s="3">
        <v>837</v>
      </c>
      <c r="J272" s="3">
        <v>487</v>
      </c>
      <c r="K272" s="3">
        <v>2520</v>
      </c>
      <c r="L272" s="3">
        <v>2559</v>
      </c>
      <c r="M272" s="3">
        <v>2446</v>
      </c>
      <c r="N272" s="40">
        <v>866.11</v>
      </c>
      <c r="O272" s="40">
        <v>325600</v>
      </c>
      <c r="P272" s="38">
        <v>227.09592204469999</v>
      </c>
      <c r="Q272" s="38">
        <v>5</v>
      </c>
      <c r="R272" s="38">
        <f t="shared" si="4"/>
        <v>5.3134128459433558</v>
      </c>
      <c r="S272" s="41">
        <f>Rådatakommune[[#This Row],[B12]]/Rådatakommune[[#This Row],[B02]]-1</f>
        <v>-1.7296604740550947E-2</v>
      </c>
      <c r="T272" s="41">
        <f>Rådatakommune[[#This Row],[Kvinner20-39]]/Rådatakommune[[#This Row],[B12]]</f>
        <v>0.10582355497609734</v>
      </c>
      <c r="U272" s="41">
        <f>Rådatakommune[[#This Row],[Eldre67+]]/Rådatakommune[[#This Row],[B12]]</f>
        <v>0.18187744458930899</v>
      </c>
      <c r="V272" s="41">
        <f>Rådatakommune[[#This Row],[S11]]/Rådatakommune[[#This Row],[S01]]-1</f>
        <v>-4.4157874169597489E-2</v>
      </c>
      <c r="W272" s="41">
        <f>Rådatakommune[[#This Row],[Y11]]/Rådatakommune[[#This Row],[Folk20-64]]</f>
        <v>0.99563492063492065</v>
      </c>
    </row>
    <row r="273" spans="1:23" s="38" customFormat="1" ht="12.75">
      <c r="A273" s="42" t="s">
        <v>271</v>
      </c>
      <c r="B273" s="37">
        <v>15</v>
      </c>
      <c r="C273" s="38">
        <v>75</v>
      </c>
      <c r="D273" s="39" t="s">
        <v>433</v>
      </c>
      <c r="E273" s="43" t="s">
        <v>435</v>
      </c>
      <c r="F273" s="3">
        <v>1024</v>
      </c>
      <c r="G273" s="3">
        <v>1026</v>
      </c>
      <c r="H273" s="3">
        <v>531</v>
      </c>
      <c r="I273" s="3">
        <v>167</v>
      </c>
      <c r="J273" s="3">
        <v>113</v>
      </c>
      <c r="K273" s="3">
        <v>569</v>
      </c>
      <c r="L273" s="3">
        <v>663</v>
      </c>
      <c r="M273" s="3">
        <v>578</v>
      </c>
      <c r="N273" s="40">
        <v>247.06</v>
      </c>
      <c r="O273" s="40">
        <v>308000</v>
      </c>
      <c r="P273" s="38">
        <v>213.5395451352</v>
      </c>
      <c r="Q273" s="38">
        <v>4</v>
      </c>
      <c r="R273" s="38">
        <f t="shared" si="4"/>
        <v>4.1528373674411077</v>
      </c>
      <c r="S273" s="41">
        <f>Rådatakommune[[#This Row],[B12]]/Rådatakommune[[#This Row],[B02]]-1</f>
        <v>1.953125E-3</v>
      </c>
      <c r="T273" s="41">
        <f>Rådatakommune[[#This Row],[Kvinner20-39]]/Rådatakommune[[#This Row],[B12]]</f>
        <v>0.11013645224171539</v>
      </c>
      <c r="U273" s="41">
        <f>Rådatakommune[[#This Row],[Eldre67+]]/Rådatakommune[[#This Row],[B12]]</f>
        <v>0.16276803118908381</v>
      </c>
      <c r="V273" s="41">
        <f>Rådatakommune[[#This Row],[S11]]/Rådatakommune[[#This Row],[S01]]-1</f>
        <v>-0.12820512820512819</v>
      </c>
      <c r="W273" s="41">
        <f>Rådatakommune[[#This Row],[Y11]]/Rådatakommune[[#This Row],[Folk20-64]]</f>
        <v>0.93321616871704749</v>
      </c>
    </row>
    <row r="274" spans="1:23" s="38" customFormat="1" ht="12.75">
      <c r="A274" s="42" t="s">
        <v>272</v>
      </c>
      <c r="B274" s="37">
        <v>15</v>
      </c>
      <c r="C274" s="38">
        <v>75</v>
      </c>
      <c r="D274" s="39" t="s">
        <v>434</v>
      </c>
      <c r="E274" s="43">
        <v>1</v>
      </c>
      <c r="F274" s="3">
        <v>7446</v>
      </c>
      <c r="G274" s="3">
        <v>7664</v>
      </c>
      <c r="H274" s="3">
        <v>4150</v>
      </c>
      <c r="I274" s="3">
        <v>1072</v>
      </c>
      <c r="J274" s="3">
        <v>894</v>
      </c>
      <c r="K274" s="3">
        <v>4380</v>
      </c>
      <c r="L274" s="3">
        <v>3880</v>
      </c>
      <c r="M274" s="3">
        <v>3921</v>
      </c>
      <c r="N274" s="40">
        <v>337.75</v>
      </c>
      <c r="O274" s="40">
        <v>336200</v>
      </c>
      <c r="P274" s="38">
        <v>199.1282133032</v>
      </c>
      <c r="Q274" s="38">
        <v>4</v>
      </c>
      <c r="R274" s="38">
        <f t="shared" si="4"/>
        <v>22.691339748334567</v>
      </c>
      <c r="S274" s="41">
        <f>Rådatakommune[[#This Row],[B12]]/Rådatakommune[[#This Row],[B02]]-1</f>
        <v>2.9277464410421672E-2</v>
      </c>
      <c r="T274" s="41">
        <f>Rådatakommune[[#This Row],[Kvinner20-39]]/Rådatakommune[[#This Row],[B12]]</f>
        <v>0.11664926931106472</v>
      </c>
      <c r="U274" s="41">
        <f>Rådatakommune[[#This Row],[Eldre67+]]/Rådatakommune[[#This Row],[B12]]</f>
        <v>0.13987473903966596</v>
      </c>
      <c r="V274" s="41">
        <f>Rådatakommune[[#This Row],[S11]]/Rådatakommune[[#This Row],[S01]]-1</f>
        <v>1.0567010309278313E-2</v>
      </c>
      <c r="W274" s="41">
        <f>Rådatakommune[[#This Row],[Y11]]/Rådatakommune[[#This Row],[Folk20-64]]</f>
        <v>0.94748858447488582</v>
      </c>
    </row>
    <row r="275" spans="1:23" s="38" customFormat="1" ht="12.75">
      <c r="A275" s="42" t="s">
        <v>273</v>
      </c>
      <c r="B275" s="37">
        <v>15</v>
      </c>
      <c r="C275" s="38">
        <v>75</v>
      </c>
      <c r="D275" s="39" t="s">
        <v>432</v>
      </c>
      <c r="E275" s="43">
        <v>1</v>
      </c>
      <c r="F275" s="3">
        <v>3570</v>
      </c>
      <c r="G275" s="3">
        <v>4184</v>
      </c>
      <c r="H275" s="3">
        <v>2180</v>
      </c>
      <c r="I275" s="3">
        <v>441</v>
      </c>
      <c r="J275" s="3">
        <v>515</v>
      </c>
      <c r="K275" s="3">
        <v>2442</v>
      </c>
      <c r="L275" s="3">
        <v>1197</v>
      </c>
      <c r="M275" s="3">
        <v>1307</v>
      </c>
      <c r="N275" s="40">
        <v>120.28</v>
      </c>
      <c r="O275" s="40">
        <v>388100</v>
      </c>
      <c r="P275" s="38">
        <v>186.05373095760001</v>
      </c>
      <c r="Q275" s="38">
        <v>4</v>
      </c>
      <c r="R275" s="38">
        <f t="shared" si="4"/>
        <v>34.785500498836051</v>
      </c>
      <c r="S275" s="41">
        <f>Rådatakommune[[#This Row],[B12]]/Rådatakommune[[#This Row],[B02]]-1</f>
        <v>0.17198879551820734</v>
      </c>
      <c r="T275" s="41">
        <f>Rådatakommune[[#This Row],[Kvinner20-39]]/Rådatakommune[[#This Row],[B12]]</f>
        <v>0.12308795411089866</v>
      </c>
      <c r="U275" s="41">
        <f>Rådatakommune[[#This Row],[Eldre67+]]/Rådatakommune[[#This Row],[B12]]</f>
        <v>0.10540152963671127</v>
      </c>
      <c r="V275" s="41">
        <f>Rådatakommune[[#This Row],[S11]]/Rådatakommune[[#This Row],[S01]]-1</f>
        <v>9.1896407685881476E-2</v>
      </c>
      <c r="W275" s="41">
        <f>Rådatakommune[[#This Row],[Y11]]/Rådatakommune[[#This Row],[Folk20-64]]</f>
        <v>0.89271089271089266</v>
      </c>
    </row>
    <row r="276" spans="1:23" s="38" customFormat="1" ht="12.75">
      <c r="A276" s="42" t="s">
        <v>274</v>
      </c>
      <c r="B276" s="37">
        <v>15</v>
      </c>
      <c r="C276" s="38">
        <v>75</v>
      </c>
      <c r="D276" s="39" t="s">
        <v>432</v>
      </c>
      <c r="E276" s="43">
        <v>1</v>
      </c>
      <c r="F276" s="3">
        <v>7230</v>
      </c>
      <c r="G276" s="3">
        <v>8256</v>
      </c>
      <c r="H276" s="3">
        <v>4380</v>
      </c>
      <c r="I276" s="3">
        <v>1088</v>
      </c>
      <c r="J276" s="3">
        <v>1047</v>
      </c>
      <c r="K276" s="3">
        <v>4698</v>
      </c>
      <c r="L276" s="3">
        <v>2767</v>
      </c>
      <c r="M276" s="3">
        <v>2683</v>
      </c>
      <c r="N276" s="40">
        <v>58.720000000000006</v>
      </c>
      <c r="O276" s="40">
        <v>337100</v>
      </c>
      <c r="P276" s="38">
        <v>188.77297840750001</v>
      </c>
      <c r="Q276" s="38">
        <v>4</v>
      </c>
      <c r="R276" s="38">
        <f t="shared" si="4"/>
        <v>140.59945504087193</v>
      </c>
      <c r="S276" s="41">
        <f>Rådatakommune[[#This Row],[B12]]/Rådatakommune[[#This Row],[B02]]-1</f>
        <v>0.141908713692946</v>
      </c>
      <c r="T276" s="41">
        <f>Rådatakommune[[#This Row],[Kvinner20-39]]/Rådatakommune[[#This Row],[B12]]</f>
        <v>0.12681686046511628</v>
      </c>
      <c r="U276" s="41">
        <f>Rådatakommune[[#This Row],[Eldre67+]]/Rådatakommune[[#This Row],[B12]]</f>
        <v>0.13178294573643412</v>
      </c>
      <c r="V276" s="41">
        <f>Rådatakommune[[#This Row],[S11]]/Rådatakommune[[#This Row],[S01]]-1</f>
        <v>-3.0357788218286941E-2</v>
      </c>
      <c r="W276" s="41">
        <f>Rådatakommune[[#This Row],[Y11]]/Rådatakommune[[#This Row],[Folk20-64]]</f>
        <v>0.9323116219667944</v>
      </c>
    </row>
    <row r="277" spans="1:23" s="38" customFormat="1" ht="12.75">
      <c r="A277" s="42" t="s">
        <v>275</v>
      </c>
      <c r="B277" s="37">
        <v>15</v>
      </c>
      <c r="C277" s="38">
        <v>75</v>
      </c>
      <c r="D277" s="39" t="s">
        <v>432</v>
      </c>
      <c r="E277" s="43">
        <v>1</v>
      </c>
      <c r="F277" s="3">
        <v>6439</v>
      </c>
      <c r="G277" s="3">
        <v>7312</v>
      </c>
      <c r="H277" s="3">
        <v>3815</v>
      </c>
      <c r="I277" s="3">
        <v>923</v>
      </c>
      <c r="J277" s="3">
        <v>880</v>
      </c>
      <c r="K277" s="3">
        <v>4096</v>
      </c>
      <c r="L277" s="3">
        <v>2414</v>
      </c>
      <c r="M277" s="3">
        <v>2450</v>
      </c>
      <c r="N277" s="40">
        <v>40.19</v>
      </c>
      <c r="O277" s="40">
        <v>356100</v>
      </c>
      <c r="P277" s="38">
        <v>157.29413837288001</v>
      </c>
      <c r="Q277" s="38">
        <v>4</v>
      </c>
      <c r="R277" s="38">
        <f t="shared" si="4"/>
        <v>181.93580492659868</v>
      </c>
      <c r="S277" s="41">
        <f>Rådatakommune[[#This Row],[B12]]/Rådatakommune[[#This Row],[B02]]-1</f>
        <v>0.13558005901537507</v>
      </c>
      <c r="T277" s="41">
        <f>Rådatakommune[[#This Row],[Kvinner20-39]]/Rådatakommune[[#This Row],[B12]]</f>
        <v>0.12035010940919037</v>
      </c>
      <c r="U277" s="41">
        <f>Rådatakommune[[#This Row],[Eldre67+]]/Rådatakommune[[#This Row],[B12]]</f>
        <v>0.12623085339168491</v>
      </c>
      <c r="V277" s="41">
        <f>Rådatakommune[[#This Row],[S11]]/Rådatakommune[[#This Row],[S01]]-1</f>
        <v>1.4913007456503813E-2</v>
      </c>
      <c r="W277" s="41">
        <f>Rådatakommune[[#This Row],[Y11]]/Rådatakommune[[#This Row],[Folk20-64]]</f>
        <v>0.931396484375</v>
      </c>
    </row>
    <row r="278" spans="1:23" s="38" customFormat="1" ht="12.75">
      <c r="A278" s="42" t="s">
        <v>276</v>
      </c>
      <c r="B278" s="37">
        <v>15</v>
      </c>
      <c r="C278" s="38">
        <v>75</v>
      </c>
      <c r="D278" s="39" t="s">
        <v>433</v>
      </c>
      <c r="E278" s="43" t="s">
        <v>435</v>
      </c>
      <c r="F278" s="3">
        <v>8781</v>
      </c>
      <c r="G278" s="3">
        <v>8973</v>
      </c>
      <c r="H278" s="3">
        <v>4611</v>
      </c>
      <c r="I278" s="3">
        <v>1400</v>
      </c>
      <c r="J278" s="3">
        <v>997</v>
      </c>
      <c r="K278" s="3">
        <v>5092</v>
      </c>
      <c r="L278" s="3">
        <v>4141</v>
      </c>
      <c r="M278" s="3">
        <v>4354</v>
      </c>
      <c r="N278" s="40">
        <v>260.58</v>
      </c>
      <c r="O278" s="40">
        <v>344400</v>
      </c>
      <c r="P278" s="38">
        <v>191.7233183299</v>
      </c>
      <c r="Q278" s="38">
        <v>4</v>
      </c>
      <c r="R278" s="38">
        <f t="shared" si="4"/>
        <v>34.434722542021646</v>
      </c>
      <c r="S278" s="41">
        <f>Rådatakommune[[#This Row],[B12]]/Rådatakommune[[#This Row],[B02]]-1</f>
        <v>2.1865391185514227E-2</v>
      </c>
      <c r="T278" s="41">
        <f>Rådatakommune[[#This Row],[Kvinner20-39]]/Rådatakommune[[#This Row],[B12]]</f>
        <v>0.1111111111111111</v>
      </c>
      <c r="U278" s="41">
        <f>Rådatakommune[[#This Row],[Eldre67+]]/Rådatakommune[[#This Row],[B12]]</f>
        <v>0.15602362643486015</v>
      </c>
      <c r="V278" s="41">
        <f>Rådatakommune[[#This Row],[S11]]/Rådatakommune[[#This Row],[S01]]-1</f>
        <v>5.1436851002173434E-2</v>
      </c>
      <c r="W278" s="41">
        <f>Rådatakommune[[#This Row],[Y11]]/Rådatakommune[[#This Row],[Folk20-64]]</f>
        <v>0.90553809897879023</v>
      </c>
    </row>
    <row r="279" spans="1:23" s="38" customFormat="1" ht="12.75">
      <c r="A279" s="42" t="s">
        <v>277</v>
      </c>
      <c r="B279" s="37">
        <v>15</v>
      </c>
      <c r="C279" s="38">
        <v>73</v>
      </c>
      <c r="D279" s="39" t="s">
        <v>433</v>
      </c>
      <c r="E279" s="43">
        <v>1</v>
      </c>
      <c r="F279" s="3">
        <v>6424</v>
      </c>
      <c r="G279" s="3">
        <v>6539</v>
      </c>
      <c r="H279" s="3">
        <v>3264</v>
      </c>
      <c r="I279" s="3">
        <v>952</v>
      </c>
      <c r="J279" s="3">
        <v>674</v>
      </c>
      <c r="K279" s="3">
        <v>3776</v>
      </c>
      <c r="L279" s="3">
        <v>2873</v>
      </c>
      <c r="M279" s="3">
        <v>2757</v>
      </c>
      <c r="N279" s="40">
        <v>352.15</v>
      </c>
      <c r="O279" s="40">
        <v>324500</v>
      </c>
      <c r="P279" s="38">
        <v>205.1225935901</v>
      </c>
      <c r="Q279" s="38">
        <v>4</v>
      </c>
      <c r="R279" s="38">
        <f t="shared" si="4"/>
        <v>18.568791708078944</v>
      </c>
      <c r="S279" s="41">
        <f>Rådatakommune[[#This Row],[B12]]/Rådatakommune[[#This Row],[B02]]-1</f>
        <v>1.7901618929016205E-2</v>
      </c>
      <c r="T279" s="41">
        <f>Rådatakommune[[#This Row],[Kvinner20-39]]/Rådatakommune[[#This Row],[B12]]</f>
        <v>0.10307386450527603</v>
      </c>
      <c r="U279" s="41">
        <f>Rådatakommune[[#This Row],[Eldre67+]]/Rådatakommune[[#This Row],[B12]]</f>
        <v>0.1455880103991436</v>
      </c>
      <c r="V279" s="41">
        <f>Rådatakommune[[#This Row],[S11]]/Rådatakommune[[#This Row],[S01]]-1</f>
        <v>-4.037591367908111E-2</v>
      </c>
      <c r="W279" s="41">
        <f>Rådatakommune[[#This Row],[Y11]]/Rådatakommune[[#This Row],[Folk20-64]]</f>
        <v>0.86440677966101698</v>
      </c>
    </row>
    <row r="280" spans="1:23" s="38" customFormat="1" ht="12.75">
      <c r="A280" s="42" t="s">
        <v>278</v>
      </c>
      <c r="B280" s="37">
        <v>15</v>
      </c>
      <c r="C280" s="38">
        <v>80</v>
      </c>
      <c r="D280" s="39" t="s">
        <v>433</v>
      </c>
      <c r="E280" s="43">
        <v>2</v>
      </c>
      <c r="F280" s="3">
        <v>7381</v>
      </c>
      <c r="G280" s="3">
        <v>7428</v>
      </c>
      <c r="H280" s="3">
        <v>3848</v>
      </c>
      <c r="I280" s="3">
        <v>1309</v>
      </c>
      <c r="J280" s="3">
        <v>749</v>
      </c>
      <c r="K280" s="3">
        <v>4150</v>
      </c>
      <c r="L280" s="3">
        <v>3342</v>
      </c>
      <c r="M280" s="3">
        <v>3613</v>
      </c>
      <c r="N280" s="40">
        <v>1502.2099999999998</v>
      </c>
      <c r="O280" s="40">
        <v>324200</v>
      </c>
      <c r="P280" s="38">
        <v>204.25833785169999</v>
      </c>
      <c r="Q280" s="38">
        <v>5</v>
      </c>
      <c r="R280" s="38">
        <f t="shared" si="4"/>
        <v>4.9447147868806631</v>
      </c>
      <c r="S280" s="41">
        <f>Rådatakommune[[#This Row],[B12]]/Rådatakommune[[#This Row],[B02]]-1</f>
        <v>6.3677008535429902E-3</v>
      </c>
      <c r="T280" s="41">
        <f>Rådatakommune[[#This Row],[Kvinner20-39]]/Rådatakommune[[#This Row],[B12]]</f>
        <v>0.10083467959073775</v>
      </c>
      <c r="U280" s="41">
        <f>Rådatakommune[[#This Row],[Eldre67+]]/Rådatakommune[[#This Row],[B12]]</f>
        <v>0.1762250942380183</v>
      </c>
      <c r="V280" s="41">
        <f>Rådatakommune[[#This Row],[S11]]/Rådatakommune[[#This Row],[S01]]-1</f>
        <v>8.1089168162776781E-2</v>
      </c>
      <c r="W280" s="41">
        <f>Rådatakommune[[#This Row],[Y11]]/Rådatakommune[[#This Row],[Folk20-64]]</f>
        <v>0.92722891566265064</v>
      </c>
    </row>
    <row r="281" spans="1:23" s="38" customFormat="1" ht="12.75">
      <c r="A281" s="42" t="s">
        <v>279</v>
      </c>
      <c r="B281" s="37">
        <v>15</v>
      </c>
      <c r="C281" s="38">
        <v>73</v>
      </c>
      <c r="D281" s="39" t="s">
        <v>433</v>
      </c>
      <c r="E281" s="43" t="s">
        <v>435</v>
      </c>
      <c r="F281" s="3">
        <v>3248</v>
      </c>
      <c r="G281" s="3">
        <v>3004</v>
      </c>
      <c r="H281" s="3">
        <v>1570</v>
      </c>
      <c r="I281" s="3">
        <v>525</v>
      </c>
      <c r="J281" s="3">
        <v>304</v>
      </c>
      <c r="K281" s="3">
        <v>1704</v>
      </c>
      <c r="L281" s="3">
        <v>1184</v>
      </c>
      <c r="M281" s="3">
        <v>1024</v>
      </c>
      <c r="N281" s="40">
        <v>1046.32</v>
      </c>
      <c r="O281" s="40">
        <v>316400</v>
      </c>
      <c r="P281" s="38">
        <v>192.0717023416</v>
      </c>
      <c r="Q281" s="38">
        <v>4</v>
      </c>
      <c r="R281" s="38">
        <f t="shared" si="4"/>
        <v>2.8710146035629638</v>
      </c>
      <c r="S281" s="41">
        <f>Rådatakommune[[#This Row],[B12]]/Rådatakommune[[#This Row],[B02]]-1</f>
        <v>-7.5123152709359653E-2</v>
      </c>
      <c r="T281" s="41">
        <f>Rådatakommune[[#This Row],[Kvinner20-39]]/Rådatakommune[[#This Row],[B12]]</f>
        <v>0.10119840213049268</v>
      </c>
      <c r="U281" s="41">
        <f>Rådatakommune[[#This Row],[Eldre67+]]/Rådatakommune[[#This Row],[B12]]</f>
        <v>0.17476697736351532</v>
      </c>
      <c r="V281" s="41">
        <f>Rådatakommune[[#This Row],[S11]]/Rådatakommune[[#This Row],[S01]]-1</f>
        <v>-0.13513513513513509</v>
      </c>
      <c r="W281" s="41">
        <f>Rådatakommune[[#This Row],[Y11]]/Rådatakommune[[#This Row],[Folk20-64]]</f>
        <v>0.92136150234741787</v>
      </c>
    </row>
    <row r="282" spans="1:23" s="38" customFormat="1" ht="12.75">
      <c r="A282" s="42" t="s">
        <v>280</v>
      </c>
      <c r="B282" s="37">
        <v>15</v>
      </c>
      <c r="C282" s="38">
        <v>73</v>
      </c>
      <c r="D282" s="39" t="s">
        <v>433</v>
      </c>
      <c r="E282" s="43" t="s">
        <v>435</v>
      </c>
      <c r="F282" s="3">
        <v>1956</v>
      </c>
      <c r="G282" s="3">
        <v>1988</v>
      </c>
      <c r="H282" s="3">
        <v>996</v>
      </c>
      <c r="I282" s="3">
        <v>342</v>
      </c>
      <c r="J282" s="3">
        <v>203</v>
      </c>
      <c r="K282" s="3">
        <v>1042</v>
      </c>
      <c r="L282" s="3">
        <v>871</v>
      </c>
      <c r="M282" s="3">
        <v>820</v>
      </c>
      <c r="N282" s="40">
        <v>94.75</v>
      </c>
      <c r="O282" s="40">
        <v>343200</v>
      </c>
      <c r="P282" s="38">
        <v>190.2255716059</v>
      </c>
      <c r="Q282" s="38">
        <v>4</v>
      </c>
      <c r="R282" s="38">
        <f t="shared" si="4"/>
        <v>20.981530343007915</v>
      </c>
      <c r="S282" s="41">
        <f>Rådatakommune[[#This Row],[B12]]/Rådatakommune[[#This Row],[B02]]-1</f>
        <v>1.6359918200409052E-2</v>
      </c>
      <c r="T282" s="41">
        <f>Rådatakommune[[#This Row],[Kvinner20-39]]/Rådatakommune[[#This Row],[B12]]</f>
        <v>0.10211267605633803</v>
      </c>
      <c r="U282" s="41">
        <f>Rådatakommune[[#This Row],[Eldre67+]]/Rådatakommune[[#This Row],[B12]]</f>
        <v>0.17203219315895371</v>
      </c>
      <c r="V282" s="41">
        <f>Rådatakommune[[#This Row],[S11]]/Rådatakommune[[#This Row],[S01]]-1</f>
        <v>-5.8553386911595839E-2</v>
      </c>
      <c r="W282" s="41">
        <f>Rådatakommune[[#This Row],[Y11]]/Rådatakommune[[#This Row],[Folk20-64]]</f>
        <v>0.95585412667946257</v>
      </c>
    </row>
    <row r="283" spans="1:23" s="38" customFormat="1" ht="12.75">
      <c r="A283" s="42" t="s">
        <v>281</v>
      </c>
      <c r="B283" s="37">
        <v>15</v>
      </c>
      <c r="C283" s="38">
        <v>81</v>
      </c>
      <c r="D283" s="39" t="s">
        <v>433</v>
      </c>
      <c r="E283" s="43">
        <v>2</v>
      </c>
      <c r="F283" s="3">
        <v>1305</v>
      </c>
      <c r="G283" s="3">
        <v>1315</v>
      </c>
      <c r="H283" s="3">
        <v>683</v>
      </c>
      <c r="I283" s="3">
        <v>235</v>
      </c>
      <c r="J283" s="3">
        <v>132</v>
      </c>
      <c r="K283" s="3">
        <v>726</v>
      </c>
      <c r="L283" s="3">
        <v>617</v>
      </c>
      <c r="M283" s="3">
        <v>644</v>
      </c>
      <c r="N283" s="40">
        <v>20.420000000000002</v>
      </c>
      <c r="O283" s="40">
        <v>368200</v>
      </c>
      <c r="P283" s="38">
        <v>253.085921533</v>
      </c>
      <c r="Q283" s="38">
        <v>11</v>
      </c>
      <c r="R283" s="38">
        <f t="shared" si="4"/>
        <v>64.39764936336924</v>
      </c>
      <c r="S283" s="41">
        <f>Rådatakommune[[#This Row],[B12]]/Rådatakommune[[#This Row],[B02]]-1</f>
        <v>7.6628352490422103E-3</v>
      </c>
      <c r="T283" s="41">
        <f>Rådatakommune[[#This Row],[Kvinner20-39]]/Rådatakommune[[#This Row],[B12]]</f>
        <v>0.10038022813688213</v>
      </c>
      <c r="U283" s="41">
        <f>Rådatakommune[[#This Row],[Eldre67+]]/Rådatakommune[[#This Row],[B12]]</f>
        <v>0.17870722433460076</v>
      </c>
      <c r="V283" s="41">
        <f>Rådatakommune[[#This Row],[S11]]/Rådatakommune[[#This Row],[S01]]-1</f>
        <v>4.3760129659643487E-2</v>
      </c>
      <c r="W283" s="41">
        <f>Rådatakommune[[#This Row],[Y11]]/Rådatakommune[[#This Row],[Folk20-64]]</f>
        <v>0.94077134986225897</v>
      </c>
    </row>
    <row r="284" spans="1:23" s="38" customFormat="1" ht="12.75">
      <c r="A284" s="42" t="s">
        <v>282</v>
      </c>
      <c r="B284" s="37">
        <v>15</v>
      </c>
      <c r="C284" s="38">
        <v>73</v>
      </c>
      <c r="D284" s="39" t="s">
        <v>433</v>
      </c>
      <c r="E284" s="43" t="s">
        <v>435</v>
      </c>
      <c r="F284" s="3">
        <v>3026</v>
      </c>
      <c r="G284" s="3">
        <v>3289</v>
      </c>
      <c r="H284" s="3">
        <v>1691</v>
      </c>
      <c r="I284" s="3">
        <v>526</v>
      </c>
      <c r="J284" s="3">
        <v>373</v>
      </c>
      <c r="K284" s="3">
        <v>1810</v>
      </c>
      <c r="L284" s="3">
        <v>1111</v>
      </c>
      <c r="M284" s="3">
        <v>1278</v>
      </c>
      <c r="N284" s="40">
        <v>58.910000000000004</v>
      </c>
      <c r="O284" s="40">
        <v>355200</v>
      </c>
      <c r="P284" s="38">
        <v>186.91059359010001</v>
      </c>
      <c r="Q284" s="38">
        <v>4</v>
      </c>
      <c r="R284" s="38">
        <f t="shared" si="4"/>
        <v>55.830928535053467</v>
      </c>
      <c r="S284" s="41">
        <f>Rådatakommune[[#This Row],[B12]]/Rådatakommune[[#This Row],[B02]]-1</f>
        <v>8.6913417052214115E-2</v>
      </c>
      <c r="T284" s="41">
        <f>Rådatakommune[[#This Row],[Kvinner20-39]]/Rådatakommune[[#This Row],[B12]]</f>
        <v>0.11340833079963515</v>
      </c>
      <c r="U284" s="41">
        <f>Rådatakommune[[#This Row],[Eldre67+]]/Rådatakommune[[#This Row],[B12]]</f>
        <v>0.15992702949224688</v>
      </c>
      <c r="V284" s="41">
        <f>Rådatakommune[[#This Row],[S11]]/Rådatakommune[[#This Row],[S01]]-1</f>
        <v>0.15031503150315029</v>
      </c>
      <c r="W284" s="41">
        <f>Rådatakommune[[#This Row],[Y11]]/Rådatakommune[[#This Row],[Folk20-64]]</f>
        <v>0.9342541436464088</v>
      </c>
    </row>
    <row r="285" spans="1:23" s="38" customFormat="1" ht="12.75">
      <c r="A285" s="42" t="s">
        <v>283</v>
      </c>
      <c r="B285" s="37">
        <v>15</v>
      </c>
      <c r="C285" s="38">
        <v>73</v>
      </c>
      <c r="D285" s="39" t="s">
        <v>434</v>
      </c>
      <c r="E285" s="43">
        <v>1</v>
      </c>
      <c r="F285" s="3">
        <v>8949</v>
      </c>
      <c r="G285" s="3">
        <v>9484</v>
      </c>
      <c r="H285" s="3">
        <v>4963</v>
      </c>
      <c r="I285" s="3">
        <v>1248</v>
      </c>
      <c r="J285" s="3">
        <v>1091</v>
      </c>
      <c r="K285" s="3">
        <v>5474</v>
      </c>
      <c r="L285" s="3">
        <v>3348</v>
      </c>
      <c r="M285" s="3">
        <v>3513</v>
      </c>
      <c r="N285" s="40">
        <v>369.61</v>
      </c>
      <c r="O285" s="40">
        <v>338300</v>
      </c>
      <c r="P285" s="38">
        <v>167.65322236270001</v>
      </c>
      <c r="Q285" s="38">
        <v>4</v>
      </c>
      <c r="R285" s="38">
        <f t="shared" si="4"/>
        <v>25.659478910202644</v>
      </c>
      <c r="S285" s="41">
        <f>Rådatakommune[[#This Row],[B12]]/Rådatakommune[[#This Row],[B02]]-1</f>
        <v>5.9783216001787931E-2</v>
      </c>
      <c r="T285" s="41">
        <f>Rådatakommune[[#This Row],[Kvinner20-39]]/Rådatakommune[[#This Row],[B12]]</f>
        <v>0.11503584985238297</v>
      </c>
      <c r="U285" s="41">
        <f>Rådatakommune[[#This Row],[Eldre67+]]/Rådatakommune[[#This Row],[B12]]</f>
        <v>0.1315900463939266</v>
      </c>
      <c r="V285" s="41">
        <f>Rådatakommune[[#This Row],[S11]]/Rådatakommune[[#This Row],[S01]]-1</f>
        <v>4.9283154121863904E-2</v>
      </c>
      <c r="W285" s="41">
        <f>Rådatakommune[[#This Row],[Y11]]/Rådatakommune[[#This Row],[Folk20-64]]</f>
        <v>0.90664961636828645</v>
      </c>
    </row>
    <row r="286" spans="1:23" s="38" customFormat="1" ht="12.75">
      <c r="A286" s="42" t="s">
        <v>284</v>
      </c>
      <c r="B286" s="37">
        <v>15</v>
      </c>
      <c r="C286" s="38">
        <v>73</v>
      </c>
      <c r="D286" s="39" t="s">
        <v>433</v>
      </c>
      <c r="E286" s="43" t="s">
        <v>435</v>
      </c>
      <c r="F286" s="3">
        <v>3272</v>
      </c>
      <c r="G286" s="3">
        <v>3442</v>
      </c>
      <c r="H286" s="3">
        <v>1790</v>
      </c>
      <c r="I286" s="3">
        <v>457</v>
      </c>
      <c r="J286" s="3">
        <v>413</v>
      </c>
      <c r="K286" s="3">
        <v>1943</v>
      </c>
      <c r="L286" s="3">
        <v>1198</v>
      </c>
      <c r="M286" s="3">
        <v>1246</v>
      </c>
      <c r="N286" s="40">
        <v>152.16</v>
      </c>
      <c r="O286" s="40">
        <v>332500</v>
      </c>
      <c r="P286" s="38">
        <v>187.30630696579999</v>
      </c>
      <c r="Q286" s="38">
        <v>4</v>
      </c>
      <c r="R286" s="38">
        <f t="shared" si="4"/>
        <v>22.620925341745533</v>
      </c>
      <c r="S286" s="41">
        <f>Rådatakommune[[#This Row],[B12]]/Rådatakommune[[#This Row],[B02]]-1</f>
        <v>5.195599022004882E-2</v>
      </c>
      <c r="T286" s="41">
        <f>Rådatakommune[[#This Row],[Kvinner20-39]]/Rådatakommune[[#This Row],[B12]]</f>
        <v>0.1199883788495061</v>
      </c>
      <c r="U286" s="41">
        <f>Rådatakommune[[#This Row],[Eldre67+]]/Rådatakommune[[#This Row],[B12]]</f>
        <v>0.13277164439279487</v>
      </c>
      <c r="V286" s="41">
        <f>Rådatakommune[[#This Row],[S11]]/Rådatakommune[[#This Row],[S01]]-1</f>
        <v>4.0066777963272182E-2</v>
      </c>
      <c r="W286" s="41">
        <f>Rådatakommune[[#This Row],[Y11]]/Rådatakommune[[#This Row],[Folk20-64]]</f>
        <v>0.92125579001544</v>
      </c>
    </row>
    <row r="287" spans="1:23" s="38" customFormat="1" ht="12.75">
      <c r="A287" s="42" t="s">
        <v>285</v>
      </c>
      <c r="B287" s="37">
        <v>15</v>
      </c>
      <c r="C287" s="38">
        <v>74</v>
      </c>
      <c r="D287" s="39" t="s">
        <v>433</v>
      </c>
      <c r="E287" s="43">
        <v>1</v>
      </c>
      <c r="F287" s="3">
        <v>5430</v>
      </c>
      <c r="G287" s="3">
        <v>5593</v>
      </c>
      <c r="H287" s="3">
        <v>2907</v>
      </c>
      <c r="I287" s="3">
        <v>834</v>
      </c>
      <c r="J287" s="3">
        <v>563</v>
      </c>
      <c r="K287" s="3">
        <v>3181</v>
      </c>
      <c r="L287" s="3">
        <v>2189</v>
      </c>
      <c r="M287" s="3">
        <v>2258</v>
      </c>
      <c r="N287" s="40">
        <v>176</v>
      </c>
      <c r="O287" s="40">
        <v>341600</v>
      </c>
      <c r="P287" s="38">
        <v>173.6378757432</v>
      </c>
      <c r="Q287" s="38">
        <v>5</v>
      </c>
      <c r="R287" s="38">
        <f t="shared" si="4"/>
        <v>31.77840909090909</v>
      </c>
      <c r="S287" s="41">
        <f>Rådatakommune[[#This Row],[B12]]/Rådatakommune[[#This Row],[B02]]-1</f>
        <v>3.0018416206261556E-2</v>
      </c>
      <c r="T287" s="41">
        <f>Rådatakommune[[#This Row],[Kvinner20-39]]/Rådatakommune[[#This Row],[B12]]</f>
        <v>0.10066154121222957</v>
      </c>
      <c r="U287" s="41">
        <f>Rådatakommune[[#This Row],[Eldre67+]]/Rådatakommune[[#This Row],[B12]]</f>
        <v>0.14911496513499017</v>
      </c>
      <c r="V287" s="41">
        <f>Rådatakommune[[#This Row],[S11]]/Rådatakommune[[#This Row],[S01]]-1</f>
        <v>3.1521242576519004E-2</v>
      </c>
      <c r="W287" s="41">
        <f>Rådatakommune[[#This Row],[Y11]]/Rådatakommune[[#This Row],[Folk20-64]]</f>
        <v>0.91386356491669285</v>
      </c>
    </row>
    <row r="288" spans="1:23" s="38" customFormat="1" ht="12.75">
      <c r="A288" s="42" t="s">
        <v>286</v>
      </c>
      <c r="B288" s="37">
        <v>15</v>
      </c>
      <c r="C288" s="38">
        <v>73</v>
      </c>
      <c r="D288" s="39" t="s">
        <v>433</v>
      </c>
      <c r="E288" s="43" t="s">
        <v>435</v>
      </c>
      <c r="F288" s="3">
        <v>2627</v>
      </c>
      <c r="G288" s="3">
        <v>2579</v>
      </c>
      <c r="H288" s="3">
        <v>1388</v>
      </c>
      <c r="I288" s="3">
        <v>402</v>
      </c>
      <c r="J288" s="3">
        <v>282</v>
      </c>
      <c r="K288" s="3">
        <v>1475</v>
      </c>
      <c r="L288" s="3">
        <v>823</v>
      </c>
      <c r="M288" s="3">
        <v>1162</v>
      </c>
      <c r="N288" s="40">
        <v>381.99</v>
      </c>
      <c r="O288" s="40">
        <v>328400</v>
      </c>
      <c r="P288" s="38">
        <v>176.70352430949998</v>
      </c>
      <c r="Q288" s="38">
        <v>4</v>
      </c>
      <c r="R288" s="38">
        <f t="shared" si="4"/>
        <v>6.7514856409853659</v>
      </c>
      <c r="S288" s="41">
        <f>Rådatakommune[[#This Row],[B12]]/Rådatakommune[[#This Row],[B02]]-1</f>
        <v>-1.8271792919680285E-2</v>
      </c>
      <c r="T288" s="41">
        <f>Rådatakommune[[#This Row],[Kvinner20-39]]/Rådatakommune[[#This Row],[B12]]</f>
        <v>0.10934470725087243</v>
      </c>
      <c r="U288" s="41">
        <f>Rådatakommune[[#This Row],[Eldre67+]]/Rådatakommune[[#This Row],[B12]]</f>
        <v>0.15587436991081816</v>
      </c>
      <c r="V288" s="41">
        <f>Rådatakommune[[#This Row],[S11]]/Rådatakommune[[#This Row],[S01]]-1</f>
        <v>0.41190765492102055</v>
      </c>
      <c r="W288" s="41">
        <f>Rådatakommune[[#This Row],[Y11]]/Rådatakommune[[#This Row],[Folk20-64]]</f>
        <v>0.94101694915254241</v>
      </c>
    </row>
    <row r="289" spans="1:23" s="38" customFormat="1" ht="12.75">
      <c r="A289" s="42" t="s">
        <v>287</v>
      </c>
      <c r="B289" s="37">
        <v>15</v>
      </c>
      <c r="C289" s="38">
        <v>74</v>
      </c>
      <c r="D289" s="39" t="s">
        <v>433</v>
      </c>
      <c r="E289" s="43">
        <v>2</v>
      </c>
      <c r="F289" s="3">
        <v>3146</v>
      </c>
      <c r="G289" s="3">
        <v>3101</v>
      </c>
      <c r="H289" s="3">
        <v>1484</v>
      </c>
      <c r="I289" s="3">
        <v>588</v>
      </c>
      <c r="J289" s="3">
        <v>318</v>
      </c>
      <c r="K289" s="3">
        <v>1701</v>
      </c>
      <c r="L289" s="3">
        <v>1061</v>
      </c>
      <c r="M289" s="3">
        <v>1080</v>
      </c>
      <c r="N289" s="40">
        <v>336.91999999999996</v>
      </c>
      <c r="O289" s="40">
        <v>299700</v>
      </c>
      <c r="P289" s="38">
        <v>195.8399490354</v>
      </c>
      <c r="Q289" s="38">
        <v>5</v>
      </c>
      <c r="R289" s="38">
        <f t="shared" si="4"/>
        <v>9.2039653330167415</v>
      </c>
      <c r="S289" s="41">
        <f>Rådatakommune[[#This Row],[B12]]/Rådatakommune[[#This Row],[B02]]-1</f>
        <v>-1.4303877940241572E-2</v>
      </c>
      <c r="T289" s="41">
        <f>Rådatakommune[[#This Row],[Kvinner20-39]]/Rådatakommune[[#This Row],[B12]]</f>
        <v>0.10254756530151564</v>
      </c>
      <c r="U289" s="41">
        <f>Rådatakommune[[#This Row],[Eldre67+]]/Rådatakommune[[#This Row],[B12]]</f>
        <v>0.18961625282167044</v>
      </c>
      <c r="V289" s="41">
        <f>Rådatakommune[[#This Row],[S11]]/Rådatakommune[[#This Row],[S01]]-1</f>
        <v>1.7907634307257281E-2</v>
      </c>
      <c r="W289" s="41">
        <f>Rådatakommune[[#This Row],[Y11]]/Rådatakommune[[#This Row],[Folk20-64]]</f>
        <v>0.87242798353909468</v>
      </c>
    </row>
    <row r="290" spans="1:23" s="38" customFormat="1" ht="12.75">
      <c r="A290" s="42" t="s">
        <v>288</v>
      </c>
      <c r="B290" s="37">
        <v>15</v>
      </c>
      <c r="C290" s="38">
        <v>82</v>
      </c>
      <c r="D290" s="39" t="s">
        <v>433</v>
      </c>
      <c r="E290" s="43">
        <v>2</v>
      </c>
      <c r="F290" s="3">
        <v>7354</v>
      </c>
      <c r="G290" s="3">
        <v>7196</v>
      </c>
      <c r="H290" s="3">
        <v>3561</v>
      </c>
      <c r="I290" s="3">
        <v>1219</v>
      </c>
      <c r="J290" s="3">
        <v>741</v>
      </c>
      <c r="K290" s="3">
        <v>4120</v>
      </c>
      <c r="L290" s="3">
        <v>3744</v>
      </c>
      <c r="M290" s="3">
        <v>3712</v>
      </c>
      <c r="N290" s="40">
        <v>1713.41</v>
      </c>
      <c r="O290" s="40">
        <v>332900</v>
      </c>
      <c r="P290" s="38">
        <v>220.9231681631</v>
      </c>
      <c r="Q290" s="38">
        <v>9</v>
      </c>
      <c r="R290" s="38">
        <f t="shared" si="4"/>
        <v>4.1998120706660984</v>
      </c>
      <c r="S290" s="41">
        <f>Rådatakommune[[#This Row],[B12]]/Rådatakommune[[#This Row],[B02]]-1</f>
        <v>-2.1484906173511065E-2</v>
      </c>
      <c r="T290" s="41">
        <f>Rådatakommune[[#This Row],[Kvinner20-39]]/Rådatakommune[[#This Row],[B12]]</f>
        <v>0.10297387437465258</v>
      </c>
      <c r="U290" s="41">
        <f>Rådatakommune[[#This Row],[Eldre67+]]/Rådatakommune[[#This Row],[B12]]</f>
        <v>0.16939966648137855</v>
      </c>
      <c r="V290" s="41">
        <f>Rådatakommune[[#This Row],[S11]]/Rådatakommune[[#This Row],[S01]]-1</f>
        <v>-8.5470085470085166E-3</v>
      </c>
      <c r="W290" s="41">
        <f>Rådatakommune[[#This Row],[Y11]]/Rådatakommune[[#This Row],[Folk20-64]]</f>
        <v>0.86432038834951452</v>
      </c>
    </row>
    <row r="291" spans="1:23" s="38" customFormat="1" ht="12.75">
      <c r="A291" s="42" t="s">
        <v>289</v>
      </c>
      <c r="B291" s="37">
        <v>15</v>
      </c>
      <c r="C291" s="38">
        <v>83</v>
      </c>
      <c r="D291" s="39" t="s">
        <v>436</v>
      </c>
      <c r="E291" s="43">
        <v>3</v>
      </c>
      <c r="F291" s="3">
        <v>6234</v>
      </c>
      <c r="G291" s="3">
        <v>5952</v>
      </c>
      <c r="H291" s="3">
        <v>3017</v>
      </c>
      <c r="I291" s="3">
        <v>1008</v>
      </c>
      <c r="J291" s="3">
        <v>582</v>
      </c>
      <c r="K291" s="3">
        <v>3299</v>
      </c>
      <c r="L291" s="3">
        <v>2684</v>
      </c>
      <c r="M291" s="3">
        <v>2846</v>
      </c>
      <c r="N291" s="40">
        <v>1365.41</v>
      </c>
      <c r="O291" s="40">
        <v>298900</v>
      </c>
      <c r="P291" s="38">
        <v>243.89762441799999</v>
      </c>
      <c r="Q291" s="38">
        <v>9</v>
      </c>
      <c r="R291" s="38">
        <f t="shared" si="4"/>
        <v>4.3591302246211754</v>
      </c>
      <c r="S291" s="41">
        <f>Rådatakommune[[#This Row],[B12]]/Rådatakommune[[#This Row],[B02]]-1</f>
        <v>-4.5235803657362794E-2</v>
      </c>
      <c r="T291" s="41">
        <f>Rådatakommune[[#This Row],[Kvinner20-39]]/Rådatakommune[[#This Row],[B12]]</f>
        <v>9.7782258064516125E-2</v>
      </c>
      <c r="U291" s="41">
        <f>Rådatakommune[[#This Row],[Eldre67+]]/Rådatakommune[[#This Row],[B12]]</f>
        <v>0.16935483870967741</v>
      </c>
      <c r="V291" s="41">
        <f>Rådatakommune[[#This Row],[S11]]/Rådatakommune[[#This Row],[S01]]-1</f>
        <v>6.0357675111773368E-2</v>
      </c>
      <c r="W291" s="41">
        <f>Rådatakommune[[#This Row],[Y11]]/Rådatakommune[[#This Row],[Folk20-64]]</f>
        <v>0.91451955137920582</v>
      </c>
    </row>
    <row r="292" spans="1:23" s="38" customFormat="1" ht="12.75">
      <c r="A292" s="42" t="s">
        <v>290</v>
      </c>
      <c r="B292" s="37">
        <v>15</v>
      </c>
      <c r="C292" s="38">
        <v>83</v>
      </c>
      <c r="D292" s="39" t="s">
        <v>436</v>
      </c>
      <c r="E292" s="43">
        <v>3</v>
      </c>
      <c r="F292" s="3">
        <v>2132</v>
      </c>
      <c r="G292" s="3">
        <v>2088</v>
      </c>
      <c r="H292" s="3">
        <v>1071</v>
      </c>
      <c r="I292" s="3">
        <v>407</v>
      </c>
      <c r="J292" s="3">
        <v>200</v>
      </c>
      <c r="K292" s="3">
        <v>1081</v>
      </c>
      <c r="L292" s="3">
        <v>959</v>
      </c>
      <c r="M292" s="3">
        <v>885</v>
      </c>
      <c r="N292" s="40">
        <v>631.84</v>
      </c>
      <c r="O292" s="40">
        <v>297900</v>
      </c>
      <c r="P292" s="38">
        <v>254.30360304050001</v>
      </c>
      <c r="Q292" s="38">
        <v>9</v>
      </c>
      <c r="R292" s="38">
        <f t="shared" si="4"/>
        <v>3.3046340845783742</v>
      </c>
      <c r="S292" s="41">
        <f>Rådatakommune[[#This Row],[B12]]/Rådatakommune[[#This Row],[B02]]-1</f>
        <v>-2.0637898686679201E-2</v>
      </c>
      <c r="T292" s="41">
        <f>Rådatakommune[[#This Row],[Kvinner20-39]]/Rådatakommune[[#This Row],[B12]]</f>
        <v>9.5785440613026823E-2</v>
      </c>
      <c r="U292" s="41">
        <f>Rådatakommune[[#This Row],[Eldre67+]]/Rådatakommune[[#This Row],[B12]]</f>
        <v>0.19492337164750959</v>
      </c>
      <c r="V292" s="41">
        <f>Rådatakommune[[#This Row],[S11]]/Rådatakommune[[#This Row],[S01]]-1</f>
        <v>-7.7163712200208567E-2</v>
      </c>
      <c r="W292" s="41">
        <f>Rådatakommune[[#This Row],[Y11]]/Rådatakommune[[#This Row],[Folk20-64]]</f>
        <v>0.99074930619796486</v>
      </c>
    </row>
    <row r="293" spans="1:23" s="38" customFormat="1" ht="12.75">
      <c r="A293" s="42" t="s">
        <v>291</v>
      </c>
      <c r="B293" s="37">
        <v>15</v>
      </c>
      <c r="C293" s="38">
        <v>83</v>
      </c>
      <c r="D293" s="39" t="s">
        <v>436</v>
      </c>
      <c r="E293" s="43">
        <v>3</v>
      </c>
      <c r="F293" s="3">
        <v>1750</v>
      </c>
      <c r="G293" s="3">
        <v>1641</v>
      </c>
      <c r="H293" s="3">
        <v>807</v>
      </c>
      <c r="I293" s="3">
        <v>339</v>
      </c>
      <c r="J293" s="3">
        <v>162</v>
      </c>
      <c r="K293" s="3">
        <v>911</v>
      </c>
      <c r="L293" s="3">
        <v>757</v>
      </c>
      <c r="M293" s="3">
        <v>683</v>
      </c>
      <c r="N293" s="40">
        <v>301.02</v>
      </c>
      <c r="O293" s="40">
        <v>301200</v>
      </c>
      <c r="P293" s="38">
        <v>222.7438501076</v>
      </c>
      <c r="Q293" s="38">
        <v>9</v>
      </c>
      <c r="R293" s="38">
        <f t="shared" si="4"/>
        <v>5.4514650189356191</v>
      </c>
      <c r="S293" s="41">
        <f>Rådatakommune[[#This Row],[B12]]/Rådatakommune[[#This Row],[B02]]-1</f>
        <v>-6.2285714285714278E-2</v>
      </c>
      <c r="T293" s="41">
        <f>Rådatakommune[[#This Row],[Kvinner20-39]]/Rådatakommune[[#This Row],[B12]]</f>
        <v>9.8720292504570387E-2</v>
      </c>
      <c r="U293" s="41">
        <f>Rådatakommune[[#This Row],[Eldre67+]]/Rådatakommune[[#This Row],[B12]]</f>
        <v>0.20658135283363802</v>
      </c>
      <c r="V293" s="41">
        <f>Rådatakommune[[#This Row],[S11]]/Rådatakommune[[#This Row],[S01]]-1</f>
        <v>-9.7754293262879766E-2</v>
      </c>
      <c r="W293" s="41">
        <f>Rådatakommune[[#This Row],[Y11]]/Rådatakommune[[#This Row],[Folk20-64]]</f>
        <v>0.88583973655323822</v>
      </c>
    </row>
    <row r="294" spans="1:23" s="38" customFormat="1" ht="12.75">
      <c r="A294" s="42" t="s">
        <v>292</v>
      </c>
      <c r="B294" s="37">
        <v>15</v>
      </c>
      <c r="C294" s="38">
        <v>84</v>
      </c>
      <c r="D294" s="39" t="s">
        <v>436</v>
      </c>
      <c r="E294" s="43">
        <v>4</v>
      </c>
      <c r="F294" s="3">
        <v>2329</v>
      </c>
      <c r="G294" s="3">
        <v>2182</v>
      </c>
      <c r="H294" s="3">
        <v>1085</v>
      </c>
      <c r="I294" s="3">
        <v>429</v>
      </c>
      <c r="J294" s="3">
        <v>207</v>
      </c>
      <c r="K294" s="3">
        <v>1204</v>
      </c>
      <c r="L294" s="3">
        <v>942</v>
      </c>
      <c r="M294" s="3">
        <v>988</v>
      </c>
      <c r="N294" s="40">
        <v>281.82</v>
      </c>
      <c r="O294" s="40">
        <v>328200</v>
      </c>
      <c r="P294" s="38">
        <v>249.9183892133</v>
      </c>
      <c r="Q294" s="38">
        <v>11</v>
      </c>
      <c r="R294" s="38">
        <f t="shared" si="4"/>
        <v>7.7425306933503659</v>
      </c>
      <c r="S294" s="41">
        <f>Rådatakommune[[#This Row],[B12]]/Rådatakommune[[#This Row],[B02]]-1</f>
        <v>-6.3117217689995675E-2</v>
      </c>
      <c r="T294" s="41">
        <f>Rådatakommune[[#This Row],[Kvinner20-39]]/Rådatakommune[[#This Row],[B12]]</f>
        <v>9.4867094408799271E-2</v>
      </c>
      <c r="U294" s="41">
        <f>Rådatakommune[[#This Row],[Eldre67+]]/Rådatakommune[[#This Row],[B12]]</f>
        <v>0.19660861594867093</v>
      </c>
      <c r="V294" s="41">
        <f>Rådatakommune[[#This Row],[S11]]/Rådatakommune[[#This Row],[S01]]-1</f>
        <v>4.8832271762208057E-2</v>
      </c>
      <c r="W294" s="41">
        <f>Rådatakommune[[#This Row],[Y11]]/Rådatakommune[[#This Row],[Folk20-64]]</f>
        <v>0.90116279069767447</v>
      </c>
    </row>
    <row r="295" spans="1:23" s="38" customFormat="1" ht="12.75">
      <c r="A295" s="42" t="s">
        <v>293</v>
      </c>
      <c r="B295" s="37">
        <v>15</v>
      </c>
      <c r="C295" s="38">
        <v>85</v>
      </c>
      <c r="D295" s="39" t="s">
        <v>436</v>
      </c>
      <c r="E295" s="43">
        <v>3</v>
      </c>
      <c r="F295" s="3">
        <v>3747</v>
      </c>
      <c r="G295" s="3">
        <v>3511</v>
      </c>
      <c r="H295" s="3">
        <v>1763</v>
      </c>
      <c r="I295" s="3">
        <v>650</v>
      </c>
      <c r="J295" s="3">
        <v>330</v>
      </c>
      <c r="K295" s="3">
        <v>1972</v>
      </c>
      <c r="L295" s="3">
        <v>1447</v>
      </c>
      <c r="M295" s="3">
        <v>1490</v>
      </c>
      <c r="N295" s="40">
        <v>643.94000000000005</v>
      </c>
      <c r="O295" s="40">
        <v>317000</v>
      </c>
      <c r="P295" s="38">
        <v>221.96109544550001</v>
      </c>
      <c r="Q295" s="38">
        <v>11</v>
      </c>
      <c r="R295" s="38">
        <f t="shared" si="4"/>
        <v>5.452371338944622</v>
      </c>
      <c r="S295" s="41">
        <f>Rådatakommune[[#This Row],[B12]]/Rådatakommune[[#This Row],[B02]]-1</f>
        <v>-6.2983720309580993E-2</v>
      </c>
      <c r="T295" s="41">
        <f>Rådatakommune[[#This Row],[Kvinner20-39]]/Rådatakommune[[#This Row],[B12]]</f>
        <v>9.3990316149245232E-2</v>
      </c>
      <c r="U295" s="41">
        <f>Rådatakommune[[#This Row],[Eldre67+]]/Rådatakommune[[#This Row],[B12]]</f>
        <v>0.18513244090002848</v>
      </c>
      <c r="V295" s="41">
        <f>Rådatakommune[[#This Row],[S11]]/Rådatakommune[[#This Row],[S01]]-1</f>
        <v>2.9716655148583238E-2</v>
      </c>
      <c r="W295" s="41">
        <f>Rådatakommune[[#This Row],[Y11]]/Rådatakommune[[#This Row],[Folk20-64]]</f>
        <v>0.89401622718052742</v>
      </c>
    </row>
    <row r="296" spans="1:23" s="38" customFormat="1" ht="12.75">
      <c r="A296" s="42" t="s">
        <v>294</v>
      </c>
      <c r="B296" s="37">
        <v>16</v>
      </c>
      <c r="C296" s="38">
        <v>86</v>
      </c>
      <c r="D296" s="39" t="s">
        <v>432</v>
      </c>
      <c r="E296" s="43">
        <v>1</v>
      </c>
      <c r="F296" s="3">
        <v>151408</v>
      </c>
      <c r="G296" s="3">
        <v>176348</v>
      </c>
      <c r="H296" s="3">
        <v>93368</v>
      </c>
      <c r="I296" s="3">
        <v>19548</v>
      </c>
      <c r="J296" s="3">
        <v>26944</v>
      </c>
      <c r="K296" s="3">
        <v>111204</v>
      </c>
      <c r="L296" s="3">
        <v>89839</v>
      </c>
      <c r="M296" s="3">
        <v>108655</v>
      </c>
      <c r="N296" s="40">
        <v>342.3</v>
      </c>
      <c r="O296" s="40">
        <v>358300</v>
      </c>
      <c r="P296" s="38">
        <v>180.31742073930002</v>
      </c>
      <c r="Q296" s="38">
        <v>2</v>
      </c>
      <c r="R296" s="38">
        <f t="shared" si="4"/>
        <v>515.18550978673682</v>
      </c>
      <c r="S296" s="41">
        <f>Rådatakommune[[#This Row],[B12]]/Rådatakommune[[#This Row],[B02]]-1</f>
        <v>0.16472049033076197</v>
      </c>
      <c r="T296" s="41">
        <f>Rådatakommune[[#This Row],[Kvinner20-39]]/Rådatakommune[[#This Row],[B12]]</f>
        <v>0.15278880395581465</v>
      </c>
      <c r="U296" s="41">
        <f>Rådatakommune[[#This Row],[Eldre67+]]/Rådatakommune[[#This Row],[B12]]</f>
        <v>0.110849003107492</v>
      </c>
      <c r="V296" s="41">
        <f>Rådatakommune[[#This Row],[S11]]/Rådatakommune[[#This Row],[S01]]-1</f>
        <v>0.20944133394182929</v>
      </c>
      <c r="W296" s="41">
        <f>Rådatakommune[[#This Row],[Y11]]/Rådatakommune[[#This Row],[Folk20-64]]</f>
        <v>0.83961008596813069</v>
      </c>
    </row>
    <row r="297" spans="1:23" s="38" customFormat="1" ht="12.75">
      <c r="A297" s="42" t="s">
        <v>295</v>
      </c>
      <c r="B297" s="37">
        <v>16</v>
      </c>
      <c r="C297" s="38">
        <v>87</v>
      </c>
      <c r="D297" s="39" t="s">
        <v>436</v>
      </c>
      <c r="E297" s="43">
        <v>3</v>
      </c>
      <c r="F297" s="3">
        <v>4278</v>
      </c>
      <c r="G297" s="3">
        <v>4221</v>
      </c>
      <c r="H297" s="3">
        <v>2070</v>
      </c>
      <c r="I297" s="3">
        <v>709</v>
      </c>
      <c r="J297" s="3">
        <v>447</v>
      </c>
      <c r="K297" s="3">
        <v>2305</v>
      </c>
      <c r="L297" s="3">
        <v>1779</v>
      </c>
      <c r="M297" s="3">
        <v>1963</v>
      </c>
      <c r="N297" s="40">
        <v>670.29000000000008</v>
      </c>
      <c r="O297" s="40">
        <v>315800</v>
      </c>
      <c r="P297" s="38">
        <v>253.51839397929999</v>
      </c>
      <c r="Q297" s="38">
        <v>9</v>
      </c>
      <c r="R297" s="38">
        <f t="shared" si="4"/>
        <v>6.2972743141028502</v>
      </c>
      <c r="S297" s="41">
        <f>Rådatakommune[[#This Row],[B12]]/Rådatakommune[[#This Row],[B02]]-1</f>
        <v>-1.3323983169705511E-2</v>
      </c>
      <c r="T297" s="41">
        <f>Rådatakommune[[#This Row],[Kvinner20-39]]/Rådatakommune[[#This Row],[B12]]</f>
        <v>0.10589907604832978</v>
      </c>
      <c r="U297" s="41">
        <f>Rådatakommune[[#This Row],[Eldre67+]]/Rådatakommune[[#This Row],[B12]]</f>
        <v>0.16796967543236199</v>
      </c>
      <c r="V297" s="41">
        <f>Rådatakommune[[#This Row],[S11]]/Rådatakommune[[#This Row],[S01]]-1</f>
        <v>0.1034288926363125</v>
      </c>
      <c r="W297" s="41">
        <f>Rådatakommune[[#This Row],[Y11]]/Rådatakommune[[#This Row],[Folk20-64]]</f>
        <v>0.89804772234273322</v>
      </c>
    </row>
    <row r="298" spans="1:23" s="38" customFormat="1" ht="12.75">
      <c r="A298" s="42" t="s">
        <v>296</v>
      </c>
      <c r="B298" s="37">
        <v>16</v>
      </c>
      <c r="C298" s="38">
        <v>93</v>
      </c>
      <c r="D298" s="39" t="s">
        <v>436</v>
      </c>
      <c r="E298" s="43">
        <v>3</v>
      </c>
      <c r="F298" s="3">
        <v>1056</v>
      </c>
      <c r="G298" s="3">
        <v>981</v>
      </c>
      <c r="H298" s="3">
        <v>512</v>
      </c>
      <c r="I298" s="3">
        <v>184</v>
      </c>
      <c r="J298" s="3">
        <v>94</v>
      </c>
      <c r="K298" s="3">
        <v>538</v>
      </c>
      <c r="L298" s="3">
        <v>397</v>
      </c>
      <c r="M298" s="3">
        <v>392</v>
      </c>
      <c r="N298" s="40">
        <v>508.31</v>
      </c>
      <c r="O298" s="40">
        <v>292000</v>
      </c>
      <c r="P298" s="38">
        <v>236.80215346099999</v>
      </c>
      <c r="Q298" s="38">
        <v>5</v>
      </c>
      <c r="R298" s="38">
        <f t="shared" si="4"/>
        <v>1.9299246522791209</v>
      </c>
      <c r="S298" s="41">
        <f>Rådatakommune[[#This Row],[B12]]/Rådatakommune[[#This Row],[B02]]-1</f>
        <v>-7.1022727272727293E-2</v>
      </c>
      <c r="T298" s="41">
        <f>Rådatakommune[[#This Row],[Kvinner20-39]]/Rådatakommune[[#This Row],[B12]]</f>
        <v>9.5820591233435268E-2</v>
      </c>
      <c r="U298" s="41">
        <f>Rådatakommune[[#This Row],[Eldre67+]]/Rådatakommune[[#This Row],[B12]]</f>
        <v>0.1875637104994903</v>
      </c>
      <c r="V298" s="41">
        <f>Rådatakommune[[#This Row],[S11]]/Rådatakommune[[#This Row],[S01]]-1</f>
        <v>-1.2594458438287104E-2</v>
      </c>
      <c r="W298" s="41">
        <f>Rådatakommune[[#This Row],[Y11]]/Rådatakommune[[#This Row],[Folk20-64]]</f>
        <v>0.95167286245353155</v>
      </c>
    </row>
    <row r="299" spans="1:23" s="38" customFormat="1" ht="12.75">
      <c r="A299" s="42" t="s">
        <v>297</v>
      </c>
      <c r="B299" s="37">
        <v>16</v>
      </c>
      <c r="C299" s="38">
        <v>88</v>
      </c>
      <c r="D299" s="39" t="s">
        <v>436</v>
      </c>
      <c r="E299" s="43">
        <v>4</v>
      </c>
      <c r="F299" s="3">
        <v>4051</v>
      </c>
      <c r="G299" s="3">
        <v>4399</v>
      </c>
      <c r="H299" s="3">
        <v>2276</v>
      </c>
      <c r="I299" s="3">
        <v>704</v>
      </c>
      <c r="J299" s="3">
        <v>499</v>
      </c>
      <c r="K299" s="3">
        <v>2576</v>
      </c>
      <c r="L299" s="3">
        <v>1798</v>
      </c>
      <c r="M299" s="3">
        <v>2217</v>
      </c>
      <c r="N299" s="40">
        <v>685.51</v>
      </c>
      <c r="O299" s="40">
        <v>306900</v>
      </c>
      <c r="P299" s="38">
        <v>283.11354722999999</v>
      </c>
      <c r="Q299" s="38">
        <v>10</v>
      </c>
      <c r="R299" s="38">
        <f t="shared" si="4"/>
        <v>6.417120100363233</v>
      </c>
      <c r="S299" s="41">
        <f>Rådatakommune[[#This Row],[B12]]/Rådatakommune[[#This Row],[B02]]-1</f>
        <v>8.5904714885213451E-2</v>
      </c>
      <c r="T299" s="41">
        <f>Rådatakommune[[#This Row],[Kvinner20-39]]/Rådatakommune[[#This Row],[B12]]</f>
        <v>0.11343487156171857</v>
      </c>
      <c r="U299" s="41">
        <f>Rådatakommune[[#This Row],[Eldre67+]]/Rådatakommune[[#This Row],[B12]]</f>
        <v>0.16003637190270517</v>
      </c>
      <c r="V299" s="41">
        <f>Rådatakommune[[#This Row],[S11]]/Rådatakommune[[#This Row],[S01]]-1</f>
        <v>0.23303670745272531</v>
      </c>
      <c r="W299" s="41">
        <f>Rådatakommune[[#This Row],[Y11]]/Rådatakommune[[#This Row],[Folk20-64]]</f>
        <v>0.88354037267080743</v>
      </c>
    </row>
    <row r="300" spans="1:23" s="38" customFormat="1" ht="12.75">
      <c r="A300" s="42" t="s">
        <v>298</v>
      </c>
      <c r="B300" s="37">
        <v>16</v>
      </c>
      <c r="C300" s="38">
        <v>88</v>
      </c>
      <c r="D300" s="39" t="s">
        <v>436</v>
      </c>
      <c r="E300" s="43">
        <v>4</v>
      </c>
      <c r="F300" s="3">
        <v>4107</v>
      </c>
      <c r="G300" s="3">
        <v>4369</v>
      </c>
      <c r="H300" s="3">
        <v>2174</v>
      </c>
      <c r="I300" s="3">
        <v>701</v>
      </c>
      <c r="J300" s="3">
        <v>524</v>
      </c>
      <c r="K300" s="3">
        <v>2528</v>
      </c>
      <c r="L300" s="3">
        <v>2055</v>
      </c>
      <c r="M300" s="3">
        <v>2187</v>
      </c>
      <c r="N300" s="40">
        <v>241.24</v>
      </c>
      <c r="O300" s="40">
        <v>320500</v>
      </c>
      <c r="P300" s="38">
        <v>308.97379864100003</v>
      </c>
      <c r="Q300" s="38">
        <v>10</v>
      </c>
      <c r="R300" s="38">
        <f t="shared" si="4"/>
        <v>18.110595257834522</v>
      </c>
      <c r="S300" s="41">
        <f>Rådatakommune[[#This Row],[B12]]/Rådatakommune[[#This Row],[B02]]-1</f>
        <v>6.3793523252982709E-2</v>
      </c>
      <c r="T300" s="41">
        <f>Rådatakommune[[#This Row],[Kvinner20-39]]/Rådatakommune[[#This Row],[B12]]</f>
        <v>0.11993591210803388</v>
      </c>
      <c r="U300" s="41">
        <f>Rådatakommune[[#This Row],[Eldre67+]]/Rådatakommune[[#This Row],[B12]]</f>
        <v>0.16044861524376289</v>
      </c>
      <c r="V300" s="41">
        <f>Rådatakommune[[#This Row],[S11]]/Rådatakommune[[#This Row],[S01]]-1</f>
        <v>6.4233576642335866E-2</v>
      </c>
      <c r="W300" s="41">
        <f>Rådatakommune[[#This Row],[Y11]]/Rådatakommune[[#This Row],[Folk20-64]]</f>
        <v>0.85996835443037978</v>
      </c>
    </row>
    <row r="301" spans="1:23" s="38" customFormat="1" ht="12.75">
      <c r="A301" s="42" t="s">
        <v>299</v>
      </c>
      <c r="B301" s="37">
        <v>16</v>
      </c>
      <c r="C301" s="38">
        <v>89</v>
      </c>
      <c r="D301" s="39" t="s">
        <v>433</v>
      </c>
      <c r="E301" s="43" t="s">
        <v>435</v>
      </c>
      <c r="F301" s="3">
        <v>5085</v>
      </c>
      <c r="G301" s="3">
        <v>5119</v>
      </c>
      <c r="H301" s="3">
        <v>2560</v>
      </c>
      <c r="I301" s="3">
        <v>801</v>
      </c>
      <c r="J301" s="3">
        <v>555</v>
      </c>
      <c r="K301" s="3">
        <v>2899</v>
      </c>
      <c r="L301" s="3">
        <v>2320</v>
      </c>
      <c r="M301" s="3">
        <v>2438</v>
      </c>
      <c r="N301" s="40">
        <v>73.56</v>
      </c>
      <c r="O301" s="40">
        <v>320900</v>
      </c>
      <c r="P301" s="38">
        <v>173.98429202072001</v>
      </c>
      <c r="Q301" s="38">
        <v>10</v>
      </c>
      <c r="R301" s="38">
        <f t="shared" si="4"/>
        <v>69.589450788471993</v>
      </c>
      <c r="S301" s="41">
        <f>Rådatakommune[[#This Row],[B12]]/Rådatakommune[[#This Row],[B02]]-1</f>
        <v>6.6863323500492289E-3</v>
      </c>
      <c r="T301" s="41">
        <f>Rådatakommune[[#This Row],[Kvinner20-39]]/Rådatakommune[[#This Row],[B12]]</f>
        <v>0.10841961320570424</v>
      </c>
      <c r="U301" s="41">
        <f>Rådatakommune[[#This Row],[Eldre67+]]/Rådatakommune[[#This Row],[B12]]</f>
        <v>0.15647587419417855</v>
      </c>
      <c r="V301" s="41">
        <f>Rådatakommune[[#This Row],[S11]]/Rådatakommune[[#This Row],[S01]]-1</f>
        <v>5.086206896551726E-2</v>
      </c>
      <c r="W301" s="41">
        <f>Rådatakommune[[#This Row],[Y11]]/Rådatakommune[[#This Row],[Folk20-64]]</f>
        <v>0.8830631252155916</v>
      </c>
    </row>
    <row r="302" spans="1:23" s="38" customFormat="1" ht="12.75">
      <c r="A302" s="42" t="s">
        <v>300</v>
      </c>
      <c r="B302" s="37">
        <v>16</v>
      </c>
      <c r="C302" s="38">
        <v>93</v>
      </c>
      <c r="D302" s="39" t="s">
        <v>436</v>
      </c>
      <c r="E302" s="43" t="s">
        <v>435</v>
      </c>
      <c r="F302" s="3">
        <v>1807</v>
      </c>
      <c r="G302" s="3">
        <v>1715</v>
      </c>
      <c r="H302" s="3">
        <v>870</v>
      </c>
      <c r="I302" s="3">
        <v>339</v>
      </c>
      <c r="J302" s="3">
        <v>154</v>
      </c>
      <c r="K302" s="3">
        <v>913</v>
      </c>
      <c r="L302" s="3">
        <v>714</v>
      </c>
      <c r="M302" s="3">
        <v>684</v>
      </c>
      <c r="N302" s="40">
        <v>317.66000000000003</v>
      </c>
      <c r="O302" s="40">
        <v>287700</v>
      </c>
      <c r="P302" s="38">
        <v>215.07900993980002</v>
      </c>
      <c r="Q302" s="38">
        <v>5</v>
      </c>
      <c r="R302" s="38">
        <f t="shared" si="4"/>
        <v>5.3988541207580427</v>
      </c>
      <c r="S302" s="41">
        <f>Rådatakommune[[#This Row],[B12]]/Rådatakommune[[#This Row],[B02]]-1</f>
        <v>-5.0913115661317065E-2</v>
      </c>
      <c r="T302" s="41">
        <f>Rådatakommune[[#This Row],[Kvinner20-39]]/Rådatakommune[[#This Row],[B12]]</f>
        <v>8.9795918367346933E-2</v>
      </c>
      <c r="U302" s="41">
        <f>Rådatakommune[[#This Row],[Eldre67+]]/Rådatakommune[[#This Row],[B12]]</f>
        <v>0.19766763848396501</v>
      </c>
      <c r="V302" s="41">
        <f>Rådatakommune[[#This Row],[S11]]/Rådatakommune[[#This Row],[S01]]-1</f>
        <v>-4.2016806722689037E-2</v>
      </c>
      <c r="W302" s="41">
        <f>Rådatakommune[[#This Row],[Y11]]/Rådatakommune[[#This Row],[Folk20-64]]</f>
        <v>0.9529025191675794</v>
      </c>
    </row>
    <row r="303" spans="1:23" s="38" customFormat="1" ht="12.75">
      <c r="A303" s="42" t="s">
        <v>301</v>
      </c>
      <c r="B303" s="37">
        <v>16</v>
      </c>
      <c r="C303" s="38">
        <v>86</v>
      </c>
      <c r="D303" s="39" t="s">
        <v>433</v>
      </c>
      <c r="E303" s="43" t="s">
        <v>435</v>
      </c>
      <c r="F303" s="3">
        <v>6449</v>
      </c>
      <c r="G303" s="3">
        <v>6543</v>
      </c>
      <c r="H303" s="3">
        <v>3181</v>
      </c>
      <c r="I303" s="3">
        <v>1068</v>
      </c>
      <c r="J303" s="3">
        <v>686</v>
      </c>
      <c r="K303" s="3">
        <v>3612</v>
      </c>
      <c r="L303" s="3">
        <v>2972</v>
      </c>
      <c r="M303" s="3">
        <v>2829</v>
      </c>
      <c r="N303" s="40">
        <v>621.6099999999999</v>
      </c>
      <c r="O303" s="40">
        <v>304700</v>
      </c>
      <c r="P303" s="38">
        <v>231.0383793197</v>
      </c>
      <c r="Q303" s="38">
        <v>2</v>
      </c>
      <c r="R303" s="38">
        <f t="shared" si="4"/>
        <v>10.525892440597804</v>
      </c>
      <c r="S303" s="41">
        <f>Rådatakommune[[#This Row],[B12]]/Rådatakommune[[#This Row],[B02]]-1</f>
        <v>1.4575903240812593E-2</v>
      </c>
      <c r="T303" s="41">
        <f>Rådatakommune[[#This Row],[Kvinner20-39]]/Rådatakommune[[#This Row],[B12]]</f>
        <v>0.10484487238269907</v>
      </c>
      <c r="U303" s="41">
        <f>Rådatakommune[[#This Row],[Eldre67+]]/Rådatakommune[[#This Row],[B12]]</f>
        <v>0.1632278771205869</v>
      </c>
      <c r="V303" s="41">
        <f>Rådatakommune[[#This Row],[S11]]/Rådatakommune[[#This Row],[S01]]-1</f>
        <v>-4.8115746971736151E-2</v>
      </c>
      <c r="W303" s="41">
        <f>Rådatakommune[[#This Row],[Y11]]/Rådatakommune[[#This Row],[Folk20-64]]</f>
        <v>0.88067552602436328</v>
      </c>
    </row>
    <row r="304" spans="1:23" s="38" customFormat="1" ht="12.75">
      <c r="A304" s="42" t="s">
        <v>302</v>
      </c>
      <c r="B304" s="37">
        <v>16</v>
      </c>
      <c r="C304" s="38">
        <v>89</v>
      </c>
      <c r="D304" s="39" t="s">
        <v>436</v>
      </c>
      <c r="E304" s="43" t="s">
        <v>435</v>
      </c>
      <c r="F304" s="3">
        <v>4677</v>
      </c>
      <c r="G304" s="3">
        <v>4584</v>
      </c>
      <c r="H304" s="3">
        <v>2086</v>
      </c>
      <c r="I304" s="3">
        <v>831</v>
      </c>
      <c r="J304" s="3">
        <v>470</v>
      </c>
      <c r="K304" s="3">
        <v>2505</v>
      </c>
      <c r="L304" s="3">
        <v>1632</v>
      </c>
      <c r="M304" s="3">
        <v>1689</v>
      </c>
      <c r="N304" s="40">
        <v>383.79999999999995</v>
      </c>
      <c r="O304" s="40">
        <v>301800</v>
      </c>
      <c r="P304" s="38">
        <v>185.07008828549999</v>
      </c>
      <c r="Q304" s="38">
        <v>10</v>
      </c>
      <c r="R304" s="38">
        <f t="shared" si="4"/>
        <v>11.943720687858262</v>
      </c>
      <c r="S304" s="41">
        <f>Rådatakommune[[#This Row],[B12]]/Rådatakommune[[#This Row],[B02]]-1</f>
        <v>-1.9884541372674813E-2</v>
      </c>
      <c r="T304" s="41">
        <f>Rådatakommune[[#This Row],[Kvinner20-39]]/Rådatakommune[[#This Row],[B12]]</f>
        <v>0.10253054101221641</v>
      </c>
      <c r="U304" s="41">
        <f>Rådatakommune[[#This Row],[Eldre67+]]/Rådatakommune[[#This Row],[B12]]</f>
        <v>0.181282722513089</v>
      </c>
      <c r="V304" s="41">
        <f>Rådatakommune[[#This Row],[S11]]/Rådatakommune[[#This Row],[S01]]-1</f>
        <v>3.4926470588235281E-2</v>
      </c>
      <c r="W304" s="41">
        <f>Rådatakommune[[#This Row],[Y11]]/Rådatakommune[[#This Row],[Folk20-64]]</f>
        <v>0.83273453093812377</v>
      </c>
    </row>
    <row r="305" spans="1:23" s="38" customFormat="1" ht="12.75">
      <c r="A305" s="42" t="s">
        <v>303</v>
      </c>
      <c r="B305" s="37">
        <v>16</v>
      </c>
      <c r="C305" s="38">
        <v>90</v>
      </c>
      <c r="D305" s="39" t="s">
        <v>436</v>
      </c>
      <c r="E305" s="43">
        <v>4</v>
      </c>
      <c r="F305" s="3">
        <v>3362</v>
      </c>
      <c r="G305" s="3">
        <v>3257</v>
      </c>
      <c r="H305" s="3">
        <v>1635</v>
      </c>
      <c r="I305" s="3">
        <v>649</v>
      </c>
      <c r="J305" s="3">
        <v>296</v>
      </c>
      <c r="K305" s="3">
        <v>1749</v>
      </c>
      <c r="L305" s="3">
        <v>1513</v>
      </c>
      <c r="M305" s="3">
        <v>1540</v>
      </c>
      <c r="N305" s="40">
        <v>955.09</v>
      </c>
      <c r="O305" s="40">
        <v>297600</v>
      </c>
      <c r="P305" s="38">
        <v>219.4843449059</v>
      </c>
      <c r="Q305" s="38">
        <v>11</v>
      </c>
      <c r="R305" s="38">
        <f t="shared" si="4"/>
        <v>3.4101498288119445</v>
      </c>
      <c r="S305" s="41">
        <f>Rådatakommune[[#This Row],[B12]]/Rådatakommune[[#This Row],[B02]]-1</f>
        <v>-3.1231409875074334E-2</v>
      </c>
      <c r="T305" s="41">
        <f>Rådatakommune[[#This Row],[Kvinner20-39]]/Rådatakommune[[#This Row],[B12]]</f>
        <v>9.088117899907891E-2</v>
      </c>
      <c r="U305" s="41">
        <f>Rådatakommune[[#This Row],[Eldre67+]]/Rådatakommune[[#This Row],[B12]]</f>
        <v>0.19926312557568315</v>
      </c>
      <c r="V305" s="41">
        <f>Rådatakommune[[#This Row],[S11]]/Rådatakommune[[#This Row],[S01]]-1</f>
        <v>1.7845340383344288E-2</v>
      </c>
      <c r="W305" s="41">
        <f>Rådatakommune[[#This Row],[Y11]]/Rådatakommune[[#This Row],[Folk20-64]]</f>
        <v>0.934819897084048</v>
      </c>
    </row>
    <row r="306" spans="1:23" s="38" customFormat="1" ht="12.75">
      <c r="A306" s="42" t="s">
        <v>304</v>
      </c>
      <c r="B306" s="37">
        <v>16</v>
      </c>
      <c r="C306" s="38">
        <v>90</v>
      </c>
      <c r="D306" s="39" t="s">
        <v>436</v>
      </c>
      <c r="E306" s="43">
        <v>4</v>
      </c>
      <c r="F306" s="3">
        <v>1111</v>
      </c>
      <c r="G306" s="3">
        <v>987</v>
      </c>
      <c r="H306" s="3">
        <v>507</v>
      </c>
      <c r="I306" s="3">
        <v>215</v>
      </c>
      <c r="J306" s="3">
        <v>78</v>
      </c>
      <c r="K306" s="3">
        <v>530</v>
      </c>
      <c r="L306" s="3">
        <v>434</v>
      </c>
      <c r="M306" s="3">
        <v>442</v>
      </c>
      <c r="N306" s="40">
        <v>374.90999999999997</v>
      </c>
      <c r="O306" s="40">
        <v>295100</v>
      </c>
      <c r="P306" s="38">
        <v>266.5491178876</v>
      </c>
      <c r="Q306" s="38">
        <v>11</v>
      </c>
      <c r="R306" s="38">
        <f t="shared" si="4"/>
        <v>2.6326318316395936</v>
      </c>
      <c r="S306" s="41">
        <f>Rådatakommune[[#This Row],[B12]]/Rådatakommune[[#This Row],[B02]]-1</f>
        <v>-0.11161116111611158</v>
      </c>
      <c r="T306" s="41">
        <f>Rådatakommune[[#This Row],[Kvinner20-39]]/Rådatakommune[[#This Row],[B12]]</f>
        <v>7.9027355623100301E-2</v>
      </c>
      <c r="U306" s="41">
        <f>Rådatakommune[[#This Row],[Eldre67+]]/Rådatakommune[[#This Row],[B12]]</f>
        <v>0.21783181357649442</v>
      </c>
      <c r="V306" s="41">
        <f>Rådatakommune[[#This Row],[S11]]/Rådatakommune[[#This Row],[S01]]-1</f>
        <v>1.8433179723502224E-2</v>
      </c>
      <c r="W306" s="41">
        <f>Rådatakommune[[#This Row],[Y11]]/Rådatakommune[[#This Row],[Folk20-64]]</f>
        <v>0.95660377358490567</v>
      </c>
    </row>
    <row r="307" spans="1:23" s="38" customFormat="1" ht="12.75">
      <c r="A307" s="42" t="s">
        <v>305</v>
      </c>
      <c r="B307" s="37">
        <v>16</v>
      </c>
      <c r="C307" s="38">
        <v>91</v>
      </c>
      <c r="D307" s="39" t="s">
        <v>436</v>
      </c>
      <c r="E307" s="43">
        <v>4</v>
      </c>
      <c r="F307" s="3">
        <v>1152</v>
      </c>
      <c r="G307" s="3">
        <v>1020</v>
      </c>
      <c r="H307" s="3">
        <v>485</v>
      </c>
      <c r="I307" s="3">
        <v>227</v>
      </c>
      <c r="J307" s="3">
        <v>87</v>
      </c>
      <c r="K307" s="3">
        <v>525</v>
      </c>
      <c r="L307" s="3">
        <v>429</v>
      </c>
      <c r="M307" s="3">
        <v>402</v>
      </c>
      <c r="N307" s="40">
        <v>387.48</v>
      </c>
      <c r="O307" s="40">
        <v>302200</v>
      </c>
      <c r="P307" s="38">
        <v>267.2582173358</v>
      </c>
      <c r="Q307" s="38">
        <v>11</v>
      </c>
      <c r="R307" s="38">
        <f t="shared" si="4"/>
        <v>2.6323939300092909</v>
      </c>
      <c r="S307" s="41">
        <f>Rådatakommune[[#This Row],[B12]]/Rådatakommune[[#This Row],[B02]]-1</f>
        <v>-0.11458333333333337</v>
      </c>
      <c r="T307" s="41">
        <f>Rådatakommune[[#This Row],[Kvinner20-39]]/Rådatakommune[[#This Row],[B12]]</f>
        <v>8.5294117647058826E-2</v>
      </c>
      <c r="U307" s="41">
        <f>Rådatakommune[[#This Row],[Eldre67+]]/Rådatakommune[[#This Row],[B12]]</f>
        <v>0.22254901960784312</v>
      </c>
      <c r="V307" s="41">
        <f>Rådatakommune[[#This Row],[S11]]/Rådatakommune[[#This Row],[S01]]-1</f>
        <v>-6.2937062937062915E-2</v>
      </c>
      <c r="W307" s="41">
        <f>Rådatakommune[[#This Row],[Y11]]/Rådatakommune[[#This Row],[Folk20-64]]</f>
        <v>0.92380952380952386</v>
      </c>
    </row>
    <row r="308" spans="1:23" s="38" customFormat="1" ht="12.75">
      <c r="A308" s="42" t="s">
        <v>306</v>
      </c>
      <c r="B308" s="37">
        <v>16</v>
      </c>
      <c r="C308" s="38">
        <v>92</v>
      </c>
      <c r="D308" s="39" t="s">
        <v>436</v>
      </c>
      <c r="E308" s="43">
        <v>3</v>
      </c>
      <c r="F308" s="3">
        <v>6379</v>
      </c>
      <c r="G308" s="3">
        <v>6755</v>
      </c>
      <c r="H308" s="3">
        <v>3517</v>
      </c>
      <c r="I308" s="3">
        <v>1079</v>
      </c>
      <c r="J308" s="3">
        <v>746</v>
      </c>
      <c r="K308" s="3">
        <v>3801</v>
      </c>
      <c r="L308" s="3">
        <v>3089</v>
      </c>
      <c r="M308" s="3">
        <v>3250</v>
      </c>
      <c r="N308" s="40">
        <v>2274.11</v>
      </c>
      <c r="O308" s="40">
        <v>313000</v>
      </c>
      <c r="P308" s="38">
        <v>272.68556164899996</v>
      </c>
      <c r="Q308" s="38">
        <v>9</v>
      </c>
      <c r="R308" s="38">
        <f t="shared" si="4"/>
        <v>2.970392813012563</v>
      </c>
      <c r="S308" s="41">
        <f>Rådatakommune[[#This Row],[B12]]/Rådatakommune[[#This Row],[B02]]-1</f>
        <v>5.8943408057689384E-2</v>
      </c>
      <c r="T308" s="41">
        <f>Rådatakommune[[#This Row],[Kvinner20-39]]/Rådatakommune[[#This Row],[B12]]</f>
        <v>0.11043671354552184</v>
      </c>
      <c r="U308" s="41">
        <f>Rådatakommune[[#This Row],[Eldre67+]]/Rådatakommune[[#This Row],[B12]]</f>
        <v>0.15973353071798668</v>
      </c>
      <c r="V308" s="41">
        <f>Rådatakommune[[#This Row],[S11]]/Rådatakommune[[#This Row],[S01]]-1</f>
        <v>5.2120427322758234E-2</v>
      </c>
      <c r="W308" s="41">
        <f>Rådatakommune[[#This Row],[Y11]]/Rådatakommune[[#This Row],[Folk20-64]]</f>
        <v>0.92528282031044462</v>
      </c>
    </row>
    <row r="309" spans="1:23" s="38" customFormat="1" ht="12.75">
      <c r="A309" s="42" t="s">
        <v>307</v>
      </c>
      <c r="B309" s="37">
        <v>16</v>
      </c>
      <c r="C309" s="38">
        <v>92</v>
      </c>
      <c r="D309" s="39" t="s">
        <v>436</v>
      </c>
      <c r="E309" s="43">
        <v>3</v>
      </c>
      <c r="F309" s="3">
        <v>2675</v>
      </c>
      <c r="G309" s="3">
        <v>2569</v>
      </c>
      <c r="H309" s="3">
        <v>1316</v>
      </c>
      <c r="I309" s="3">
        <v>506</v>
      </c>
      <c r="J309" s="3">
        <v>226</v>
      </c>
      <c r="K309" s="3">
        <v>1381</v>
      </c>
      <c r="L309" s="3">
        <v>1174</v>
      </c>
      <c r="M309" s="3">
        <v>1136</v>
      </c>
      <c r="N309" s="40">
        <v>947.97</v>
      </c>
      <c r="O309" s="40">
        <v>286100</v>
      </c>
      <c r="P309" s="38">
        <v>245.5792706599</v>
      </c>
      <c r="Q309" s="38">
        <v>5</v>
      </c>
      <c r="R309" s="38">
        <f t="shared" si="4"/>
        <v>2.7100013713514142</v>
      </c>
      <c r="S309" s="41">
        <f>Rådatakommune[[#This Row],[B12]]/Rådatakommune[[#This Row],[B02]]-1</f>
        <v>-3.9626168224299096E-2</v>
      </c>
      <c r="T309" s="41">
        <f>Rådatakommune[[#This Row],[Kvinner20-39]]/Rådatakommune[[#This Row],[B12]]</f>
        <v>8.7971973530556635E-2</v>
      </c>
      <c r="U309" s="41">
        <f>Rådatakommune[[#This Row],[Eldre67+]]/Rådatakommune[[#This Row],[B12]]</f>
        <v>0.19696379914363565</v>
      </c>
      <c r="V309" s="41">
        <f>Rådatakommune[[#This Row],[S11]]/Rådatakommune[[#This Row],[S01]]-1</f>
        <v>-3.2367972742759821E-2</v>
      </c>
      <c r="W309" s="41">
        <f>Rådatakommune[[#This Row],[Y11]]/Rådatakommune[[#This Row],[Folk20-64]]</f>
        <v>0.95293265749456912</v>
      </c>
    </row>
    <row r="310" spans="1:23" s="38" customFormat="1" ht="12.75">
      <c r="A310" s="42" t="s">
        <v>308</v>
      </c>
      <c r="B310" s="37">
        <v>16</v>
      </c>
      <c r="C310" s="38">
        <v>93</v>
      </c>
      <c r="D310" s="39" t="s">
        <v>436</v>
      </c>
      <c r="E310" s="43" t="s">
        <v>435</v>
      </c>
      <c r="F310" s="3">
        <v>3995</v>
      </c>
      <c r="G310" s="3">
        <v>3924</v>
      </c>
      <c r="H310" s="3">
        <v>1881</v>
      </c>
      <c r="I310" s="3">
        <v>750</v>
      </c>
      <c r="J310" s="3">
        <v>387</v>
      </c>
      <c r="K310" s="3">
        <v>2192</v>
      </c>
      <c r="L310" s="3">
        <v>1427</v>
      </c>
      <c r="M310" s="3">
        <v>1466</v>
      </c>
      <c r="N310" s="40">
        <v>613.33999999999992</v>
      </c>
      <c r="O310" s="40">
        <v>302600</v>
      </c>
      <c r="P310" s="38">
        <v>238.71011909399999</v>
      </c>
      <c r="Q310" s="38">
        <v>5</v>
      </c>
      <c r="R310" s="38">
        <f t="shared" si="4"/>
        <v>6.3977565461244996</v>
      </c>
      <c r="S310" s="41">
        <f>Rådatakommune[[#This Row],[B12]]/Rådatakommune[[#This Row],[B02]]-1</f>
        <v>-1.7772215269086344E-2</v>
      </c>
      <c r="T310" s="41">
        <f>Rådatakommune[[#This Row],[Kvinner20-39]]/Rådatakommune[[#This Row],[B12]]</f>
        <v>9.862385321100918E-2</v>
      </c>
      <c r="U310" s="41">
        <f>Rådatakommune[[#This Row],[Eldre67+]]/Rådatakommune[[#This Row],[B12]]</f>
        <v>0.19113149847094801</v>
      </c>
      <c r="V310" s="41">
        <f>Rådatakommune[[#This Row],[S11]]/Rådatakommune[[#This Row],[S01]]-1</f>
        <v>2.7330063069376243E-2</v>
      </c>
      <c r="W310" s="41">
        <f>Rådatakommune[[#This Row],[Y11]]/Rådatakommune[[#This Row],[Folk20-64]]</f>
        <v>0.85812043795620441</v>
      </c>
    </row>
    <row r="311" spans="1:23" s="38" customFormat="1" ht="12.75">
      <c r="A311" s="42" t="s">
        <v>309</v>
      </c>
      <c r="B311" s="37">
        <v>16</v>
      </c>
      <c r="C311" s="38">
        <v>93</v>
      </c>
      <c r="D311" s="39" t="s">
        <v>434</v>
      </c>
      <c r="E311" s="43">
        <v>1</v>
      </c>
      <c r="F311" s="3">
        <v>10381</v>
      </c>
      <c r="G311" s="3">
        <v>11429</v>
      </c>
      <c r="H311" s="3">
        <v>5804</v>
      </c>
      <c r="I311" s="3">
        <v>1580</v>
      </c>
      <c r="J311" s="3">
        <v>1351</v>
      </c>
      <c r="K311" s="3">
        <v>6690</v>
      </c>
      <c r="L311" s="3">
        <v>5058</v>
      </c>
      <c r="M311" s="3">
        <v>5713</v>
      </c>
      <c r="N311" s="40">
        <v>594.3599999999999</v>
      </c>
      <c r="O311" s="40">
        <v>323400</v>
      </c>
      <c r="P311" s="38">
        <v>208.12658018320002</v>
      </c>
      <c r="Q311" s="38">
        <v>5</v>
      </c>
      <c r="R311" s="38">
        <f t="shared" si="4"/>
        <v>19.229086748771792</v>
      </c>
      <c r="S311" s="41">
        <f>Rådatakommune[[#This Row],[B12]]/Rådatakommune[[#This Row],[B02]]-1</f>
        <v>0.10095366535015904</v>
      </c>
      <c r="T311" s="41">
        <f>Rådatakommune[[#This Row],[Kvinner20-39]]/Rådatakommune[[#This Row],[B12]]</f>
        <v>0.11820806719748009</v>
      </c>
      <c r="U311" s="41">
        <f>Rådatakommune[[#This Row],[Eldre67+]]/Rådatakommune[[#This Row],[B12]]</f>
        <v>0.13824481581940679</v>
      </c>
      <c r="V311" s="41">
        <f>Rådatakommune[[#This Row],[S11]]/Rådatakommune[[#This Row],[S01]]-1</f>
        <v>0.12949782522736264</v>
      </c>
      <c r="W311" s="41">
        <f>Rådatakommune[[#This Row],[Y11]]/Rådatakommune[[#This Row],[Folk20-64]]</f>
        <v>0.86756352765321376</v>
      </c>
    </row>
    <row r="312" spans="1:23" s="38" customFormat="1" ht="12.75">
      <c r="A312" s="42" t="s">
        <v>310</v>
      </c>
      <c r="B312" s="37">
        <v>16</v>
      </c>
      <c r="C312" s="38">
        <v>94</v>
      </c>
      <c r="D312" s="39" t="s">
        <v>436</v>
      </c>
      <c r="E312" s="43">
        <v>3</v>
      </c>
      <c r="F312" s="3">
        <v>5597</v>
      </c>
      <c r="G312" s="3">
        <v>5604</v>
      </c>
      <c r="H312" s="3">
        <v>3010</v>
      </c>
      <c r="I312" s="3">
        <v>996</v>
      </c>
      <c r="J312" s="3">
        <v>602</v>
      </c>
      <c r="K312" s="3">
        <v>3166</v>
      </c>
      <c r="L312" s="3">
        <v>3126</v>
      </c>
      <c r="M312" s="3">
        <v>3386</v>
      </c>
      <c r="N312" s="40">
        <v>1956.46</v>
      </c>
      <c r="O312" s="40">
        <v>317000</v>
      </c>
      <c r="P312" s="38">
        <v>153.59273603817002</v>
      </c>
      <c r="Q312" s="38">
        <v>9</v>
      </c>
      <c r="R312" s="38">
        <f t="shared" si="4"/>
        <v>2.8643570530447851</v>
      </c>
      <c r="S312" s="41">
        <f>Rådatakommune[[#This Row],[B12]]/Rådatakommune[[#This Row],[B02]]-1</f>
        <v>1.2506700017866912E-3</v>
      </c>
      <c r="T312" s="41">
        <f>Rådatakommune[[#This Row],[Kvinner20-39]]/Rådatakommune[[#This Row],[B12]]</f>
        <v>0.10742326909350464</v>
      </c>
      <c r="U312" s="41">
        <f>Rådatakommune[[#This Row],[Eldre67+]]/Rådatakommune[[#This Row],[B12]]</f>
        <v>0.17773019271948609</v>
      </c>
      <c r="V312" s="41">
        <f>Rådatakommune[[#This Row],[S11]]/Rådatakommune[[#This Row],[S01]]-1</f>
        <v>8.3173384516954663E-2</v>
      </c>
      <c r="W312" s="41">
        <f>Rådatakommune[[#This Row],[Y11]]/Rådatakommune[[#This Row],[Folk20-64]]</f>
        <v>0.95072646873025901</v>
      </c>
    </row>
    <row r="313" spans="1:23" s="38" customFormat="1" ht="12.75">
      <c r="A313" s="42" t="s">
        <v>311</v>
      </c>
      <c r="B313" s="37">
        <v>16</v>
      </c>
      <c r="C313" s="38">
        <v>94</v>
      </c>
      <c r="D313" s="39" t="s">
        <v>436</v>
      </c>
      <c r="E313" s="43">
        <v>3</v>
      </c>
      <c r="F313" s="3">
        <v>2193</v>
      </c>
      <c r="G313" s="3">
        <v>2013</v>
      </c>
      <c r="H313" s="3">
        <v>1025</v>
      </c>
      <c r="I313" s="3">
        <v>433</v>
      </c>
      <c r="J313" s="3">
        <v>186</v>
      </c>
      <c r="K313" s="3">
        <v>1079</v>
      </c>
      <c r="L313" s="3">
        <v>807</v>
      </c>
      <c r="M313" s="3">
        <v>692</v>
      </c>
      <c r="N313" s="40">
        <v>1209.5</v>
      </c>
      <c r="O313" s="40">
        <v>296400</v>
      </c>
      <c r="P313" s="38">
        <v>178.62639368219999</v>
      </c>
      <c r="Q313" s="38">
        <v>9</v>
      </c>
      <c r="R313" s="38">
        <f t="shared" si="4"/>
        <v>1.6643241008681273</v>
      </c>
      <c r="S313" s="41">
        <f>Rådatakommune[[#This Row],[B12]]/Rådatakommune[[#This Row],[B02]]-1</f>
        <v>-8.2079343365253132E-2</v>
      </c>
      <c r="T313" s="41">
        <f>Rådatakommune[[#This Row],[Kvinner20-39]]/Rådatakommune[[#This Row],[B12]]</f>
        <v>9.2399403874813713E-2</v>
      </c>
      <c r="U313" s="41">
        <f>Rådatakommune[[#This Row],[Eldre67+]]/Rådatakommune[[#This Row],[B12]]</f>
        <v>0.21510183805265773</v>
      </c>
      <c r="V313" s="41">
        <f>Rådatakommune[[#This Row],[S11]]/Rådatakommune[[#This Row],[S01]]-1</f>
        <v>-0.14250309789343252</v>
      </c>
      <c r="W313" s="41">
        <f>Rådatakommune[[#This Row],[Y11]]/Rådatakommune[[#This Row],[Folk20-64]]</f>
        <v>0.94995366079703425</v>
      </c>
    </row>
    <row r="314" spans="1:23" s="38" customFormat="1" ht="12.75">
      <c r="A314" s="42" t="s">
        <v>312</v>
      </c>
      <c r="B314" s="37">
        <v>16</v>
      </c>
      <c r="C314" s="38">
        <v>86</v>
      </c>
      <c r="D314" s="39" t="s">
        <v>433</v>
      </c>
      <c r="E314" s="43" t="s">
        <v>435</v>
      </c>
      <c r="F314" s="3">
        <v>5819</v>
      </c>
      <c r="G314" s="3">
        <v>6153</v>
      </c>
      <c r="H314" s="3">
        <v>3303</v>
      </c>
      <c r="I314" s="3">
        <v>986</v>
      </c>
      <c r="J314" s="3">
        <v>717</v>
      </c>
      <c r="K314" s="3">
        <v>3530</v>
      </c>
      <c r="L314" s="3">
        <v>2588</v>
      </c>
      <c r="M314" s="3">
        <v>2929</v>
      </c>
      <c r="N314" s="40">
        <v>1860.51</v>
      </c>
      <c r="O314" s="40">
        <v>298200</v>
      </c>
      <c r="P314" s="38">
        <v>218.69589747340001</v>
      </c>
      <c r="Q314" s="38">
        <v>2</v>
      </c>
      <c r="R314" s="38">
        <f t="shared" si="4"/>
        <v>3.3071577148201299</v>
      </c>
      <c r="S314" s="41">
        <f>Rådatakommune[[#This Row],[B12]]/Rådatakommune[[#This Row],[B02]]-1</f>
        <v>5.7398178381165232E-2</v>
      </c>
      <c r="T314" s="41">
        <f>Rådatakommune[[#This Row],[Kvinner20-39]]/Rådatakommune[[#This Row],[B12]]</f>
        <v>0.11652852267186738</v>
      </c>
      <c r="U314" s="41">
        <f>Rådatakommune[[#This Row],[Eldre67+]]/Rådatakommune[[#This Row],[B12]]</f>
        <v>0.16024703396717049</v>
      </c>
      <c r="V314" s="41">
        <f>Rådatakommune[[#This Row],[S11]]/Rådatakommune[[#This Row],[S01]]-1</f>
        <v>0.13176197836166925</v>
      </c>
      <c r="W314" s="41">
        <f>Rådatakommune[[#This Row],[Y11]]/Rådatakommune[[#This Row],[Folk20-64]]</f>
        <v>0.93569405099150138</v>
      </c>
    </row>
    <row r="315" spans="1:23" s="38" customFormat="1" ht="12.75">
      <c r="A315" s="42" t="s">
        <v>313</v>
      </c>
      <c r="B315" s="37">
        <v>16</v>
      </c>
      <c r="C315" s="38">
        <v>86</v>
      </c>
      <c r="D315" s="39" t="s">
        <v>432</v>
      </c>
      <c r="E315" s="43">
        <v>1</v>
      </c>
      <c r="F315" s="3">
        <v>13425</v>
      </c>
      <c r="G315" s="3">
        <v>15392</v>
      </c>
      <c r="H315" s="3">
        <v>7910</v>
      </c>
      <c r="I315" s="3">
        <v>1928</v>
      </c>
      <c r="J315" s="3">
        <v>1912</v>
      </c>
      <c r="K315" s="3">
        <v>8848</v>
      </c>
      <c r="L315" s="3">
        <v>4043</v>
      </c>
      <c r="M315" s="3">
        <v>4667</v>
      </c>
      <c r="N315" s="40">
        <v>694.66</v>
      </c>
      <c r="O315" s="40">
        <v>327200</v>
      </c>
      <c r="P315" s="38">
        <v>192.3089549231</v>
      </c>
      <c r="Q315" s="38">
        <v>2</v>
      </c>
      <c r="R315" s="38">
        <f t="shared" si="4"/>
        <v>22.15760228025221</v>
      </c>
      <c r="S315" s="41">
        <f>Rådatakommune[[#This Row],[B12]]/Rådatakommune[[#This Row],[B02]]-1</f>
        <v>0.14651769087523281</v>
      </c>
      <c r="T315" s="41">
        <f>Rådatakommune[[#This Row],[Kvinner20-39]]/Rådatakommune[[#This Row],[B12]]</f>
        <v>0.12422037422037423</v>
      </c>
      <c r="U315" s="41">
        <f>Rådatakommune[[#This Row],[Eldre67+]]/Rådatakommune[[#This Row],[B12]]</f>
        <v>0.12525987525987525</v>
      </c>
      <c r="V315" s="41">
        <f>Rådatakommune[[#This Row],[S11]]/Rådatakommune[[#This Row],[S01]]-1</f>
        <v>0.15434083601286175</v>
      </c>
      <c r="W315" s="41">
        <f>Rådatakommune[[#This Row],[Y11]]/Rådatakommune[[#This Row],[Folk20-64]]</f>
        <v>0.89398734177215189</v>
      </c>
    </row>
    <row r="316" spans="1:23" s="38" customFormat="1" ht="12.75">
      <c r="A316" s="42" t="s">
        <v>314</v>
      </c>
      <c r="B316" s="37">
        <v>16</v>
      </c>
      <c r="C316" s="38">
        <v>86</v>
      </c>
      <c r="D316" s="39" t="s">
        <v>432</v>
      </c>
      <c r="E316" s="43">
        <v>1</v>
      </c>
      <c r="F316" s="3">
        <v>5922</v>
      </c>
      <c r="G316" s="3">
        <v>6941</v>
      </c>
      <c r="H316" s="3">
        <v>3569</v>
      </c>
      <c r="I316" s="3">
        <v>781</v>
      </c>
      <c r="J316" s="3">
        <v>906</v>
      </c>
      <c r="K316" s="3">
        <v>4017</v>
      </c>
      <c r="L316" s="3">
        <v>1200</v>
      </c>
      <c r="M316" s="3">
        <v>1360</v>
      </c>
      <c r="N316" s="40">
        <v>224.17000000000002</v>
      </c>
      <c r="O316" s="40">
        <v>332600</v>
      </c>
      <c r="P316" s="38">
        <v>198.54591583799998</v>
      </c>
      <c r="Q316" s="38">
        <v>2</v>
      </c>
      <c r="R316" s="38">
        <f t="shared" si="4"/>
        <v>30.96310835526609</v>
      </c>
      <c r="S316" s="41">
        <f>Rådatakommune[[#This Row],[B12]]/Rådatakommune[[#This Row],[B02]]-1</f>
        <v>0.17207024653833169</v>
      </c>
      <c r="T316" s="41">
        <f>Rådatakommune[[#This Row],[Kvinner20-39]]/Rådatakommune[[#This Row],[B12]]</f>
        <v>0.13052874225615904</v>
      </c>
      <c r="U316" s="41">
        <f>Rådatakommune[[#This Row],[Eldre67+]]/Rådatakommune[[#This Row],[B12]]</f>
        <v>0.11251980982567353</v>
      </c>
      <c r="V316" s="41">
        <f>Rådatakommune[[#This Row],[S11]]/Rådatakommune[[#This Row],[S01]]-1</f>
        <v>0.1333333333333333</v>
      </c>
      <c r="W316" s="41">
        <f>Rådatakommune[[#This Row],[Y11]]/Rådatakommune[[#This Row],[Folk20-64]]</f>
        <v>0.88847398556136425</v>
      </c>
    </row>
    <row r="317" spans="1:23" s="38" customFormat="1" ht="12.75">
      <c r="A317" s="42" t="s">
        <v>315</v>
      </c>
      <c r="B317" s="37">
        <v>16</v>
      </c>
      <c r="C317" s="38">
        <v>86</v>
      </c>
      <c r="D317" s="39" t="s">
        <v>432</v>
      </c>
      <c r="E317" s="43">
        <v>1</v>
      </c>
      <c r="F317" s="3">
        <v>5047</v>
      </c>
      <c r="G317" s="3">
        <v>5930</v>
      </c>
      <c r="H317" s="3">
        <v>3057</v>
      </c>
      <c r="I317" s="3">
        <v>548</v>
      </c>
      <c r="J317" s="3">
        <v>773</v>
      </c>
      <c r="K317" s="3">
        <v>3424</v>
      </c>
      <c r="L317" s="3">
        <v>1141</v>
      </c>
      <c r="M317" s="3">
        <v>1213</v>
      </c>
      <c r="N317" s="40">
        <v>186.36</v>
      </c>
      <c r="O317" s="40">
        <v>341100</v>
      </c>
      <c r="P317" s="38">
        <v>188.01275223900001</v>
      </c>
      <c r="Q317" s="38">
        <v>2</v>
      </c>
      <c r="R317" s="38">
        <f t="shared" si="4"/>
        <v>31.82013307576733</v>
      </c>
      <c r="S317" s="41">
        <f>Rådatakommune[[#This Row],[B12]]/Rådatakommune[[#This Row],[B02]]-1</f>
        <v>0.17495541906082823</v>
      </c>
      <c r="T317" s="41">
        <f>Rådatakommune[[#This Row],[Kvinner20-39]]/Rådatakommune[[#This Row],[B12]]</f>
        <v>0.13035413153456998</v>
      </c>
      <c r="U317" s="41">
        <f>Rådatakommune[[#This Row],[Eldre67+]]/Rådatakommune[[#This Row],[B12]]</f>
        <v>9.2411467116357504E-2</v>
      </c>
      <c r="V317" s="41">
        <f>Rådatakommune[[#This Row],[S11]]/Rådatakommune[[#This Row],[S01]]-1</f>
        <v>6.3102541630148945E-2</v>
      </c>
      <c r="W317" s="41">
        <f>Rådatakommune[[#This Row],[Y11]]/Rådatakommune[[#This Row],[Folk20-64]]</f>
        <v>0.8928154205607477</v>
      </c>
    </row>
    <row r="318" spans="1:23" s="38" customFormat="1" ht="12.75">
      <c r="A318" s="42" t="s">
        <v>316</v>
      </c>
      <c r="B318" s="37">
        <v>16</v>
      </c>
      <c r="C318" s="38">
        <v>86</v>
      </c>
      <c r="D318" s="39" t="s">
        <v>432</v>
      </c>
      <c r="E318" s="43">
        <v>1</v>
      </c>
      <c r="F318" s="3">
        <v>11472</v>
      </c>
      <c r="G318" s="3">
        <v>12785</v>
      </c>
      <c r="H318" s="3">
        <v>6541</v>
      </c>
      <c r="I318" s="3">
        <v>1270</v>
      </c>
      <c r="J318" s="3">
        <v>1530</v>
      </c>
      <c r="K318" s="3">
        <v>7474</v>
      </c>
      <c r="L318" s="3">
        <v>2458</v>
      </c>
      <c r="M318" s="3">
        <v>3229</v>
      </c>
      <c r="N318" s="40">
        <v>168.54</v>
      </c>
      <c r="O318" s="40">
        <v>367100</v>
      </c>
      <c r="P318" s="38">
        <v>162.96855958935001</v>
      </c>
      <c r="Q318" s="38">
        <v>2</v>
      </c>
      <c r="R318" s="38">
        <f t="shared" si="4"/>
        <v>75.857363237213718</v>
      </c>
      <c r="S318" s="41">
        <f>Rådatakommune[[#This Row],[B12]]/Rådatakommune[[#This Row],[B02]]-1</f>
        <v>0.11445258019525806</v>
      </c>
      <c r="T318" s="41">
        <f>Rådatakommune[[#This Row],[Kvinner20-39]]/Rådatakommune[[#This Row],[B12]]</f>
        <v>0.11967149002737583</v>
      </c>
      <c r="U318" s="41">
        <f>Rådatakommune[[#This Row],[Eldre67+]]/Rådatakommune[[#This Row],[B12]]</f>
        <v>9.9335158388736799E-2</v>
      </c>
      <c r="V318" s="41">
        <f>Rådatakommune[[#This Row],[S11]]/Rådatakommune[[#This Row],[S01]]-1</f>
        <v>0.31366965012205039</v>
      </c>
      <c r="W318" s="41">
        <f>Rådatakommune[[#This Row],[Y11]]/Rådatakommune[[#This Row],[Folk20-64]]</f>
        <v>0.87516724645437516</v>
      </c>
    </row>
    <row r="319" spans="1:23" s="38" customFormat="1" ht="12.75">
      <c r="A319" s="42" t="s">
        <v>317</v>
      </c>
      <c r="B319" s="37">
        <v>16</v>
      </c>
      <c r="C319" s="38">
        <v>86</v>
      </c>
      <c r="D319" s="39" t="s">
        <v>433</v>
      </c>
      <c r="E319" s="43" t="s">
        <v>435</v>
      </c>
      <c r="F319" s="3">
        <v>3961</v>
      </c>
      <c r="G319" s="3">
        <v>4042</v>
      </c>
      <c r="H319" s="3">
        <v>2087</v>
      </c>
      <c r="I319" s="3">
        <v>735</v>
      </c>
      <c r="J319" s="3">
        <v>413</v>
      </c>
      <c r="K319" s="3">
        <v>2238</v>
      </c>
      <c r="L319" s="3">
        <v>1600</v>
      </c>
      <c r="M319" s="3">
        <v>1702</v>
      </c>
      <c r="N319" s="40">
        <v>1234.8499999999999</v>
      </c>
      <c r="O319" s="40">
        <v>307700</v>
      </c>
      <c r="P319" s="38">
        <v>186.36396387899998</v>
      </c>
      <c r="Q319" s="38">
        <v>2</v>
      </c>
      <c r="R319" s="38">
        <f t="shared" si="4"/>
        <v>3.273272057334899</v>
      </c>
      <c r="S319" s="41">
        <f>Rådatakommune[[#This Row],[B12]]/Rådatakommune[[#This Row],[B02]]-1</f>
        <v>2.0449381469325845E-2</v>
      </c>
      <c r="T319" s="41">
        <f>Rådatakommune[[#This Row],[Kvinner20-39]]/Rådatakommune[[#This Row],[B12]]</f>
        <v>0.10217714002968828</v>
      </c>
      <c r="U319" s="41">
        <f>Rådatakommune[[#This Row],[Eldre67+]]/Rådatakommune[[#This Row],[B12]]</f>
        <v>0.18184067293419098</v>
      </c>
      <c r="V319" s="41">
        <f>Rådatakommune[[#This Row],[S11]]/Rådatakommune[[#This Row],[S01]]-1</f>
        <v>6.3749999999999973E-2</v>
      </c>
      <c r="W319" s="41">
        <f>Rådatakommune[[#This Row],[Y11]]/Rådatakommune[[#This Row],[Folk20-64]]</f>
        <v>0.9325290437890974</v>
      </c>
    </row>
    <row r="320" spans="1:23" s="38" customFormat="1" ht="12.75">
      <c r="A320" s="42" t="s">
        <v>318</v>
      </c>
      <c r="B320" s="37">
        <v>16</v>
      </c>
      <c r="C320" s="38">
        <v>95</v>
      </c>
      <c r="D320" s="39" t="s">
        <v>436</v>
      </c>
      <c r="E320" s="43">
        <v>3</v>
      </c>
      <c r="F320" s="3">
        <v>914</v>
      </c>
      <c r="G320" s="3">
        <v>870</v>
      </c>
      <c r="H320" s="3">
        <v>474</v>
      </c>
      <c r="I320" s="3">
        <v>193</v>
      </c>
      <c r="J320" s="3">
        <v>92</v>
      </c>
      <c r="K320" s="3">
        <v>477</v>
      </c>
      <c r="L320" s="3">
        <v>413</v>
      </c>
      <c r="M320" s="3">
        <v>406</v>
      </c>
      <c r="N320" s="40">
        <v>1329.21</v>
      </c>
      <c r="O320" s="40">
        <v>294700</v>
      </c>
      <c r="P320" s="38">
        <v>203.073546593</v>
      </c>
      <c r="Q320" s="38">
        <v>11</v>
      </c>
      <c r="R320" s="38">
        <f t="shared" si="4"/>
        <v>0.65452411582819869</v>
      </c>
      <c r="S320" s="41">
        <f>Rådatakommune[[#This Row],[B12]]/Rådatakommune[[#This Row],[B02]]-1</f>
        <v>-4.8140043763676199E-2</v>
      </c>
      <c r="T320" s="41">
        <f>Rådatakommune[[#This Row],[Kvinner20-39]]/Rådatakommune[[#This Row],[B12]]</f>
        <v>0.10574712643678161</v>
      </c>
      <c r="U320" s="41">
        <f>Rådatakommune[[#This Row],[Eldre67+]]/Rådatakommune[[#This Row],[B12]]</f>
        <v>0.2218390804597701</v>
      </c>
      <c r="V320" s="41">
        <f>Rådatakommune[[#This Row],[S11]]/Rådatakommune[[#This Row],[S01]]-1</f>
        <v>-1.6949152542372836E-2</v>
      </c>
      <c r="W320" s="41">
        <f>Rådatakommune[[#This Row],[Y11]]/Rådatakommune[[#This Row],[Folk20-64]]</f>
        <v>0.99371069182389937</v>
      </c>
    </row>
    <row r="321" spans="1:23" s="38" customFormat="1" ht="12.75">
      <c r="A321" s="42" t="s">
        <v>319</v>
      </c>
      <c r="B321" s="37">
        <v>17</v>
      </c>
      <c r="C321" s="38">
        <v>96</v>
      </c>
      <c r="D321" s="39" t="s">
        <v>433</v>
      </c>
      <c r="E321" s="43">
        <v>1</v>
      </c>
      <c r="F321" s="3">
        <v>20483</v>
      </c>
      <c r="G321" s="3">
        <v>21303</v>
      </c>
      <c r="H321" s="3">
        <v>10462</v>
      </c>
      <c r="I321" s="3">
        <v>3415</v>
      </c>
      <c r="J321" s="3">
        <v>2296</v>
      </c>
      <c r="K321" s="3">
        <v>12039</v>
      </c>
      <c r="L321" s="3">
        <v>9532</v>
      </c>
      <c r="M321" s="3">
        <v>10496</v>
      </c>
      <c r="N321" s="40">
        <v>1564.29</v>
      </c>
      <c r="O321" s="40">
        <v>312400</v>
      </c>
      <c r="P321" s="38">
        <v>225.75932197589998</v>
      </c>
      <c r="Q321" s="38">
        <v>6</v>
      </c>
      <c r="R321" s="38">
        <f t="shared" si="4"/>
        <v>13.618318853920949</v>
      </c>
      <c r="S321" s="41">
        <f>Rådatakommune[[#This Row],[B12]]/Rådatakommune[[#This Row],[B02]]-1</f>
        <v>4.0033198261973268E-2</v>
      </c>
      <c r="T321" s="41">
        <f>Rådatakommune[[#This Row],[Kvinner20-39]]/Rådatakommune[[#This Row],[B12]]</f>
        <v>0.10777824719523071</v>
      </c>
      <c r="U321" s="41">
        <f>Rådatakommune[[#This Row],[Eldre67+]]/Rådatakommune[[#This Row],[B12]]</f>
        <v>0.16030606017931748</v>
      </c>
      <c r="V321" s="41">
        <f>Rådatakommune[[#This Row],[S11]]/Rådatakommune[[#This Row],[S01]]-1</f>
        <v>0.10113302559798565</v>
      </c>
      <c r="W321" s="41">
        <f>Rådatakommune[[#This Row],[Y11]]/Rådatakommune[[#This Row],[Folk20-64]]</f>
        <v>0.86900905390813188</v>
      </c>
    </row>
    <row r="322" spans="1:23" s="38" customFormat="1" ht="12.75">
      <c r="A322" s="42" t="s">
        <v>320</v>
      </c>
      <c r="B322" s="37">
        <v>17</v>
      </c>
      <c r="C322" s="38">
        <v>97</v>
      </c>
      <c r="D322" s="39" t="s">
        <v>436</v>
      </c>
      <c r="E322" s="43">
        <v>4</v>
      </c>
      <c r="F322" s="3">
        <v>12352</v>
      </c>
      <c r="G322" s="3">
        <v>12953</v>
      </c>
      <c r="H322" s="3">
        <v>6493</v>
      </c>
      <c r="I322" s="3">
        <v>1773</v>
      </c>
      <c r="J322" s="3">
        <v>1585</v>
      </c>
      <c r="K322" s="3">
        <v>7310</v>
      </c>
      <c r="L322" s="3">
        <v>6134</v>
      </c>
      <c r="M322" s="3">
        <v>7035</v>
      </c>
      <c r="N322" s="40">
        <v>777.89</v>
      </c>
      <c r="O322" s="40">
        <v>324500</v>
      </c>
      <c r="P322" s="38">
        <v>214.90047083640002</v>
      </c>
      <c r="Q322" s="38">
        <v>6</v>
      </c>
      <c r="R322" s="38">
        <f t="shared" si="4"/>
        <v>16.651454575839772</v>
      </c>
      <c r="S322" s="41">
        <f>Rådatakommune[[#This Row],[B12]]/Rådatakommune[[#This Row],[B02]]-1</f>
        <v>4.865608808290145E-2</v>
      </c>
      <c r="T322" s="41">
        <f>Rådatakommune[[#This Row],[Kvinner20-39]]/Rådatakommune[[#This Row],[B12]]</f>
        <v>0.1223654751794951</v>
      </c>
      <c r="U322" s="41">
        <f>Rådatakommune[[#This Row],[Eldre67+]]/Rådatakommune[[#This Row],[B12]]</f>
        <v>0.13687948737744152</v>
      </c>
      <c r="V322" s="41">
        <f>Rådatakommune[[#This Row],[S11]]/Rådatakommune[[#This Row],[S01]]-1</f>
        <v>0.14688620802086727</v>
      </c>
      <c r="W322" s="41">
        <f>Rådatakommune[[#This Row],[Y11]]/Rådatakommune[[#This Row],[Folk20-64]]</f>
        <v>0.88823529411764701</v>
      </c>
    </row>
    <row r="323" spans="1:23" s="38" customFormat="1" ht="12.75">
      <c r="A323" s="42" t="s">
        <v>321</v>
      </c>
      <c r="B323" s="37">
        <v>17</v>
      </c>
      <c r="C323" s="38">
        <v>98</v>
      </c>
      <c r="D323" s="39" t="s">
        <v>436</v>
      </c>
      <c r="E323" s="43">
        <v>2</v>
      </c>
      <c r="F323" s="3">
        <v>2559</v>
      </c>
      <c r="G323" s="3">
        <v>2513</v>
      </c>
      <c r="H323" s="3">
        <v>1164</v>
      </c>
      <c r="I323" s="3">
        <v>465</v>
      </c>
      <c r="J323" s="3">
        <v>267</v>
      </c>
      <c r="K323" s="3">
        <v>1420</v>
      </c>
      <c r="L323" s="3">
        <v>1112</v>
      </c>
      <c r="M323" s="3">
        <v>967</v>
      </c>
      <c r="N323" s="40">
        <v>1273.4100000000001</v>
      </c>
      <c r="O323" s="40">
        <v>287700</v>
      </c>
      <c r="P323" s="38">
        <v>198.31502900409998</v>
      </c>
      <c r="Q323" s="38">
        <v>5</v>
      </c>
      <c r="R323" s="38">
        <f t="shared" ref="R323:R386" si="5">G323/N323</f>
        <v>1.9734413896545495</v>
      </c>
      <c r="S323" s="41">
        <f>Rådatakommune[[#This Row],[B12]]/Rådatakommune[[#This Row],[B02]]-1</f>
        <v>-1.7975771785853856E-2</v>
      </c>
      <c r="T323" s="41">
        <f>Rådatakommune[[#This Row],[Kvinner20-39]]/Rådatakommune[[#This Row],[B12]]</f>
        <v>0.1062475129327497</v>
      </c>
      <c r="U323" s="41">
        <f>Rådatakommune[[#This Row],[Eldre67+]]/Rådatakommune[[#This Row],[B12]]</f>
        <v>0.18503780342220455</v>
      </c>
      <c r="V323" s="41">
        <f>Rådatakommune[[#This Row],[S11]]/Rådatakommune[[#This Row],[S01]]-1</f>
        <v>-0.13039568345323738</v>
      </c>
      <c r="W323" s="41">
        <f>Rådatakommune[[#This Row],[Y11]]/Rådatakommune[[#This Row],[Folk20-64]]</f>
        <v>0.81971830985915495</v>
      </c>
    </row>
    <row r="324" spans="1:23" s="38" customFormat="1" ht="12.75">
      <c r="A324" s="42" t="s">
        <v>322</v>
      </c>
      <c r="B324" s="37">
        <v>17</v>
      </c>
      <c r="C324" s="38">
        <v>86</v>
      </c>
      <c r="D324" s="39" t="s">
        <v>432</v>
      </c>
      <c r="E324" s="43">
        <v>1</v>
      </c>
      <c r="F324" s="3">
        <v>18724</v>
      </c>
      <c r="G324" s="3">
        <v>22058</v>
      </c>
      <c r="H324" s="3">
        <v>11035</v>
      </c>
      <c r="I324" s="3">
        <v>2900</v>
      </c>
      <c r="J324" s="3">
        <v>2592</v>
      </c>
      <c r="K324" s="3">
        <v>12459</v>
      </c>
      <c r="L324" s="3">
        <v>8191</v>
      </c>
      <c r="M324" s="3">
        <v>10328</v>
      </c>
      <c r="N324" s="40">
        <v>938.05</v>
      </c>
      <c r="O324" s="40">
        <v>336000</v>
      </c>
      <c r="P324" s="38">
        <v>158.03299314513001</v>
      </c>
      <c r="Q324" s="38">
        <v>2</v>
      </c>
      <c r="R324" s="38">
        <f t="shared" si="5"/>
        <v>23.514738020361388</v>
      </c>
      <c r="S324" s="41">
        <f>Rådatakommune[[#This Row],[B12]]/Rådatakommune[[#This Row],[B02]]-1</f>
        <v>0.17806024353770566</v>
      </c>
      <c r="T324" s="41">
        <f>Rådatakommune[[#This Row],[Kvinner20-39]]/Rådatakommune[[#This Row],[B12]]</f>
        <v>0.11750838697978058</v>
      </c>
      <c r="U324" s="41">
        <f>Rådatakommune[[#This Row],[Eldre67+]]/Rådatakommune[[#This Row],[B12]]</f>
        <v>0.13147157493879771</v>
      </c>
      <c r="V324" s="41">
        <f>Rådatakommune[[#This Row],[S11]]/Rådatakommune[[#This Row],[S01]]-1</f>
        <v>0.26089610548162612</v>
      </c>
      <c r="W324" s="41">
        <f>Rådatakommune[[#This Row],[Y11]]/Rådatakommune[[#This Row],[Folk20-64]]</f>
        <v>0.88570511276988517</v>
      </c>
    </row>
    <row r="325" spans="1:23" s="38" customFormat="1" ht="12.75">
      <c r="A325" s="42" t="s">
        <v>323</v>
      </c>
      <c r="B325" s="37">
        <v>17</v>
      </c>
      <c r="C325" s="38">
        <v>99</v>
      </c>
      <c r="D325" s="39" t="s">
        <v>433</v>
      </c>
      <c r="E325" s="43" t="s">
        <v>435</v>
      </c>
      <c r="F325" s="3">
        <v>2445</v>
      </c>
      <c r="G325" s="3">
        <v>2618</v>
      </c>
      <c r="H325" s="3">
        <v>1242</v>
      </c>
      <c r="I325" s="3">
        <v>432</v>
      </c>
      <c r="J325" s="3">
        <v>286</v>
      </c>
      <c r="K325" s="3">
        <v>1422</v>
      </c>
      <c r="L325" s="3">
        <v>919</v>
      </c>
      <c r="M325" s="3">
        <v>896</v>
      </c>
      <c r="N325" s="40">
        <v>76.34</v>
      </c>
      <c r="O325" s="40">
        <v>293000</v>
      </c>
      <c r="P325" s="38">
        <v>190.60556382199999</v>
      </c>
      <c r="Q325" s="38">
        <v>5</v>
      </c>
      <c r="R325" s="38">
        <f t="shared" si="5"/>
        <v>34.293948126801148</v>
      </c>
      <c r="S325" s="41">
        <f>Rådatakommune[[#This Row],[B12]]/Rådatakommune[[#This Row],[B02]]-1</f>
        <v>7.0756646216769026E-2</v>
      </c>
      <c r="T325" s="41">
        <f>Rådatakommune[[#This Row],[Kvinner20-39]]/Rådatakommune[[#This Row],[B12]]</f>
        <v>0.1092436974789916</v>
      </c>
      <c r="U325" s="41">
        <f>Rådatakommune[[#This Row],[Eldre67+]]/Rådatakommune[[#This Row],[B12]]</f>
        <v>0.1650114591291062</v>
      </c>
      <c r="V325" s="41">
        <f>Rådatakommune[[#This Row],[S11]]/Rådatakommune[[#This Row],[S01]]-1</f>
        <v>-2.5027203482045679E-2</v>
      </c>
      <c r="W325" s="41">
        <f>Rådatakommune[[#This Row],[Y11]]/Rådatakommune[[#This Row],[Folk20-64]]</f>
        <v>0.87341772151898733</v>
      </c>
    </row>
    <row r="326" spans="1:23" s="38" customFormat="1" ht="12.75">
      <c r="A326" s="42" t="s">
        <v>324</v>
      </c>
      <c r="B326" s="37">
        <v>17</v>
      </c>
      <c r="C326" s="38">
        <v>86</v>
      </c>
      <c r="D326" s="39" t="s">
        <v>433</v>
      </c>
      <c r="E326" s="43" t="s">
        <v>435</v>
      </c>
      <c r="F326" s="3">
        <v>3532</v>
      </c>
      <c r="G326" s="3">
        <v>3527</v>
      </c>
      <c r="H326" s="3">
        <v>1735</v>
      </c>
      <c r="I326" s="3">
        <v>573</v>
      </c>
      <c r="J326" s="3">
        <v>398</v>
      </c>
      <c r="K326" s="3">
        <v>1942</v>
      </c>
      <c r="L326" s="3">
        <v>1564</v>
      </c>
      <c r="M326" s="3">
        <v>1468</v>
      </c>
      <c r="N326" s="40">
        <v>430.21000000000004</v>
      </c>
      <c r="O326" s="40">
        <v>299200</v>
      </c>
      <c r="P326" s="38">
        <v>238.41247688819999</v>
      </c>
      <c r="Q326" s="38">
        <v>2</v>
      </c>
      <c r="R326" s="38">
        <f t="shared" si="5"/>
        <v>8.1983217498430996</v>
      </c>
      <c r="S326" s="41">
        <f>Rådatakommune[[#This Row],[B12]]/Rådatakommune[[#This Row],[B02]]-1</f>
        <v>-1.4156285390714007E-3</v>
      </c>
      <c r="T326" s="41">
        <f>Rådatakommune[[#This Row],[Kvinner20-39]]/Rådatakommune[[#This Row],[B12]]</f>
        <v>0.11284377658066345</v>
      </c>
      <c r="U326" s="41">
        <f>Rådatakommune[[#This Row],[Eldre67+]]/Rådatakommune[[#This Row],[B12]]</f>
        <v>0.16246101502693508</v>
      </c>
      <c r="V326" s="41">
        <f>Rådatakommune[[#This Row],[S11]]/Rådatakommune[[#This Row],[S01]]-1</f>
        <v>-6.13810741687979E-2</v>
      </c>
      <c r="W326" s="41">
        <f>Rådatakommune[[#This Row],[Y11]]/Rådatakommune[[#This Row],[Folk20-64]]</f>
        <v>0.89340885684860971</v>
      </c>
    </row>
    <row r="327" spans="1:23" s="38" customFormat="1" ht="12.75">
      <c r="A327" s="42" t="s">
        <v>325</v>
      </c>
      <c r="B327" s="37">
        <v>17</v>
      </c>
      <c r="C327" s="38">
        <v>99</v>
      </c>
      <c r="D327" s="39" t="s">
        <v>434</v>
      </c>
      <c r="E327" s="43">
        <v>1</v>
      </c>
      <c r="F327" s="3">
        <v>17572</v>
      </c>
      <c r="G327" s="3">
        <v>18922</v>
      </c>
      <c r="H327" s="3">
        <v>9579</v>
      </c>
      <c r="I327" s="3">
        <v>2573</v>
      </c>
      <c r="J327" s="3">
        <v>2279</v>
      </c>
      <c r="K327" s="3">
        <v>10876</v>
      </c>
      <c r="L327" s="3">
        <v>8159</v>
      </c>
      <c r="M327" s="3">
        <v>9341</v>
      </c>
      <c r="N327" s="40">
        <v>645.48</v>
      </c>
      <c r="O327" s="40">
        <v>323100</v>
      </c>
      <c r="P327" s="38">
        <v>194.6274715525</v>
      </c>
      <c r="Q327" s="38">
        <v>5</v>
      </c>
      <c r="R327" s="38">
        <f t="shared" si="5"/>
        <v>29.314618578422259</v>
      </c>
      <c r="S327" s="41">
        <f>Rådatakommune[[#This Row],[B12]]/Rådatakommune[[#This Row],[B02]]-1</f>
        <v>7.6826769861142674E-2</v>
      </c>
      <c r="T327" s="41">
        <f>Rådatakommune[[#This Row],[Kvinner20-39]]/Rådatakommune[[#This Row],[B12]]</f>
        <v>0.1204418137617588</v>
      </c>
      <c r="U327" s="41">
        <f>Rådatakommune[[#This Row],[Eldre67+]]/Rådatakommune[[#This Row],[B12]]</f>
        <v>0.13597928337385054</v>
      </c>
      <c r="V327" s="41">
        <f>Rådatakommune[[#This Row],[S11]]/Rådatakommune[[#This Row],[S01]]-1</f>
        <v>0.14487069493810512</v>
      </c>
      <c r="W327" s="41">
        <f>Rådatakommune[[#This Row],[Y11]]/Rådatakommune[[#This Row],[Folk20-64]]</f>
        <v>0.8807465980139757</v>
      </c>
    </row>
    <row r="328" spans="1:23" s="38" customFormat="1" ht="12.75">
      <c r="A328" s="42" t="s">
        <v>326</v>
      </c>
      <c r="B328" s="37">
        <v>17</v>
      </c>
      <c r="C328" s="38">
        <v>99</v>
      </c>
      <c r="D328" s="39" t="s">
        <v>433</v>
      </c>
      <c r="E328" s="43">
        <v>1</v>
      </c>
      <c r="F328" s="3">
        <v>13665</v>
      </c>
      <c r="G328" s="3">
        <v>14387</v>
      </c>
      <c r="H328" s="3">
        <v>7064</v>
      </c>
      <c r="I328" s="3">
        <v>1939</v>
      </c>
      <c r="J328" s="3">
        <v>1678</v>
      </c>
      <c r="K328" s="3">
        <v>8262</v>
      </c>
      <c r="L328" s="3">
        <v>5701</v>
      </c>
      <c r="M328" s="3">
        <v>6525</v>
      </c>
      <c r="N328" s="40">
        <v>1547.73</v>
      </c>
      <c r="O328" s="40">
        <v>305700</v>
      </c>
      <c r="P328" s="38">
        <v>203.48505490790001</v>
      </c>
      <c r="Q328" s="38">
        <v>5</v>
      </c>
      <c r="R328" s="38">
        <f t="shared" si="5"/>
        <v>9.2955489652587975</v>
      </c>
      <c r="S328" s="41">
        <f>Rådatakommune[[#This Row],[B12]]/Rådatakommune[[#This Row],[B02]]-1</f>
        <v>5.2835711672155172E-2</v>
      </c>
      <c r="T328" s="41">
        <f>Rådatakommune[[#This Row],[Kvinner20-39]]/Rådatakommune[[#This Row],[B12]]</f>
        <v>0.11663307152290261</v>
      </c>
      <c r="U328" s="41">
        <f>Rådatakommune[[#This Row],[Eldre67+]]/Rådatakommune[[#This Row],[B12]]</f>
        <v>0.13477444915548759</v>
      </c>
      <c r="V328" s="41">
        <f>Rådatakommune[[#This Row],[S11]]/Rådatakommune[[#This Row],[S01]]-1</f>
        <v>0.14453604630766526</v>
      </c>
      <c r="W328" s="41">
        <f>Rådatakommune[[#This Row],[Y11]]/Rådatakommune[[#This Row],[Folk20-64]]</f>
        <v>0.85499878963931253</v>
      </c>
    </row>
    <row r="329" spans="1:23" s="38" customFormat="1" ht="12.75">
      <c r="A329" s="42" t="s">
        <v>327</v>
      </c>
      <c r="B329" s="37">
        <v>17</v>
      </c>
      <c r="C329" s="38">
        <v>96</v>
      </c>
      <c r="D329" s="39" t="s">
        <v>436</v>
      </c>
      <c r="E329" s="43">
        <v>2</v>
      </c>
      <c r="F329" s="3">
        <v>2663</v>
      </c>
      <c r="G329" s="3">
        <v>2705</v>
      </c>
      <c r="H329" s="3">
        <v>1207</v>
      </c>
      <c r="I329" s="3">
        <v>514</v>
      </c>
      <c r="J329" s="3">
        <v>231</v>
      </c>
      <c r="K329" s="3">
        <v>1577</v>
      </c>
      <c r="L329" s="3">
        <v>886</v>
      </c>
      <c r="M329" s="3">
        <v>1092</v>
      </c>
      <c r="N329" s="40">
        <v>601.55999999999995</v>
      </c>
      <c r="O329" s="40">
        <v>274700</v>
      </c>
      <c r="P329" s="38">
        <v>253.16932119419999</v>
      </c>
      <c r="Q329" s="38">
        <v>6</v>
      </c>
      <c r="R329" s="38">
        <f t="shared" si="5"/>
        <v>4.4966420639670197</v>
      </c>
      <c r="S329" s="41">
        <f>Rådatakommune[[#This Row],[B12]]/Rådatakommune[[#This Row],[B02]]-1</f>
        <v>1.5771686068343893E-2</v>
      </c>
      <c r="T329" s="41">
        <f>Rådatakommune[[#This Row],[Kvinner20-39]]/Rådatakommune[[#This Row],[B12]]</f>
        <v>8.5397412199630318E-2</v>
      </c>
      <c r="U329" s="41">
        <f>Rådatakommune[[#This Row],[Eldre67+]]/Rådatakommune[[#This Row],[B12]]</f>
        <v>0.19001848428835491</v>
      </c>
      <c r="V329" s="41">
        <f>Rådatakommune[[#This Row],[S11]]/Rådatakommune[[#This Row],[S01]]-1</f>
        <v>0.23250564334085788</v>
      </c>
      <c r="W329" s="41">
        <f>Rådatakommune[[#This Row],[Y11]]/Rådatakommune[[#This Row],[Folk20-64]]</f>
        <v>0.76537729866835769</v>
      </c>
    </row>
    <row r="330" spans="1:23" s="38" customFormat="1" ht="12.75">
      <c r="A330" s="42" t="s">
        <v>328</v>
      </c>
      <c r="B330" s="37">
        <v>17</v>
      </c>
      <c r="C330" s="38">
        <v>97</v>
      </c>
      <c r="D330" s="39" t="s">
        <v>436</v>
      </c>
      <c r="E330" s="43">
        <v>4</v>
      </c>
      <c r="F330" s="3">
        <v>1814</v>
      </c>
      <c r="G330" s="3">
        <v>1694</v>
      </c>
      <c r="H330" s="3">
        <v>852</v>
      </c>
      <c r="I330" s="3">
        <v>322</v>
      </c>
      <c r="J330" s="3">
        <v>159</v>
      </c>
      <c r="K330" s="3">
        <v>916</v>
      </c>
      <c r="L330" s="3">
        <v>737</v>
      </c>
      <c r="M330" s="3">
        <v>611</v>
      </c>
      <c r="N330" s="40">
        <v>769.93</v>
      </c>
      <c r="O330" s="40">
        <v>289900</v>
      </c>
      <c r="P330" s="38">
        <v>243.65759730939999</v>
      </c>
      <c r="Q330" s="38">
        <v>6</v>
      </c>
      <c r="R330" s="38">
        <f t="shared" si="5"/>
        <v>2.2002000181834713</v>
      </c>
      <c r="S330" s="41">
        <f>Rådatakommune[[#This Row],[B12]]/Rådatakommune[[#This Row],[B02]]-1</f>
        <v>-6.6152149944873173E-2</v>
      </c>
      <c r="T330" s="41">
        <f>Rådatakommune[[#This Row],[Kvinner20-39]]/Rådatakommune[[#This Row],[B12]]</f>
        <v>9.3860684769775674E-2</v>
      </c>
      <c r="U330" s="41">
        <f>Rådatakommune[[#This Row],[Eldre67+]]/Rådatakommune[[#This Row],[B12]]</f>
        <v>0.19008264462809918</v>
      </c>
      <c r="V330" s="41">
        <f>Rådatakommune[[#This Row],[S11]]/Rådatakommune[[#This Row],[S01]]-1</f>
        <v>-0.17096336499321574</v>
      </c>
      <c r="W330" s="41">
        <f>Rådatakommune[[#This Row],[Y11]]/Rådatakommune[[#This Row],[Folk20-64]]</f>
        <v>0.93013100436681218</v>
      </c>
    </row>
    <row r="331" spans="1:23" s="38" customFormat="1" ht="12.75">
      <c r="A331" s="42" t="s">
        <v>329</v>
      </c>
      <c r="B331" s="37">
        <v>17</v>
      </c>
      <c r="C331" s="38">
        <v>96</v>
      </c>
      <c r="D331" s="39" t="s">
        <v>436</v>
      </c>
      <c r="E331" s="43">
        <v>3</v>
      </c>
      <c r="F331" s="3">
        <v>2335</v>
      </c>
      <c r="G331" s="3">
        <v>2164</v>
      </c>
      <c r="H331" s="3">
        <v>1120</v>
      </c>
      <c r="I331" s="3">
        <v>417</v>
      </c>
      <c r="J331" s="3">
        <v>206</v>
      </c>
      <c r="K331" s="3">
        <v>1165</v>
      </c>
      <c r="L331" s="3">
        <v>901</v>
      </c>
      <c r="M331" s="3">
        <v>905</v>
      </c>
      <c r="N331" s="40">
        <v>2342.6600000000003</v>
      </c>
      <c r="O331" s="40">
        <v>292500</v>
      </c>
      <c r="P331" s="38">
        <v>268.61344268339997</v>
      </c>
      <c r="Q331" s="38">
        <v>6</v>
      </c>
      <c r="R331" s="38">
        <f t="shared" si="5"/>
        <v>0.92373626561259414</v>
      </c>
      <c r="S331" s="41">
        <f>Rådatakommune[[#This Row],[B12]]/Rådatakommune[[#This Row],[B02]]-1</f>
        <v>-7.3233404710920769E-2</v>
      </c>
      <c r="T331" s="41">
        <f>Rådatakommune[[#This Row],[Kvinner20-39]]/Rådatakommune[[#This Row],[B12]]</f>
        <v>9.519408502772643E-2</v>
      </c>
      <c r="U331" s="41">
        <f>Rådatakommune[[#This Row],[Eldre67+]]/Rådatakommune[[#This Row],[B12]]</f>
        <v>0.19269870609981515</v>
      </c>
      <c r="V331" s="41">
        <f>Rådatakommune[[#This Row],[S11]]/Rådatakommune[[#This Row],[S01]]-1</f>
        <v>4.4395116537181423E-3</v>
      </c>
      <c r="W331" s="41">
        <f>Rådatakommune[[#This Row],[Y11]]/Rådatakommune[[#This Row],[Folk20-64]]</f>
        <v>0.96137339055793991</v>
      </c>
    </row>
    <row r="332" spans="1:23" s="38" customFormat="1" ht="12.75">
      <c r="A332" s="42" t="s">
        <v>330</v>
      </c>
      <c r="B332" s="37">
        <v>17</v>
      </c>
      <c r="C332" s="38">
        <v>100</v>
      </c>
      <c r="D332" s="39" t="s">
        <v>436</v>
      </c>
      <c r="E332" s="43">
        <v>4</v>
      </c>
      <c r="F332" s="3">
        <v>1558</v>
      </c>
      <c r="G332" s="3">
        <v>1410</v>
      </c>
      <c r="H332" s="3">
        <v>746</v>
      </c>
      <c r="I332" s="3">
        <v>266</v>
      </c>
      <c r="J332" s="3">
        <v>139</v>
      </c>
      <c r="K332" s="3">
        <v>774</v>
      </c>
      <c r="L332" s="3">
        <v>641</v>
      </c>
      <c r="M332" s="3">
        <v>641</v>
      </c>
      <c r="N332" s="40">
        <v>2961.71</v>
      </c>
      <c r="O332" s="40">
        <v>297200</v>
      </c>
      <c r="P332" s="38">
        <v>304.97622563970003</v>
      </c>
      <c r="Q332" s="38">
        <v>11</v>
      </c>
      <c r="R332" s="38">
        <f t="shared" si="5"/>
        <v>0.47607632077414735</v>
      </c>
      <c r="S332" s="41">
        <f>Rådatakommune[[#This Row],[B12]]/Rådatakommune[[#This Row],[B02]]-1</f>
        <v>-9.499358151476256E-2</v>
      </c>
      <c r="T332" s="41">
        <f>Rådatakommune[[#This Row],[Kvinner20-39]]/Rådatakommune[[#This Row],[B12]]</f>
        <v>9.8581560283687947E-2</v>
      </c>
      <c r="U332" s="41">
        <f>Rådatakommune[[#This Row],[Eldre67+]]/Rådatakommune[[#This Row],[B12]]</f>
        <v>0.18865248226950354</v>
      </c>
      <c r="V332" s="41">
        <f>Rådatakommune[[#This Row],[S11]]/Rådatakommune[[#This Row],[S01]]-1</f>
        <v>0</v>
      </c>
      <c r="W332" s="41">
        <f>Rådatakommune[[#This Row],[Y11]]/Rådatakommune[[#This Row],[Folk20-64]]</f>
        <v>0.96382428940568476</v>
      </c>
    </row>
    <row r="333" spans="1:23" s="38" customFormat="1" ht="12.75">
      <c r="A333" s="42" t="s">
        <v>331</v>
      </c>
      <c r="B333" s="37">
        <v>17</v>
      </c>
      <c r="C333" s="38">
        <v>101</v>
      </c>
      <c r="D333" s="39" t="s">
        <v>436</v>
      </c>
      <c r="E333" s="43">
        <v>4</v>
      </c>
      <c r="F333" s="3">
        <v>563</v>
      </c>
      <c r="G333" s="3">
        <v>494</v>
      </c>
      <c r="H333" s="3">
        <v>265</v>
      </c>
      <c r="I333" s="3">
        <v>102</v>
      </c>
      <c r="J333" s="3">
        <v>48</v>
      </c>
      <c r="K333" s="3">
        <v>268</v>
      </c>
      <c r="L333" s="3">
        <v>232</v>
      </c>
      <c r="M333" s="3">
        <v>210</v>
      </c>
      <c r="N333" s="40">
        <v>1584.7600000000002</v>
      </c>
      <c r="O333" s="40">
        <v>300900</v>
      </c>
      <c r="P333" s="38">
        <v>317.791532485</v>
      </c>
      <c r="Q333" s="38">
        <v>11</v>
      </c>
      <c r="R333" s="38">
        <f t="shared" si="5"/>
        <v>0.31171912466240942</v>
      </c>
      <c r="S333" s="41">
        <f>Rådatakommune[[#This Row],[B12]]/Rådatakommune[[#This Row],[B02]]-1</f>
        <v>-0.12255772646536411</v>
      </c>
      <c r="T333" s="41">
        <f>Rådatakommune[[#This Row],[Kvinner20-39]]/Rådatakommune[[#This Row],[B12]]</f>
        <v>9.7165991902834009E-2</v>
      </c>
      <c r="U333" s="41">
        <f>Rådatakommune[[#This Row],[Eldre67+]]/Rådatakommune[[#This Row],[B12]]</f>
        <v>0.20647773279352227</v>
      </c>
      <c r="V333" s="41">
        <f>Rådatakommune[[#This Row],[S11]]/Rådatakommune[[#This Row],[S01]]-1</f>
        <v>-9.4827586206896575E-2</v>
      </c>
      <c r="W333" s="41">
        <f>Rådatakommune[[#This Row],[Y11]]/Rådatakommune[[#This Row],[Folk20-64]]</f>
        <v>0.98880597014925375</v>
      </c>
    </row>
    <row r="334" spans="1:23" s="38" customFormat="1" ht="12.75">
      <c r="A334" s="42" t="s">
        <v>332</v>
      </c>
      <c r="B334" s="37">
        <v>17</v>
      </c>
      <c r="C334" s="38">
        <v>102</v>
      </c>
      <c r="D334" s="39" t="s">
        <v>436</v>
      </c>
      <c r="E334" s="43">
        <v>4</v>
      </c>
      <c r="F334" s="3">
        <v>969</v>
      </c>
      <c r="G334" s="3">
        <v>916</v>
      </c>
      <c r="H334" s="3">
        <v>442</v>
      </c>
      <c r="I334" s="3">
        <v>202</v>
      </c>
      <c r="J334" s="3">
        <v>75</v>
      </c>
      <c r="K334" s="3">
        <v>464</v>
      </c>
      <c r="L334" s="3">
        <v>415</v>
      </c>
      <c r="M334" s="3">
        <v>400</v>
      </c>
      <c r="N334" s="40">
        <v>1417.16</v>
      </c>
      <c r="O334" s="40">
        <v>296800</v>
      </c>
      <c r="P334" s="38">
        <v>303.3758842766</v>
      </c>
      <c r="Q334" s="38">
        <v>11</v>
      </c>
      <c r="R334" s="38">
        <f t="shared" si="5"/>
        <v>0.64636314883287693</v>
      </c>
      <c r="S334" s="41">
        <f>Rådatakommune[[#This Row],[B12]]/Rådatakommune[[#This Row],[B02]]-1</f>
        <v>-5.4695562435500555E-2</v>
      </c>
      <c r="T334" s="41">
        <f>Rådatakommune[[#This Row],[Kvinner20-39]]/Rådatakommune[[#This Row],[B12]]</f>
        <v>8.1877729257641918E-2</v>
      </c>
      <c r="U334" s="41">
        <f>Rådatakommune[[#This Row],[Eldre67+]]/Rådatakommune[[#This Row],[B12]]</f>
        <v>0.2205240174672489</v>
      </c>
      <c r="V334" s="41">
        <f>Rådatakommune[[#This Row],[S11]]/Rådatakommune[[#This Row],[S01]]-1</f>
        <v>-3.6144578313253017E-2</v>
      </c>
      <c r="W334" s="41">
        <f>Rådatakommune[[#This Row],[Y11]]/Rådatakommune[[#This Row],[Folk20-64]]</f>
        <v>0.95258620689655171</v>
      </c>
    </row>
    <row r="335" spans="1:23" s="38" customFormat="1" ht="12.75">
      <c r="A335" s="42" t="s">
        <v>333</v>
      </c>
      <c r="B335" s="37">
        <v>17</v>
      </c>
      <c r="C335" s="38">
        <v>97</v>
      </c>
      <c r="D335" s="39" t="s">
        <v>436</v>
      </c>
      <c r="E335" s="43">
        <v>4</v>
      </c>
      <c r="F335" s="3">
        <v>2588</v>
      </c>
      <c r="G335" s="3">
        <v>2409</v>
      </c>
      <c r="H335" s="3">
        <v>1216</v>
      </c>
      <c r="I335" s="3">
        <v>454</v>
      </c>
      <c r="J335" s="3">
        <v>239</v>
      </c>
      <c r="K335" s="3">
        <v>1314</v>
      </c>
      <c r="L335" s="3">
        <v>1215</v>
      </c>
      <c r="M335" s="3">
        <v>1221</v>
      </c>
      <c r="N335" s="40">
        <v>1136.17</v>
      </c>
      <c r="O335" s="40">
        <v>303700</v>
      </c>
      <c r="P335" s="38">
        <v>247.30639267710001</v>
      </c>
      <c r="Q335" s="38">
        <v>6</v>
      </c>
      <c r="R335" s="38">
        <f t="shared" si="5"/>
        <v>2.120281295932827</v>
      </c>
      <c r="S335" s="41">
        <f>Rådatakommune[[#This Row],[B12]]/Rådatakommune[[#This Row],[B02]]-1</f>
        <v>-6.9165378670788202E-2</v>
      </c>
      <c r="T335" s="41">
        <f>Rådatakommune[[#This Row],[Kvinner20-39]]/Rådatakommune[[#This Row],[B12]]</f>
        <v>9.9211290992112913E-2</v>
      </c>
      <c r="U335" s="41">
        <f>Rådatakommune[[#This Row],[Eldre67+]]/Rådatakommune[[#This Row],[B12]]</f>
        <v>0.18845994188459941</v>
      </c>
      <c r="V335" s="41">
        <f>Rådatakommune[[#This Row],[S11]]/Rådatakommune[[#This Row],[S01]]-1</f>
        <v>4.9382716049382047E-3</v>
      </c>
      <c r="W335" s="41">
        <f>Rådatakommune[[#This Row],[Y11]]/Rådatakommune[[#This Row],[Folk20-64]]</f>
        <v>0.92541856925418564</v>
      </c>
    </row>
    <row r="336" spans="1:23" s="38" customFormat="1" ht="12.75">
      <c r="A336" s="42" t="s">
        <v>334</v>
      </c>
      <c r="B336" s="37">
        <v>17</v>
      </c>
      <c r="C336" s="38">
        <v>97</v>
      </c>
      <c r="D336" s="39" t="s">
        <v>436</v>
      </c>
      <c r="E336" s="43">
        <v>4</v>
      </c>
      <c r="F336" s="3">
        <v>1308</v>
      </c>
      <c r="G336" s="3">
        <v>1264</v>
      </c>
      <c r="H336" s="3">
        <v>658</v>
      </c>
      <c r="I336" s="3">
        <v>223</v>
      </c>
      <c r="J336" s="3">
        <v>121</v>
      </c>
      <c r="K336" s="3">
        <v>672</v>
      </c>
      <c r="L336" s="3">
        <v>512</v>
      </c>
      <c r="M336" s="3">
        <v>531</v>
      </c>
      <c r="N336" s="40">
        <v>754.3900000000001</v>
      </c>
      <c r="O336" s="40">
        <v>311900</v>
      </c>
      <c r="P336" s="38">
        <v>250.0222845996</v>
      </c>
      <c r="Q336" s="38">
        <v>6</v>
      </c>
      <c r="R336" s="38">
        <f t="shared" si="5"/>
        <v>1.6755259216055354</v>
      </c>
      <c r="S336" s="41">
        <f>Rådatakommune[[#This Row],[B12]]/Rådatakommune[[#This Row],[B02]]-1</f>
        <v>-3.3639143730886834E-2</v>
      </c>
      <c r="T336" s="41">
        <f>Rådatakommune[[#This Row],[Kvinner20-39]]/Rådatakommune[[#This Row],[B12]]</f>
        <v>9.5727848101265819E-2</v>
      </c>
      <c r="U336" s="41">
        <f>Rådatakommune[[#This Row],[Eldre67+]]/Rådatakommune[[#This Row],[B12]]</f>
        <v>0.17642405063291139</v>
      </c>
      <c r="V336" s="41">
        <f>Rådatakommune[[#This Row],[S11]]/Rådatakommune[[#This Row],[S01]]-1</f>
        <v>3.7109375E-2</v>
      </c>
      <c r="W336" s="41">
        <f>Rådatakommune[[#This Row],[Y11]]/Rådatakommune[[#This Row],[Folk20-64]]</f>
        <v>0.97916666666666663</v>
      </c>
    </row>
    <row r="337" spans="1:23" s="38" customFormat="1" ht="12.75">
      <c r="A337" s="42" t="s">
        <v>335</v>
      </c>
      <c r="B337" s="37">
        <v>17</v>
      </c>
      <c r="C337" s="38">
        <v>97</v>
      </c>
      <c r="D337" s="39" t="s">
        <v>436</v>
      </c>
      <c r="E337" s="43">
        <v>4</v>
      </c>
      <c r="F337" s="3">
        <v>3600</v>
      </c>
      <c r="G337" s="3">
        <v>3679</v>
      </c>
      <c r="H337" s="3">
        <v>1960</v>
      </c>
      <c r="I337" s="3">
        <v>542</v>
      </c>
      <c r="J337" s="3">
        <v>432</v>
      </c>
      <c r="K337" s="3">
        <v>2050</v>
      </c>
      <c r="L337" s="3">
        <v>1351</v>
      </c>
      <c r="M337" s="3">
        <v>1522</v>
      </c>
      <c r="N337" s="40">
        <v>729.79</v>
      </c>
      <c r="O337" s="40">
        <v>318500</v>
      </c>
      <c r="P337" s="38">
        <v>227.46589099229999</v>
      </c>
      <c r="Q337" s="38">
        <v>6</v>
      </c>
      <c r="R337" s="38">
        <f t="shared" si="5"/>
        <v>5.0411762287781423</v>
      </c>
      <c r="S337" s="41">
        <f>Rådatakommune[[#This Row],[B12]]/Rådatakommune[[#This Row],[B02]]-1</f>
        <v>2.1944444444444544E-2</v>
      </c>
      <c r="T337" s="41">
        <f>Rådatakommune[[#This Row],[Kvinner20-39]]/Rådatakommune[[#This Row],[B12]]</f>
        <v>0.11742321282957326</v>
      </c>
      <c r="U337" s="41">
        <f>Rådatakommune[[#This Row],[Eldre67+]]/Rådatakommune[[#This Row],[B12]]</f>
        <v>0.14732264202228867</v>
      </c>
      <c r="V337" s="41">
        <f>Rådatakommune[[#This Row],[S11]]/Rådatakommune[[#This Row],[S01]]-1</f>
        <v>0.12657290895632856</v>
      </c>
      <c r="W337" s="41">
        <f>Rådatakommune[[#This Row],[Y11]]/Rådatakommune[[#This Row],[Folk20-64]]</f>
        <v>0.95609756097560972</v>
      </c>
    </row>
    <row r="338" spans="1:23" s="38" customFormat="1" ht="12.75">
      <c r="A338" s="42" t="s">
        <v>336</v>
      </c>
      <c r="B338" s="37">
        <v>17</v>
      </c>
      <c r="C338" s="38">
        <v>97</v>
      </c>
      <c r="D338" s="39" t="s">
        <v>436</v>
      </c>
      <c r="E338" s="43">
        <v>4</v>
      </c>
      <c r="F338" s="3">
        <v>766</v>
      </c>
      <c r="G338" s="3">
        <v>668</v>
      </c>
      <c r="H338" s="3">
        <v>325</v>
      </c>
      <c r="I338" s="3">
        <v>131</v>
      </c>
      <c r="J338" s="3">
        <v>68</v>
      </c>
      <c r="K338" s="3">
        <v>374</v>
      </c>
      <c r="L338" s="3">
        <v>248</v>
      </c>
      <c r="M338" s="3">
        <v>234</v>
      </c>
      <c r="N338" s="40">
        <v>544.64</v>
      </c>
      <c r="O338" s="40">
        <v>273300</v>
      </c>
      <c r="P338" s="38">
        <v>250.8279621305</v>
      </c>
      <c r="Q338" s="38">
        <v>6</v>
      </c>
      <c r="R338" s="38">
        <f t="shared" si="5"/>
        <v>1.2264982373678026</v>
      </c>
      <c r="S338" s="41">
        <f>Rådatakommune[[#This Row],[B12]]/Rådatakommune[[#This Row],[B02]]-1</f>
        <v>-0.12793733681462138</v>
      </c>
      <c r="T338" s="41">
        <f>Rådatakommune[[#This Row],[Kvinner20-39]]/Rådatakommune[[#This Row],[B12]]</f>
        <v>0.10179640718562874</v>
      </c>
      <c r="U338" s="41">
        <f>Rådatakommune[[#This Row],[Eldre67+]]/Rådatakommune[[#This Row],[B12]]</f>
        <v>0.19610778443113772</v>
      </c>
      <c r="V338" s="41">
        <f>Rådatakommune[[#This Row],[S11]]/Rådatakommune[[#This Row],[S01]]-1</f>
        <v>-5.6451612903225756E-2</v>
      </c>
      <c r="W338" s="41">
        <f>Rådatakommune[[#This Row],[Y11]]/Rådatakommune[[#This Row],[Folk20-64]]</f>
        <v>0.86898395721925137</v>
      </c>
    </row>
    <row r="339" spans="1:23" s="38" customFormat="1" ht="12.75">
      <c r="A339" s="42" t="s">
        <v>337</v>
      </c>
      <c r="B339" s="37">
        <v>17</v>
      </c>
      <c r="C339" s="38">
        <v>103</v>
      </c>
      <c r="D339" s="39" t="s">
        <v>436</v>
      </c>
      <c r="E339" s="43">
        <v>4</v>
      </c>
      <c r="F339" s="3">
        <v>1254</v>
      </c>
      <c r="G339" s="3">
        <v>1141</v>
      </c>
      <c r="H339" s="3">
        <v>598</v>
      </c>
      <c r="I339" s="3">
        <v>216</v>
      </c>
      <c r="J339" s="3">
        <v>91</v>
      </c>
      <c r="K339" s="3">
        <v>615</v>
      </c>
      <c r="L339" s="3">
        <v>469</v>
      </c>
      <c r="M339" s="3">
        <v>513</v>
      </c>
      <c r="N339" s="40">
        <v>459.3</v>
      </c>
      <c r="O339" s="40">
        <v>279700</v>
      </c>
      <c r="P339" s="38">
        <v>266.4131057852</v>
      </c>
      <c r="Q339" s="38">
        <v>11</v>
      </c>
      <c r="R339" s="38">
        <f t="shared" si="5"/>
        <v>2.4842151099499237</v>
      </c>
      <c r="S339" s="41">
        <f>Rådatakommune[[#This Row],[B12]]/Rådatakommune[[#This Row],[B02]]-1</f>
        <v>-9.0111642743221698E-2</v>
      </c>
      <c r="T339" s="41">
        <f>Rådatakommune[[#This Row],[Kvinner20-39]]/Rådatakommune[[#This Row],[B12]]</f>
        <v>7.9754601226993863E-2</v>
      </c>
      <c r="U339" s="41">
        <f>Rådatakommune[[#This Row],[Eldre67+]]/Rådatakommune[[#This Row],[B12]]</f>
        <v>0.18930762489044697</v>
      </c>
      <c r="V339" s="41">
        <f>Rådatakommune[[#This Row],[S11]]/Rådatakommune[[#This Row],[S01]]-1</f>
        <v>9.3816631130063888E-2</v>
      </c>
      <c r="W339" s="41">
        <f>Rådatakommune[[#This Row],[Y11]]/Rådatakommune[[#This Row],[Folk20-64]]</f>
        <v>0.97235772357723582</v>
      </c>
    </row>
    <row r="340" spans="1:23" s="38" customFormat="1" ht="12.75">
      <c r="A340" s="42" t="s">
        <v>338</v>
      </c>
      <c r="B340" s="37">
        <v>17</v>
      </c>
      <c r="C340" s="38">
        <v>104</v>
      </c>
      <c r="D340" s="39" t="s">
        <v>436</v>
      </c>
      <c r="E340" s="43">
        <v>4</v>
      </c>
      <c r="F340" s="3">
        <v>3950</v>
      </c>
      <c r="G340" s="3">
        <v>4241</v>
      </c>
      <c r="H340" s="3">
        <v>2223</v>
      </c>
      <c r="I340" s="3">
        <v>602</v>
      </c>
      <c r="J340" s="3">
        <v>517</v>
      </c>
      <c r="K340" s="3">
        <v>2439</v>
      </c>
      <c r="L340" s="3">
        <v>2038</v>
      </c>
      <c r="M340" s="3">
        <v>2512</v>
      </c>
      <c r="N340" s="40">
        <v>318.09999999999997</v>
      </c>
      <c r="O340" s="40">
        <v>333000</v>
      </c>
      <c r="P340" s="38">
        <v>219.66315842007</v>
      </c>
      <c r="Q340" s="38">
        <v>9</v>
      </c>
      <c r="R340" s="38">
        <f t="shared" si="5"/>
        <v>13.332285444828672</v>
      </c>
      <c r="S340" s="41">
        <f>Rådatakommune[[#This Row],[B12]]/Rådatakommune[[#This Row],[B02]]-1</f>
        <v>7.3670886075949404E-2</v>
      </c>
      <c r="T340" s="41">
        <f>Rådatakommune[[#This Row],[Kvinner20-39]]/Rådatakommune[[#This Row],[B12]]</f>
        <v>0.12190521103513323</v>
      </c>
      <c r="U340" s="41">
        <f>Rådatakommune[[#This Row],[Eldre67+]]/Rådatakommune[[#This Row],[B12]]</f>
        <v>0.14194765385522282</v>
      </c>
      <c r="V340" s="41">
        <f>Rådatakommune[[#This Row],[S11]]/Rådatakommune[[#This Row],[S01]]-1</f>
        <v>0.23258096172718346</v>
      </c>
      <c r="W340" s="41">
        <f>Rådatakommune[[#This Row],[Y11]]/Rådatakommune[[#This Row],[Folk20-64]]</f>
        <v>0.91143911439114389</v>
      </c>
    </row>
    <row r="341" spans="1:23" s="38" customFormat="1" ht="12.75">
      <c r="A341" s="42" t="s">
        <v>339</v>
      </c>
      <c r="B341" s="37">
        <v>17</v>
      </c>
      <c r="C341" s="38">
        <v>104</v>
      </c>
      <c r="D341" s="39" t="s">
        <v>436</v>
      </c>
      <c r="E341" s="43">
        <v>4</v>
      </c>
      <c r="F341" s="3">
        <v>5297</v>
      </c>
      <c r="G341" s="3">
        <v>5069</v>
      </c>
      <c r="H341" s="3">
        <v>2508</v>
      </c>
      <c r="I341" s="3">
        <v>859</v>
      </c>
      <c r="J341" s="3">
        <v>491</v>
      </c>
      <c r="K341" s="3">
        <v>2800</v>
      </c>
      <c r="L341" s="3">
        <v>2056</v>
      </c>
      <c r="M341" s="3">
        <v>1928</v>
      </c>
      <c r="N341" s="40">
        <v>1066.73</v>
      </c>
      <c r="O341" s="40">
        <v>306800</v>
      </c>
      <c r="P341" s="38">
        <v>233.0825890966</v>
      </c>
      <c r="Q341" s="38">
        <v>9</v>
      </c>
      <c r="R341" s="38">
        <f t="shared" si="5"/>
        <v>4.7519053556195097</v>
      </c>
      <c r="S341" s="41">
        <f>Rådatakommune[[#This Row],[B12]]/Rådatakommune[[#This Row],[B02]]-1</f>
        <v>-4.3043232018123434E-2</v>
      </c>
      <c r="T341" s="41">
        <f>Rådatakommune[[#This Row],[Kvinner20-39]]/Rådatakommune[[#This Row],[B12]]</f>
        <v>9.6863286644308544E-2</v>
      </c>
      <c r="U341" s="41">
        <f>Rådatakommune[[#This Row],[Eldre67+]]/Rådatakommune[[#This Row],[B12]]</f>
        <v>0.16946143223515486</v>
      </c>
      <c r="V341" s="41">
        <f>Rådatakommune[[#This Row],[S11]]/Rådatakommune[[#This Row],[S01]]-1</f>
        <v>-6.2256809338521402E-2</v>
      </c>
      <c r="W341" s="41">
        <f>Rådatakommune[[#This Row],[Y11]]/Rådatakommune[[#This Row],[Folk20-64]]</f>
        <v>0.89571428571428569</v>
      </c>
    </row>
    <row r="342" spans="1:23" s="38" customFormat="1" ht="12.75">
      <c r="A342" s="42" t="s">
        <v>340</v>
      </c>
      <c r="B342" s="37">
        <v>17</v>
      </c>
      <c r="C342" s="38">
        <v>105</v>
      </c>
      <c r="D342" s="39" t="s">
        <v>436</v>
      </c>
      <c r="E342" s="43">
        <v>4</v>
      </c>
      <c r="F342" s="3">
        <v>684</v>
      </c>
      <c r="G342" s="3">
        <v>573</v>
      </c>
      <c r="H342" s="3">
        <v>296</v>
      </c>
      <c r="I342" s="3">
        <v>140</v>
      </c>
      <c r="J342" s="3">
        <v>50</v>
      </c>
      <c r="K342" s="3">
        <v>294</v>
      </c>
      <c r="L342" s="3">
        <v>257</v>
      </c>
      <c r="M342" s="3">
        <v>267</v>
      </c>
      <c r="N342" s="40">
        <v>109.48</v>
      </c>
      <c r="O342" s="40">
        <v>279500</v>
      </c>
      <c r="P342" s="38">
        <v>296.17561002799999</v>
      </c>
      <c r="Q342" s="38">
        <v>11</v>
      </c>
      <c r="R342" s="38">
        <f t="shared" si="5"/>
        <v>5.2338326635001824</v>
      </c>
      <c r="S342" s="41">
        <f>Rådatakommune[[#This Row],[B12]]/Rådatakommune[[#This Row],[B02]]-1</f>
        <v>-0.16228070175438591</v>
      </c>
      <c r="T342" s="41">
        <f>Rådatakommune[[#This Row],[Kvinner20-39]]/Rådatakommune[[#This Row],[B12]]</f>
        <v>8.7260034904013961E-2</v>
      </c>
      <c r="U342" s="41">
        <f>Rådatakommune[[#This Row],[Eldre67+]]/Rådatakommune[[#This Row],[B12]]</f>
        <v>0.24432809773123909</v>
      </c>
      <c r="V342" s="41">
        <f>Rådatakommune[[#This Row],[S11]]/Rådatakommune[[#This Row],[S01]]-1</f>
        <v>3.8910505836575959E-2</v>
      </c>
      <c r="W342" s="41">
        <f>Rådatakommune[[#This Row],[Y11]]/Rådatakommune[[#This Row],[Folk20-64]]</f>
        <v>1.0068027210884354</v>
      </c>
    </row>
    <row r="343" spans="1:23" s="38" customFormat="1" ht="12.75">
      <c r="A343" s="42" t="s">
        <v>341</v>
      </c>
      <c r="B343" s="37">
        <v>17</v>
      </c>
      <c r="C343" s="38">
        <v>96</v>
      </c>
      <c r="D343" s="39" t="s">
        <v>433</v>
      </c>
      <c r="E343" s="43">
        <v>1</v>
      </c>
      <c r="F343" s="3">
        <v>6776</v>
      </c>
      <c r="G343" s="3">
        <v>6685</v>
      </c>
      <c r="H343" s="3">
        <v>3353</v>
      </c>
      <c r="I343" s="3">
        <v>989</v>
      </c>
      <c r="J343" s="3">
        <v>675</v>
      </c>
      <c r="K343" s="3">
        <v>3738</v>
      </c>
      <c r="L343" s="3">
        <v>2135</v>
      </c>
      <c r="M343" s="3">
        <v>2272</v>
      </c>
      <c r="N343" s="40">
        <v>365.2</v>
      </c>
      <c r="O343" s="40">
        <v>313200</v>
      </c>
      <c r="P343" s="38">
        <v>214.90922345249999</v>
      </c>
      <c r="Q343" s="38">
        <v>6</v>
      </c>
      <c r="R343" s="38">
        <f t="shared" si="5"/>
        <v>18.305038335158816</v>
      </c>
      <c r="S343" s="41">
        <f>Rådatakommune[[#This Row],[B12]]/Rådatakommune[[#This Row],[B02]]-1</f>
        <v>-1.3429752066115741E-2</v>
      </c>
      <c r="T343" s="41">
        <f>Rådatakommune[[#This Row],[Kvinner20-39]]/Rådatakommune[[#This Row],[B12]]</f>
        <v>0.10097232610321616</v>
      </c>
      <c r="U343" s="41">
        <f>Rådatakommune[[#This Row],[Eldre67+]]/Rådatakommune[[#This Row],[B12]]</f>
        <v>0.14794315632011967</v>
      </c>
      <c r="V343" s="41">
        <f>Rådatakommune[[#This Row],[S11]]/Rådatakommune[[#This Row],[S01]]-1</f>
        <v>6.416861826697895E-2</v>
      </c>
      <c r="W343" s="41">
        <f>Rådatakommune[[#This Row],[Y11]]/Rådatakommune[[#This Row],[Folk20-64]]</f>
        <v>0.89700374531835203</v>
      </c>
    </row>
    <row r="344" spans="1:23" s="38" customFormat="1" ht="12.75">
      <c r="A344" s="42" t="s">
        <v>342</v>
      </c>
      <c r="B344" s="37">
        <v>18</v>
      </c>
      <c r="C344" s="38">
        <v>106</v>
      </c>
      <c r="D344" s="39" t="s">
        <v>433</v>
      </c>
      <c r="E344" s="37" t="s">
        <v>437</v>
      </c>
      <c r="F344" s="3">
        <v>42840</v>
      </c>
      <c r="G344" s="3">
        <v>48422</v>
      </c>
      <c r="H344" s="3">
        <v>26295</v>
      </c>
      <c r="I344" s="3">
        <v>5549</v>
      </c>
      <c r="J344" s="3">
        <v>6575</v>
      </c>
      <c r="K344" s="3">
        <v>29432</v>
      </c>
      <c r="L344" s="3">
        <v>23952</v>
      </c>
      <c r="M344" s="3">
        <v>27050</v>
      </c>
      <c r="N344" s="40">
        <v>1391.96</v>
      </c>
      <c r="O344" s="40">
        <v>357800</v>
      </c>
      <c r="P344" s="38">
        <v>192.87954273911998</v>
      </c>
      <c r="Q344" s="38">
        <v>4</v>
      </c>
      <c r="R344" s="38">
        <f t="shared" si="5"/>
        <v>34.7869191643438</v>
      </c>
      <c r="S344" s="41">
        <f>Rådatakommune[[#This Row],[B12]]/Rådatakommune[[#This Row],[B02]]-1</f>
        <v>0.1302987861811391</v>
      </c>
      <c r="T344" s="41">
        <f>Rådatakommune[[#This Row],[Kvinner20-39]]/Rådatakommune[[#This Row],[B12]]</f>
        <v>0.13578538680764943</v>
      </c>
      <c r="U344" s="41">
        <f>Rådatakommune[[#This Row],[Eldre67+]]/Rådatakommune[[#This Row],[B12]]</f>
        <v>0.11459667093469911</v>
      </c>
      <c r="V344" s="41">
        <f>Rådatakommune[[#This Row],[S11]]/Rådatakommune[[#This Row],[S01]]-1</f>
        <v>0.1293420173680695</v>
      </c>
      <c r="W344" s="41">
        <f>Rådatakommune[[#This Row],[Y11]]/Rådatakommune[[#This Row],[Folk20-64]]</f>
        <v>0.89341533025278608</v>
      </c>
    </row>
    <row r="345" spans="1:23" s="38" customFormat="1" ht="12.75">
      <c r="A345" s="42" t="s">
        <v>343</v>
      </c>
      <c r="B345" s="37">
        <v>18</v>
      </c>
      <c r="C345" s="38">
        <v>107</v>
      </c>
      <c r="D345" s="39" t="s">
        <v>436</v>
      </c>
      <c r="E345" s="37">
        <v>4</v>
      </c>
      <c r="F345" s="3">
        <v>18495</v>
      </c>
      <c r="G345" s="3">
        <v>18473</v>
      </c>
      <c r="H345" s="3">
        <v>9177</v>
      </c>
      <c r="I345" s="3">
        <v>2858</v>
      </c>
      <c r="J345" s="3">
        <v>2133</v>
      </c>
      <c r="K345" s="3">
        <v>10801</v>
      </c>
      <c r="L345" s="3">
        <v>8749</v>
      </c>
      <c r="M345" s="3">
        <v>9411</v>
      </c>
      <c r="N345" s="40">
        <v>2022.94</v>
      </c>
      <c r="O345" s="40">
        <v>337600</v>
      </c>
      <c r="P345" s="38">
        <v>256.59525666288999</v>
      </c>
      <c r="Q345" s="38">
        <v>5</v>
      </c>
      <c r="R345" s="38">
        <f t="shared" si="5"/>
        <v>9.1317587273967593</v>
      </c>
      <c r="S345" s="41">
        <f>Rådatakommune[[#This Row],[B12]]/Rådatakommune[[#This Row],[B02]]-1</f>
        <v>-1.1895106785617671E-3</v>
      </c>
      <c r="T345" s="41">
        <f>Rådatakommune[[#This Row],[Kvinner20-39]]/Rådatakommune[[#This Row],[B12]]</f>
        <v>0.11546581497320414</v>
      </c>
      <c r="U345" s="41">
        <f>Rådatakommune[[#This Row],[Eldre67+]]/Rådatakommune[[#This Row],[B12]]</f>
        <v>0.15471228279110052</v>
      </c>
      <c r="V345" s="41">
        <f>Rådatakommune[[#This Row],[S11]]/Rådatakommune[[#This Row],[S01]]-1</f>
        <v>7.566579037604293E-2</v>
      </c>
      <c r="W345" s="41">
        <f>Rådatakommune[[#This Row],[Y11]]/Rådatakommune[[#This Row],[Folk20-64]]</f>
        <v>0.84964355152300708</v>
      </c>
    </row>
    <row r="346" spans="1:23" s="38" customFormat="1" ht="12.75">
      <c r="A346" s="42" t="s">
        <v>344</v>
      </c>
      <c r="B346" s="37">
        <v>18</v>
      </c>
      <c r="C346" s="38">
        <v>108</v>
      </c>
      <c r="D346" s="39" t="s">
        <v>436</v>
      </c>
      <c r="E346" s="37">
        <v>4</v>
      </c>
      <c r="F346" s="3">
        <v>1867</v>
      </c>
      <c r="G346" s="3">
        <v>1562</v>
      </c>
      <c r="H346" s="3">
        <v>688</v>
      </c>
      <c r="I346" s="3">
        <v>329</v>
      </c>
      <c r="J346" s="3">
        <v>133</v>
      </c>
      <c r="K346" s="3">
        <v>841</v>
      </c>
      <c r="L346" s="3">
        <v>706</v>
      </c>
      <c r="M346" s="3">
        <v>535</v>
      </c>
      <c r="N346" s="40">
        <v>1264.48</v>
      </c>
      <c r="O346" s="40">
        <v>278400</v>
      </c>
      <c r="P346" s="38">
        <v>275.81586618590001</v>
      </c>
      <c r="Q346" s="38">
        <v>11</v>
      </c>
      <c r="R346" s="38">
        <f t="shared" si="5"/>
        <v>1.235290396052132</v>
      </c>
      <c r="S346" s="41">
        <f>Rådatakommune[[#This Row],[B12]]/Rådatakommune[[#This Row],[B02]]-1</f>
        <v>-0.16336368505623999</v>
      </c>
      <c r="T346" s="41">
        <f>Rådatakommune[[#This Row],[Kvinner20-39]]/Rådatakommune[[#This Row],[B12]]</f>
        <v>8.5147247119078104E-2</v>
      </c>
      <c r="U346" s="41">
        <f>Rådatakommune[[#This Row],[Eldre67+]]/Rådatakommune[[#This Row],[B12]]</f>
        <v>0.21062740076824585</v>
      </c>
      <c r="V346" s="41">
        <f>Rådatakommune[[#This Row],[S11]]/Rådatakommune[[#This Row],[S01]]-1</f>
        <v>-0.24220963172804533</v>
      </c>
      <c r="W346" s="41">
        <f>Rådatakommune[[#This Row],[Y11]]/Rådatakommune[[#This Row],[Folk20-64]]</f>
        <v>0.81807372175980975</v>
      </c>
    </row>
    <row r="347" spans="1:23" s="38" customFormat="1" ht="12.75">
      <c r="A347" s="42" t="s">
        <v>345</v>
      </c>
      <c r="B347" s="37">
        <v>18</v>
      </c>
      <c r="C347" s="38">
        <v>109</v>
      </c>
      <c r="D347" s="39" t="s">
        <v>436</v>
      </c>
      <c r="E347" s="37">
        <v>4</v>
      </c>
      <c r="F347" s="3">
        <v>2111</v>
      </c>
      <c r="G347" s="3">
        <v>2038</v>
      </c>
      <c r="H347" s="3">
        <v>1019</v>
      </c>
      <c r="I347" s="3">
        <v>342</v>
      </c>
      <c r="J347" s="3">
        <v>204</v>
      </c>
      <c r="K347" s="3">
        <v>1118</v>
      </c>
      <c r="L347" s="3">
        <v>802</v>
      </c>
      <c r="M347" s="3">
        <v>885</v>
      </c>
      <c r="N347" s="40">
        <v>194.62</v>
      </c>
      <c r="O347" s="40">
        <v>296800</v>
      </c>
      <c r="P347" s="38">
        <v>229.63464325800001</v>
      </c>
      <c r="Q347" s="38">
        <v>7</v>
      </c>
      <c r="R347" s="38">
        <f t="shared" si="5"/>
        <v>10.471688418456479</v>
      </c>
      <c r="S347" s="41">
        <f>Rådatakommune[[#This Row],[B12]]/Rådatakommune[[#This Row],[B02]]-1</f>
        <v>-3.4580767408810997E-2</v>
      </c>
      <c r="T347" s="41">
        <f>Rådatakommune[[#This Row],[Kvinner20-39]]/Rådatakommune[[#This Row],[B12]]</f>
        <v>0.10009813542688911</v>
      </c>
      <c r="U347" s="41">
        <f>Rådatakommune[[#This Row],[Eldre67+]]/Rådatakommune[[#This Row],[B12]]</f>
        <v>0.16781157998037291</v>
      </c>
      <c r="V347" s="41">
        <f>Rådatakommune[[#This Row],[S11]]/Rådatakommune[[#This Row],[S01]]-1</f>
        <v>0.10349127182044882</v>
      </c>
      <c r="W347" s="41">
        <f>Rådatakommune[[#This Row],[Y11]]/Rådatakommune[[#This Row],[Folk20-64]]</f>
        <v>0.91144901610017892</v>
      </c>
    </row>
    <row r="348" spans="1:23" s="38" customFormat="1" ht="12.75">
      <c r="A348" s="42" t="s">
        <v>346</v>
      </c>
      <c r="B348" s="37">
        <v>18</v>
      </c>
      <c r="C348" s="38">
        <v>109</v>
      </c>
      <c r="D348" s="39" t="s">
        <v>436</v>
      </c>
      <c r="E348" s="37">
        <v>4</v>
      </c>
      <c r="F348" s="3">
        <v>7532</v>
      </c>
      <c r="G348" s="3">
        <v>7778</v>
      </c>
      <c r="H348" s="3">
        <v>3883</v>
      </c>
      <c r="I348" s="3">
        <v>1084</v>
      </c>
      <c r="J348" s="3">
        <v>880</v>
      </c>
      <c r="K348" s="3">
        <v>4416</v>
      </c>
      <c r="L348" s="3">
        <v>3319</v>
      </c>
      <c r="M348" s="3">
        <v>3811</v>
      </c>
      <c r="N348" s="40">
        <v>1046.5900000000001</v>
      </c>
      <c r="O348" s="40">
        <v>319600</v>
      </c>
      <c r="P348" s="38">
        <v>196.32096432962999</v>
      </c>
      <c r="Q348" s="38">
        <v>7</v>
      </c>
      <c r="R348" s="38">
        <f t="shared" si="5"/>
        <v>7.4317545552699711</v>
      </c>
      <c r="S348" s="41">
        <f>Rådatakommune[[#This Row],[B12]]/Rådatakommune[[#This Row],[B02]]-1</f>
        <v>3.2660647902283513E-2</v>
      </c>
      <c r="T348" s="41">
        <f>Rådatakommune[[#This Row],[Kvinner20-39]]/Rådatakommune[[#This Row],[B12]]</f>
        <v>0.11313962458215479</v>
      </c>
      <c r="U348" s="41">
        <f>Rådatakommune[[#This Row],[Eldre67+]]/Rådatakommune[[#This Row],[B12]]</f>
        <v>0.13936744664438158</v>
      </c>
      <c r="V348" s="41">
        <f>Rådatakommune[[#This Row],[S11]]/Rådatakommune[[#This Row],[S01]]-1</f>
        <v>0.14823742090991265</v>
      </c>
      <c r="W348" s="41">
        <f>Rådatakommune[[#This Row],[Y11]]/Rådatakommune[[#This Row],[Folk20-64]]</f>
        <v>0.87930253623188404</v>
      </c>
    </row>
    <row r="349" spans="1:23" s="38" customFormat="1" ht="12.75">
      <c r="A349" s="42" t="s">
        <v>347</v>
      </c>
      <c r="B349" s="37">
        <v>18</v>
      </c>
      <c r="C349" s="38">
        <v>109</v>
      </c>
      <c r="D349" s="39" t="s">
        <v>436</v>
      </c>
      <c r="E349" s="37">
        <v>4</v>
      </c>
      <c r="F349" s="3">
        <v>1392</v>
      </c>
      <c r="G349" s="3">
        <v>1256</v>
      </c>
      <c r="H349" s="3">
        <v>634</v>
      </c>
      <c r="I349" s="3">
        <v>226</v>
      </c>
      <c r="J349" s="3">
        <v>115</v>
      </c>
      <c r="K349" s="3">
        <v>685</v>
      </c>
      <c r="L349" s="3">
        <v>484</v>
      </c>
      <c r="M349" s="3">
        <v>516</v>
      </c>
      <c r="N349" s="40">
        <v>163.33000000000001</v>
      </c>
      <c r="O349" s="40">
        <v>300000</v>
      </c>
      <c r="P349" s="38">
        <v>272.6458556522</v>
      </c>
      <c r="Q349" s="38">
        <v>9</v>
      </c>
      <c r="R349" s="38">
        <f t="shared" si="5"/>
        <v>7.6899528561807378</v>
      </c>
      <c r="S349" s="41">
        <f>Rådatakommune[[#This Row],[B12]]/Rådatakommune[[#This Row],[B02]]-1</f>
        <v>-9.7701149425287404E-2</v>
      </c>
      <c r="T349" s="41">
        <f>Rådatakommune[[#This Row],[Kvinner20-39]]/Rådatakommune[[#This Row],[B12]]</f>
        <v>9.1560509554140121E-2</v>
      </c>
      <c r="U349" s="41">
        <f>Rådatakommune[[#This Row],[Eldre67+]]/Rådatakommune[[#This Row],[B12]]</f>
        <v>0.17993630573248406</v>
      </c>
      <c r="V349" s="41">
        <f>Rådatakommune[[#This Row],[S11]]/Rådatakommune[[#This Row],[S01]]-1</f>
        <v>6.6115702479338845E-2</v>
      </c>
      <c r="W349" s="41">
        <f>Rådatakommune[[#This Row],[Y11]]/Rådatakommune[[#This Row],[Folk20-64]]</f>
        <v>0.9255474452554745</v>
      </c>
    </row>
    <row r="350" spans="1:23" s="38" customFormat="1" ht="12.75">
      <c r="A350" s="42" t="s">
        <v>348</v>
      </c>
      <c r="B350" s="37">
        <v>18</v>
      </c>
      <c r="C350" s="38">
        <v>109</v>
      </c>
      <c r="D350" s="39" t="s">
        <v>436</v>
      </c>
      <c r="E350" s="37">
        <v>4</v>
      </c>
      <c r="F350" s="3">
        <v>557</v>
      </c>
      <c r="G350" s="3">
        <v>511</v>
      </c>
      <c r="H350" s="3">
        <v>261</v>
      </c>
      <c r="I350" s="3">
        <v>85</v>
      </c>
      <c r="J350" s="3">
        <v>56</v>
      </c>
      <c r="K350" s="3">
        <v>293</v>
      </c>
      <c r="L350" s="3">
        <v>218</v>
      </c>
      <c r="M350" s="3">
        <v>196</v>
      </c>
      <c r="N350" s="40">
        <v>538.83000000000004</v>
      </c>
      <c r="O350" s="40">
        <v>297400</v>
      </c>
      <c r="P350" s="38">
        <v>242.3409988976</v>
      </c>
      <c r="Q350" s="38">
        <v>7</v>
      </c>
      <c r="R350" s="38">
        <f t="shared" si="5"/>
        <v>0.94835105691962207</v>
      </c>
      <c r="S350" s="41">
        <f>Rådatakommune[[#This Row],[B12]]/Rådatakommune[[#This Row],[B02]]-1</f>
        <v>-8.25852782764811E-2</v>
      </c>
      <c r="T350" s="41">
        <f>Rådatakommune[[#This Row],[Kvinner20-39]]/Rådatakommune[[#This Row],[B12]]</f>
        <v>0.1095890410958904</v>
      </c>
      <c r="U350" s="41">
        <f>Rådatakommune[[#This Row],[Eldre67+]]/Rådatakommune[[#This Row],[B12]]</f>
        <v>0.16634050880626222</v>
      </c>
      <c r="V350" s="41">
        <f>Rådatakommune[[#This Row],[S11]]/Rådatakommune[[#This Row],[S01]]-1</f>
        <v>-0.1009174311926605</v>
      </c>
      <c r="W350" s="41">
        <f>Rådatakommune[[#This Row],[Y11]]/Rådatakommune[[#This Row],[Folk20-64]]</f>
        <v>0.89078498293515362</v>
      </c>
    </row>
    <row r="351" spans="1:23" s="38" customFormat="1" ht="12.75">
      <c r="A351" s="42" t="s">
        <v>349</v>
      </c>
      <c r="B351" s="37">
        <v>18</v>
      </c>
      <c r="C351" s="38">
        <v>110</v>
      </c>
      <c r="D351" s="39" t="s">
        <v>436</v>
      </c>
      <c r="E351" s="37">
        <v>4</v>
      </c>
      <c r="F351" s="3">
        <v>1835</v>
      </c>
      <c r="G351" s="3">
        <v>1711</v>
      </c>
      <c r="H351" s="3">
        <v>842</v>
      </c>
      <c r="I351" s="3">
        <v>304</v>
      </c>
      <c r="J351" s="3">
        <v>186</v>
      </c>
      <c r="K351" s="3">
        <v>981</v>
      </c>
      <c r="L351" s="3">
        <v>886</v>
      </c>
      <c r="M351" s="3">
        <v>835</v>
      </c>
      <c r="N351" s="40">
        <v>64.84</v>
      </c>
      <c r="O351" s="40">
        <v>306400</v>
      </c>
      <c r="P351" s="38">
        <v>270.98604873260001</v>
      </c>
      <c r="Q351" s="38">
        <v>9</v>
      </c>
      <c r="R351" s="38">
        <f t="shared" si="5"/>
        <v>26.388032078963601</v>
      </c>
      <c r="S351" s="41">
        <f>Rådatakommune[[#This Row],[B12]]/Rådatakommune[[#This Row],[B02]]-1</f>
        <v>-6.757493188010899E-2</v>
      </c>
      <c r="T351" s="41">
        <f>Rådatakommune[[#This Row],[Kvinner20-39]]/Rådatakommune[[#This Row],[B12]]</f>
        <v>0.108708357685564</v>
      </c>
      <c r="U351" s="41">
        <f>Rådatakommune[[#This Row],[Eldre67+]]/Rådatakommune[[#This Row],[B12]]</f>
        <v>0.17767387492694331</v>
      </c>
      <c r="V351" s="41">
        <f>Rådatakommune[[#This Row],[S11]]/Rådatakommune[[#This Row],[S01]]-1</f>
        <v>-5.7562076749435698E-2</v>
      </c>
      <c r="W351" s="41">
        <f>Rådatakommune[[#This Row],[Y11]]/Rådatakommune[[#This Row],[Folk20-64]]</f>
        <v>0.85830784913353719</v>
      </c>
    </row>
    <row r="352" spans="1:23" s="38" customFormat="1" ht="12.75">
      <c r="A352" s="42" t="s">
        <v>350</v>
      </c>
      <c r="B352" s="37">
        <v>18</v>
      </c>
      <c r="C352" s="38">
        <v>110</v>
      </c>
      <c r="D352" s="39" t="s">
        <v>436</v>
      </c>
      <c r="E352" s="37">
        <v>4</v>
      </c>
      <c r="F352" s="3">
        <v>7434</v>
      </c>
      <c r="G352" s="3">
        <v>7372</v>
      </c>
      <c r="H352" s="3">
        <v>3708</v>
      </c>
      <c r="I352" s="3">
        <v>1026</v>
      </c>
      <c r="J352" s="3">
        <v>843</v>
      </c>
      <c r="K352" s="3">
        <v>4292</v>
      </c>
      <c r="L352" s="3">
        <v>3517</v>
      </c>
      <c r="M352" s="3">
        <v>3847</v>
      </c>
      <c r="N352" s="40">
        <v>187.22</v>
      </c>
      <c r="O352" s="40">
        <v>327900</v>
      </c>
      <c r="P352" s="38">
        <v>238.84614432312</v>
      </c>
      <c r="Q352" s="38">
        <v>7</v>
      </c>
      <c r="R352" s="38">
        <f t="shared" si="5"/>
        <v>39.376135028308944</v>
      </c>
      <c r="S352" s="41">
        <f>Rådatakommune[[#This Row],[B12]]/Rådatakommune[[#This Row],[B02]]-1</f>
        <v>-8.3400591875167907E-3</v>
      </c>
      <c r="T352" s="41">
        <f>Rådatakommune[[#This Row],[Kvinner20-39]]/Rådatakommune[[#This Row],[B12]]</f>
        <v>0.11435160065111231</v>
      </c>
      <c r="U352" s="41">
        <f>Rådatakommune[[#This Row],[Eldre67+]]/Rådatakommune[[#This Row],[B12]]</f>
        <v>0.13917525773195877</v>
      </c>
      <c r="V352" s="41">
        <f>Rådatakommune[[#This Row],[S11]]/Rådatakommune[[#This Row],[S01]]-1</f>
        <v>9.3829968723343704E-2</v>
      </c>
      <c r="W352" s="41">
        <f>Rådatakommune[[#This Row],[Y11]]/Rådatakommune[[#This Row],[Folk20-64]]</f>
        <v>0.86393289841565701</v>
      </c>
    </row>
    <row r="353" spans="1:23" s="38" customFormat="1" ht="12.75">
      <c r="A353" s="42" t="s">
        <v>351</v>
      </c>
      <c r="B353" s="37">
        <v>18</v>
      </c>
      <c r="C353" s="38">
        <v>110</v>
      </c>
      <c r="D353" s="39" t="s">
        <v>436</v>
      </c>
      <c r="E353" s="37">
        <v>4</v>
      </c>
      <c r="F353" s="3">
        <v>2200</v>
      </c>
      <c r="G353" s="3">
        <v>2107</v>
      </c>
      <c r="H353" s="3">
        <v>1017</v>
      </c>
      <c r="I353" s="3">
        <v>335</v>
      </c>
      <c r="J353" s="3">
        <v>235</v>
      </c>
      <c r="K353" s="3">
        <v>1255</v>
      </c>
      <c r="L353" s="3">
        <v>775</v>
      </c>
      <c r="M353" s="3">
        <v>706</v>
      </c>
      <c r="N353" s="40">
        <v>465.28</v>
      </c>
      <c r="O353" s="40">
        <v>288600</v>
      </c>
      <c r="P353" s="38">
        <v>252.1181483842</v>
      </c>
      <c r="Q353" s="38">
        <v>7</v>
      </c>
      <c r="R353" s="38">
        <f t="shared" si="5"/>
        <v>4.5284559834938101</v>
      </c>
      <c r="S353" s="41">
        <f>Rådatakommune[[#This Row],[B12]]/Rådatakommune[[#This Row],[B02]]-1</f>
        <v>-4.227272727272724E-2</v>
      </c>
      <c r="T353" s="41">
        <f>Rådatakommune[[#This Row],[Kvinner20-39]]/Rådatakommune[[#This Row],[B12]]</f>
        <v>0.11153298528713811</v>
      </c>
      <c r="U353" s="41">
        <f>Rådatakommune[[#This Row],[Eldre67+]]/Rådatakommune[[#This Row],[B12]]</f>
        <v>0.15899383009017559</v>
      </c>
      <c r="V353" s="41">
        <f>Rådatakommune[[#This Row],[S11]]/Rådatakommune[[#This Row],[S01]]-1</f>
        <v>-8.903225806451609E-2</v>
      </c>
      <c r="W353" s="41">
        <f>Rådatakommune[[#This Row],[Y11]]/Rådatakommune[[#This Row],[Folk20-64]]</f>
        <v>0.81035856573705178</v>
      </c>
    </row>
    <row r="354" spans="1:23" s="38" customFormat="1" ht="12.75">
      <c r="A354" s="42" t="s">
        <v>352</v>
      </c>
      <c r="B354" s="37">
        <v>18</v>
      </c>
      <c r="C354" s="38">
        <v>111</v>
      </c>
      <c r="D354" s="39" t="s">
        <v>436</v>
      </c>
      <c r="E354" s="37">
        <v>4</v>
      </c>
      <c r="F354" s="3">
        <v>13484</v>
      </c>
      <c r="G354" s="3">
        <v>13258</v>
      </c>
      <c r="H354" s="3">
        <v>6713</v>
      </c>
      <c r="I354" s="3">
        <v>2169</v>
      </c>
      <c r="J354" s="3">
        <v>1442</v>
      </c>
      <c r="K354" s="3">
        <v>7565</v>
      </c>
      <c r="L354" s="3">
        <v>6645</v>
      </c>
      <c r="M354" s="3">
        <v>6722</v>
      </c>
      <c r="N354" s="40">
        <v>1928.72</v>
      </c>
      <c r="O354" s="40">
        <v>321100</v>
      </c>
      <c r="P354" s="38">
        <v>236.07147719433999</v>
      </c>
      <c r="Q354" s="38">
        <v>6</v>
      </c>
      <c r="R354" s="38">
        <f t="shared" si="5"/>
        <v>6.8739889667758929</v>
      </c>
      <c r="S354" s="41">
        <f>Rådatakommune[[#This Row],[B12]]/Rådatakommune[[#This Row],[B02]]-1</f>
        <v>-1.6760605161673103E-2</v>
      </c>
      <c r="T354" s="41">
        <f>Rådatakommune[[#This Row],[Kvinner20-39]]/Rådatakommune[[#This Row],[B12]]</f>
        <v>0.10876451953537487</v>
      </c>
      <c r="U354" s="41">
        <f>Rådatakommune[[#This Row],[Eldre67+]]/Rådatakommune[[#This Row],[B12]]</f>
        <v>0.16359933624981143</v>
      </c>
      <c r="V354" s="41">
        <f>Rådatakommune[[#This Row],[S11]]/Rådatakommune[[#This Row],[S01]]-1</f>
        <v>1.1587659894657598E-2</v>
      </c>
      <c r="W354" s="41">
        <f>Rådatakommune[[#This Row],[Y11]]/Rådatakommune[[#This Row],[Folk20-64]]</f>
        <v>0.88737607402511565</v>
      </c>
    </row>
    <row r="355" spans="1:23" s="38" customFormat="1" ht="12.75">
      <c r="A355" s="42" t="s">
        <v>353</v>
      </c>
      <c r="B355" s="37">
        <v>18</v>
      </c>
      <c r="C355" s="38">
        <v>111</v>
      </c>
      <c r="D355" s="39" t="s">
        <v>436</v>
      </c>
      <c r="E355" s="37">
        <v>4</v>
      </c>
      <c r="F355" s="3">
        <v>1569</v>
      </c>
      <c r="G355" s="3">
        <v>1455</v>
      </c>
      <c r="H355" s="3">
        <v>687</v>
      </c>
      <c r="I355" s="3">
        <v>297</v>
      </c>
      <c r="J355" s="3">
        <v>125</v>
      </c>
      <c r="K355" s="3">
        <v>787</v>
      </c>
      <c r="L355" s="3">
        <v>546</v>
      </c>
      <c r="M355" s="3">
        <v>523</v>
      </c>
      <c r="N355" s="40">
        <v>2004.15</v>
      </c>
      <c r="O355" s="40">
        <v>291900</v>
      </c>
      <c r="P355" s="38">
        <v>260.79449851359999</v>
      </c>
      <c r="Q355" s="38">
        <v>6</v>
      </c>
      <c r="R355" s="38">
        <f t="shared" si="5"/>
        <v>0.72599356335603615</v>
      </c>
      <c r="S355" s="41">
        <f>Rådatakommune[[#This Row],[B12]]/Rådatakommune[[#This Row],[B02]]-1</f>
        <v>-7.2657743785850881E-2</v>
      </c>
      <c r="T355" s="41">
        <f>Rådatakommune[[#This Row],[Kvinner20-39]]/Rådatakommune[[#This Row],[B12]]</f>
        <v>8.5910652920962199E-2</v>
      </c>
      <c r="U355" s="41">
        <f>Rådatakommune[[#This Row],[Eldre67+]]/Rådatakommune[[#This Row],[B12]]</f>
        <v>0.20412371134020618</v>
      </c>
      <c r="V355" s="41">
        <f>Rådatakommune[[#This Row],[S11]]/Rådatakommune[[#This Row],[S01]]-1</f>
        <v>-4.2124542124542086E-2</v>
      </c>
      <c r="W355" s="41">
        <f>Rådatakommune[[#This Row],[Y11]]/Rådatakommune[[#This Row],[Folk20-64]]</f>
        <v>0.87293519695044475</v>
      </c>
    </row>
    <row r="356" spans="1:23" s="38" customFormat="1" ht="12.75">
      <c r="A356" s="42" t="s">
        <v>354</v>
      </c>
      <c r="B356" s="37">
        <v>18</v>
      </c>
      <c r="C356" s="38">
        <v>112</v>
      </c>
      <c r="D356" s="39" t="s">
        <v>436</v>
      </c>
      <c r="E356" s="37">
        <v>4</v>
      </c>
      <c r="F356" s="3">
        <v>1603</v>
      </c>
      <c r="G356" s="3">
        <v>1456</v>
      </c>
      <c r="H356" s="3">
        <v>719</v>
      </c>
      <c r="I356" s="3">
        <v>280</v>
      </c>
      <c r="J356" s="3">
        <v>135</v>
      </c>
      <c r="K356" s="3">
        <v>774</v>
      </c>
      <c r="L356" s="3">
        <v>631</v>
      </c>
      <c r="M356" s="3">
        <v>632</v>
      </c>
      <c r="N356" s="40">
        <v>2684.32</v>
      </c>
      <c r="O356" s="40">
        <v>275600</v>
      </c>
      <c r="P356" s="38">
        <v>286.58460247689999</v>
      </c>
      <c r="Q356" s="38">
        <v>11</v>
      </c>
      <c r="R356" s="38">
        <f t="shared" si="5"/>
        <v>0.54240925075996893</v>
      </c>
      <c r="S356" s="41">
        <f>Rådatakommune[[#This Row],[B12]]/Rådatakommune[[#This Row],[B02]]-1</f>
        <v>-9.1703056768558944E-2</v>
      </c>
      <c r="T356" s="41">
        <f>Rådatakommune[[#This Row],[Kvinner20-39]]/Rådatakommune[[#This Row],[B12]]</f>
        <v>9.2719780219780223E-2</v>
      </c>
      <c r="U356" s="41">
        <f>Rådatakommune[[#This Row],[Eldre67+]]/Rådatakommune[[#This Row],[B12]]</f>
        <v>0.19230769230769232</v>
      </c>
      <c r="V356" s="41">
        <f>Rådatakommune[[#This Row],[S11]]/Rådatakommune[[#This Row],[S01]]-1</f>
        <v>1.5847860538826808E-3</v>
      </c>
      <c r="W356" s="41">
        <f>Rådatakommune[[#This Row],[Y11]]/Rådatakommune[[#This Row],[Folk20-64]]</f>
        <v>0.92894056847545214</v>
      </c>
    </row>
    <row r="357" spans="1:23" s="38" customFormat="1" ht="12.75">
      <c r="A357" s="42" t="s">
        <v>355</v>
      </c>
      <c r="B357" s="37">
        <v>18</v>
      </c>
      <c r="C357" s="38">
        <v>110</v>
      </c>
      <c r="D357" s="39" t="s">
        <v>436</v>
      </c>
      <c r="E357" s="37">
        <v>4</v>
      </c>
      <c r="F357" s="3">
        <v>1556</v>
      </c>
      <c r="G357" s="3">
        <v>1433</v>
      </c>
      <c r="H357" s="3">
        <v>688</v>
      </c>
      <c r="I357" s="3">
        <v>247</v>
      </c>
      <c r="J357" s="3">
        <v>128</v>
      </c>
      <c r="K357" s="3">
        <v>771</v>
      </c>
      <c r="L357" s="3">
        <v>608</v>
      </c>
      <c r="M357" s="3">
        <v>559</v>
      </c>
      <c r="N357" s="40">
        <v>193.89999999999998</v>
      </c>
      <c r="O357" s="40">
        <v>299800</v>
      </c>
      <c r="P357" s="38">
        <v>278.3886906546</v>
      </c>
      <c r="Q357" s="38">
        <v>7</v>
      </c>
      <c r="R357" s="38">
        <f t="shared" si="5"/>
        <v>7.39040742650851</v>
      </c>
      <c r="S357" s="41">
        <f>Rådatakommune[[#This Row],[B12]]/Rådatakommune[[#This Row],[B02]]-1</f>
        <v>-7.90488431876607E-2</v>
      </c>
      <c r="T357" s="41">
        <f>Rådatakommune[[#This Row],[Kvinner20-39]]/Rådatakommune[[#This Row],[B12]]</f>
        <v>8.932309839497557E-2</v>
      </c>
      <c r="U357" s="41">
        <f>Rådatakommune[[#This Row],[Eldre67+]]/Rådatakommune[[#This Row],[B12]]</f>
        <v>0.17236566643405443</v>
      </c>
      <c r="V357" s="41">
        <f>Rådatakommune[[#This Row],[S11]]/Rådatakommune[[#This Row],[S01]]-1</f>
        <v>-8.0592105263157854E-2</v>
      </c>
      <c r="W357" s="41">
        <f>Rådatakommune[[#This Row],[Y11]]/Rådatakommune[[#This Row],[Folk20-64]]</f>
        <v>0.89234760051880679</v>
      </c>
    </row>
    <row r="358" spans="1:23" s="38" customFormat="1" ht="12.75">
      <c r="A358" s="42" t="s">
        <v>356</v>
      </c>
      <c r="B358" s="37">
        <v>18</v>
      </c>
      <c r="C358" s="38">
        <v>113</v>
      </c>
      <c r="D358" s="39" t="s">
        <v>436</v>
      </c>
      <c r="E358" s="37">
        <v>4</v>
      </c>
      <c r="F358" s="3">
        <v>1855</v>
      </c>
      <c r="G358" s="3">
        <v>1813</v>
      </c>
      <c r="H358" s="3">
        <v>839</v>
      </c>
      <c r="I358" s="3">
        <v>276</v>
      </c>
      <c r="J358" s="3">
        <v>220</v>
      </c>
      <c r="K358" s="3">
        <v>1018</v>
      </c>
      <c r="L358" s="3">
        <v>905</v>
      </c>
      <c r="M358" s="3">
        <v>883</v>
      </c>
      <c r="N358" s="40">
        <v>183.13</v>
      </c>
      <c r="O358" s="40">
        <v>278000</v>
      </c>
      <c r="P358" s="38">
        <v>297.9812655298</v>
      </c>
      <c r="Q358" s="38">
        <v>5</v>
      </c>
      <c r="R358" s="38">
        <f t="shared" si="5"/>
        <v>9.9000709878228577</v>
      </c>
      <c r="S358" s="41">
        <f>Rådatakommune[[#This Row],[B12]]/Rådatakommune[[#This Row],[B02]]-1</f>
        <v>-2.2641509433962259E-2</v>
      </c>
      <c r="T358" s="41">
        <f>Rådatakommune[[#This Row],[Kvinner20-39]]/Rådatakommune[[#This Row],[B12]]</f>
        <v>0.12134583563154992</v>
      </c>
      <c r="U358" s="41">
        <f>Rådatakommune[[#This Row],[Eldre67+]]/Rådatakommune[[#This Row],[B12]]</f>
        <v>0.15223386651958082</v>
      </c>
      <c r="V358" s="41">
        <f>Rådatakommune[[#This Row],[S11]]/Rådatakommune[[#This Row],[S01]]-1</f>
        <v>-2.4309392265193353E-2</v>
      </c>
      <c r="W358" s="41">
        <f>Rådatakommune[[#This Row],[Y11]]/Rådatakommune[[#This Row],[Folk20-64]]</f>
        <v>0.82416502946954817</v>
      </c>
    </row>
    <row r="359" spans="1:23" s="38" customFormat="1" ht="12.75">
      <c r="A359" s="42" t="s">
        <v>357</v>
      </c>
      <c r="B359" s="37">
        <v>18</v>
      </c>
      <c r="C359" s="38">
        <v>114</v>
      </c>
      <c r="D359" s="39" t="s">
        <v>436</v>
      </c>
      <c r="E359" s="37">
        <v>4</v>
      </c>
      <c r="F359" s="3">
        <v>4580</v>
      </c>
      <c r="G359" s="3">
        <v>4585</v>
      </c>
      <c r="H359" s="3">
        <v>2153</v>
      </c>
      <c r="I359" s="3">
        <v>831</v>
      </c>
      <c r="J359" s="3">
        <v>455</v>
      </c>
      <c r="K359" s="3">
        <v>2464</v>
      </c>
      <c r="L359" s="3">
        <v>1524</v>
      </c>
      <c r="M359" s="3">
        <v>1695</v>
      </c>
      <c r="N359" s="40">
        <v>1588.76</v>
      </c>
      <c r="O359" s="40">
        <v>297900</v>
      </c>
      <c r="P359" s="38">
        <v>275.5096024769</v>
      </c>
      <c r="Q359" s="38">
        <v>5</v>
      </c>
      <c r="R359" s="38">
        <f t="shared" si="5"/>
        <v>2.8858984365165288</v>
      </c>
      <c r="S359" s="41">
        <f>Rådatakommune[[#This Row],[B12]]/Rådatakommune[[#This Row],[B02]]-1</f>
        <v>1.0917030567685337E-3</v>
      </c>
      <c r="T359" s="41">
        <f>Rådatakommune[[#This Row],[Kvinner20-39]]/Rådatakommune[[#This Row],[B12]]</f>
        <v>9.9236641221374045E-2</v>
      </c>
      <c r="U359" s="41">
        <f>Rådatakommune[[#This Row],[Eldre67+]]/Rådatakommune[[#This Row],[B12]]</f>
        <v>0.1812431842966194</v>
      </c>
      <c r="V359" s="41">
        <f>Rådatakommune[[#This Row],[S11]]/Rådatakommune[[#This Row],[S01]]-1</f>
        <v>0.11220472440944884</v>
      </c>
      <c r="W359" s="41">
        <f>Rådatakommune[[#This Row],[Y11]]/Rådatakommune[[#This Row],[Folk20-64]]</f>
        <v>0.87378246753246758</v>
      </c>
    </row>
    <row r="360" spans="1:23" s="38" customFormat="1" ht="12.75">
      <c r="A360" s="42" t="s">
        <v>358</v>
      </c>
      <c r="B360" s="37">
        <v>18</v>
      </c>
      <c r="C360" s="38">
        <v>114</v>
      </c>
      <c r="D360" s="39" t="s">
        <v>436</v>
      </c>
      <c r="E360" s="37">
        <v>4</v>
      </c>
      <c r="F360" s="3">
        <v>25350</v>
      </c>
      <c r="G360" s="3">
        <v>25652</v>
      </c>
      <c r="H360" s="3">
        <v>12895</v>
      </c>
      <c r="I360" s="3">
        <v>3846</v>
      </c>
      <c r="J360" s="3">
        <v>2892</v>
      </c>
      <c r="K360" s="3">
        <v>14724</v>
      </c>
      <c r="L360" s="3">
        <v>11584</v>
      </c>
      <c r="M360" s="3">
        <v>12962</v>
      </c>
      <c r="N360" s="40">
        <v>4460.75</v>
      </c>
      <c r="O360" s="40">
        <v>325200</v>
      </c>
      <c r="P360" s="38">
        <v>254.2271157701</v>
      </c>
      <c r="Q360" s="38">
        <v>5</v>
      </c>
      <c r="R360" s="38">
        <f t="shared" si="5"/>
        <v>5.7506024771619124</v>
      </c>
      <c r="S360" s="41">
        <f>Rådatakommune[[#This Row],[B12]]/Rådatakommune[[#This Row],[B02]]-1</f>
        <v>1.1913214990137977E-2</v>
      </c>
      <c r="T360" s="41">
        <f>Rådatakommune[[#This Row],[Kvinner20-39]]/Rådatakommune[[#This Row],[B12]]</f>
        <v>0.11273974738811789</v>
      </c>
      <c r="U360" s="41">
        <f>Rådatakommune[[#This Row],[Eldre67+]]/Rådatakommune[[#This Row],[B12]]</f>
        <v>0.14992983003274599</v>
      </c>
      <c r="V360" s="41">
        <f>Rådatakommune[[#This Row],[S11]]/Rådatakommune[[#This Row],[S01]]-1</f>
        <v>0.11895718232044206</v>
      </c>
      <c r="W360" s="41">
        <f>Rådatakommune[[#This Row],[Y11]]/Rådatakommune[[#This Row],[Folk20-64]]</f>
        <v>0.87578103776147787</v>
      </c>
    </row>
    <row r="361" spans="1:23" s="38" customFormat="1" ht="12.75">
      <c r="A361" s="42" t="s">
        <v>359</v>
      </c>
      <c r="B361" s="37">
        <v>18</v>
      </c>
      <c r="C361" s="38">
        <v>115</v>
      </c>
      <c r="D361" s="39" t="s">
        <v>436</v>
      </c>
      <c r="E361" s="37">
        <v>4</v>
      </c>
      <c r="F361" s="3">
        <v>2066</v>
      </c>
      <c r="G361" s="3">
        <v>1937</v>
      </c>
      <c r="H361" s="3">
        <v>962</v>
      </c>
      <c r="I361" s="3">
        <v>375</v>
      </c>
      <c r="J361" s="3">
        <v>197</v>
      </c>
      <c r="K361" s="3">
        <v>1058</v>
      </c>
      <c r="L361" s="3">
        <v>846</v>
      </c>
      <c r="M361" s="3">
        <v>887</v>
      </c>
      <c r="N361" s="40">
        <v>264.55</v>
      </c>
      <c r="O361" s="40">
        <v>319000</v>
      </c>
      <c r="P361" s="38">
        <v>367.19264821299998</v>
      </c>
      <c r="Q361" s="38">
        <v>11</v>
      </c>
      <c r="R361" s="38">
        <f t="shared" si="5"/>
        <v>7.3218673218673214</v>
      </c>
      <c r="S361" s="41">
        <f>Rådatakommune[[#This Row],[B12]]/Rådatakommune[[#This Row],[B02]]-1</f>
        <v>-6.2439496611810252E-2</v>
      </c>
      <c r="T361" s="41">
        <f>Rådatakommune[[#This Row],[Kvinner20-39]]/Rådatakommune[[#This Row],[B12]]</f>
        <v>0.10170366546205473</v>
      </c>
      <c r="U361" s="41">
        <f>Rådatakommune[[#This Row],[Eldre67+]]/Rådatakommune[[#This Row],[B12]]</f>
        <v>0.19359834796076406</v>
      </c>
      <c r="V361" s="41">
        <f>Rådatakommune[[#This Row],[S11]]/Rådatakommune[[#This Row],[S01]]-1</f>
        <v>4.8463356973995175E-2</v>
      </c>
      <c r="W361" s="41">
        <f>Rådatakommune[[#This Row],[Y11]]/Rådatakommune[[#This Row],[Folk20-64]]</f>
        <v>0.90926275992438566</v>
      </c>
    </row>
    <row r="362" spans="1:23" s="38" customFormat="1" ht="12.75">
      <c r="A362" s="42" t="s">
        <v>360</v>
      </c>
      <c r="B362" s="37">
        <v>18</v>
      </c>
      <c r="C362" s="38">
        <v>116</v>
      </c>
      <c r="D362" s="39" t="s">
        <v>436</v>
      </c>
      <c r="E362" s="37">
        <v>4</v>
      </c>
      <c r="F362" s="3">
        <v>474</v>
      </c>
      <c r="G362" s="3">
        <v>497</v>
      </c>
      <c r="H362" s="3">
        <v>256</v>
      </c>
      <c r="I362" s="3">
        <v>75</v>
      </c>
      <c r="J362" s="3">
        <v>61</v>
      </c>
      <c r="K362" s="3">
        <v>278</v>
      </c>
      <c r="L362" s="3">
        <v>221</v>
      </c>
      <c r="M362" s="3">
        <v>259</v>
      </c>
      <c r="N362" s="40">
        <v>16.32</v>
      </c>
      <c r="O362" s="40">
        <v>300100</v>
      </c>
      <c r="P362" s="38">
        <v>399</v>
      </c>
      <c r="Q362" s="38">
        <v>11</v>
      </c>
      <c r="R362" s="38">
        <f t="shared" si="5"/>
        <v>30.453431372549019</v>
      </c>
      <c r="S362" s="41">
        <f>Rådatakommune[[#This Row],[B12]]/Rådatakommune[[#This Row],[B02]]-1</f>
        <v>4.8523206751054815E-2</v>
      </c>
      <c r="T362" s="41">
        <f>Rådatakommune[[#This Row],[Kvinner20-39]]/Rådatakommune[[#This Row],[B12]]</f>
        <v>0.1227364185110664</v>
      </c>
      <c r="U362" s="41">
        <f>Rådatakommune[[#This Row],[Eldre67+]]/Rådatakommune[[#This Row],[B12]]</f>
        <v>0.15090543259557343</v>
      </c>
      <c r="V362" s="41">
        <f>Rådatakommune[[#This Row],[S11]]/Rådatakommune[[#This Row],[S01]]-1</f>
        <v>0.17194570135746612</v>
      </c>
      <c r="W362" s="41">
        <f>Rådatakommune[[#This Row],[Y11]]/Rådatakommune[[#This Row],[Folk20-64]]</f>
        <v>0.92086330935251803</v>
      </c>
    </row>
    <row r="363" spans="1:23" s="38" customFormat="1" ht="12.75">
      <c r="A363" s="42" t="s">
        <v>361</v>
      </c>
      <c r="B363" s="37">
        <v>18</v>
      </c>
      <c r="C363" s="38">
        <v>117</v>
      </c>
      <c r="D363" s="39" t="s">
        <v>436</v>
      </c>
      <c r="E363" s="37">
        <v>4</v>
      </c>
      <c r="F363" s="3">
        <v>1509</v>
      </c>
      <c r="G363" s="3">
        <v>1320</v>
      </c>
      <c r="H363" s="3">
        <v>660</v>
      </c>
      <c r="I363" s="3">
        <v>218</v>
      </c>
      <c r="J363" s="3">
        <v>132</v>
      </c>
      <c r="K363" s="3">
        <v>698</v>
      </c>
      <c r="L363" s="3">
        <v>579</v>
      </c>
      <c r="M363" s="3">
        <v>570</v>
      </c>
      <c r="N363" s="40">
        <v>711.27</v>
      </c>
      <c r="O363" s="40">
        <v>297000</v>
      </c>
      <c r="P363" s="38">
        <v>356.49084885899998</v>
      </c>
      <c r="Q363" s="38">
        <v>11</v>
      </c>
      <c r="R363" s="38">
        <f t="shared" si="5"/>
        <v>1.8558353367919356</v>
      </c>
      <c r="S363" s="41">
        <f>Rådatakommune[[#This Row],[B12]]/Rådatakommune[[#This Row],[B02]]-1</f>
        <v>-0.12524850894632211</v>
      </c>
      <c r="T363" s="41">
        <f>Rådatakommune[[#This Row],[Kvinner20-39]]/Rådatakommune[[#This Row],[B12]]</f>
        <v>0.1</v>
      </c>
      <c r="U363" s="41">
        <f>Rådatakommune[[#This Row],[Eldre67+]]/Rådatakommune[[#This Row],[B12]]</f>
        <v>0.16515151515151516</v>
      </c>
      <c r="V363" s="41">
        <f>Rådatakommune[[#This Row],[S11]]/Rådatakommune[[#This Row],[S01]]-1</f>
        <v>-1.5544041450777257E-2</v>
      </c>
      <c r="W363" s="41">
        <f>Rådatakommune[[#This Row],[Y11]]/Rådatakommune[[#This Row],[Folk20-64]]</f>
        <v>0.94555873925501432</v>
      </c>
    </row>
    <row r="364" spans="1:23" s="38" customFormat="1" ht="12.75">
      <c r="A364" s="42" t="s">
        <v>362</v>
      </c>
      <c r="B364" s="37">
        <v>18</v>
      </c>
      <c r="C364" s="38">
        <v>118</v>
      </c>
      <c r="D364" s="39" t="s">
        <v>436</v>
      </c>
      <c r="E364" s="37">
        <v>4</v>
      </c>
      <c r="F364" s="3">
        <v>6830</v>
      </c>
      <c r="G364" s="3">
        <v>6657</v>
      </c>
      <c r="H364" s="3">
        <v>3238</v>
      </c>
      <c r="I364" s="3">
        <v>1081</v>
      </c>
      <c r="J364" s="3">
        <v>718</v>
      </c>
      <c r="K364" s="3">
        <v>3712</v>
      </c>
      <c r="L364" s="3">
        <v>2872</v>
      </c>
      <c r="M364" s="3">
        <v>3134</v>
      </c>
      <c r="N364" s="40">
        <v>873.8900000000001</v>
      </c>
      <c r="O364" s="40">
        <v>347400</v>
      </c>
      <c r="P364" s="38">
        <v>289.23257691110001</v>
      </c>
      <c r="Q364" s="38">
        <v>10</v>
      </c>
      <c r="R364" s="38">
        <f t="shared" si="5"/>
        <v>7.6176635503324208</v>
      </c>
      <c r="S364" s="41">
        <f>Rådatakommune[[#This Row],[B12]]/Rådatakommune[[#This Row],[B02]]-1</f>
        <v>-2.5329428989751102E-2</v>
      </c>
      <c r="T364" s="41">
        <f>Rådatakommune[[#This Row],[Kvinner20-39]]/Rådatakommune[[#This Row],[B12]]</f>
        <v>0.10785639176806369</v>
      </c>
      <c r="U364" s="41">
        <f>Rådatakommune[[#This Row],[Eldre67+]]/Rådatakommune[[#This Row],[B12]]</f>
        <v>0.16238545891542738</v>
      </c>
      <c r="V364" s="41">
        <f>Rådatakommune[[#This Row],[S11]]/Rådatakommune[[#This Row],[S01]]-1</f>
        <v>9.122562674094703E-2</v>
      </c>
      <c r="W364" s="41">
        <f>Rådatakommune[[#This Row],[Y11]]/Rådatakommune[[#This Row],[Folk20-64]]</f>
        <v>0.87230603448275867</v>
      </c>
    </row>
    <row r="365" spans="1:23" s="38" customFormat="1" ht="12.75">
      <c r="A365" s="42" t="s">
        <v>363</v>
      </c>
      <c r="B365" s="37">
        <v>18</v>
      </c>
      <c r="C365" s="38">
        <v>106</v>
      </c>
      <c r="D365" s="39" t="s">
        <v>436</v>
      </c>
      <c r="E365" s="37">
        <v>4</v>
      </c>
      <c r="F365" s="3">
        <v>2276</v>
      </c>
      <c r="G365" s="3">
        <v>2000</v>
      </c>
      <c r="H365" s="3">
        <v>966</v>
      </c>
      <c r="I365" s="3">
        <v>402</v>
      </c>
      <c r="J365" s="3">
        <v>198</v>
      </c>
      <c r="K365" s="3">
        <v>1100</v>
      </c>
      <c r="L365" s="3">
        <v>759</v>
      </c>
      <c r="M365" s="3">
        <v>778</v>
      </c>
      <c r="N365" s="40">
        <v>661.83</v>
      </c>
      <c r="O365" s="40">
        <v>302100</v>
      </c>
      <c r="P365" s="38">
        <v>266.56705235760001</v>
      </c>
      <c r="Q365" s="38">
        <v>8</v>
      </c>
      <c r="R365" s="38">
        <f t="shared" si="5"/>
        <v>3.0219240590483958</v>
      </c>
      <c r="S365" s="41">
        <f>Rådatakommune[[#This Row],[B12]]/Rådatakommune[[#This Row],[B02]]-1</f>
        <v>-0.12126537785588754</v>
      </c>
      <c r="T365" s="41">
        <f>Rådatakommune[[#This Row],[Kvinner20-39]]/Rådatakommune[[#This Row],[B12]]</f>
        <v>9.9000000000000005E-2</v>
      </c>
      <c r="U365" s="41">
        <f>Rådatakommune[[#This Row],[Eldre67+]]/Rådatakommune[[#This Row],[B12]]</f>
        <v>0.20100000000000001</v>
      </c>
      <c r="V365" s="41">
        <f>Rådatakommune[[#This Row],[S11]]/Rådatakommune[[#This Row],[S01]]-1</f>
        <v>2.5032938076416267E-2</v>
      </c>
      <c r="W365" s="41">
        <f>Rådatakommune[[#This Row],[Y11]]/Rådatakommune[[#This Row],[Folk20-64]]</f>
        <v>0.87818181818181817</v>
      </c>
    </row>
    <row r="366" spans="1:23" s="38" customFormat="1" ht="12.75">
      <c r="A366" s="42" t="s">
        <v>364</v>
      </c>
      <c r="B366" s="37">
        <v>18</v>
      </c>
      <c r="C366" s="38">
        <v>119</v>
      </c>
      <c r="D366" s="39" t="s">
        <v>436</v>
      </c>
      <c r="E366" s="37">
        <v>4</v>
      </c>
      <c r="F366" s="3">
        <v>1257</v>
      </c>
      <c r="G366" s="3">
        <v>1097</v>
      </c>
      <c r="H366" s="3">
        <v>538</v>
      </c>
      <c r="I366" s="3">
        <v>254</v>
      </c>
      <c r="J366" s="3">
        <v>88</v>
      </c>
      <c r="K366" s="3">
        <v>599</v>
      </c>
      <c r="L366" s="3">
        <v>415</v>
      </c>
      <c r="M366" s="3">
        <v>471</v>
      </c>
      <c r="N366" s="40">
        <v>1222.1599999999999</v>
      </c>
      <c r="O366" s="40">
        <v>278300</v>
      </c>
      <c r="P366" s="38">
        <v>280.86956907180002</v>
      </c>
      <c r="Q366" s="38">
        <v>11</v>
      </c>
      <c r="R366" s="38">
        <f t="shared" si="5"/>
        <v>0.89759115009491408</v>
      </c>
      <c r="S366" s="41">
        <f>Rådatakommune[[#This Row],[B12]]/Rådatakommune[[#This Row],[B02]]-1</f>
        <v>-0.12728719172633252</v>
      </c>
      <c r="T366" s="41">
        <f>Rådatakommune[[#This Row],[Kvinner20-39]]/Rådatakommune[[#This Row],[B12]]</f>
        <v>8.0218778486782133E-2</v>
      </c>
      <c r="U366" s="41">
        <f>Rådatakommune[[#This Row],[Eldre67+]]/Rådatakommune[[#This Row],[B12]]</f>
        <v>0.23154056517775751</v>
      </c>
      <c r="V366" s="41">
        <f>Rådatakommune[[#This Row],[S11]]/Rådatakommune[[#This Row],[S01]]-1</f>
        <v>0.13493975903614452</v>
      </c>
      <c r="W366" s="41">
        <f>Rådatakommune[[#This Row],[Y11]]/Rådatakommune[[#This Row],[Folk20-64]]</f>
        <v>0.89816360601001666</v>
      </c>
    </row>
    <row r="367" spans="1:23" s="38" customFormat="1" ht="12.75">
      <c r="A367" s="42" t="s">
        <v>365</v>
      </c>
      <c r="B367" s="37">
        <v>18</v>
      </c>
      <c r="C367" s="38">
        <v>120</v>
      </c>
      <c r="D367" s="39" t="s">
        <v>436</v>
      </c>
      <c r="E367" s="37">
        <v>4</v>
      </c>
      <c r="F367" s="3">
        <v>4863</v>
      </c>
      <c r="G367" s="3">
        <v>4710</v>
      </c>
      <c r="H367" s="3">
        <v>2311</v>
      </c>
      <c r="I367" s="3">
        <v>783</v>
      </c>
      <c r="J367" s="3">
        <v>490</v>
      </c>
      <c r="K367" s="3">
        <v>2739</v>
      </c>
      <c r="L367" s="3">
        <v>2050</v>
      </c>
      <c r="M367" s="3">
        <v>2126</v>
      </c>
      <c r="N367" s="40">
        <v>2216.1600000000003</v>
      </c>
      <c r="O367" s="40">
        <v>301600</v>
      </c>
      <c r="P367" s="38">
        <v>265.28826460210001</v>
      </c>
      <c r="Q367" s="38">
        <v>6</v>
      </c>
      <c r="R367" s="38">
        <f t="shared" si="5"/>
        <v>2.125297812432315</v>
      </c>
      <c r="S367" s="41">
        <f>Rådatakommune[[#This Row],[B12]]/Rådatakommune[[#This Row],[B02]]-1</f>
        <v>-3.1462060456508345E-2</v>
      </c>
      <c r="T367" s="41">
        <f>Rådatakommune[[#This Row],[Kvinner20-39]]/Rådatakommune[[#This Row],[B12]]</f>
        <v>0.1040339702760085</v>
      </c>
      <c r="U367" s="41">
        <f>Rådatakommune[[#This Row],[Eldre67+]]/Rådatakommune[[#This Row],[B12]]</f>
        <v>0.1662420382165605</v>
      </c>
      <c r="V367" s="41">
        <f>Rådatakommune[[#This Row],[S11]]/Rådatakommune[[#This Row],[S01]]-1</f>
        <v>3.707317073170735E-2</v>
      </c>
      <c r="W367" s="41">
        <f>Rådatakommune[[#This Row],[Y11]]/Rådatakommune[[#This Row],[Folk20-64]]</f>
        <v>0.84373859072654256</v>
      </c>
    </row>
    <row r="368" spans="1:23" s="38" customFormat="1" ht="12.75">
      <c r="A368" s="42" t="s">
        <v>366</v>
      </c>
      <c r="B368" s="37">
        <v>18</v>
      </c>
      <c r="C368" s="38">
        <v>120</v>
      </c>
      <c r="D368" s="39" t="s">
        <v>436</v>
      </c>
      <c r="E368" s="37">
        <v>4</v>
      </c>
      <c r="F368" s="3">
        <v>9627</v>
      </c>
      <c r="G368" s="3">
        <v>9513</v>
      </c>
      <c r="H368" s="3">
        <v>4737</v>
      </c>
      <c r="I368" s="3">
        <v>1521</v>
      </c>
      <c r="J368" s="3">
        <v>1036</v>
      </c>
      <c r="K368" s="3">
        <v>5445</v>
      </c>
      <c r="L368" s="3">
        <v>3699</v>
      </c>
      <c r="M368" s="3">
        <v>3931</v>
      </c>
      <c r="N368" s="40">
        <v>1209.68</v>
      </c>
      <c r="O368" s="40">
        <v>320800</v>
      </c>
      <c r="P368" s="38">
        <v>239.2403969138</v>
      </c>
      <c r="Q368" s="38">
        <v>5</v>
      </c>
      <c r="R368" s="38">
        <f t="shared" si="5"/>
        <v>7.8640632233317902</v>
      </c>
      <c r="S368" s="41">
        <f>Rådatakommune[[#This Row],[B12]]/Rådatakommune[[#This Row],[B02]]-1</f>
        <v>-1.1841695232159499E-2</v>
      </c>
      <c r="T368" s="41">
        <f>Rådatakommune[[#This Row],[Kvinner20-39]]/Rådatakommune[[#This Row],[B12]]</f>
        <v>0.10890360559234731</v>
      </c>
      <c r="U368" s="41">
        <f>Rådatakommune[[#This Row],[Eldre67+]]/Rådatakommune[[#This Row],[B12]]</f>
        <v>0.1598864711447493</v>
      </c>
      <c r="V368" s="41">
        <f>Rådatakommune[[#This Row],[S11]]/Rådatakommune[[#This Row],[S01]]-1</f>
        <v>6.271965396052992E-2</v>
      </c>
      <c r="W368" s="41">
        <f>Rådatakommune[[#This Row],[Y11]]/Rådatakommune[[#This Row],[Folk20-64]]</f>
        <v>0.86997245179063365</v>
      </c>
    </row>
    <row r="369" spans="1:23" s="38" customFormat="1" ht="12.75">
      <c r="A369" s="42" t="s">
        <v>367</v>
      </c>
      <c r="B369" s="37">
        <v>18</v>
      </c>
      <c r="C369" s="38">
        <v>120</v>
      </c>
      <c r="D369" s="39" t="s">
        <v>436</v>
      </c>
      <c r="E369" s="37">
        <v>4</v>
      </c>
      <c r="F369" s="3">
        <v>2278</v>
      </c>
      <c r="G369" s="3">
        <v>2003</v>
      </c>
      <c r="H369" s="3">
        <v>927</v>
      </c>
      <c r="I369" s="3">
        <v>374</v>
      </c>
      <c r="J369" s="3">
        <v>182</v>
      </c>
      <c r="K369" s="3">
        <v>1076</v>
      </c>
      <c r="L369" s="3">
        <v>923</v>
      </c>
      <c r="M369" s="3">
        <v>900</v>
      </c>
      <c r="N369" s="40">
        <v>1636.61</v>
      </c>
      <c r="O369" s="40">
        <v>297700</v>
      </c>
      <c r="P369" s="38">
        <v>252.41741302689999</v>
      </c>
      <c r="Q369" s="38">
        <v>6</v>
      </c>
      <c r="R369" s="38">
        <f t="shared" si="5"/>
        <v>1.2238712949328185</v>
      </c>
      <c r="S369" s="41">
        <f>Rådatakommune[[#This Row],[B12]]/Rådatakommune[[#This Row],[B02]]-1</f>
        <v>-0.12071992976294998</v>
      </c>
      <c r="T369" s="41">
        <f>Rådatakommune[[#This Row],[Kvinner20-39]]/Rådatakommune[[#This Row],[B12]]</f>
        <v>9.0863704443334997E-2</v>
      </c>
      <c r="U369" s="41">
        <f>Rådatakommune[[#This Row],[Eldre67+]]/Rådatakommune[[#This Row],[B12]]</f>
        <v>0.18671992011982028</v>
      </c>
      <c r="V369" s="41">
        <f>Rådatakommune[[#This Row],[S11]]/Rådatakommune[[#This Row],[S01]]-1</f>
        <v>-2.4918743228602436E-2</v>
      </c>
      <c r="W369" s="41">
        <f>Rådatakommune[[#This Row],[Y11]]/Rådatakommune[[#This Row],[Folk20-64]]</f>
        <v>0.86152416356877326</v>
      </c>
    </row>
    <row r="370" spans="1:23" s="38" customFormat="1" ht="12.75">
      <c r="A370" s="42" t="s">
        <v>368</v>
      </c>
      <c r="B370" s="37">
        <v>18</v>
      </c>
      <c r="C370" s="38">
        <v>121</v>
      </c>
      <c r="D370" s="39" t="s">
        <v>436</v>
      </c>
      <c r="E370" s="37">
        <v>4</v>
      </c>
      <c r="F370" s="3">
        <v>2889</v>
      </c>
      <c r="G370" s="3">
        <v>2609</v>
      </c>
      <c r="H370" s="3">
        <v>1254</v>
      </c>
      <c r="I370" s="3">
        <v>498</v>
      </c>
      <c r="J370" s="3">
        <v>253</v>
      </c>
      <c r="K370" s="3">
        <v>1430</v>
      </c>
      <c r="L370" s="3">
        <v>1111</v>
      </c>
      <c r="M370" s="3">
        <v>1100</v>
      </c>
      <c r="N370" s="40">
        <v>1007.86</v>
      </c>
      <c r="O370" s="40">
        <v>294600</v>
      </c>
      <c r="P370" s="38">
        <v>361.76036978000002</v>
      </c>
      <c r="Q370" s="38">
        <v>11</v>
      </c>
      <c r="R370" s="38">
        <f t="shared" si="5"/>
        <v>2.5886531859583672</v>
      </c>
      <c r="S370" s="41">
        <f>Rådatakommune[[#This Row],[B12]]/Rådatakommune[[#This Row],[B02]]-1</f>
        <v>-9.6919349255797815E-2</v>
      </c>
      <c r="T370" s="41">
        <f>Rådatakommune[[#This Row],[Kvinner20-39]]/Rådatakommune[[#This Row],[B12]]</f>
        <v>9.6972019931008055E-2</v>
      </c>
      <c r="U370" s="41">
        <f>Rådatakommune[[#This Row],[Eldre67+]]/Rådatakommune[[#This Row],[B12]]</f>
        <v>0.19087773093139135</v>
      </c>
      <c r="V370" s="41">
        <f>Rådatakommune[[#This Row],[S11]]/Rådatakommune[[#This Row],[S01]]-1</f>
        <v>-9.9009900990099098E-3</v>
      </c>
      <c r="W370" s="41">
        <f>Rådatakommune[[#This Row],[Y11]]/Rådatakommune[[#This Row],[Folk20-64]]</f>
        <v>0.87692307692307692</v>
      </c>
    </row>
    <row r="371" spans="1:23" s="38" customFormat="1" ht="12.75">
      <c r="A371" s="42" t="s">
        <v>369</v>
      </c>
      <c r="B371" s="37">
        <v>18</v>
      </c>
      <c r="C371" s="38">
        <v>122</v>
      </c>
      <c r="D371" s="39" t="s">
        <v>436</v>
      </c>
      <c r="E371" s="37">
        <v>4</v>
      </c>
      <c r="F371" s="3">
        <v>1932</v>
      </c>
      <c r="G371" s="3">
        <v>1783</v>
      </c>
      <c r="H371" s="3">
        <v>892</v>
      </c>
      <c r="I371" s="3">
        <v>345</v>
      </c>
      <c r="J371" s="3">
        <v>165</v>
      </c>
      <c r="K371" s="3">
        <v>986</v>
      </c>
      <c r="L371" s="3">
        <v>768</v>
      </c>
      <c r="M371" s="3">
        <v>848</v>
      </c>
      <c r="N371" s="40">
        <v>1029.95</v>
      </c>
      <c r="O371" s="40">
        <v>309900</v>
      </c>
      <c r="P371" s="38">
        <v>362.16962157699999</v>
      </c>
      <c r="Q371" s="38">
        <v>11</v>
      </c>
      <c r="R371" s="38">
        <f t="shared" si="5"/>
        <v>1.7311519976697898</v>
      </c>
      <c r="S371" s="41">
        <f>Rådatakommune[[#This Row],[B12]]/Rådatakommune[[#This Row],[B02]]-1</f>
        <v>-7.7122153209109756E-2</v>
      </c>
      <c r="T371" s="41">
        <f>Rådatakommune[[#This Row],[Kvinner20-39]]/Rådatakommune[[#This Row],[B12]]</f>
        <v>9.2540661805945043E-2</v>
      </c>
      <c r="U371" s="41">
        <f>Rådatakommune[[#This Row],[Eldre67+]]/Rådatakommune[[#This Row],[B12]]</f>
        <v>0.19349411104879416</v>
      </c>
      <c r="V371" s="41">
        <f>Rådatakommune[[#This Row],[S11]]/Rådatakommune[[#This Row],[S01]]-1</f>
        <v>0.10416666666666674</v>
      </c>
      <c r="W371" s="41">
        <f>Rådatakommune[[#This Row],[Y11]]/Rådatakommune[[#This Row],[Folk20-64]]</f>
        <v>0.90466531440162268</v>
      </c>
    </row>
    <row r="372" spans="1:23" s="38" customFormat="1" ht="12.75">
      <c r="A372" s="42" t="s">
        <v>370</v>
      </c>
      <c r="B372" s="37">
        <v>18</v>
      </c>
      <c r="C372" s="38">
        <v>123</v>
      </c>
      <c r="D372" s="39" t="s">
        <v>436</v>
      </c>
      <c r="E372" s="37">
        <v>4</v>
      </c>
      <c r="F372" s="3">
        <v>2283</v>
      </c>
      <c r="G372" s="3">
        <v>1956</v>
      </c>
      <c r="H372" s="3">
        <v>866</v>
      </c>
      <c r="I372" s="3">
        <v>369</v>
      </c>
      <c r="J372" s="3">
        <v>179</v>
      </c>
      <c r="K372" s="3">
        <v>1104</v>
      </c>
      <c r="L372" s="3">
        <v>872</v>
      </c>
      <c r="M372" s="3">
        <v>845</v>
      </c>
      <c r="N372" s="40">
        <v>1464.0300000000002</v>
      </c>
      <c r="O372" s="40">
        <v>293100</v>
      </c>
      <c r="P372" s="38">
        <v>333.8756979186</v>
      </c>
      <c r="Q372" s="38">
        <v>11</v>
      </c>
      <c r="R372" s="38">
        <f t="shared" si="5"/>
        <v>1.3360381959386076</v>
      </c>
      <c r="S372" s="41">
        <f>Rådatakommune[[#This Row],[B12]]/Rådatakommune[[#This Row],[B02]]-1</f>
        <v>-0.14323258869908018</v>
      </c>
      <c r="T372" s="41">
        <f>Rådatakommune[[#This Row],[Kvinner20-39]]/Rådatakommune[[#This Row],[B12]]</f>
        <v>9.1513292433537827E-2</v>
      </c>
      <c r="U372" s="41">
        <f>Rådatakommune[[#This Row],[Eldre67+]]/Rådatakommune[[#This Row],[B12]]</f>
        <v>0.18865030674846625</v>
      </c>
      <c r="V372" s="41">
        <f>Rådatakommune[[#This Row],[S11]]/Rådatakommune[[#This Row],[S01]]-1</f>
        <v>-3.0963302752293531E-2</v>
      </c>
      <c r="W372" s="41">
        <f>Rådatakommune[[#This Row],[Y11]]/Rådatakommune[[#This Row],[Folk20-64]]</f>
        <v>0.78442028985507251</v>
      </c>
    </row>
    <row r="373" spans="1:23" s="38" customFormat="1" ht="12.75">
      <c r="A373" s="42" t="s">
        <v>371</v>
      </c>
      <c r="B373" s="37">
        <v>18</v>
      </c>
      <c r="C373" s="38">
        <v>124</v>
      </c>
      <c r="D373" s="39" t="s">
        <v>436</v>
      </c>
      <c r="E373" s="37">
        <v>4</v>
      </c>
      <c r="F373" s="3">
        <v>2358</v>
      </c>
      <c r="G373" s="3">
        <v>2179</v>
      </c>
      <c r="H373" s="3">
        <v>1002</v>
      </c>
      <c r="I373" s="3">
        <v>475</v>
      </c>
      <c r="J373" s="3">
        <v>200</v>
      </c>
      <c r="K373" s="3">
        <v>1185</v>
      </c>
      <c r="L373" s="3">
        <v>985</v>
      </c>
      <c r="M373" s="3">
        <v>981</v>
      </c>
      <c r="N373" s="40">
        <v>524.51</v>
      </c>
      <c r="O373" s="40">
        <v>314600</v>
      </c>
      <c r="P373" s="38">
        <v>258.49374085709997</v>
      </c>
      <c r="Q373" s="38">
        <v>11</v>
      </c>
      <c r="R373" s="38">
        <f t="shared" si="5"/>
        <v>4.1543535871575372</v>
      </c>
      <c r="S373" s="41">
        <f>Rådatakommune[[#This Row],[B12]]/Rådatakommune[[#This Row],[B02]]-1</f>
        <v>-7.5911789652247652E-2</v>
      </c>
      <c r="T373" s="41">
        <f>Rådatakommune[[#This Row],[Kvinner20-39]]/Rådatakommune[[#This Row],[B12]]</f>
        <v>9.1785222579164757E-2</v>
      </c>
      <c r="U373" s="41">
        <f>Rådatakommune[[#This Row],[Eldre67+]]/Rådatakommune[[#This Row],[B12]]</f>
        <v>0.21798990362551629</v>
      </c>
      <c r="V373" s="41">
        <f>Rådatakommune[[#This Row],[S11]]/Rådatakommune[[#This Row],[S01]]-1</f>
        <v>-4.0609137055837019E-3</v>
      </c>
      <c r="W373" s="41">
        <f>Rådatakommune[[#This Row],[Y11]]/Rådatakommune[[#This Row],[Folk20-64]]</f>
        <v>0.84556962025316451</v>
      </c>
    </row>
    <row r="374" spans="1:23" s="38" customFormat="1" ht="12.75">
      <c r="A374" s="42" t="s">
        <v>372</v>
      </c>
      <c r="B374" s="37">
        <v>18</v>
      </c>
      <c r="C374" s="38">
        <v>133</v>
      </c>
      <c r="D374" s="39" t="s">
        <v>436</v>
      </c>
      <c r="E374" s="37">
        <v>4</v>
      </c>
      <c r="F374" s="3">
        <v>1477</v>
      </c>
      <c r="G374" s="3">
        <v>1284</v>
      </c>
      <c r="H374" s="3">
        <v>580</v>
      </c>
      <c r="I374" s="3">
        <v>287</v>
      </c>
      <c r="J374" s="3">
        <v>110</v>
      </c>
      <c r="K374" s="3">
        <v>681</v>
      </c>
      <c r="L374" s="3">
        <v>502</v>
      </c>
      <c r="M374" s="3">
        <v>530</v>
      </c>
      <c r="N374" s="40">
        <v>318.16999999999996</v>
      </c>
      <c r="O374" s="40">
        <v>303100</v>
      </c>
      <c r="P374" s="38">
        <v>223.53373469069999</v>
      </c>
      <c r="Q374" s="38">
        <v>5</v>
      </c>
      <c r="R374" s="38">
        <f t="shared" si="5"/>
        <v>4.0355784643429615</v>
      </c>
      <c r="S374" s="41">
        <f>Rådatakommune[[#This Row],[B12]]/Rådatakommune[[#This Row],[B02]]-1</f>
        <v>-0.13067027758970884</v>
      </c>
      <c r="T374" s="41">
        <f>Rådatakommune[[#This Row],[Kvinner20-39]]/Rådatakommune[[#This Row],[B12]]</f>
        <v>8.566978193146417E-2</v>
      </c>
      <c r="U374" s="41">
        <f>Rådatakommune[[#This Row],[Eldre67+]]/Rådatakommune[[#This Row],[B12]]</f>
        <v>0.2235202492211838</v>
      </c>
      <c r="V374" s="41">
        <f>Rådatakommune[[#This Row],[S11]]/Rådatakommune[[#This Row],[S01]]-1</f>
        <v>5.5776892430278835E-2</v>
      </c>
      <c r="W374" s="41">
        <f>Rådatakommune[[#This Row],[Y11]]/Rådatakommune[[#This Row],[Folk20-64]]</f>
        <v>0.85168869309838469</v>
      </c>
    </row>
    <row r="375" spans="1:23" s="38" customFormat="1" ht="12.75">
      <c r="A375" s="42" t="s">
        <v>373</v>
      </c>
      <c r="B375" s="37">
        <v>18</v>
      </c>
      <c r="C375" s="38">
        <v>133</v>
      </c>
      <c r="D375" s="39" t="s">
        <v>436</v>
      </c>
      <c r="E375" s="37">
        <v>4</v>
      </c>
      <c r="F375" s="3">
        <v>1508</v>
      </c>
      <c r="G375" s="3">
        <v>1359</v>
      </c>
      <c r="H375" s="3">
        <v>604</v>
      </c>
      <c r="I375" s="3">
        <v>271</v>
      </c>
      <c r="J375" s="3">
        <v>113</v>
      </c>
      <c r="K375" s="3">
        <v>729</v>
      </c>
      <c r="L375" s="3">
        <v>696</v>
      </c>
      <c r="M375" s="3">
        <v>632</v>
      </c>
      <c r="N375" s="40">
        <v>252.31</v>
      </c>
      <c r="O375" s="40">
        <v>298800</v>
      </c>
      <c r="P375" s="38">
        <v>210.87046246760002</v>
      </c>
      <c r="Q375" s="38">
        <v>5</v>
      </c>
      <c r="R375" s="38">
        <f t="shared" si="5"/>
        <v>5.3862312234949066</v>
      </c>
      <c r="S375" s="41">
        <f>Rådatakommune[[#This Row],[B12]]/Rådatakommune[[#This Row],[B02]]-1</f>
        <v>-9.8806366047745398E-2</v>
      </c>
      <c r="T375" s="41">
        <f>Rådatakommune[[#This Row],[Kvinner20-39]]/Rådatakommune[[#This Row],[B12]]</f>
        <v>8.3149374540103016E-2</v>
      </c>
      <c r="U375" s="41">
        <f>Rådatakommune[[#This Row],[Eldre67+]]/Rådatakommune[[#This Row],[B12]]</f>
        <v>0.19941133186166299</v>
      </c>
      <c r="V375" s="41">
        <f>Rådatakommune[[#This Row],[S11]]/Rådatakommune[[#This Row],[S01]]-1</f>
        <v>-9.1954022988505746E-2</v>
      </c>
      <c r="W375" s="41">
        <f>Rådatakommune[[#This Row],[Y11]]/Rådatakommune[[#This Row],[Folk20-64]]</f>
        <v>0.82853223593964331</v>
      </c>
    </row>
    <row r="376" spans="1:23" s="38" customFormat="1" ht="12.75">
      <c r="A376" s="42" t="s">
        <v>374</v>
      </c>
      <c r="B376" s="37">
        <v>18</v>
      </c>
      <c r="C376" s="38">
        <v>107</v>
      </c>
      <c r="D376" s="39" t="s">
        <v>436</v>
      </c>
      <c r="E376" s="37">
        <v>4</v>
      </c>
      <c r="F376" s="3">
        <v>2679</v>
      </c>
      <c r="G376" s="3">
        <v>2616</v>
      </c>
      <c r="H376" s="3">
        <v>1127</v>
      </c>
      <c r="I376" s="3">
        <v>488</v>
      </c>
      <c r="J376" s="3">
        <v>236</v>
      </c>
      <c r="K376" s="3">
        <v>1428</v>
      </c>
      <c r="L376" s="3">
        <v>912</v>
      </c>
      <c r="M376" s="3">
        <v>852</v>
      </c>
      <c r="N376" s="40">
        <v>930.84</v>
      </c>
      <c r="O376" s="40">
        <v>291600</v>
      </c>
      <c r="P376" s="38">
        <v>292.82049093099999</v>
      </c>
      <c r="Q376" s="38">
        <v>5</v>
      </c>
      <c r="R376" s="38">
        <f t="shared" si="5"/>
        <v>2.8103648317648573</v>
      </c>
      <c r="S376" s="41">
        <f>Rådatakommune[[#This Row],[B12]]/Rådatakommune[[#This Row],[B02]]-1</f>
        <v>-2.3516237402015694E-2</v>
      </c>
      <c r="T376" s="41">
        <f>Rådatakommune[[#This Row],[Kvinner20-39]]/Rådatakommune[[#This Row],[B12]]</f>
        <v>9.0214067278287458E-2</v>
      </c>
      <c r="U376" s="41">
        <f>Rådatakommune[[#This Row],[Eldre67+]]/Rådatakommune[[#This Row],[B12]]</f>
        <v>0.18654434250764526</v>
      </c>
      <c r="V376" s="41">
        <f>Rådatakommune[[#This Row],[S11]]/Rådatakommune[[#This Row],[S01]]-1</f>
        <v>-6.5789473684210509E-2</v>
      </c>
      <c r="W376" s="41">
        <f>Rådatakommune[[#This Row],[Y11]]/Rådatakommune[[#This Row],[Folk20-64]]</f>
        <v>0.78921568627450978</v>
      </c>
    </row>
    <row r="377" spans="1:23" s="38" customFormat="1" ht="12.75">
      <c r="A377" s="42" t="s">
        <v>375</v>
      </c>
      <c r="B377" s="37">
        <v>18</v>
      </c>
      <c r="C377" s="38">
        <v>125</v>
      </c>
      <c r="D377" s="39" t="s">
        <v>436</v>
      </c>
      <c r="E377" s="37">
        <v>4</v>
      </c>
      <c r="F377" s="3">
        <v>649</v>
      </c>
      <c r="G377" s="3">
        <v>595</v>
      </c>
      <c r="H377" s="3">
        <v>303</v>
      </c>
      <c r="I377" s="3">
        <v>87</v>
      </c>
      <c r="J377" s="3">
        <v>70</v>
      </c>
      <c r="K377" s="3">
        <v>348</v>
      </c>
      <c r="L377" s="3">
        <v>310</v>
      </c>
      <c r="M377" s="3">
        <v>290</v>
      </c>
      <c r="N377" s="40">
        <v>10.46</v>
      </c>
      <c r="O377" s="40">
        <v>313900</v>
      </c>
      <c r="P377" s="38">
        <v>241.53038907685001</v>
      </c>
      <c r="Q377" s="38">
        <v>11</v>
      </c>
      <c r="R377" s="38">
        <f t="shared" si="5"/>
        <v>56.883365200764814</v>
      </c>
      <c r="S377" s="41">
        <f>Rådatakommune[[#This Row],[B12]]/Rådatakommune[[#This Row],[B02]]-1</f>
        <v>-8.3204930662557741E-2</v>
      </c>
      <c r="T377" s="41">
        <f>Rådatakommune[[#This Row],[Kvinner20-39]]/Rådatakommune[[#This Row],[B12]]</f>
        <v>0.11764705882352941</v>
      </c>
      <c r="U377" s="41">
        <f>Rådatakommune[[#This Row],[Eldre67+]]/Rådatakommune[[#This Row],[B12]]</f>
        <v>0.14621848739495799</v>
      </c>
      <c r="V377" s="41">
        <f>Rådatakommune[[#This Row],[S11]]/Rådatakommune[[#This Row],[S01]]-1</f>
        <v>-6.4516129032258118E-2</v>
      </c>
      <c r="W377" s="41">
        <f>Rådatakommune[[#This Row],[Y11]]/Rådatakommune[[#This Row],[Folk20-64]]</f>
        <v>0.87068965517241381</v>
      </c>
    </row>
    <row r="378" spans="1:23" s="38" customFormat="1" ht="12.75">
      <c r="A378" s="42" t="s">
        <v>376</v>
      </c>
      <c r="B378" s="37">
        <v>18</v>
      </c>
      <c r="C378" s="38">
        <v>126</v>
      </c>
      <c r="D378" s="39" t="s">
        <v>436</v>
      </c>
      <c r="E378" s="37">
        <v>4</v>
      </c>
      <c r="F378" s="3">
        <v>770</v>
      </c>
      <c r="G378" s="3">
        <v>751</v>
      </c>
      <c r="H378" s="3">
        <v>378</v>
      </c>
      <c r="I378" s="3">
        <v>127</v>
      </c>
      <c r="J378" s="3">
        <v>89</v>
      </c>
      <c r="K378" s="3">
        <v>428</v>
      </c>
      <c r="L378" s="3">
        <v>388</v>
      </c>
      <c r="M378" s="3">
        <v>373</v>
      </c>
      <c r="N378" s="40">
        <v>18.529999999999998</v>
      </c>
      <c r="O378" s="40">
        <v>325000</v>
      </c>
      <c r="P378" s="38">
        <v>248.39309006892</v>
      </c>
      <c r="Q378" s="38">
        <v>11</v>
      </c>
      <c r="R378" s="38">
        <f t="shared" si="5"/>
        <v>40.528872099298439</v>
      </c>
      <c r="S378" s="41">
        <f>Rådatakommune[[#This Row],[B12]]/Rådatakommune[[#This Row],[B02]]-1</f>
        <v>-2.4675324675324628E-2</v>
      </c>
      <c r="T378" s="41">
        <f>Rådatakommune[[#This Row],[Kvinner20-39]]/Rådatakommune[[#This Row],[B12]]</f>
        <v>0.118508655126498</v>
      </c>
      <c r="U378" s="41">
        <f>Rådatakommune[[#This Row],[Eldre67+]]/Rådatakommune[[#This Row],[B12]]</f>
        <v>0.16910785619174434</v>
      </c>
      <c r="V378" s="41">
        <f>Rådatakommune[[#This Row],[S11]]/Rådatakommune[[#This Row],[S01]]-1</f>
        <v>-3.8659793814432963E-2</v>
      </c>
      <c r="W378" s="41">
        <f>Rådatakommune[[#This Row],[Y11]]/Rådatakommune[[#This Row],[Folk20-64]]</f>
        <v>0.88317757009345799</v>
      </c>
    </row>
    <row r="379" spans="1:23" s="38" customFormat="1" ht="12.75">
      <c r="A379" s="42" t="s">
        <v>377</v>
      </c>
      <c r="B379" s="37">
        <v>18</v>
      </c>
      <c r="C379" s="38">
        <v>127</v>
      </c>
      <c r="D379" s="39" t="s">
        <v>436</v>
      </c>
      <c r="E379" s="37">
        <v>4</v>
      </c>
      <c r="F379" s="3">
        <v>1540</v>
      </c>
      <c r="G379" s="3">
        <v>1383</v>
      </c>
      <c r="H379" s="3">
        <v>663</v>
      </c>
      <c r="I379" s="3">
        <v>275</v>
      </c>
      <c r="J379" s="3">
        <v>118</v>
      </c>
      <c r="K379" s="3">
        <v>717</v>
      </c>
      <c r="L379" s="3">
        <v>582</v>
      </c>
      <c r="M379" s="3">
        <v>600</v>
      </c>
      <c r="N379" s="40">
        <v>178.14000000000001</v>
      </c>
      <c r="O379" s="40">
        <v>301800</v>
      </c>
      <c r="P379" s="38">
        <v>267.30795825280001</v>
      </c>
      <c r="Q379" s="38">
        <v>9</v>
      </c>
      <c r="R379" s="38">
        <f t="shared" si="5"/>
        <v>7.7635567531155267</v>
      </c>
      <c r="S379" s="41">
        <f>Rådatakommune[[#This Row],[B12]]/Rådatakommune[[#This Row],[B02]]-1</f>
        <v>-0.1019480519480519</v>
      </c>
      <c r="T379" s="41">
        <f>Rådatakommune[[#This Row],[Kvinner20-39]]/Rådatakommune[[#This Row],[B12]]</f>
        <v>8.5321764280549536E-2</v>
      </c>
      <c r="U379" s="41">
        <f>Rådatakommune[[#This Row],[Eldre67+]]/Rådatakommune[[#This Row],[B12]]</f>
        <v>0.19884309472161968</v>
      </c>
      <c r="V379" s="41">
        <f>Rådatakommune[[#This Row],[S11]]/Rådatakommune[[#This Row],[S01]]-1</f>
        <v>3.0927835051546282E-2</v>
      </c>
      <c r="W379" s="41">
        <f>Rådatakommune[[#This Row],[Y11]]/Rådatakommune[[#This Row],[Folk20-64]]</f>
        <v>0.92468619246861927</v>
      </c>
    </row>
    <row r="380" spans="1:23" s="38" customFormat="1" ht="12.75">
      <c r="A380" s="42" t="s">
        <v>378</v>
      </c>
      <c r="B380" s="37">
        <v>18</v>
      </c>
      <c r="C380" s="38">
        <v>127</v>
      </c>
      <c r="D380" s="39" t="s">
        <v>436</v>
      </c>
      <c r="E380" s="37">
        <v>4</v>
      </c>
      <c r="F380" s="3">
        <v>10668</v>
      </c>
      <c r="G380" s="3">
        <v>10848</v>
      </c>
      <c r="H380" s="3">
        <v>5298</v>
      </c>
      <c r="I380" s="3">
        <v>1673</v>
      </c>
      <c r="J380" s="3">
        <v>1170</v>
      </c>
      <c r="K380" s="3">
        <v>5986</v>
      </c>
      <c r="L380" s="3">
        <v>4449</v>
      </c>
      <c r="M380" s="3">
        <v>5135</v>
      </c>
      <c r="N380" s="40">
        <v>423.36</v>
      </c>
      <c r="O380" s="40">
        <v>310100</v>
      </c>
      <c r="P380" s="38">
        <v>241.53765751212001</v>
      </c>
      <c r="Q380" s="38">
        <v>9</v>
      </c>
      <c r="R380" s="38">
        <f t="shared" si="5"/>
        <v>25.62358276643991</v>
      </c>
      <c r="S380" s="41">
        <f>Rådatakommune[[#This Row],[B12]]/Rådatakommune[[#This Row],[B02]]-1</f>
        <v>1.6872890888638858E-2</v>
      </c>
      <c r="T380" s="41">
        <f>Rådatakommune[[#This Row],[Kvinner20-39]]/Rådatakommune[[#This Row],[B12]]</f>
        <v>0.10785398230088496</v>
      </c>
      <c r="U380" s="41">
        <f>Rådatakommune[[#This Row],[Eldre67+]]/Rådatakommune[[#This Row],[B12]]</f>
        <v>0.15422197640117993</v>
      </c>
      <c r="V380" s="41">
        <f>Rådatakommune[[#This Row],[S11]]/Rådatakommune[[#This Row],[S01]]-1</f>
        <v>0.15419195324792079</v>
      </c>
      <c r="W380" s="41">
        <f>Rådatakommune[[#This Row],[Y11]]/Rådatakommune[[#This Row],[Folk20-64]]</f>
        <v>0.88506515202138325</v>
      </c>
    </row>
    <row r="381" spans="1:23" s="38" customFormat="1" ht="12.75">
      <c r="A381" s="42" t="s">
        <v>379</v>
      </c>
      <c r="B381" s="37">
        <v>18</v>
      </c>
      <c r="C381" s="38">
        <v>128</v>
      </c>
      <c r="D381" s="39" t="s">
        <v>436</v>
      </c>
      <c r="E381" s="37">
        <v>4</v>
      </c>
      <c r="F381" s="3">
        <v>9094</v>
      </c>
      <c r="G381" s="3">
        <v>9086</v>
      </c>
      <c r="H381" s="3">
        <v>4578</v>
      </c>
      <c r="I381" s="3">
        <v>1372</v>
      </c>
      <c r="J381" s="3">
        <v>1030</v>
      </c>
      <c r="K381" s="3">
        <v>5265</v>
      </c>
      <c r="L381" s="3">
        <v>4167</v>
      </c>
      <c r="M381" s="3">
        <v>4463</v>
      </c>
      <c r="N381" s="40">
        <v>477.71000000000004</v>
      </c>
      <c r="O381" s="40">
        <v>316700</v>
      </c>
      <c r="P381" s="38">
        <v>245.31326180874001</v>
      </c>
      <c r="Q381" s="38">
        <v>7</v>
      </c>
      <c r="R381" s="38">
        <f t="shared" si="5"/>
        <v>19.019907475246487</v>
      </c>
      <c r="S381" s="41">
        <f>Rådatakommune[[#This Row],[B12]]/Rådatakommune[[#This Row],[B02]]-1</f>
        <v>-8.7970090169342541E-4</v>
      </c>
      <c r="T381" s="41">
        <f>Rådatakommune[[#This Row],[Kvinner20-39]]/Rådatakommune[[#This Row],[B12]]</f>
        <v>0.11336121505613031</v>
      </c>
      <c r="U381" s="41">
        <f>Rådatakommune[[#This Row],[Eldre67+]]/Rådatakommune[[#This Row],[B12]]</f>
        <v>0.15100154083204931</v>
      </c>
      <c r="V381" s="41">
        <f>Rådatakommune[[#This Row],[S11]]/Rådatakommune[[#This Row],[S01]]-1</f>
        <v>7.1034317254619728E-2</v>
      </c>
      <c r="W381" s="41">
        <f>Rådatakommune[[#This Row],[Y11]]/Rådatakommune[[#This Row],[Folk20-64]]</f>
        <v>0.8695156695156695</v>
      </c>
    </row>
    <row r="382" spans="1:23" s="38" customFormat="1" ht="12.75">
      <c r="A382" s="42" t="s">
        <v>380</v>
      </c>
      <c r="B382" s="37">
        <v>18</v>
      </c>
      <c r="C382" s="38">
        <v>129</v>
      </c>
      <c r="D382" s="39" t="s">
        <v>436</v>
      </c>
      <c r="E382" s="37">
        <v>4</v>
      </c>
      <c r="F382" s="3">
        <v>8131</v>
      </c>
      <c r="G382" s="3">
        <v>7937</v>
      </c>
      <c r="H382" s="3">
        <v>3923</v>
      </c>
      <c r="I382" s="3">
        <v>1324</v>
      </c>
      <c r="J382" s="3">
        <v>835</v>
      </c>
      <c r="K382" s="3">
        <v>4476</v>
      </c>
      <c r="L382" s="3">
        <v>3385</v>
      </c>
      <c r="M382" s="3">
        <v>3710</v>
      </c>
      <c r="N382" s="40">
        <v>566.44000000000005</v>
      </c>
      <c r="O382" s="40">
        <v>320900</v>
      </c>
      <c r="P382" s="38">
        <v>253.85781869707</v>
      </c>
      <c r="Q382" s="38">
        <v>8</v>
      </c>
      <c r="R382" s="38">
        <f t="shared" si="5"/>
        <v>14.012075418402654</v>
      </c>
      <c r="S382" s="41">
        <f>Rådatakommune[[#This Row],[B12]]/Rådatakommune[[#This Row],[B02]]-1</f>
        <v>-2.3859303898659423E-2</v>
      </c>
      <c r="T382" s="41">
        <f>Rådatakommune[[#This Row],[Kvinner20-39]]/Rådatakommune[[#This Row],[B12]]</f>
        <v>0.10520347738440217</v>
      </c>
      <c r="U382" s="41">
        <f>Rådatakommune[[#This Row],[Eldre67+]]/Rådatakommune[[#This Row],[B12]]</f>
        <v>0.16681365755323169</v>
      </c>
      <c r="V382" s="41">
        <f>Rådatakommune[[#This Row],[S11]]/Rådatakommune[[#This Row],[S01]]-1</f>
        <v>9.6011816838995623E-2</v>
      </c>
      <c r="W382" s="41">
        <f>Rådatakommune[[#This Row],[Y11]]/Rådatakommune[[#This Row],[Folk20-64]]</f>
        <v>0.87645218945487047</v>
      </c>
    </row>
    <row r="383" spans="1:23" s="38" customFormat="1" ht="12.75">
      <c r="A383" s="42" t="s">
        <v>381</v>
      </c>
      <c r="B383" s="37">
        <v>18</v>
      </c>
      <c r="C383" s="38">
        <v>129</v>
      </c>
      <c r="D383" s="39" t="s">
        <v>436</v>
      </c>
      <c r="E383" s="37">
        <v>4</v>
      </c>
      <c r="F383" s="3">
        <v>3159</v>
      </c>
      <c r="G383" s="3">
        <v>2720</v>
      </c>
      <c r="H383" s="3">
        <v>1128</v>
      </c>
      <c r="I383" s="3">
        <v>679</v>
      </c>
      <c r="J383" s="3">
        <v>226</v>
      </c>
      <c r="K383" s="3">
        <v>1387</v>
      </c>
      <c r="L383" s="3">
        <v>1171</v>
      </c>
      <c r="M383" s="3">
        <v>953</v>
      </c>
      <c r="N383" s="40">
        <v>247.23000000000002</v>
      </c>
      <c r="O383" s="40">
        <v>273600</v>
      </c>
      <c r="P383" s="38">
        <v>311.784187116</v>
      </c>
      <c r="Q383" s="38">
        <v>8</v>
      </c>
      <c r="R383" s="38">
        <f t="shared" si="5"/>
        <v>11.001901063786756</v>
      </c>
      <c r="S383" s="41">
        <f>Rådatakommune[[#This Row],[B12]]/Rådatakommune[[#This Row],[B02]]-1</f>
        <v>-0.13896802785691675</v>
      </c>
      <c r="T383" s="41">
        <f>Rådatakommune[[#This Row],[Kvinner20-39]]/Rådatakommune[[#This Row],[B12]]</f>
        <v>8.3088235294117643E-2</v>
      </c>
      <c r="U383" s="41">
        <f>Rådatakommune[[#This Row],[Eldre67+]]/Rådatakommune[[#This Row],[B12]]</f>
        <v>0.24963235294117647</v>
      </c>
      <c r="V383" s="41">
        <f>Rådatakommune[[#This Row],[S11]]/Rådatakommune[[#This Row],[S01]]-1</f>
        <v>-0.18616567036720755</v>
      </c>
      <c r="W383" s="41">
        <f>Rådatakommune[[#This Row],[Y11]]/Rådatakommune[[#This Row],[Folk20-64]]</f>
        <v>0.8132660418168709</v>
      </c>
    </row>
    <row r="384" spans="1:23" s="38" customFormat="1" ht="12.75">
      <c r="A384" s="42" t="s">
        <v>382</v>
      </c>
      <c r="B384" s="37">
        <v>18</v>
      </c>
      <c r="C384" s="38">
        <v>129</v>
      </c>
      <c r="D384" s="39" t="s">
        <v>436</v>
      </c>
      <c r="E384" s="37">
        <v>4</v>
      </c>
      <c r="F384" s="3">
        <v>4687</v>
      </c>
      <c r="G384" s="3">
        <v>4467</v>
      </c>
      <c r="H384" s="3">
        <v>2209</v>
      </c>
      <c r="I384" s="3">
        <v>689</v>
      </c>
      <c r="J384" s="3">
        <v>486</v>
      </c>
      <c r="K384" s="3">
        <v>2527</v>
      </c>
      <c r="L384" s="3">
        <v>2006</v>
      </c>
      <c r="M384" s="3">
        <v>2047</v>
      </c>
      <c r="N384" s="40">
        <v>319.12</v>
      </c>
      <c r="O384" s="40">
        <v>322600</v>
      </c>
      <c r="P384" s="38">
        <v>301.65483854989998</v>
      </c>
      <c r="Q384" s="38">
        <v>8</v>
      </c>
      <c r="R384" s="38">
        <f t="shared" si="5"/>
        <v>13.997869140135371</v>
      </c>
      <c r="S384" s="41">
        <f>Rådatakommune[[#This Row],[B12]]/Rådatakommune[[#This Row],[B02]]-1</f>
        <v>-4.6938340089609509E-2</v>
      </c>
      <c r="T384" s="41">
        <f>Rådatakommune[[#This Row],[Kvinner20-39]]/Rådatakommune[[#This Row],[B12]]</f>
        <v>0.10879785090664876</v>
      </c>
      <c r="U384" s="41">
        <f>Rådatakommune[[#This Row],[Eldre67+]]/Rådatakommune[[#This Row],[B12]]</f>
        <v>0.15424222072979629</v>
      </c>
      <c r="V384" s="41">
        <f>Rådatakommune[[#This Row],[S11]]/Rådatakommune[[#This Row],[S01]]-1</f>
        <v>2.0438683948155623E-2</v>
      </c>
      <c r="W384" s="41">
        <f>Rådatakommune[[#This Row],[Y11]]/Rådatakommune[[#This Row],[Folk20-64]]</f>
        <v>0.87415908191531455</v>
      </c>
    </row>
    <row r="385" spans="1:23" s="38" customFormat="1" ht="12.75">
      <c r="A385" s="42" t="s">
        <v>383</v>
      </c>
      <c r="B385" s="37">
        <v>18</v>
      </c>
      <c r="C385" s="38">
        <v>129</v>
      </c>
      <c r="D385" s="39" t="s">
        <v>436</v>
      </c>
      <c r="E385" s="37">
        <v>4</v>
      </c>
      <c r="F385" s="3">
        <v>9408</v>
      </c>
      <c r="G385" s="3">
        <v>9983</v>
      </c>
      <c r="H385" s="3">
        <v>5007</v>
      </c>
      <c r="I385" s="3">
        <v>1260</v>
      </c>
      <c r="J385" s="3">
        <v>1160</v>
      </c>
      <c r="K385" s="3">
        <v>5783</v>
      </c>
      <c r="L385" s="3">
        <v>4950</v>
      </c>
      <c r="M385" s="3">
        <v>5093</v>
      </c>
      <c r="N385" s="40">
        <v>722.37</v>
      </c>
      <c r="O385" s="40">
        <v>325200</v>
      </c>
      <c r="P385" s="38">
        <v>266.07809050419996</v>
      </c>
      <c r="Q385" s="38">
        <v>8</v>
      </c>
      <c r="R385" s="38">
        <f t="shared" si="5"/>
        <v>13.819787643451416</v>
      </c>
      <c r="S385" s="41">
        <f>Rådatakommune[[#This Row],[B12]]/Rådatakommune[[#This Row],[B02]]-1</f>
        <v>6.1118197278911657E-2</v>
      </c>
      <c r="T385" s="41">
        <f>Rådatakommune[[#This Row],[Kvinner20-39]]/Rådatakommune[[#This Row],[B12]]</f>
        <v>0.11619753581087849</v>
      </c>
      <c r="U385" s="41">
        <f>Rådatakommune[[#This Row],[Eldre67+]]/Rådatakommune[[#This Row],[B12]]</f>
        <v>0.12621456476009216</v>
      </c>
      <c r="V385" s="41">
        <f>Rådatakommune[[#This Row],[S11]]/Rådatakommune[[#This Row],[S01]]-1</f>
        <v>2.8888888888888964E-2</v>
      </c>
      <c r="W385" s="41">
        <f>Rådatakommune[[#This Row],[Y11]]/Rådatakommune[[#This Row],[Folk20-64]]</f>
        <v>0.86581359156147331</v>
      </c>
    </row>
    <row r="386" spans="1:23" s="38" customFormat="1" ht="12.75">
      <c r="A386" s="42" t="s">
        <v>384</v>
      </c>
      <c r="B386" s="37">
        <v>18</v>
      </c>
      <c r="C386" s="38">
        <v>130</v>
      </c>
      <c r="D386" s="39" t="s">
        <v>436</v>
      </c>
      <c r="E386" s="37">
        <v>4</v>
      </c>
      <c r="F386" s="3">
        <v>5549</v>
      </c>
      <c r="G386" s="3">
        <v>5032</v>
      </c>
      <c r="H386" s="3">
        <v>2357</v>
      </c>
      <c r="I386" s="3">
        <v>942</v>
      </c>
      <c r="J386" s="3">
        <v>473</v>
      </c>
      <c r="K386" s="3">
        <v>2748</v>
      </c>
      <c r="L386" s="3">
        <v>2585</v>
      </c>
      <c r="M386" s="3">
        <v>2497</v>
      </c>
      <c r="N386" s="40">
        <v>655.68999999999994</v>
      </c>
      <c r="O386" s="40">
        <v>318900</v>
      </c>
      <c r="P386" s="38">
        <v>251.44344475393001</v>
      </c>
      <c r="Q386" s="38">
        <v>9</v>
      </c>
      <c r="R386" s="38">
        <f t="shared" si="5"/>
        <v>7.6743583095670216</v>
      </c>
      <c r="S386" s="41">
        <f>Rådatakommune[[#This Row],[B12]]/Rådatakommune[[#This Row],[B02]]-1</f>
        <v>-9.316994052982519E-2</v>
      </c>
      <c r="T386" s="41">
        <f>Rådatakommune[[#This Row],[Kvinner20-39]]/Rådatakommune[[#This Row],[B12]]</f>
        <v>9.3998410174880767E-2</v>
      </c>
      <c r="U386" s="41">
        <f>Rådatakommune[[#This Row],[Eldre67+]]/Rådatakommune[[#This Row],[B12]]</f>
        <v>0.18720190779014309</v>
      </c>
      <c r="V386" s="41">
        <f>Rådatakommune[[#This Row],[S11]]/Rådatakommune[[#This Row],[S01]]-1</f>
        <v>-3.4042553191489411E-2</v>
      </c>
      <c r="W386" s="41">
        <f>Rådatakommune[[#This Row],[Y11]]/Rådatakommune[[#This Row],[Folk20-64]]</f>
        <v>0.85771470160116448</v>
      </c>
    </row>
    <row r="387" spans="1:23" s="38" customFormat="1" ht="12.75">
      <c r="A387" s="42" t="s">
        <v>385</v>
      </c>
      <c r="B387" s="37">
        <v>18</v>
      </c>
      <c r="C387" s="38">
        <v>131</v>
      </c>
      <c r="D387" s="39" t="s">
        <v>436</v>
      </c>
      <c r="E387" s="37">
        <v>4</v>
      </c>
      <c r="F387" s="3">
        <v>1282</v>
      </c>
      <c r="G387" s="3">
        <v>1116</v>
      </c>
      <c r="H387" s="3">
        <v>553</v>
      </c>
      <c r="I387" s="3">
        <v>244</v>
      </c>
      <c r="J387" s="3">
        <v>111</v>
      </c>
      <c r="K387" s="3">
        <v>621</v>
      </c>
      <c r="L387" s="3">
        <v>524</v>
      </c>
      <c r="M387" s="3">
        <v>481</v>
      </c>
      <c r="N387" s="40">
        <v>118.58000000000001</v>
      </c>
      <c r="O387" s="40">
        <v>311700</v>
      </c>
      <c r="P387" s="38">
        <v>290.22977776059997</v>
      </c>
      <c r="Q387" s="38">
        <v>11</v>
      </c>
      <c r="R387" s="38">
        <f t="shared" ref="R387:R430" si="6">G387/N387</f>
        <v>9.4113678529262934</v>
      </c>
      <c r="S387" s="41">
        <f>Rådatakommune[[#This Row],[B12]]/Rådatakommune[[#This Row],[B02]]-1</f>
        <v>-0.1294851794071763</v>
      </c>
      <c r="T387" s="41">
        <f>Rådatakommune[[#This Row],[Kvinner20-39]]/Rådatakommune[[#This Row],[B12]]</f>
        <v>9.9462365591397844E-2</v>
      </c>
      <c r="U387" s="41">
        <f>Rådatakommune[[#This Row],[Eldre67+]]/Rådatakommune[[#This Row],[B12]]</f>
        <v>0.21863799283154123</v>
      </c>
      <c r="V387" s="41">
        <f>Rådatakommune[[#This Row],[S11]]/Rådatakommune[[#This Row],[S01]]-1</f>
        <v>-8.206106870229013E-2</v>
      </c>
      <c r="W387" s="41">
        <f>Rådatakommune[[#This Row],[Y11]]/Rådatakommune[[#This Row],[Folk20-64]]</f>
        <v>0.89049919484702089</v>
      </c>
    </row>
    <row r="388" spans="1:23" s="38" customFormat="1" ht="12.75">
      <c r="A388" s="42" t="s">
        <v>386</v>
      </c>
      <c r="B388" s="37">
        <v>19</v>
      </c>
      <c r="C388" s="38">
        <v>132</v>
      </c>
      <c r="D388" s="39" t="s">
        <v>433</v>
      </c>
      <c r="E388" s="37" t="s">
        <v>437</v>
      </c>
      <c r="F388" s="3">
        <v>60524</v>
      </c>
      <c r="G388" s="3">
        <v>69116</v>
      </c>
      <c r="H388" s="3">
        <v>37861</v>
      </c>
      <c r="I388" s="3">
        <v>6508</v>
      </c>
      <c r="J388" s="3">
        <v>10153</v>
      </c>
      <c r="K388" s="3">
        <v>43571</v>
      </c>
      <c r="L388" s="3">
        <v>35184</v>
      </c>
      <c r="M388" s="3">
        <v>39693</v>
      </c>
      <c r="N388" s="40">
        <v>2520.11</v>
      </c>
      <c r="O388" s="40">
        <v>355900</v>
      </c>
      <c r="P388" s="38">
        <v>216.34609367482</v>
      </c>
      <c r="Q388" s="38">
        <v>4</v>
      </c>
      <c r="R388" s="38">
        <f t="shared" si="6"/>
        <v>27.425786969616404</v>
      </c>
      <c r="S388" s="41">
        <f>Rådatakommune[[#This Row],[B12]]/Rådatakommune[[#This Row],[B02]]-1</f>
        <v>0.14196021412993187</v>
      </c>
      <c r="T388" s="41">
        <f>Rådatakommune[[#This Row],[Kvinner20-39]]/Rådatakommune[[#This Row],[B12]]</f>
        <v>0.146897968632444</v>
      </c>
      <c r="U388" s="41">
        <f>Rådatakommune[[#This Row],[Eldre67+]]/Rådatakommune[[#This Row],[B12]]</f>
        <v>9.4160541698014938E-2</v>
      </c>
      <c r="V388" s="41">
        <f>Rådatakommune[[#This Row],[S11]]/Rådatakommune[[#This Row],[S01]]-1</f>
        <v>0.12815484311050485</v>
      </c>
      <c r="W388" s="41">
        <f>Rådatakommune[[#This Row],[Y11]]/Rådatakommune[[#This Row],[Folk20-64]]</f>
        <v>0.86894953065112113</v>
      </c>
    </row>
    <row r="389" spans="1:23" s="38" customFormat="1" ht="12.75">
      <c r="A389" s="42" t="s">
        <v>387</v>
      </c>
      <c r="B389" s="37">
        <v>19</v>
      </c>
      <c r="C389" s="38">
        <v>133</v>
      </c>
      <c r="D389" s="39" t="s">
        <v>436</v>
      </c>
      <c r="E389" s="37">
        <v>4</v>
      </c>
      <c r="F389" s="3">
        <v>23646</v>
      </c>
      <c r="G389" s="3">
        <v>24095</v>
      </c>
      <c r="H389" s="3">
        <v>12267</v>
      </c>
      <c r="I389" s="3">
        <v>3366</v>
      </c>
      <c r="J389" s="3">
        <v>2947</v>
      </c>
      <c r="K389" s="3">
        <v>14163</v>
      </c>
      <c r="L389" s="3">
        <v>11468</v>
      </c>
      <c r="M389" s="3">
        <v>12383</v>
      </c>
      <c r="N389" s="40">
        <v>445.86</v>
      </c>
      <c r="O389" s="40">
        <v>336900</v>
      </c>
      <c r="P389" s="38">
        <v>235.3452336666</v>
      </c>
      <c r="Q389" s="38">
        <v>5</v>
      </c>
      <c r="R389" s="38">
        <f t="shared" si="6"/>
        <v>54.041627416677876</v>
      </c>
      <c r="S389" s="41">
        <f>Rådatakommune[[#This Row],[B12]]/Rådatakommune[[#This Row],[B02]]-1</f>
        <v>1.8988412416476308E-2</v>
      </c>
      <c r="T389" s="41">
        <f>Rådatakommune[[#This Row],[Kvinner20-39]]/Rådatakommune[[#This Row],[B12]]</f>
        <v>0.12230753268312929</v>
      </c>
      <c r="U389" s="41">
        <f>Rådatakommune[[#This Row],[Eldre67+]]/Rådatakommune[[#This Row],[B12]]</f>
        <v>0.13969703257937333</v>
      </c>
      <c r="V389" s="41">
        <f>Rådatakommune[[#This Row],[S11]]/Rådatakommune[[#This Row],[S01]]-1</f>
        <v>7.9787234042553168E-2</v>
      </c>
      <c r="W389" s="41">
        <f>Rådatakommune[[#This Row],[Y11]]/Rådatakommune[[#This Row],[Folk20-64]]</f>
        <v>0.86613005719127301</v>
      </c>
    </row>
    <row r="390" spans="1:23" s="38" customFormat="1" ht="12.75">
      <c r="A390" s="42" t="s">
        <v>388</v>
      </c>
      <c r="B390" s="37">
        <v>19</v>
      </c>
      <c r="C390" s="38">
        <v>133</v>
      </c>
      <c r="D390" s="39" t="s">
        <v>436</v>
      </c>
      <c r="E390" s="37">
        <v>4</v>
      </c>
      <c r="F390" s="3">
        <v>3151</v>
      </c>
      <c r="G390" s="3">
        <v>3025</v>
      </c>
      <c r="H390" s="3">
        <v>1463</v>
      </c>
      <c r="I390" s="3">
        <v>462</v>
      </c>
      <c r="J390" s="3">
        <v>319</v>
      </c>
      <c r="K390" s="3">
        <v>1714</v>
      </c>
      <c r="L390" s="3">
        <v>1362</v>
      </c>
      <c r="M390" s="3">
        <v>1219</v>
      </c>
      <c r="N390" s="40">
        <v>512.75</v>
      </c>
      <c r="O390" s="40">
        <v>294700</v>
      </c>
      <c r="P390" s="38">
        <v>248.80440292559999</v>
      </c>
      <c r="Q390" s="38">
        <v>5</v>
      </c>
      <c r="R390" s="38">
        <f t="shared" si="6"/>
        <v>5.8995611896635785</v>
      </c>
      <c r="S390" s="41">
        <f>Rådatakommune[[#This Row],[B12]]/Rådatakommune[[#This Row],[B02]]-1</f>
        <v>-3.9987305617264379E-2</v>
      </c>
      <c r="T390" s="41">
        <f>Rådatakommune[[#This Row],[Kvinner20-39]]/Rådatakommune[[#This Row],[B12]]</f>
        <v>0.10545454545454545</v>
      </c>
      <c r="U390" s="41">
        <f>Rådatakommune[[#This Row],[Eldre67+]]/Rådatakommune[[#This Row],[B12]]</f>
        <v>0.15272727272727274</v>
      </c>
      <c r="V390" s="41">
        <f>Rådatakommune[[#This Row],[S11]]/Rådatakommune[[#This Row],[S01]]-1</f>
        <v>-0.10499265785609402</v>
      </c>
      <c r="W390" s="41">
        <f>Rådatakommune[[#This Row],[Y11]]/Rådatakommune[[#This Row],[Folk20-64]]</f>
        <v>0.853558926487748</v>
      </c>
    </row>
    <row r="391" spans="1:23" s="38" customFormat="1" ht="12.75">
      <c r="A391" s="42" t="s">
        <v>389</v>
      </c>
      <c r="B391" s="37">
        <v>19</v>
      </c>
      <c r="C391" s="38">
        <v>133</v>
      </c>
      <c r="D391" s="39" t="s">
        <v>436</v>
      </c>
      <c r="E391" s="37">
        <v>4</v>
      </c>
      <c r="F391" s="3">
        <v>3064</v>
      </c>
      <c r="G391" s="3">
        <v>2972</v>
      </c>
      <c r="H391" s="3">
        <v>1433</v>
      </c>
      <c r="I391" s="3">
        <v>520</v>
      </c>
      <c r="J391" s="3">
        <v>307</v>
      </c>
      <c r="K391" s="3">
        <v>1711</v>
      </c>
      <c r="L391" s="3">
        <v>1058</v>
      </c>
      <c r="M391" s="3">
        <v>933</v>
      </c>
      <c r="N391" s="40">
        <v>495.07</v>
      </c>
      <c r="O391" s="40">
        <v>306800</v>
      </c>
      <c r="P391" s="38">
        <v>212.67000667799999</v>
      </c>
      <c r="Q391" s="38">
        <v>5</v>
      </c>
      <c r="R391" s="38">
        <f t="shared" si="6"/>
        <v>6.0031914678732301</v>
      </c>
      <c r="S391" s="41">
        <f>Rådatakommune[[#This Row],[B12]]/Rådatakommune[[#This Row],[B02]]-1</f>
        <v>-3.0026109660574396E-2</v>
      </c>
      <c r="T391" s="41">
        <f>Rådatakommune[[#This Row],[Kvinner20-39]]/Rådatakommune[[#This Row],[B12]]</f>
        <v>0.10329744279946164</v>
      </c>
      <c r="U391" s="41">
        <f>Rådatakommune[[#This Row],[Eldre67+]]/Rådatakommune[[#This Row],[B12]]</f>
        <v>0.17496635262449528</v>
      </c>
      <c r="V391" s="41">
        <f>Rådatakommune[[#This Row],[S11]]/Rådatakommune[[#This Row],[S01]]-1</f>
        <v>-0.11814744801512289</v>
      </c>
      <c r="W391" s="41">
        <f>Rådatakommune[[#This Row],[Y11]]/Rådatakommune[[#This Row],[Folk20-64]]</f>
        <v>0.83752191700759793</v>
      </c>
    </row>
    <row r="392" spans="1:23" s="38" customFormat="1" ht="12.75">
      <c r="A392" s="42" t="s">
        <v>390</v>
      </c>
      <c r="B392" s="37">
        <v>19</v>
      </c>
      <c r="C392" s="38">
        <v>134</v>
      </c>
      <c r="D392" s="39" t="s">
        <v>436</v>
      </c>
      <c r="E392" s="37">
        <v>4</v>
      </c>
      <c r="F392" s="3">
        <v>1715</v>
      </c>
      <c r="G392" s="3">
        <v>1410</v>
      </c>
      <c r="H392" s="3">
        <v>639</v>
      </c>
      <c r="I392" s="3">
        <v>362</v>
      </c>
      <c r="J392" s="3">
        <v>102</v>
      </c>
      <c r="K392" s="3">
        <v>731</v>
      </c>
      <c r="L392" s="3">
        <v>650</v>
      </c>
      <c r="M392" s="3">
        <v>566</v>
      </c>
      <c r="N392" s="40">
        <v>241.27</v>
      </c>
      <c r="O392" s="40">
        <v>279300</v>
      </c>
      <c r="P392" s="38">
        <v>289.06791315190003</v>
      </c>
      <c r="Q392" s="38">
        <v>11</v>
      </c>
      <c r="R392" s="38">
        <f t="shared" si="6"/>
        <v>5.8440751025821687</v>
      </c>
      <c r="S392" s="41">
        <f>Rådatakommune[[#This Row],[B12]]/Rådatakommune[[#This Row],[B02]]-1</f>
        <v>-0.17784256559766765</v>
      </c>
      <c r="T392" s="41">
        <f>Rådatakommune[[#This Row],[Kvinner20-39]]/Rådatakommune[[#This Row],[B12]]</f>
        <v>7.2340425531914887E-2</v>
      </c>
      <c r="U392" s="41">
        <f>Rådatakommune[[#This Row],[Eldre67+]]/Rådatakommune[[#This Row],[B12]]</f>
        <v>0.25673758865248225</v>
      </c>
      <c r="V392" s="41">
        <f>Rådatakommune[[#This Row],[S11]]/Rådatakommune[[#This Row],[S01]]-1</f>
        <v>-0.12923076923076926</v>
      </c>
      <c r="W392" s="41">
        <f>Rådatakommune[[#This Row],[Y11]]/Rådatakommune[[#This Row],[Folk20-64]]</f>
        <v>0.87414500683994523</v>
      </c>
    </row>
    <row r="393" spans="1:23" s="38" customFormat="1" ht="12.75">
      <c r="A393" s="42" t="s">
        <v>391</v>
      </c>
      <c r="B393" s="37">
        <v>19</v>
      </c>
      <c r="C393" s="38">
        <v>107</v>
      </c>
      <c r="D393" s="39" t="s">
        <v>436</v>
      </c>
      <c r="E393" s="37">
        <v>4</v>
      </c>
      <c r="F393" s="3">
        <v>1316</v>
      </c>
      <c r="G393" s="3">
        <v>1136</v>
      </c>
      <c r="H393" s="3">
        <v>500</v>
      </c>
      <c r="I393" s="3">
        <v>255</v>
      </c>
      <c r="J393" s="3">
        <v>100</v>
      </c>
      <c r="K393" s="3">
        <v>601</v>
      </c>
      <c r="L393" s="3">
        <v>437</v>
      </c>
      <c r="M393" s="3">
        <v>415</v>
      </c>
      <c r="N393" s="40">
        <v>312.77000000000004</v>
      </c>
      <c r="O393" s="40">
        <v>278800</v>
      </c>
      <c r="P393" s="38">
        <v>251.9552515629</v>
      </c>
      <c r="Q393" s="38">
        <v>5</v>
      </c>
      <c r="R393" s="38">
        <f t="shared" si="6"/>
        <v>3.6320618985196784</v>
      </c>
      <c r="S393" s="41">
        <f>Rådatakommune[[#This Row],[B12]]/Rådatakommune[[#This Row],[B02]]-1</f>
        <v>-0.13677811550151975</v>
      </c>
      <c r="T393" s="41">
        <f>Rådatakommune[[#This Row],[Kvinner20-39]]/Rådatakommune[[#This Row],[B12]]</f>
        <v>8.8028169014084501E-2</v>
      </c>
      <c r="U393" s="41">
        <f>Rådatakommune[[#This Row],[Eldre67+]]/Rådatakommune[[#This Row],[B12]]</f>
        <v>0.2244718309859155</v>
      </c>
      <c r="V393" s="41">
        <f>Rådatakommune[[#This Row],[S11]]/Rådatakommune[[#This Row],[S01]]-1</f>
        <v>-5.0343249427917569E-2</v>
      </c>
      <c r="W393" s="41">
        <f>Rådatakommune[[#This Row],[Y11]]/Rådatakommune[[#This Row],[Folk20-64]]</f>
        <v>0.83194675540765395</v>
      </c>
    </row>
    <row r="394" spans="1:23" s="38" customFormat="1" ht="12.75">
      <c r="A394" s="42" t="s">
        <v>392</v>
      </c>
      <c r="B394" s="37">
        <v>19</v>
      </c>
      <c r="C394" s="38">
        <v>135</v>
      </c>
      <c r="D394" s="39" t="s">
        <v>436</v>
      </c>
      <c r="E394" s="37">
        <v>4</v>
      </c>
      <c r="F394" s="3">
        <v>1050</v>
      </c>
      <c r="G394" s="3">
        <v>1016</v>
      </c>
      <c r="H394" s="3">
        <v>446</v>
      </c>
      <c r="I394" s="3">
        <v>209</v>
      </c>
      <c r="J394" s="3">
        <v>102</v>
      </c>
      <c r="K394" s="3">
        <v>526</v>
      </c>
      <c r="L394" s="3">
        <v>333</v>
      </c>
      <c r="M394" s="3">
        <v>328</v>
      </c>
      <c r="N394" s="40">
        <v>301.71999999999997</v>
      </c>
      <c r="O394" s="40">
        <v>282400</v>
      </c>
      <c r="P394" s="38">
        <v>261.32889302299998</v>
      </c>
      <c r="Q394" s="38">
        <v>11</v>
      </c>
      <c r="R394" s="38">
        <f t="shared" si="6"/>
        <v>3.367360466657829</v>
      </c>
      <c r="S394" s="41">
        <f>Rådatakommune[[#This Row],[B12]]/Rådatakommune[[#This Row],[B02]]-1</f>
        <v>-3.2380952380952399E-2</v>
      </c>
      <c r="T394" s="41">
        <f>Rådatakommune[[#This Row],[Kvinner20-39]]/Rådatakommune[[#This Row],[B12]]</f>
        <v>0.10039370078740158</v>
      </c>
      <c r="U394" s="41">
        <f>Rådatakommune[[#This Row],[Eldre67+]]/Rådatakommune[[#This Row],[B12]]</f>
        <v>0.20570866141732283</v>
      </c>
      <c r="V394" s="41">
        <f>Rådatakommune[[#This Row],[S11]]/Rådatakommune[[#This Row],[S01]]-1</f>
        <v>-1.501501501501501E-2</v>
      </c>
      <c r="W394" s="41">
        <f>Rådatakommune[[#This Row],[Y11]]/Rådatakommune[[#This Row],[Folk20-64]]</f>
        <v>0.84790874524714832</v>
      </c>
    </row>
    <row r="395" spans="1:23" s="38" customFormat="1" ht="12.75">
      <c r="A395" s="42" t="s">
        <v>393</v>
      </c>
      <c r="B395" s="37">
        <v>19</v>
      </c>
      <c r="C395" s="38">
        <v>136</v>
      </c>
      <c r="D395" s="39" t="s">
        <v>436</v>
      </c>
      <c r="E395" s="37">
        <v>4</v>
      </c>
      <c r="F395" s="3">
        <v>3799</v>
      </c>
      <c r="G395" s="3">
        <v>3875</v>
      </c>
      <c r="H395" s="3">
        <v>2052</v>
      </c>
      <c r="I395" s="3">
        <v>577</v>
      </c>
      <c r="J395" s="3">
        <v>470</v>
      </c>
      <c r="K395" s="3">
        <v>2210</v>
      </c>
      <c r="L395" s="3">
        <v>1757</v>
      </c>
      <c r="M395" s="3">
        <v>1883</v>
      </c>
      <c r="N395" s="40">
        <v>2703.89</v>
      </c>
      <c r="O395" s="40">
        <v>343500</v>
      </c>
      <c r="P395" s="38">
        <v>228.4405748053</v>
      </c>
      <c r="Q395" s="38">
        <v>9</v>
      </c>
      <c r="R395" s="38">
        <f t="shared" si="6"/>
        <v>1.4331204301950153</v>
      </c>
      <c r="S395" s="41">
        <f>Rådatakommune[[#This Row],[B12]]/Rådatakommune[[#This Row],[B02]]-1</f>
        <v>2.0005264543300871E-2</v>
      </c>
      <c r="T395" s="41">
        <f>Rådatakommune[[#This Row],[Kvinner20-39]]/Rådatakommune[[#This Row],[B12]]</f>
        <v>0.12129032258064516</v>
      </c>
      <c r="U395" s="41">
        <f>Rådatakommune[[#This Row],[Eldre67+]]/Rådatakommune[[#This Row],[B12]]</f>
        <v>0.1489032258064516</v>
      </c>
      <c r="V395" s="41">
        <f>Rådatakommune[[#This Row],[S11]]/Rådatakommune[[#This Row],[S01]]-1</f>
        <v>7.1713147410358502E-2</v>
      </c>
      <c r="W395" s="41">
        <f>Rådatakommune[[#This Row],[Y11]]/Rådatakommune[[#This Row],[Folk20-64]]</f>
        <v>0.92850678733031677</v>
      </c>
    </row>
    <row r="396" spans="1:23" s="38" customFormat="1" ht="12.75">
      <c r="A396" s="42" t="s">
        <v>394</v>
      </c>
      <c r="B396" s="37">
        <v>19</v>
      </c>
      <c r="C396" s="38">
        <v>135</v>
      </c>
      <c r="D396" s="39" t="s">
        <v>436</v>
      </c>
      <c r="E396" s="37">
        <v>4</v>
      </c>
      <c r="F396" s="3">
        <v>2303</v>
      </c>
      <c r="G396" s="3">
        <v>2214</v>
      </c>
      <c r="H396" s="3">
        <v>1081</v>
      </c>
      <c r="I396" s="3">
        <v>351</v>
      </c>
      <c r="J396" s="3">
        <v>214</v>
      </c>
      <c r="K396" s="3">
        <v>1189</v>
      </c>
      <c r="L396" s="3">
        <v>948</v>
      </c>
      <c r="M396" s="3">
        <v>969</v>
      </c>
      <c r="N396" s="40">
        <v>458</v>
      </c>
      <c r="O396" s="40">
        <v>299900</v>
      </c>
      <c r="P396" s="38">
        <v>252.56021968030001</v>
      </c>
      <c r="Q396" s="38">
        <v>11</v>
      </c>
      <c r="R396" s="38">
        <f t="shared" si="6"/>
        <v>4.8340611353711793</v>
      </c>
      <c r="S396" s="41">
        <f>Rådatakommune[[#This Row],[B12]]/Rådatakommune[[#This Row],[B02]]-1</f>
        <v>-3.8645245332175393E-2</v>
      </c>
      <c r="T396" s="41">
        <f>Rådatakommune[[#This Row],[Kvinner20-39]]/Rådatakommune[[#This Row],[B12]]</f>
        <v>9.66576332429991E-2</v>
      </c>
      <c r="U396" s="41">
        <f>Rådatakommune[[#This Row],[Eldre67+]]/Rådatakommune[[#This Row],[B12]]</f>
        <v>0.15853658536585366</v>
      </c>
      <c r="V396" s="41">
        <f>Rådatakommune[[#This Row],[S11]]/Rådatakommune[[#This Row],[S01]]-1</f>
        <v>2.2151898734177111E-2</v>
      </c>
      <c r="W396" s="41">
        <f>Rådatakommune[[#This Row],[Y11]]/Rådatakommune[[#This Row],[Folk20-64]]</f>
        <v>0.90916736753574434</v>
      </c>
    </row>
    <row r="397" spans="1:23" s="38" customFormat="1" ht="12.75">
      <c r="A397" s="42" t="s">
        <v>395</v>
      </c>
      <c r="B397" s="37">
        <v>19</v>
      </c>
      <c r="C397" s="38">
        <v>136</v>
      </c>
      <c r="D397" s="39" t="s">
        <v>436</v>
      </c>
      <c r="E397" s="37">
        <v>4</v>
      </c>
      <c r="F397" s="3">
        <v>6856</v>
      </c>
      <c r="G397" s="3">
        <v>6599</v>
      </c>
      <c r="H397" s="3">
        <v>3540</v>
      </c>
      <c r="I397" s="3">
        <v>986</v>
      </c>
      <c r="J397" s="3">
        <v>721</v>
      </c>
      <c r="K397" s="3">
        <v>3804</v>
      </c>
      <c r="L397" s="3">
        <v>3659</v>
      </c>
      <c r="M397" s="3">
        <v>3772</v>
      </c>
      <c r="N397" s="40">
        <v>3321.72</v>
      </c>
      <c r="O397" s="40">
        <v>335700</v>
      </c>
      <c r="P397" s="38">
        <v>216.8616996666</v>
      </c>
      <c r="Q397" s="38">
        <v>9</v>
      </c>
      <c r="R397" s="38">
        <f t="shared" si="6"/>
        <v>1.9866213889189939</v>
      </c>
      <c r="S397" s="41">
        <f>Rådatakommune[[#This Row],[B12]]/Rådatakommune[[#This Row],[B02]]-1</f>
        <v>-3.7485414235705949E-2</v>
      </c>
      <c r="T397" s="41">
        <f>Rådatakommune[[#This Row],[Kvinner20-39]]/Rådatakommune[[#This Row],[B12]]</f>
        <v>0.10925897863312622</v>
      </c>
      <c r="U397" s="41">
        <f>Rådatakommune[[#This Row],[Eldre67+]]/Rådatakommune[[#This Row],[B12]]</f>
        <v>0.14941657826943477</v>
      </c>
      <c r="V397" s="41">
        <f>Rådatakommune[[#This Row],[S11]]/Rådatakommune[[#This Row],[S01]]-1</f>
        <v>3.0882754851052185E-2</v>
      </c>
      <c r="W397" s="41">
        <f>Rådatakommune[[#This Row],[Y11]]/Rådatakommune[[#This Row],[Folk20-64]]</f>
        <v>0.93059936908517349</v>
      </c>
    </row>
    <row r="398" spans="1:23" s="38" customFormat="1" ht="12.75">
      <c r="A398" s="42" t="s">
        <v>396</v>
      </c>
      <c r="B398" s="37">
        <v>19</v>
      </c>
      <c r="C398" s="38">
        <v>138</v>
      </c>
      <c r="D398" s="39" t="s">
        <v>436</v>
      </c>
      <c r="E398" s="37">
        <v>4</v>
      </c>
      <c r="F398" s="3">
        <v>3298</v>
      </c>
      <c r="G398" s="3">
        <v>3381</v>
      </c>
      <c r="H398" s="3">
        <v>1660</v>
      </c>
      <c r="I398" s="3">
        <v>493</v>
      </c>
      <c r="J398" s="3">
        <v>355</v>
      </c>
      <c r="K398" s="3">
        <v>1893</v>
      </c>
      <c r="L398" s="3">
        <v>1131</v>
      </c>
      <c r="M398" s="3">
        <v>986</v>
      </c>
      <c r="N398" s="40">
        <v>362.95</v>
      </c>
      <c r="O398" s="40">
        <v>319200</v>
      </c>
      <c r="P398" s="38">
        <v>226.4939345464</v>
      </c>
      <c r="Q398" s="38">
        <v>8</v>
      </c>
      <c r="R398" s="38">
        <f t="shared" si="6"/>
        <v>9.3153326904532303</v>
      </c>
      <c r="S398" s="41">
        <f>Rådatakommune[[#This Row],[B12]]/Rådatakommune[[#This Row],[B02]]-1</f>
        <v>2.5166767738022955E-2</v>
      </c>
      <c r="T398" s="41">
        <f>Rådatakommune[[#This Row],[Kvinner20-39]]/Rådatakommune[[#This Row],[B12]]</f>
        <v>0.10499852114758947</v>
      </c>
      <c r="U398" s="41">
        <f>Rådatakommune[[#This Row],[Eldre67+]]/Rådatakommune[[#This Row],[B12]]</f>
        <v>0.14581484767820171</v>
      </c>
      <c r="V398" s="41">
        <f>Rådatakommune[[#This Row],[S11]]/Rådatakommune[[#This Row],[S01]]-1</f>
        <v>-0.12820512820512819</v>
      </c>
      <c r="W398" s="41">
        <f>Rådatakommune[[#This Row],[Y11]]/Rådatakommune[[#This Row],[Folk20-64]]</f>
        <v>0.87691494981510831</v>
      </c>
    </row>
    <row r="399" spans="1:23" s="38" customFormat="1" ht="12.75">
      <c r="A399" s="42" t="s">
        <v>397</v>
      </c>
      <c r="B399" s="37">
        <v>19</v>
      </c>
      <c r="C399" s="38">
        <v>138</v>
      </c>
      <c r="D399" s="39" t="s">
        <v>436</v>
      </c>
      <c r="E399" s="37">
        <v>4</v>
      </c>
      <c r="F399" s="3">
        <v>1309</v>
      </c>
      <c r="G399" s="3">
        <v>1188</v>
      </c>
      <c r="H399" s="3">
        <v>548</v>
      </c>
      <c r="I399" s="3">
        <v>256</v>
      </c>
      <c r="J399" s="3">
        <v>99</v>
      </c>
      <c r="K399" s="3">
        <v>634</v>
      </c>
      <c r="L399" s="3">
        <v>382</v>
      </c>
      <c r="M399" s="3">
        <v>379</v>
      </c>
      <c r="N399" s="40">
        <v>288.46999999999997</v>
      </c>
      <c r="O399" s="40">
        <v>293400</v>
      </c>
      <c r="P399" s="38">
        <v>251.21005640039999</v>
      </c>
      <c r="Q399" s="38">
        <v>8</v>
      </c>
      <c r="R399" s="38">
        <f t="shared" si="6"/>
        <v>4.1182791971435506</v>
      </c>
      <c r="S399" s="41">
        <f>Rådatakommune[[#This Row],[B12]]/Rådatakommune[[#This Row],[B02]]-1</f>
        <v>-9.2436974789915971E-2</v>
      </c>
      <c r="T399" s="41">
        <f>Rådatakommune[[#This Row],[Kvinner20-39]]/Rådatakommune[[#This Row],[B12]]</f>
        <v>8.3333333333333329E-2</v>
      </c>
      <c r="U399" s="41">
        <f>Rådatakommune[[#This Row],[Eldre67+]]/Rådatakommune[[#This Row],[B12]]</f>
        <v>0.21548821548821548</v>
      </c>
      <c r="V399" s="41">
        <f>Rådatakommune[[#This Row],[S11]]/Rådatakommune[[#This Row],[S01]]-1</f>
        <v>-7.8534031413612926E-3</v>
      </c>
      <c r="W399" s="41">
        <f>Rådatakommune[[#This Row],[Y11]]/Rådatakommune[[#This Row],[Folk20-64]]</f>
        <v>0.86435331230283907</v>
      </c>
    </row>
    <row r="400" spans="1:23" s="38" customFormat="1" ht="12.75">
      <c r="A400" s="42" t="s">
        <v>398</v>
      </c>
      <c r="B400" s="37">
        <v>19</v>
      </c>
      <c r="C400" s="38">
        <v>138</v>
      </c>
      <c r="D400" s="39" t="s">
        <v>436</v>
      </c>
      <c r="E400" s="37">
        <v>4</v>
      </c>
      <c r="F400" s="3">
        <v>1684</v>
      </c>
      <c r="G400" s="3">
        <v>1524</v>
      </c>
      <c r="H400" s="3">
        <v>662</v>
      </c>
      <c r="I400" s="3">
        <v>318</v>
      </c>
      <c r="J400" s="3">
        <v>148</v>
      </c>
      <c r="K400" s="3">
        <v>815</v>
      </c>
      <c r="L400" s="3">
        <v>568</v>
      </c>
      <c r="M400" s="3">
        <v>458</v>
      </c>
      <c r="N400" s="40">
        <v>523.79</v>
      </c>
      <c r="O400" s="40">
        <v>284800</v>
      </c>
      <c r="P400" s="38">
        <v>262.17896690919997</v>
      </c>
      <c r="Q400" s="38">
        <v>8</v>
      </c>
      <c r="R400" s="38">
        <f t="shared" si="6"/>
        <v>2.9095629928024591</v>
      </c>
      <c r="S400" s="41">
        <f>Rådatakommune[[#This Row],[B12]]/Rådatakommune[[#This Row],[B02]]-1</f>
        <v>-9.5011876484560553E-2</v>
      </c>
      <c r="T400" s="41">
        <f>Rådatakommune[[#This Row],[Kvinner20-39]]/Rådatakommune[[#This Row],[B12]]</f>
        <v>9.711286089238845E-2</v>
      </c>
      <c r="U400" s="41">
        <f>Rådatakommune[[#This Row],[Eldre67+]]/Rådatakommune[[#This Row],[B12]]</f>
        <v>0.20866141732283464</v>
      </c>
      <c r="V400" s="41">
        <f>Rådatakommune[[#This Row],[S11]]/Rådatakommune[[#This Row],[S01]]-1</f>
        <v>-0.19366197183098588</v>
      </c>
      <c r="W400" s="41">
        <f>Rådatakommune[[#This Row],[Y11]]/Rådatakommune[[#This Row],[Folk20-64]]</f>
        <v>0.81226993865030672</v>
      </c>
    </row>
    <row r="401" spans="1:23" s="38" customFormat="1" ht="12.75">
      <c r="A401" s="42" t="s">
        <v>399</v>
      </c>
      <c r="B401" s="37">
        <v>19</v>
      </c>
      <c r="C401" s="38">
        <v>137</v>
      </c>
      <c r="D401" s="39" t="s">
        <v>436</v>
      </c>
      <c r="E401" s="37">
        <v>4</v>
      </c>
      <c r="F401" s="3">
        <v>1129</v>
      </c>
      <c r="G401" s="3">
        <v>892</v>
      </c>
      <c r="H401" s="3">
        <v>419</v>
      </c>
      <c r="I401" s="3">
        <v>205</v>
      </c>
      <c r="J401" s="3">
        <v>72</v>
      </c>
      <c r="K401" s="3">
        <v>483</v>
      </c>
      <c r="L401" s="3">
        <v>478</v>
      </c>
      <c r="M401" s="3">
        <v>369</v>
      </c>
      <c r="N401" s="40">
        <v>243.20000000000002</v>
      </c>
      <c r="O401" s="40">
        <v>297700</v>
      </c>
      <c r="P401" s="38">
        <v>302.26115858259999</v>
      </c>
      <c r="Q401" s="38">
        <v>11</v>
      </c>
      <c r="R401" s="38">
        <f t="shared" si="6"/>
        <v>3.6677631578947367</v>
      </c>
      <c r="S401" s="41">
        <f>Rådatakommune[[#This Row],[B12]]/Rådatakommune[[#This Row],[B02]]-1</f>
        <v>-0.20992028343666957</v>
      </c>
      <c r="T401" s="41">
        <f>Rådatakommune[[#This Row],[Kvinner20-39]]/Rådatakommune[[#This Row],[B12]]</f>
        <v>8.0717488789237665E-2</v>
      </c>
      <c r="U401" s="41">
        <f>Rådatakommune[[#This Row],[Eldre67+]]/Rådatakommune[[#This Row],[B12]]</f>
        <v>0.22982062780269058</v>
      </c>
      <c r="V401" s="41">
        <f>Rådatakommune[[#This Row],[S11]]/Rådatakommune[[#This Row],[S01]]-1</f>
        <v>-0.22803347280334729</v>
      </c>
      <c r="W401" s="41">
        <f>Rådatakommune[[#This Row],[Y11]]/Rådatakommune[[#This Row],[Folk20-64]]</f>
        <v>0.86749482401656319</v>
      </c>
    </row>
    <row r="402" spans="1:23" s="38" customFormat="1" ht="12.75">
      <c r="A402" s="42" t="s">
        <v>400</v>
      </c>
      <c r="B402" s="37">
        <v>19</v>
      </c>
      <c r="C402" s="38">
        <v>137</v>
      </c>
      <c r="D402" s="39" t="s">
        <v>436</v>
      </c>
      <c r="E402" s="37">
        <v>4</v>
      </c>
      <c r="F402" s="3">
        <v>1061</v>
      </c>
      <c r="G402" s="3">
        <v>887</v>
      </c>
      <c r="H402" s="3">
        <v>466</v>
      </c>
      <c r="I402" s="3">
        <v>180</v>
      </c>
      <c r="J402" s="3">
        <v>97</v>
      </c>
      <c r="K402" s="3">
        <v>507</v>
      </c>
      <c r="L402" s="3">
        <v>452</v>
      </c>
      <c r="M402" s="3">
        <v>464</v>
      </c>
      <c r="N402" s="40">
        <v>294.09000000000003</v>
      </c>
      <c r="O402" s="40">
        <v>315200</v>
      </c>
      <c r="P402" s="38">
        <v>295.20740193410001</v>
      </c>
      <c r="Q402" s="38">
        <v>11</v>
      </c>
      <c r="R402" s="38">
        <f t="shared" si="6"/>
        <v>3.0160835118501135</v>
      </c>
      <c r="S402" s="41">
        <f>Rådatakommune[[#This Row],[B12]]/Rådatakommune[[#This Row],[B02]]-1</f>
        <v>-0.16399622997172481</v>
      </c>
      <c r="T402" s="41">
        <f>Rådatakommune[[#This Row],[Kvinner20-39]]/Rådatakommune[[#This Row],[B12]]</f>
        <v>0.10935738444193913</v>
      </c>
      <c r="U402" s="41">
        <f>Rådatakommune[[#This Row],[Eldre67+]]/Rådatakommune[[#This Row],[B12]]</f>
        <v>0.20293122886133033</v>
      </c>
      <c r="V402" s="41">
        <f>Rådatakommune[[#This Row],[S11]]/Rådatakommune[[#This Row],[S01]]-1</f>
        <v>2.6548672566371723E-2</v>
      </c>
      <c r="W402" s="41">
        <f>Rådatakommune[[#This Row],[Y11]]/Rådatakommune[[#This Row],[Folk20-64]]</f>
        <v>0.9191321499013807</v>
      </c>
    </row>
    <row r="403" spans="1:23" s="38" customFormat="1" ht="12.75">
      <c r="A403" s="42" t="s">
        <v>401</v>
      </c>
      <c r="B403" s="37">
        <v>19</v>
      </c>
      <c r="C403" s="38">
        <v>138</v>
      </c>
      <c r="D403" s="39" t="s">
        <v>436</v>
      </c>
      <c r="E403" s="37">
        <v>4</v>
      </c>
      <c r="F403" s="3">
        <v>11080</v>
      </c>
      <c r="G403" s="3">
        <v>11345</v>
      </c>
      <c r="H403" s="3">
        <v>5512</v>
      </c>
      <c r="I403" s="3">
        <v>1616</v>
      </c>
      <c r="J403" s="3">
        <v>1259</v>
      </c>
      <c r="K403" s="3">
        <v>6381</v>
      </c>
      <c r="L403" s="3">
        <v>5388</v>
      </c>
      <c r="M403" s="3">
        <v>5817</v>
      </c>
      <c r="N403" s="40">
        <v>892.38</v>
      </c>
      <c r="O403" s="40">
        <v>324600</v>
      </c>
      <c r="P403" s="38">
        <v>244.79775534800001</v>
      </c>
      <c r="Q403" s="38">
        <v>8</v>
      </c>
      <c r="R403" s="38">
        <f t="shared" si="6"/>
        <v>12.713193930836638</v>
      </c>
      <c r="S403" s="41">
        <f>Rådatakommune[[#This Row],[B12]]/Rådatakommune[[#This Row],[B02]]-1</f>
        <v>2.3916967509025167E-2</v>
      </c>
      <c r="T403" s="41">
        <f>Rådatakommune[[#This Row],[Kvinner20-39]]/Rådatakommune[[#This Row],[B12]]</f>
        <v>0.11097399735566328</v>
      </c>
      <c r="U403" s="41">
        <f>Rådatakommune[[#This Row],[Eldre67+]]/Rådatakommune[[#This Row],[B12]]</f>
        <v>0.14244160423093874</v>
      </c>
      <c r="V403" s="41">
        <f>Rådatakommune[[#This Row],[S11]]/Rådatakommune[[#This Row],[S01]]-1</f>
        <v>7.9621380846325085E-2</v>
      </c>
      <c r="W403" s="41">
        <f>Rådatakommune[[#This Row],[Y11]]/Rådatakommune[[#This Row],[Folk20-64]]</f>
        <v>0.86381444914590189</v>
      </c>
    </row>
    <row r="404" spans="1:23" s="38" customFormat="1" ht="12.75">
      <c r="A404" s="42" t="s">
        <v>402</v>
      </c>
      <c r="B404" s="37">
        <v>19</v>
      </c>
      <c r="C404" s="38">
        <v>139</v>
      </c>
      <c r="D404" s="39" t="s">
        <v>436</v>
      </c>
      <c r="E404" s="37">
        <v>4</v>
      </c>
      <c r="F404" s="3">
        <v>5642</v>
      </c>
      <c r="G404" s="3">
        <v>5502</v>
      </c>
      <c r="H404" s="3">
        <v>2613</v>
      </c>
      <c r="I404" s="3">
        <v>1067</v>
      </c>
      <c r="J404" s="3">
        <v>507</v>
      </c>
      <c r="K404" s="3">
        <v>2971</v>
      </c>
      <c r="L404" s="3">
        <v>2163</v>
      </c>
      <c r="M404" s="3">
        <v>2280</v>
      </c>
      <c r="N404" s="40">
        <v>1496.93</v>
      </c>
      <c r="O404" s="40">
        <v>296600</v>
      </c>
      <c r="P404" s="38">
        <v>245.63374009559999</v>
      </c>
      <c r="Q404" s="38">
        <v>5</v>
      </c>
      <c r="R404" s="38">
        <f t="shared" si="6"/>
        <v>3.6755225695256288</v>
      </c>
      <c r="S404" s="41">
        <f>Rådatakommune[[#This Row],[B12]]/Rådatakommune[[#This Row],[B02]]-1</f>
        <v>-2.4813895781637729E-2</v>
      </c>
      <c r="T404" s="41">
        <f>Rådatakommune[[#This Row],[Kvinner20-39]]/Rådatakommune[[#This Row],[B12]]</f>
        <v>9.2148309705561621E-2</v>
      </c>
      <c r="U404" s="41">
        <f>Rådatakommune[[#This Row],[Eldre67+]]/Rådatakommune[[#This Row],[B12]]</f>
        <v>0.19392948018902217</v>
      </c>
      <c r="V404" s="41">
        <f>Rådatakommune[[#This Row],[S11]]/Rådatakommune[[#This Row],[S01]]-1</f>
        <v>5.4091539528432708E-2</v>
      </c>
      <c r="W404" s="41">
        <f>Rådatakommune[[#This Row],[Y11]]/Rådatakommune[[#This Row],[Folk20-64]]</f>
        <v>0.87950185122854263</v>
      </c>
    </row>
    <row r="405" spans="1:23" s="38" customFormat="1" ht="12.75">
      <c r="A405" s="42" t="s">
        <v>403</v>
      </c>
      <c r="B405" s="37">
        <v>19</v>
      </c>
      <c r="C405" s="38">
        <v>132</v>
      </c>
      <c r="D405" s="39" t="s">
        <v>436</v>
      </c>
      <c r="E405" s="37">
        <v>5</v>
      </c>
      <c r="F405" s="3">
        <v>2464</v>
      </c>
      <c r="G405" s="3">
        <v>2355</v>
      </c>
      <c r="H405" s="3">
        <v>1164</v>
      </c>
      <c r="I405" s="3">
        <v>462</v>
      </c>
      <c r="J405" s="3">
        <v>219</v>
      </c>
      <c r="K405" s="3">
        <v>1330</v>
      </c>
      <c r="L405" s="3">
        <v>1034</v>
      </c>
      <c r="M405" s="3">
        <v>940</v>
      </c>
      <c r="N405" s="40">
        <v>1090.04</v>
      </c>
      <c r="O405" s="40">
        <v>299000</v>
      </c>
      <c r="P405" s="38">
        <v>260.99889813959999</v>
      </c>
      <c r="Q405" s="38">
        <v>4</v>
      </c>
      <c r="R405" s="38">
        <f t="shared" si="6"/>
        <v>2.1604711753697114</v>
      </c>
      <c r="S405" s="41">
        <f>Rådatakommune[[#This Row],[B12]]/Rådatakommune[[#This Row],[B02]]-1</f>
        <v>-4.4237012987012991E-2</v>
      </c>
      <c r="T405" s="41">
        <f>Rådatakommune[[#This Row],[Kvinner20-39]]/Rådatakommune[[#This Row],[B12]]</f>
        <v>9.2993630573248401E-2</v>
      </c>
      <c r="U405" s="41">
        <f>Rådatakommune[[#This Row],[Eldre67+]]/Rådatakommune[[#This Row],[B12]]</f>
        <v>0.1961783439490446</v>
      </c>
      <c r="V405" s="41">
        <f>Rådatakommune[[#This Row],[S11]]/Rådatakommune[[#This Row],[S01]]-1</f>
        <v>-9.0909090909090939E-2</v>
      </c>
      <c r="W405" s="41">
        <f>Rådatakommune[[#This Row],[Y11]]/Rådatakommune[[#This Row],[Folk20-64]]</f>
        <v>0.87518796992481207</v>
      </c>
    </row>
    <row r="406" spans="1:23" s="38" customFormat="1" ht="12.75">
      <c r="A406" s="42" t="s">
        <v>404</v>
      </c>
      <c r="B406" s="37">
        <v>19</v>
      </c>
      <c r="C406" s="38">
        <v>140</v>
      </c>
      <c r="D406" s="39" t="s">
        <v>436</v>
      </c>
      <c r="E406" s="37">
        <v>5</v>
      </c>
      <c r="F406" s="3">
        <v>3183</v>
      </c>
      <c r="G406" s="3">
        <v>3028</v>
      </c>
      <c r="H406" s="3">
        <v>1464</v>
      </c>
      <c r="I406" s="3">
        <v>578</v>
      </c>
      <c r="J406" s="3">
        <v>281</v>
      </c>
      <c r="K406" s="3">
        <v>1667</v>
      </c>
      <c r="L406" s="3">
        <v>1236</v>
      </c>
      <c r="M406" s="3">
        <v>1333</v>
      </c>
      <c r="N406" s="40">
        <v>812.76</v>
      </c>
      <c r="O406" s="40">
        <v>297600</v>
      </c>
      <c r="P406" s="38">
        <v>297.40674266389999</v>
      </c>
      <c r="Q406" s="38">
        <v>11</v>
      </c>
      <c r="R406" s="38">
        <f t="shared" si="6"/>
        <v>3.7255770461144744</v>
      </c>
      <c r="S406" s="41">
        <f>Rådatakommune[[#This Row],[B12]]/Rådatakommune[[#This Row],[B02]]-1</f>
        <v>-4.8696198554822545E-2</v>
      </c>
      <c r="T406" s="41">
        <f>Rådatakommune[[#This Row],[Kvinner20-39]]/Rådatakommune[[#This Row],[B12]]</f>
        <v>9.2800528401585203E-2</v>
      </c>
      <c r="U406" s="41">
        <f>Rådatakommune[[#This Row],[Eldre67+]]/Rådatakommune[[#This Row],[B12]]</f>
        <v>0.19088507265521795</v>
      </c>
      <c r="V406" s="41">
        <f>Rådatakommune[[#This Row],[S11]]/Rådatakommune[[#This Row],[S01]]-1</f>
        <v>7.8478964401294427E-2</v>
      </c>
      <c r="W406" s="41">
        <f>Rådatakommune[[#This Row],[Y11]]/Rådatakommune[[#This Row],[Folk20-64]]</f>
        <v>0.87822435512897423</v>
      </c>
    </row>
    <row r="407" spans="1:23" s="38" customFormat="1" ht="12.75">
      <c r="A407" s="42" t="s">
        <v>405</v>
      </c>
      <c r="B407" s="37">
        <v>19</v>
      </c>
      <c r="C407" s="38">
        <v>139</v>
      </c>
      <c r="D407" s="39" t="s">
        <v>436</v>
      </c>
      <c r="E407" s="37">
        <v>5</v>
      </c>
      <c r="F407" s="3">
        <v>1860</v>
      </c>
      <c r="G407" s="3">
        <v>1909</v>
      </c>
      <c r="H407" s="3">
        <v>948</v>
      </c>
      <c r="I407" s="3">
        <v>256</v>
      </c>
      <c r="J407" s="3">
        <v>191</v>
      </c>
      <c r="K407" s="3">
        <v>1121</v>
      </c>
      <c r="L407" s="3">
        <v>588</v>
      </c>
      <c r="M407" s="3">
        <v>708</v>
      </c>
      <c r="N407" s="40">
        <v>1542.79</v>
      </c>
      <c r="O407" s="40">
        <v>292500</v>
      </c>
      <c r="P407" s="38">
        <v>271.22734960870002</v>
      </c>
      <c r="Q407" s="38">
        <v>10</v>
      </c>
      <c r="R407" s="38">
        <f t="shared" si="6"/>
        <v>1.2373686632659013</v>
      </c>
      <c r="S407" s="41">
        <f>Rådatakommune[[#This Row],[B12]]/Rådatakommune[[#This Row],[B02]]-1</f>
        <v>2.6344086021505397E-2</v>
      </c>
      <c r="T407" s="41">
        <f>Rådatakommune[[#This Row],[Kvinner20-39]]/Rådatakommune[[#This Row],[B12]]</f>
        <v>0.1000523834468308</v>
      </c>
      <c r="U407" s="41">
        <f>Rådatakommune[[#This Row],[Eldre67+]]/Rådatakommune[[#This Row],[B12]]</f>
        <v>0.13410162388685176</v>
      </c>
      <c r="V407" s="41">
        <f>Rådatakommune[[#This Row],[S11]]/Rådatakommune[[#This Row],[S01]]-1</f>
        <v>0.20408163265306123</v>
      </c>
      <c r="W407" s="41">
        <f>Rådatakommune[[#This Row],[Y11]]/Rådatakommune[[#This Row],[Folk20-64]]</f>
        <v>0.84567350579839429</v>
      </c>
    </row>
    <row r="408" spans="1:23" s="38" customFormat="1" ht="12.75">
      <c r="A408" s="42" t="s">
        <v>406</v>
      </c>
      <c r="B408" s="37">
        <v>19</v>
      </c>
      <c r="C408" s="38">
        <v>141</v>
      </c>
      <c r="D408" s="39" t="s">
        <v>436</v>
      </c>
      <c r="E408" s="37">
        <v>5</v>
      </c>
      <c r="F408" s="3">
        <v>2344</v>
      </c>
      <c r="G408" s="3">
        <v>2210</v>
      </c>
      <c r="H408" s="3">
        <v>1031</v>
      </c>
      <c r="I408" s="3">
        <v>418</v>
      </c>
      <c r="J408" s="3">
        <v>226</v>
      </c>
      <c r="K408" s="3">
        <v>1244</v>
      </c>
      <c r="L408" s="3">
        <v>782</v>
      </c>
      <c r="M408" s="3">
        <v>748</v>
      </c>
      <c r="N408" s="40">
        <v>991.1</v>
      </c>
      <c r="O408" s="40">
        <v>276000</v>
      </c>
      <c r="P408" s="38">
        <v>297.9257134513</v>
      </c>
      <c r="Q408" s="38">
        <v>11</v>
      </c>
      <c r="R408" s="38">
        <f t="shared" si="6"/>
        <v>2.229845626072041</v>
      </c>
      <c r="S408" s="41">
        <f>Rådatakommune[[#This Row],[B12]]/Rådatakommune[[#This Row],[B02]]-1</f>
        <v>-5.7167235494880564E-2</v>
      </c>
      <c r="T408" s="41">
        <f>Rådatakommune[[#This Row],[Kvinner20-39]]/Rådatakommune[[#This Row],[B12]]</f>
        <v>0.10226244343891402</v>
      </c>
      <c r="U408" s="41">
        <f>Rådatakommune[[#This Row],[Eldre67+]]/Rådatakommune[[#This Row],[B12]]</f>
        <v>0.18914027149321266</v>
      </c>
      <c r="V408" s="41">
        <f>Rådatakommune[[#This Row],[S11]]/Rådatakommune[[#This Row],[S01]]-1</f>
        <v>-4.3478260869565188E-2</v>
      </c>
      <c r="W408" s="41">
        <f>Rådatakommune[[#This Row],[Y11]]/Rådatakommune[[#This Row],[Folk20-64]]</f>
        <v>0.8287781350482315</v>
      </c>
    </row>
    <row r="409" spans="1:23" s="38" customFormat="1" ht="12.75">
      <c r="A409" s="42" t="s">
        <v>407</v>
      </c>
      <c r="B409" s="37">
        <v>19</v>
      </c>
      <c r="C409" s="38">
        <v>142</v>
      </c>
      <c r="D409" s="39" t="s">
        <v>436</v>
      </c>
      <c r="E409" s="37">
        <v>5</v>
      </c>
      <c r="F409" s="3">
        <v>3014</v>
      </c>
      <c r="G409" s="3">
        <v>2880</v>
      </c>
      <c r="H409" s="3">
        <v>1390</v>
      </c>
      <c r="I409" s="3">
        <v>465</v>
      </c>
      <c r="J409" s="3">
        <v>318</v>
      </c>
      <c r="K409" s="3">
        <v>1601</v>
      </c>
      <c r="L409" s="3">
        <v>1395</v>
      </c>
      <c r="M409" s="3">
        <v>1363</v>
      </c>
      <c r="N409" s="40">
        <v>473</v>
      </c>
      <c r="O409" s="40">
        <v>304100</v>
      </c>
      <c r="P409" s="38">
        <v>295.1057286651</v>
      </c>
      <c r="Q409" s="38">
        <v>9</v>
      </c>
      <c r="R409" s="38">
        <f t="shared" si="6"/>
        <v>6.088794926004228</v>
      </c>
      <c r="S409" s="41">
        <f>Rådatakommune[[#This Row],[B12]]/Rådatakommune[[#This Row],[B02]]-1</f>
        <v>-4.4459190444591901E-2</v>
      </c>
      <c r="T409" s="41">
        <f>Rådatakommune[[#This Row],[Kvinner20-39]]/Rådatakommune[[#This Row],[B12]]</f>
        <v>0.11041666666666666</v>
      </c>
      <c r="U409" s="41">
        <f>Rådatakommune[[#This Row],[Eldre67+]]/Rådatakommune[[#This Row],[B12]]</f>
        <v>0.16145833333333334</v>
      </c>
      <c r="V409" s="41">
        <f>Rådatakommune[[#This Row],[S11]]/Rådatakommune[[#This Row],[S01]]-1</f>
        <v>-2.2939068100358395E-2</v>
      </c>
      <c r="W409" s="41">
        <f>Rådatakommune[[#This Row],[Y11]]/Rådatakommune[[#This Row],[Folk20-64]]</f>
        <v>0.86820737039350404</v>
      </c>
    </row>
    <row r="410" spans="1:23" s="38" customFormat="1" ht="12.75">
      <c r="A410" s="42" t="s">
        <v>408</v>
      </c>
      <c r="B410" s="37">
        <v>19</v>
      </c>
      <c r="C410" s="38">
        <v>142</v>
      </c>
      <c r="D410" s="39" t="s">
        <v>436</v>
      </c>
      <c r="E410" s="37">
        <v>5</v>
      </c>
      <c r="F410" s="3">
        <v>4739</v>
      </c>
      <c r="G410" s="3">
        <v>4807</v>
      </c>
      <c r="H410" s="3">
        <v>2364</v>
      </c>
      <c r="I410" s="3">
        <v>748</v>
      </c>
      <c r="J410" s="3">
        <v>536</v>
      </c>
      <c r="K410" s="3">
        <v>2722</v>
      </c>
      <c r="L410" s="3">
        <v>1989</v>
      </c>
      <c r="M410" s="3">
        <v>2119</v>
      </c>
      <c r="N410" s="40">
        <v>3436.64</v>
      </c>
      <c r="O410" s="40">
        <v>307200</v>
      </c>
      <c r="P410" s="38">
        <v>263.52970868245001</v>
      </c>
      <c r="Q410" s="38">
        <v>9</v>
      </c>
      <c r="R410" s="38">
        <f t="shared" si="6"/>
        <v>1.3987499418036222</v>
      </c>
      <c r="S410" s="41">
        <f>Rådatakommune[[#This Row],[B12]]/Rådatakommune[[#This Row],[B02]]-1</f>
        <v>1.4349018780333456E-2</v>
      </c>
      <c r="T410" s="41">
        <f>Rådatakommune[[#This Row],[Kvinner20-39]]/Rådatakommune[[#This Row],[B12]]</f>
        <v>0.11150405658414812</v>
      </c>
      <c r="U410" s="41">
        <f>Rådatakommune[[#This Row],[Eldre67+]]/Rådatakommune[[#This Row],[B12]]</f>
        <v>0.15560640732265446</v>
      </c>
      <c r="V410" s="41">
        <f>Rådatakommune[[#This Row],[S11]]/Rådatakommune[[#This Row],[S01]]-1</f>
        <v>6.5359477124182996E-2</v>
      </c>
      <c r="W410" s="41">
        <f>Rådatakommune[[#This Row],[Y11]]/Rådatakommune[[#This Row],[Folk20-64]]</f>
        <v>0.86847905951506243</v>
      </c>
    </row>
    <row r="411" spans="1:23" s="38" customFormat="1" ht="12.75">
      <c r="A411" s="42" t="s">
        <v>409</v>
      </c>
      <c r="B411" s="37">
        <v>19</v>
      </c>
      <c r="C411" s="38">
        <v>143</v>
      </c>
      <c r="D411" s="39" t="s">
        <v>436</v>
      </c>
      <c r="E411" s="37">
        <v>5</v>
      </c>
      <c r="F411" s="3">
        <v>1442</v>
      </c>
      <c r="G411" s="3">
        <v>1284</v>
      </c>
      <c r="H411" s="3">
        <v>581</v>
      </c>
      <c r="I411" s="3">
        <v>273</v>
      </c>
      <c r="J411" s="3">
        <v>106</v>
      </c>
      <c r="K411" s="3">
        <v>687</v>
      </c>
      <c r="L411" s="3">
        <v>500</v>
      </c>
      <c r="M411" s="3">
        <v>497</v>
      </c>
      <c r="N411" s="40">
        <v>2108.2400000000002</v>
      </c>
      <c r="O411" s="40">
        <v>301100</v>
      </c>
      <c r="P411" s="38">
        <v>305.6538932638</v>
      </c>
      <c r="Q411" s="38">
        <v>11</v>
      </c>
      <c r="R411" s="38">
        <f t="shared" si="6"/>
        <v>0.60903881910977875</v>
      </c>
      <c r="S411" s="41">
        <f>Rådatakommune[[#This Row],[B12]]/Rådatakommune[[#This Row],[B02]]-1</f>
        <v>-0.10957004160887651</v>
      </c>
      <c r="T411" s="41">
        <f>Rådatakommune[[#This Row],[Kvinner20-39]]/Rådatakommune[[#This Row],[B12]]</f>
        <v>8.2554517133956382E-2</v>
      </c>
      <c r="U411" s="41">
        <f>Rådatakommune[[#This Row],[Eldre67+]]/Rådatakommune[[#This Row],[B12]]</f>
        <v>0.21261682242990654</v>
      </c>
      <c r="V411" s="41">
        <f>Rådatakommune[[#This Row],[S11]]/Rådatakommune[[#This Row],[S01]]-1</f>
        <v>-6.0000000000000053E-3</v>
      </c>
      <c r="W411" s="41">
        <f>Rådatakommune[[#This Row],[Y11]]/Rådatakommune[[#This Row],[Folk20-64]]</f>
        <v>0.84570596797671038</v>
      </c>
    </row>
    <row r="412" spans="1:23" s="38" customFormat="1" ht="12.75">
      <c r="A412" s="42" t="s">
        <v>410</v>
      </c>
      <c r="B412" s="37">
        <v>20</v>
      </c>
      <c r="C412" s="38">
        <v>144</v>
      </c>
      <c r="D412" s="39" t="s">
        <v>436</v>
      </c>
      <c r="E412" s="37">
        <v>5</v>
      </c>
      <c r="F412" s="3">
        <v>2586</v>
      </c>
      <c r="G412" s="3">
        <v>2122</v>
      </c>
      <c r="H412" s="3">
        <v>983</v>
      </c>
      <c r="I412" s="3">
        <v>367</v>
      </c>
      <c r="J412" s="3">
        <v>224</v>
      </c>
      <c r="K412" s="3">
        <v>1274</v>
      </c>
      <c r="L412" s="3">
        <v>1154</v>
      </c>
      <c r="M412" s="3">
        <v>896</v>
      </c>
      <c r="N412" s="40">
        <v>600.48</v>
      </c>
      <c r="O412" s="40">
        <v>299000</v>
      </c>
      <c r="P412" s="38">
        <v>281.11028675544003</v>
      </c>
      <c r="Q412" s="38">
        <v>11</v>
      </c>
      <c r="R412" s="38">
        <f t="shared" si="6"/>
        <v>3.533839594990674</v>
      </c>
      <c r="S412" s="41">
        <f>Rådatakommune[[#This Row],[B12]]/Rådatakommune[[#This Row],[B02]]-1</f>
        <v>-0.17942768754833716</v>
      </c>
      <c r="T412" s="41">
        <f>Rådatakommune[[#This Row],[Kvinner20-39]]/Rådatakommune[[#This Row],[B12]]</f>
        <v>0.1055607917059378</v>
      </c>
      <c r="U412" s="41">
        <f>Rådatakommune[[#This Row],[Eldre67+]]/Rådatakommune[[#This Row],[B12]]</f>
        <v>0.17295004712535345</v>
      </c>
      <c r="V412" s="41">
        <f>Rådatakommune[[#This Row],[S11]]/Rådatakommune[[#This Row],[S01]]-1</f>
        <v>-0.22357019064124783</v>
      </c>
      <c r="W412" s="41">
        <f>Rådatakommune[[#This Row],[Y11]]/Rådatakommune[[#This Row],[Folk20-64]]</f>
        <v>0.77158555729984302</v>
      </c>
    </row>
    <row r="413" spans="1:23" s="38" customFormat="1" ht="12.75">
      <c r="A413" s="42" t="s">
        <v>411</v>
      </c>
      <c r="B413" s="37">
        <v>20</v>
      </c>
      <c r="C413" s="38">
        <v>145</v>
      </c>
      <c r="D413" s="39" t="s">
        <v>436</v>
      </c>
      <c r="E413" s="37">
        <v>5</v>
      </c>
      <c r="F413" s="3">
        <v>6120</v>
      </c>
      <c r="G413" s="3">
        <v>6125</v>
      </c>
      <c r="H413" s="3">
        <v>3230</v>
      </c>
      <c r="I413" s="3">
        <v>768</v>
      </c>
      <c r="J413" s="3">
        <v>697</v>
      </c>
      <c r="K413" s="3">
        <v>3561</v>
      </c>
      <c r="L413" s="3">
        <v>3111</v>
      </c>
      <c r="M413" s="3">
        <v>3289</v>
      </c>
      <c r="N413" s="40">
        <v>1258.01</v>
      </c>
      <c r="O413" s="40">
        <v>335800</v>
      </c>
      <c r="P413" s="38">
        <v>273.86776009536999</v>
      </c>
      <c r="Q413" s="38">
        <v>7</v>
      </c>
      <c r="R413" s="38">
        <f t="shared" si="6"/>
        <v>4.8688007249544913</v>
      </c>
      <c r="S413" s="41">
        <f>Rådatakommune[[#This Row],[B12]]/Rådatakommune[[#This Row],[B02]]-1</f>
        <v>8.1699346405228468E-4</v>
      </c>
      <c r="T413" s="41">
        <f>Rådatakommune[[#This Row],[Kvinner20-39]]/Rådatakommune[[#This Row],[B12]]</f>
        <v>0.11379591836734694</v>
      </c>
      <c r="U413" s="41">
        <f>Rådatakommune[[#This Row],[Eldre67+]]/Rådatakommune[[#This Row],[B12]]</f>
        <v>0.12538775510204081</v>
      </c>
      <c r="V413" s="41">
        <f>Rådatakommune[[#This Row],[S11]]/Rådatakommune[[#This Row],[S01]]-1</f>
        <v>5.7216329154612611E-2</v>
      </c>
      <c r="W413" s="41">
        <f>Rådatakommune[[#This Row],[Y11]]/Rådatakommune[[#This Row],[Folk20-64]]</f>
        <v>0.90704858185902837</v>
      </c>
    </row>
    <row r="414" spans="1:23" s="38" customFormat="1" ht="12.75">
      <c r="A414" s="42" t="s">
        <v>412</v>
      </c>
      <c r="B414" s="37">
        <v>20</v>
      </c>
      <c r="C414" s="38">
        <v>146</v>
      </c>
      <c r="D414" s="39" t="s">
        <v>436</v>
      </c>
      <c r="E414" s="37">
        <v>5</v>
      </c>
      <c r="F414" s="3">
        <v>9020</v>
      </c>
      <c r="G414" s="3">
        <v>9934</v>
      </c>
      <c r="H414" s="3">
        <v>5450</v>
      </c>
      <c r="I414" s="3">
        <v>1149</v>
      </c>
      <c r="J414" s="3">
        <v>1330</v>
      </c>
      <c r="K414" s="3">
        <v>6134</v>
      </c>
      <c r="L414" s="3">
        <v>4590</v>
      </c>
      <c r="M414" s="3">
        <v>5665</v>
      </c>
      <c r="N414" s="40">
        <v>848.9799999999999</v>
      </c>
      <c r="O414" s="40">
        <v>357500</v>
      </c>
      <c r="P414" s="38">
        <v>272.23804677576999</v>
      </c>
      <c r="Q414" s="38">
        <v>6</v>
      </c>
      <c r="R414" s="38">
        <f t="shared" si="6"/>
        <v>11.701100143701856</v>
      </c>
      <c r="S414" s="41">
        <f>Rådatakommune[[#This Row],[B12]]/Rådatakommune[[#This Row],[B02]]-1</f>
        <v>0.10133037694013303</v>
      </c>
      <c r="T414" s="41">
        <f>Rådatakommune[[#This Row],[Kvinner20-39]]/Rådatakommune[[#This Row],[B12]]</f>
        <v>0.13388363197100867</v>
      </c>
      <c r="U414" s="41">
        <f>Rådatakommune[[#This Row],[Eldre67+]]/Rådatakommune[[#This Row],[B12]]</f>
        <v>0.1156633782967586</v>
      </c>
      <c r="V414" s="41">
        <f>Rådatakommune[[#This Row],[S11]]/Rådatakommune[[#This Row],[S01]]-1</f>
        <v>0.23420479302832242</v>
      </c>
      <c r="W414" s="41">
        <f>Rådatakommune[[#This Row],[Y11]]/Rådatakommune[[#This Row],[Folk20-64]]</f>
        <v>0.88849038148027393</v>
      </c>
    </row>
    <row r="415" spans="1:23" s="38" customFormat="1" ht="12.75">
      <c r="A415" s="42" t="s">
        <v>413</v>
      </c>
      <c r="B415" s="37">
        <v>20</v>
      </c>
      <c r="C415" s="38">
        <v>147</v>
      </c>
      <c r="D415" s="39" t="s">
        <v>436</v>
      </c>
      <c r="E415" s="37">
        <v>5</v>
      </c>
      <c r="F415" s="3">
        <v>3052</v>
      </c>
      <c r="G415" s="3">
        <v>2927</v>
      </c>
      <c r="H415" s="3">
        <v>1457</v>
      </c>
      <c r="I415" s="3">
        <v>320</v>
      </c>
      <c r="J415" s="3">
        <v>377</v>
      </c>
      <c r="K415" s="3">
        <v>1786</v>
      </c>
      <c r="L415" s="3">
        <v>1158</v>
      </c>
      <c r="M415" s="3">
        <v>1370</v>
      </c>
      <c r="N415" s="40">
        <v>9707.35</v>
      </c>
      <c r="O415" s="40">
        <v>263900</v>
      </c>
      <c r="P415" s="38">
        <v>321.33023933200002</v>
      </c>
      <c r="Q415" s="38">
        <v>11</v>
      </c>
      <c r="R415" s="38">
        <f t="shared" si="6"/>
        <v>0.30152410287050535</v>
      </c>
      <c r="S415" s="41">
        <f>Rådatakommune[[#This Row],[B12]]/Rådatakommune[[#This Row],[B02]]-1</f>
        <v>-4.0956749672345971E-2</v>
      </c>
      <c r="T415" s="41">
        <f>Rådatakommune[[#This Row],[Kvinner20-39]]/Rådatakommune[[#This Row],[B12]]</f>
        <v>0.12880081995216947</v>
      </c>
      <c r="U415" s="41">
        <f>Rådatakommune[[#This Row],[Eldre67+]]/Rådatakommune[[#This Row],[B12]]</f>
        <v>0.1093269559275709</v>
      </c>
      <c r="V415" s="41">
        <f>Rådatakommune[[#This Row],[S11]]/Rådatakommune[[#This Row],[S01]]-1</f>
        <v>0.18307426597582044</v>
      </c>
      <c r="W415" s="41">
        <f>Rådatakommune[[#This Row],[Y11]]/Rådatakommune[[#This Row],[Folk20-64]]</f>
        <v>0.81578947368421051</v>
      </c>
    </row>
    <row r="416" spans="1:23" s="38" customFormat="1" ht="12.75">
      <c r="A416" s="42" t="s">
        <v>414</v>
      </c>
      <c r="B416" s="37">
        <v>20</v>
      </c>
      <c r="C416" s="38">
        <v>148</v>
      </c>
      <c r="D416" s="39" t="s">
        <v>436</v>
      </c>
      <c r="E416" s="37">
        <v>5</v>
      </c>
      <c r="F416" s="3">
        <v>17159</v>
      </c>
      <c r="G416" s="3">
        <v>19282</v>
      </c>
      <c r="H416" s="3">
        <v>9790</v>
      </c>
      <c r="I416" s="3">
        <v>1872</v>
      </c>
      <c r="J416" s="3">
        <v>2516</v>
      </c>
      <c r="K416" s="3">
        <v>11436</v>
      </c>
      <c r="L416" s="3">
        <v>7958</v>
      </c>
      <c r="M416" s="3">
        <v>9971</v>
      </c>
      <c r="N416" s="40">
        <v>3849.59</v>
      </c>
      <c r="O416" s="40">
        <v>334300</v>
      </c>
      <c r="P416" s="38">
        <v>224.65280796330001</v>
      </c>
      <c r="Q416" s="38">
        <v>6</v>
      </c>
      <c r="R416" s="38">
        <f t="shared" si="6"/>
        <v>5.0088450977896342</v>
      </c>
      <c r="S416" s="41">
        <f>Rådatakommune[[#This Row],[B12]]/Rådatakommune[[#This Row],[B02]]-1</f>
        <v>0.12372515880878843</v>
      </c>
      <c r="T416" s="41">
        <f>Rådatakommune[[#This Row],[Kvinner20-39]]/Rådatakommune[[#This Row],[B12]]</f>
        <v>0.13048438958614253</v>
      </c>
      <c r="U416" s="41">
        <f>Rådatakommune[[#This Row],[Eldre67+]]/Rådatakommune[[#This Row],[B12]]</f>
        <v>9.7085364588735609E-2</v>
      </c>
      <c r="V416" s="41">
        <f>Rådatakommune[[#This Row],[S11]]/Rådatakommune[[#This Row],[S01]]-1</f>
        <v>0.25295300326715253</v>
      </c>
      <c r="W416" s="41">
        <f>Rådatakommune[[#This Row],[Y11]]/Rådatakommune[[#This Row],[Folk20-64]]</f>
        <v>0.85606855543896465</v>
      </c>
    </row>
    <row r="417" spans="1:23" s="38" customFormat="1" ht="12.75">
      <c r="A417" s="42" t="s">
        <v>415</v>
      </c>
      <c r="B417" s="37">
        <v>20</v>
      </c>
      <c r="C417" s="38">
        <v>149</v>
      </c>
      <c r="D417" s="39" t="s">
        <v>436</v>
      </c>
      <c r="E417" s="37">
        <v>5</v>
      </c>
      <c r="F417" s="3">
        <v>1398</v>
      </c>
      <c r="G417" s="3">
        <v>1087</v>
      </c>
      <c r="H417" s="3">
        <v>509</v>
      </c>
      <c r="I417" s="3">
        <v>238</v>
      </c>
      <c r="J417" s="3">
        <v>102</v>
      </c>
      <c r="K417" s="3">
        <v>594</v>
      </c>
      <c r="L417" s="3">
        <v>571</v>
      </c>
      <c r="M417" s="3">
        <v>420</v>
      </c>
      <c r="N417" s="40">
        <v>687.30000000000007</v>
      </c>
      <c r="O417" s="40">
        <v>298700</v>
      </c>
      <c r="P417" s="38">
        <v>325.56230259400002</v>
      </c>
      <c r="Q417" s="38">
        <v>11</v>
      </c>
      <c r="R417" s="38">
        <f t="shared" si="6"/>
        <v>1.5815509966535717</v>
      </c>
      <c r="S417" s="41">
        <f>Rådatakommune[[#This Row],[B12]]/Rådatakommune[[#This Row],[B02]]-1</f>
        <v>-0.22246065808297566</v>
      </c>
      <c r="T417" s="41">
        <f>Rådatakommune[[#This Row],[Kvinner20-39]]/Rådatakommune[[#This Row],[B12]]</f>
        <v>9.3836246550137989E-2</v>
      </c>
      <c r="U417" s="41">
        <f>Rådatakommune[[#This Row],[Eldre67+]]/Rådatakommune[[#This Row],[B12]]</f>
        <v>0.21895124195032198</v>
      </c>
      <c r="V417" s="41">
        <f>Rådatakommune[[#This Row],[S11]]/Rådatakommune[[#This Row],[S01]]-1</f>
        <v>-0.26444833625218911</v>
      </c>
      <c r="W417" s="41">
        <f>Rådatakommune[[#This Row],[Y11]]/Rådatakommune[[#This Row],[Folk20-64]]</f>
        <v>0.85690235690235694</v>
      </c>
    </row>
    <row r="418" spans="1:23" s="38" customFormat="1" ht="12.75">
      <c r="A418" s="42" t="s">
        <v>416</v>
      </c>
      <c r="B418" s="37">
        <v>20</v>
      </c>
      <c r="C418" s="38">
        <v>150</v>
      </c>
      <c r="D418" s="39" t="s">
        <v>436</v>
      </c>
      <c r="E418" s="37">
        <v>5</v>
      </c>
      <c r="F418" s="3">
        <v>1184</v>
      </c>
      <c r="G418" s="3">
        <v>995</v>
      </c>
      <c r="H418" s="3">
        <v>481</v>
      </c>
      <c r="I418" s="3">
        <v>162</v>
      </c>
      <c r="J418" s="3">
        <v>98</v>
      </c>
      <c r="K418" s="3">
        <v>593</v>
      </c>
      <c r="L418" s="3">
        <v>514</v>
      </c>
      <c r="M418" s="3">
        <v>434</v>
      </c>
      <c r="N418" s="40">
        <v>555.96</v>
      </c>
      <c r="O418" s="40">
        <v>311300</v>
      </c>
      <c r="P418" s="38">
        <v>280.61164024070001</v>
      </c>
      <c r="Q418" s="38">
        <v>11</v>
      </c>
      <c r="R418" s="38">
        <f t="shared" si="6"/>
        <v>1.789697100510828</v>
      </c>
      <c r="S418" s="41">
        <f>Rådatakommune[[#This Row],[B12]]/Rådatakommune[[#This Row],[B02]]-1</f>
        <v>-0.1596283783783784</v>
      </c>
      <c r="T418" s="41">
        <f>Rådatakommune[[#This Row],[Kvinner20-39]]/Rådatakommune[[#This Row],[B12]]</f>
        <v>9.8492462311557782E-2</v>
      </c>
      <c r="U418" s="41">
        <f>Rådatakommune[[#This Row],[Eldre67+]]/Rådatakommune[[#This Row],[B12]]</f>
        <v>0.16281407035175879</v>
      </c>
      <c r="V418" s="41">
        <f>Rådatakommune[[#This Row],[S11]]/Rådatakommune[[#This Row],[S01]]-1</f>
        <v>-0.1556420233463035</v>
      </c>
      <c r="W418" s="41">
        <f>Rådatakommune[[#This Row],[Y11]]/Rådatakommune[[#This Row],[Folk20-64]]</f>
        <v>0.81112984822934231</v>
      </c>
    </row>
    <row r="419" spans="1:23" s="38" customFormat="1" ht="12.75">
      <c r="A419" s="42" t="s">
        <v>417</v>
      </c>
      <c r="B419" s="37">
        <v>20</v>
      </c>
      <c r="C419" s="38">
        <v>146</v>
      </c>
      <c r="D419" s="39" t="s">
        <v>436</v>
      </c>
      <c r="E419" s="37">
        <v>5</v>
      </c>
      <c r="F419" s="3">
        <v>1091</v>
      </c>
      <c r="G419" s="3">
        <v>1010</v>
      </c>
      <c r="H419" s="3">
        <v>478</v>
      </c>
      <c r="I419" s="3">
        <v>223</v>
      </c>
      <c r="J419" s="3">
        <v>85</v>
      </c>
      <c r="K419" s="3">
        <v>547</v>
      </c>
      <c r="L419" s="3">
        <v>463</v>
      </c>
      <c r="M419" s="3">
        <v>391</v>
      </c>
      <c r="N419" s="40">
        <v>1844.09</v>
      </c>
      <c r="O419" s="40">
        <v>299700</v>
      </c>
      <c r="P419" s="38">
        <v>298.32842743369997</v>
      </c>
      <c r="Q419" s="38">
        <v>6</v>
      </c>
      <c r="R419" s="38">
        <f t="shared" si="6"/>
        <v>0.54769561138556144</v>
      </c>
      <c r="S419" s="41">
        <f>Rådatakommune[[#This Row],[B12]]/Rådatakommune[[#This Row],[B02]]-1</f>
        <v>-7.4243813015582028E-2</v>
      </c>
      <c r="T419" s="41">
        <f>Rådatakommune[[#This Row],[Kvinner20-39]]/Rådatakommune[[#This Row],[B12]]</f>
        <v>8.4158415841584164E-2</v>
      </c>
      <c r="U419" s="41">
        <f>Rådatakommune[[#This Row],[Eldre67+]]/Rådatakommune[[#This Row],[B12]]</f>
        <v>0.22079207920792079</v>
      </c>
      <c r="V419" s="41">
        <f>Rådatakommune[[#This Row],[S11]]/Rådatakommune[[#This Row],[S01]]-1</f>
        <v>-0.15550755939524841</v>
      </c>
      <c r="W419" s="41">
        <f>Rådatakommune[[#This Row],[Y11]]/Rådatakommune[[#This Row],[Folk20-64]]</f>
        <v>0.87385740402193779</v>
      </c>
    </row>
    <row r="420" spans="1:23" s="38" customFormat="1" ht="12.75">
      <c r="A420" s="42" t="s">
        <v>418</v>
      </c>
      <c r="B420" s="37">
        <v>20</v>
      </c>
      <c r="C420" s="38">
        <v>151</v>
      </c>
      <c r="D420" s="39" t="s">
        <v>436</v>
      </c>
      <c r="E420" s="37">
        <v>5</v>
      </c>
      <c r="F420" s="3">
        <v>1433</v>
      </c>
      <c r="G420" s="3">
        <v>1243</v>
      </c>
      <c r="H420" s="3">
        <v>582</v>
      </c>
      <c r="I420" s="3">
        <v>251</v>
      </c>
      <c r="J420" s="3">
        <v>118</v>
      </c>
      <c r="K420" s="3">
        <v>697</v>
      </c>
      <c r="L420" s="3">
        <v>695</v>
      </c>
      <c r="M420" s="3">
        <v>534</v>
      </c>
      <c r="N420" s="40">
        <v>1134.4199999999998</v>
      </c>
      <c r="O420" s="40">
        <v>301200</v>
      </c>
      <c r="P420" s="38">
        <v>368.15059061099998</v>
      </c>
      <c r="Q420" s="38">
        <v>11</v>
      </c>
      <c r="R420" s="38">
        <f t="shared" si="6"/>
        <v>1.0957141094127396</v>
      </c>
      <c r="S420" s="41">
        <f>Rådatakommune[[#This Row],[B12]]/Rådatakommune[[#This Row],[B02]]-1</f>
        <v>-0.1325889741800419</v>
      </c>
      <c r="T420" s="41">
        <f>Rådatakommune[[#This Row],[Kvinner20-39]]/Rådatakommune[[#This Row],[B12]]</f>
        <v>9.4931617055510856E-2</v>
      </c>
      <c r="U420" s="41">
        <f>Rådatakommune[[#This Row],[Eldre67+]]/Rådatakommune[[#This Row],[B12]]</f>
        <v>0.20193081255028159</v>
      </c>
      <c r="V420" s="41">
        <f>Rådatakommune[[#This Row],[S11]]/Rådatakommune[[#This Row],[S01]]-1</f>
        <v>-0.23165467625899283</v>
      </c>
      <c r="W420" s="41">
        <f>Rådatakommune[[#This Row],[Y11]]/Rådatakommune[[#This Row],[Folk20-64]]</f>
        <v>0.83500717360114773</v>
      </c>
    </row>
    <row r="421" spans="1:23" s="38" customFormat="1" ht="12.75">
      <c r="A421" s="42" t="s">
        <v>419</v>
      </c>
      <c r="B421" s="37">
        <v>20</v>
      </c>
      <c r="C421" s="38">
        <v>152</v>
      </c>
      <c r="D421" s="39" t="s">
        <v>436</v>
      </c>
      <c r="E421" s="37">
        <v>5</v>
      </c>
      <c r="F421" s="3">
        <v>3513</v>
      </c>
      <c r="G421" s="3">
        <v>3228</v>
      </c>
      <c r="H421" s="3">
        <v>1650</v>
      </c>
      <c r="I421" s="3">
        <v>468</v>
      </c>
      <c r="J421" s="3">
        <v>314</v>
      </c>
      <c r="K421" s="3">
        <v>1932</v>
      </c>
      <c r="L421" s="3">
        <v>1726</v>
      </c>
      <c r="M421" s="3">
        <v>1551</v>
      </c>
      <c r="N421" s="40">
        <v>924.84</v>
      </c>
      <c r="O421" s="40">
        <v>318700</v>
      </c>
      <c r="P421" s="38">
        <v>322.34145639234998</v>
      </c>
      <c r="Q421" s="38">
        <v>9</v>
      </c>
      <c r="R421" s="38">
        <f t="shared" si="6"/>
        <v>3.4903334630855065</v>
      </c>
      <c r="S421" s="41">
        <f>Rådatakommune[[#This Row],[B12]]/Rådatakommune[[#This Row],[B02]]-1</f>
        <v>-8.1127241673783046E-2</v>
      </c>
      <c r="T421" s="41">
        <f>Rådatakommune[[#This Row],[Kvinner20-39]]/Rådatakommune[[#This Row],[B12]]</f>
        <v>9.7273853779429986E-2</v>
      </c>
      <c r="U421" s="41">
        <f>Rådatakommune[[#This Row],[Eldre67+]]/Rådatakommune[[#This Row],[B12]]</f>
        <v>0.1449814126394052</v>
      </c>
      <c r="V421" s="41">
        <f>Rådatakommune[[#This Row],[S11]]/Rådatakommune[[#This Row],[S01]]-1</f>
        <v>-0.10139049826187718</v>
      </c>
      <c r="W421" s="41">
        <f>Rådatakommune[[#This Row],[Y11]]/Rådatakommune[[#This Row],[Folk20-64]]</f>
        <v>0.85403726708074534</v>
      </c>
    </row>
    <row r="422" spans="1:23" s="38" customFormat="1" ht="12.75">
      <c r="A422" s="42" t="s">
        <v>420</v>
      </c>
      <c r="B422" s="37">
        <v>20</v>
      </c>
      <c r="C422" s="38">
        <v>153</v>
      </c>
      <c r="D422" s="39" t="s">
        <v>436</v>
      </c>
      <c r="E422" s="37">
        <v>5</v>
      </c>
      <c r="F422" s="3">
        <v>4349</v>
      </c>
      <c r="G422" s="3">
        <v>3946</v>
      </c>
      <c r="H422" s="3">
        <v>2056</v>
      </c>
      <c r="I422" s="3">
        <v>558</v>
      </c>
      <c r="J422" s="3">
        <v>407</v>
      </c>
      <c r="K422" s="3">
        <v>2383</v>
      </c>
      <c r="L422" s="3">
        <v>1919</v>
      </c>
      <c r="M422" s="3">
        <v>1956</v>
      </c>
      <c r="N422" s="40">
        <v>4872.67</v>
      </c>
      <c r="O422" s="40">
        <v>320100</v>
      </c>
      <c r="P422" s="38">
        <v>268.82159737985</v>
      </c>
      <c r="Q422" s="38">
        <v>9</v>
      </c>
      <c r="R422" s="38">
        <f t="shared" si="6"/>
        <v>0.80982295127722581</v>
      </c>
      <c r="S422" s="41">
        <f>Rådatakommune[[#This Row],[B12]]/Rådatakommune[[#This Row],[B02]]-1</f>
        <v>-9.2664980455277046E-2</v>
      </c>
      <c r="T422" s="41">
        <f>Rådatakommune[[#This Row],[Kvinner20-39]]/Rådatakommune[[#This Row],[B12]]</f>
        <v>0.10314242270653827</v>
      </c>
      <c r="U422" s="41">
        <f>Rådatakommune[[#This Row],[Eldre67+]]/Rådatakommune[[#This Row],[B12]]</f>
        <v>0.14140902179422199</v>
      </c>
      <c r="V422" s="41">
        <f>Rådatakommune[[#This Row],[S11]]/Rådatakommune[[#This Row],[S01]]-1</f>
        <v>1.9280875455966573E-2</v>
      </c>
      <c r="W422" s="41">
        <f>Rådatakommune[[#This Row],[Y11]]/Rådatakommune[[#This Row],[Folk20-64]]</f>
        <v>0.8627780109106169</v>
      </c>
    </row>
    <row r="423" spans="1:23" s="38" customFormat="1" ht="12.75">
      <c r="A423" s="42" t="s">
        <v>421</v>
      </c>
      <c r="B423" s="37">
        <v>20</v>
      </c>
      <c r="C423" s="38">
        <v>154</v>
      </c>
      <c r="D423" s="39" t="s">
        <v>436</v>
      </c>
      <c r="E423" s="37">
        <v>5</v>
      </c>
      <c r="F423" s="3">
        <v>2852</v>
      </c>
      <c r="G423" s="3">
        <v>2763</v>
      </c>
      <c r="H423" s="3">
        <v>1424</v>
      </c>
      <c r="I423" s="3">
        <v>346</v>
      </c>
      <c r="J423" s="3">
        <v>303</v>
      </c>
      <c r="K423" s="3">
        <v>1634</v>
      </c>
      <c r="L423" s="3">
        <v>1208</v>
      </c>
      <c r="M423" s="3">
        <v>1402</v>
      </c>
      <c r="N423" s="40">
        <v>5452.94</v>
      </c>
      <c r="O423" s="40">
        <v>294400</v>
      </c>
      <c r="P423" s="38">
        <v>323.42360064299999</v>
      </c>
      <c r="Q423" s="38">
        <v>11</v>
      </c>
      <c r="R423" s="38">
        <f t="shared" si="6"/>
        <v>0.50669913844641612</v>
      </c>
      <c r="S423" s="41">
        <f>Rådatakommune[[#This Row],[B12]]/Rådatakommune[[#This Row],[B02]]-1</f>
        <v>-3.1206171107994396E-2</v>
      </c>
      <c r="T423" s="41">
        <f>Rådatakommune[[#This Row],[Kvinner20-39]]/Rådatakommune[[#This Row],[B12]]</f>
        <v>0.10966340933767643</v>
      </c>
      <c r="U423" s="41">
        <f>Rådatakommune[[#This Row],[Eldre67+]]/Rådatakommune[[#This Row],[B12]]</f>
        <v>0.12522620340209917</v>
      </c>
      <c r="V423" s="41">
        <f>Rådatakommune[[#This Row],[S11]]/Rådatakommune[[#This Row],[S01]]-1</f>
        <v>0.16059602649006632</v>
      </c>
      <c r="W423" s="41">
        <f>Rådatakommune[[#This Row],[Y11]]/Rådatakommune[[#This Row],[Folk20-64]]</f>
        <v>0.87148102815177475</v>
      </c>
    </row>
    <row r="424" spans="1:23" s="38" customFormat="1" ht="12.75">
      <c r="A424" s="42" t="s">
        <v>422</v>
      </c>
      <c r="B424" s="37">
        <v>20</v>
      </c>
      <c r="C424" s="38">
        <v>155</v>
      </c>
      <c r="D424" s="39" t="s">
        <v>436</v>
      </c>
      <c r="E424" s="37">
        <v>5</v>
      </c>
      <c r="F424" s="3">
        <v>1511</v>
      </c>
      <c r="G424" s="3">
        <v>1356</v>
      </c>
      <c r="H424" s="3">
        <v>622</v>
      </c>
      <c r="I424" s="3">
        <v>220</v>
      </c>
      <c r="J424" s="3">
        <v>140</v>
      </c>
      <c r="K424" s="3">
        <v>781</v>
      </c>
      <c r="L424" s="3">
        <v>665</v>
      </c>
      <c r="M424" s="3">
        <v>581</v>
      </c>
      <c r="N424" s="40">
        <v>3457.76</v>
      </c>
      <c r="O424" s="40">
        <v>290600</v>
      </c>
      <c r="P424" s="38">
        <v>443.67728289000001</v>
      </c>
      <c r="Q424" s="38">
        <v>11</v>
      </c>
      <c r="R424" s="38">
        <f t="shared" si="6"/>
        <v>0.3921613992873999</v>
      </c>
      <c r="S424" s="41">
        <f>Rådatakommune[[#This Row],[B12]]/Rådatakommune[[#This Row],[B02]]-1</f>
        <v>-0.10258107213765721</v>
      </c>
      <c r="T424" s="41">
        <f>Rådatakommune[[#This Row],[Kvinner20-39]]/Rådatakommune[[#This Row],[B12]]</f>
        <v>0.10324483775811209</v>
      </c>
      <c r="U424" s="41">
        <f>Rådatakommune[[#This Row],[Eldre67+]]/Rådatakommune[[#This Row],[B12]]</f>
        <v>0.16224188790560473</v>
      </c>
      <c r="V424" s="41">
        <f>Rådatakommune[[#This Row],[S11]]/Rådatakommune[[#This Row],[S01]]-1</f>
        <v>-0.12631578947368416</v>
      </c>
      <c r="W424" s="41">
        <f>Rådatakommune[[#This Row],[Y11]]/Rådatakommune[[#This Row],[Folk20-64]]</f>
        <v>0.79641485275288093</v>
      </c>
    </row>
    <row r="425" spans="1:23" s="38" customFormat="1" ht="12.75">
      <c r="A425" s="42" t="s">
        <v>423</v>
      </c>
      <c r="B425" s="37">
        <v>20</v>
      </c>
      <c r="C425" s="38">
        <v>156</v>
      </c>
      <c r="D425" s="39" t="s">
        <v>436</v>
      </c>
      <c r="E425" s="37">
        <v>5</v>
      </c>
      <c r="F425" s="3">
        <v>1234</v>
      </c>
      <c r="G425" s="3">
        <v>1008</v>
      </c>
      <c r="H425" s="3">
        <v>501</v>
      </c>
      <c r="I425" s="3">
        <v>168</v>
      </c>
      <c r="J425" s="3">
        <v>115</v>
      </c>
      <c r="K425" s="3">
        <v>615</v>
      </c>
      <c r="L425" s="3">
        <v>495</v>
      </c>
      <c r="M425" s="3">
        <v>408</v>
      </c>
      <c r="N425" s="40">
        <v>1415.43</v>
      </c>
      <c r="O425" s="40">
        <v>300400</v>
      </c>
      <c r="P425" s="38">
        <v>434.60745669599999</v>
      </c>
      <c r="Q425" s="38">
        <v>11</v>
      </c>
      <c r="R425" s="38">
        <f t="shared" si="6"/>
        <v>0.71215107776435427</v>
      </c>
      <c r="S425" s="41">
        <f>Rådatakommune[[#This Row],[B12]]/Rådatakommune[[#This Row],[B02]]-1</f>
        <v>-0.18314424635332249</v>
      </c>
      <c r="T425" s="41">
        <f>Rådatakommune[[#This Row],[Kvinner20-39]]/Rådatakommune[[#This Row],[B12]]</f>
        <v>0.11408730158730158</v>
      </c>
      <c r="U425" s="41">
        <f>Rådatakommune[[#This Row],[Eldre67+]]/Rådatakommune[[#This Row],[B12]]</f>
        <v>0.16666666666666666</v>
      </c>
      <c r="V425" s="41">
        <f>Rådatakommune[[#This Row],[S11]]/Rådatakommune[[#This Row],[S01]]-1</f>
        <v>-0.17575757575757578</v>
      </c>
      <c r="W425" s="41">
        <f>Rådatakommune[[#This Row],[Y11]]/Rådatakommune[[#This Row],[Folk20-64]]</f>
        <v>0.81463414634146336</v>
      </c>
    </row>
    <row r="426" spans="1:23" s="38" customFormat="1" ht="12.75">
      <c r="A426" s="42" t="s">
        <v>424</v>
      </c>
      <c r="B426" s="37">
        <v>20</v>
      </c>
      <c r="C426" s="38">
        <v>157</v>
      </c>
      <c r="D426" s="39" t="s">
        <v>436</v>
      </c>
      <c r="E426" s="37">
        <v>5</v>
      </c>
      <c r="F426" s="3">
        <v>1210</v>
      </c>
      <c r="G426" s="3">
        <v>1015</v>
      </c>
      <c r="H426" s="3">
        <v>492</v>
      </c>
      <c r="I426" s="3">
        <v>191</v>
      </c>
      <c r="J426" s="3">
        <v>84</v>
      </c>
      <c r="K426" s="3">
        <v>573</v>
      </c>
      <c r="L426" s="3">
        <v>499</v>
      </c>
      <c r="M426" s="3">
        <v>433</v>
      </c>
      <c r="N426" s="40">
        <v>1120.48</v>
      </c>
      <c r="O426" s="40">
        <v>300700</v>
      </c>
      <c r="P426" s="38">
        <v>333.68457024922998</v>
      </c>
      <c r="Q426" s="38">
        <v>11</v>
      </c>
      <c r="R426" s="38">
        <f t="shared" si="6"/>
        <v>0.90586177352563191</v>
      </c>
      <c r="S426" s="41">
        <f>Rådatakommune[[#This Row],[B12]]/Rådatakommune[[#This Row],[B02]]-1</f>
        <v>-0.16115702479338845</v>
      </c>
      <c r="T426" s="41">
        <f>Rådatakommune[[#This Row],[Kvinner20-39]]/Rådatakommune[[#This Row],[B12]]</f>
        <v>8.2758620689655171E-2</v>
      </c>
      <c r="U426" s="41">
        <f>Rådatakommune[[#This Row],[Eldre67+]]/Rådatakommune[[#This Row],[B12]]</f>
        <v>0.18817733990147784</v>
      </c>
      <c r="V426" s="41">
        <f>Rådatakommune[[#This Row],[S11]]/Rådatakommune[[#This Row],[S01]]-1</f>
        <v>-0.13226452905811625</v>
      </c>
      <c r="W426" s="41">
        <f>Rådatakommune[[#This Row],[Y11]]/Rådatakommune[[#This Row],[Folk20-64]]</f>
        <v>0.8586387434554974</v>
      </c>
    </row>
    <row r="427" spans="1:23" s="38" customFormat="1" ht="12.75">
      <c r="A427" s="42" t="s">
        <v>425</v>
      </c>
      <c r="B427" s="37">
        <v>20</v>
      </c>
      <c r="C427" s="38">
        <v>158</v>
      </c>
      <c r="D427" s="39" t="s">
        <v>436</v>
      </c>
      <c r="E427" s="37">
        <v>5</v>
      </c>
      <c r="F427" s="3">
        <v>3039</v>
      </c>
      <c r="G427" s="3">
        <v>2896</v>
      </c>
      <c r="H427" s="3">
        <v>1497</v>
      </c>
      <c r="I427" s="3">
        <v>468</v>
      </c>
      <c r="J427" s="3">
        <v>306</v>
      </c>
      <c r="K427" s="3">
        <v>1664</v>
      </c>
      <c r="L427" s="3">
        <v>1406</v>
      </c>
      <c r="M427" s="3">
        <v>1408</v>
      </c>
      <c r="N427" s="40">
        <v>4049.71</v>
      </c>
      <c r="O427" s="40">
        <v>309400</v>
      </c>
      <c r="P427" s="38">
        <v>328.30938772490003</v>
      </c>
      <c r="Q427" s="38">
        <v>11</v>
      </c>
      <c r="R427" s="38">
        <f t="shared" si="6"/>
        <v>0.71511293401255893</v>
      </c>
      <c r="S427" s="41">
        <f>Rådatakommune[[#This Row],[B12]]/Rådatakommune[[#This Row],[B02]]-1</f>
        <v>-4.7054952286936458E-2</v>
      </c>
      <c r="T427" s="41">
        <f>Rådatakommune[[#This Row],[Kvinner20-39]]/Rådatakommune[[#This Row],[B12]]</f>
        <v>0.10566298342541436</v>
      </c>
      <c r="U427" s="41">
        <f>Rådatakommune[[#This Row],[Eldre67+]]/Rådatakommune[[#This Row],[B12]]</f>
        <v>0.16160220994475138</v>
      </c>
      <c r="V427" s="41">
        <f>Rådatakommune[[#This Row],[S11]]/Rådatakommune[[#This Row],[S01]]-1</f>
        <v>1.4224751066855834E-3</v>
      </c>
      <c r="W427" s="41">
        <f>Rådatakommune[[#This Row],[Y11]]/Rådatakommune[[#This Row],[Folk20-64]]</f>
        <v>0.89963942307692313</v>
      </c>
    </row>
    <row r="428" spans="1:23" s="38" customFormat="1" ht="12.75">
      <c r="A428" s="42" t="s">
        <v>426</v>
      </c>
      <c r="B428" s="37">
        <v>20</v>
      </c>
      <c r="C428" s="38">
        <v>145</v>
      </c>
      <c r="D428" s="39" t="s">
        <v>436</v>
      </c>
      <c r="E428" s="37">
        <v>5</v>
      </c>
      <c r="F428" s="3">
        <v>966</v>
      </c>
      <c r="G428" s="3">
        <v>901</v>
      </c>
      <c r="H428" s="3">
        <v>439</v>
      </c>
      <c r="I428" s="3">
        <v>178</v>
      </c>
      <c r="J428" s="3">
        <v>89</v>
      </c>
      <c r="K428" s="3">
        <v>510</v>
      </c>
      <c r="L428" s="3">
        <v>356</v>
      </c>
      <c r="M428" s="3">
        <v>322</v>
      </c>
      <c r="N428" s="40">
        <v>1436.3700000000001</v>
      </c>
      <c r="O428" s="40">
        <v>294400</v>
      </c>
      <c r="P428" s="38">
        <v>314.00916310809998</v>
      </c>
      <c r="Q428" s="38">
        <v>7</v>
      </c>
      <c r="R428" s="38">
        <f t="shared" si="6"/>
        <v>0.62727570194309257</v>
      </c>
      <c r="S428" s="41">
        <f>Rådatakommune[[#This Row],[B12]]/Rådatakommune[[#This Row],[B02]]-1</f>
        <v>-6.7287784679089024E-2</v>
      </c>
      <c r="T428" s="41">
        <f>Rådatakommune[[#This Row],[Kvinner20-39]]/Rådatakommune[[#This Row],[B12]]</f>
        <v>9.8779134295227528E-2</v>
      </c>
      <c r="U428" s="41">
        <f>Rådatakommune[[#This Row],[Eldre67+]]/Rådatakommune[[#This Row],[B12]]</f>
        <v>0.19755826859045506</v>
      </c>
      <c r="V428" s="41">
        <f>Rådatakommune[[#This Row],[S11]]/Rådatakommune[[#This Row],[S01]]-1</f>
        <v>-9.5505617977528101E-2</v>
      </c>
      <c r="W428" s="41">
        <f>Rådatakommune[[#This Row],[Y11]]/Rådatakommune[[#This Row],[Folk20-64]]</f>
        <v>0.86078431372549025</v>
      </c>
    </row>
    <row r="429" spans="1:23" s="38" customFormat="1" ht="12.75">
      <c r="A429" s="42" t="s">
        <v>427</v>
      </c>
      <c r="B429" s="37">
        <v>20</v>
      </c>
      <c r="C429" s="38">
        <v>159</v>
      </c>
      <c r="D429" s="39" t="s">
        <v>436</v>
      </c>
      <c r="E429" s="37">
        <v>5</v>
      </c>
      <c r="F429" s="3">
        <v>2407</v>
      </c>
      <c r="G429" s="3">
        <v>2089</v>
      </c>
      <c r="H429" s="3">
        <v>1096</v>
      </c>
      <c r="I429" s="3">
        <v>248</v>
      </c>
      <c r="J429" s="3">
        <v>242</v>
      </c>
      <c r="K429" s="3">
        <v>1292</v>
      </c>
      <c r="L429" s="3">
        <v>1283</v>
      </c>
      <c r="M429" s="3">
        <v>1048</v>
      </c>
      <c r="N429" s="40">
        <v>1433.26</v>
      </c>
      <c r="O429" s="40">
        <v>311900</v>
      </c>
      <c r="P429" s="38">
        <v>323.55824695064001</v>
      </c>
      <c r="Q429" s="38">
        <v>9</v>
      </c>
      <c r="R429" s="38">
        <f t="shared" si="6"/>
        <v>1.4575164310732176</v>
      </c>
      <c r="S429" s="41">
        <f>Rådatakommune[[#This Row],[B12]]/Rådatakommune[[#This Row],[B02]]-1</f>
        <v>-0.13211466555878693</v>
      </c>
      <c r="T429" s="41">
        <f>Rådatakommune[[#This Row],[Kvinner20-39]]/Rådatakommune[[#This Row],[B12]]</f>
        <v>0.11584490186692198</v>
      </c>
      <c r="U429" s="41">
        <f>Rådatakommune[[#This Row],[Eldre67+]]/Rådatakommune[[#This Row],[B12]]</f>
        <v>0.11871708951651508</v>
      </c>
      <c r="V429" s="41">
        <f>Rådatakommune[[#This Row],[S11]]/Rådatakommune[[#This Row],[S01]]-1</f>
        <v>-0.18316445830085737</v>
      </c>
      <c r="W429" s="41">
        <f>Rådatakommune[[#This Row],[Y11]]/Rådatakommune[[#This Row],[Folk20-64]]</f>
        <v>0.84829721362229105</v>
      </c>
    </row>
    <row r="430" spans="1:23" s="38" customFormat="1" ht="12.75">
      <c r="A430" s="42" t="s">
        <v>428</v>
      </c>
      <c r="B430" s="37">
        <v>20</v>
      </c>
      <c r="C430" s="38">
        <v>160</v>
      </c>
      <c r="D430" s="39" t="s">
        <v>436</v>
      </c>
      <c r="E430" s="37">
        <v>5</v>
      </c>
      <c r="F430" s="3">
        <v>9608</v>
      </c>
      <c r="G430" s="3">
        <v>9860</v>
      </c>
      <c r="H430" s="3">
        <v>5304</v>
      </c>
      <c r="I430" s="3">
        <v>1272</v>
      </c>
      <c r="J430" s="3">
        <v>1268</v>
      </c>
      <c r="K430" s="3">
        <v>5933</v>
      </c>
      <c r="L430" s="3">
        <v>4311</v>
      </c>
      <c r="M430" s="3">
        <v>5386</v>
      </c>
      <c r="N430" s="40">
        <v>3967.3999999999996</v>
      </c>
      <c r="O430" s="40">
        <v>340200</v>
      </c>
      <c r="P430" s="38">
        <v>241.72333793760001</v>
      </c>
      <c r="Q430" s="38">
        <v>9</v>
      </c>
      <c r="R430" s="38">
        <f t="shared" si="6"/>
        <v>2.485254826838736</v>
      </c>
      <c r="S430" s="41">
        <f>Rådatakommune[[#This Row],[B12]]/Rådatakommune[[#This Row],[B02]]-1</f>
        <v>2.6228143213988364E-2</v>
      </c>
      <c r="T430" s="41">
        <f>Rådatakommune[[#This Row],[Kvinner20-39]]/Rådatakommune[[#This Row],[B12]]</f>
        <v>0.1286004056795132</v>
      </c>
      <c r="U430" s="41">
        <f>Rådatakommune[[#This Row],[Eldre67+]]/Rådatakommune[[#This Row],[B12]]</f>
        <v>0.12900608519269777</v>
      </c>
      <c r="V430" s="41">
        <f>Rådatakommune[[#This Row],[S11]]/Rådatakommune[[#This Row],[S01]]-1</f>
        <v>0.24936209696126199</v>
      </c>
      <c r="W430" s="41">
        <f>Rådatakommune[[#This Row],[Y11]]/Rådatakommune[[#This Row],[Folk20-64]]</f>
        <v>0.89398280802292263</v>
      </c>
    </row>
  </sheetData>
  <mergeCells count="4">
    <mergeCell ref="B1:E1"/>
    <mergeCell ref="F1:N1"/>
    <mergeCell ref="R1:W1"/>
    <mergeCell ref="O1:Q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M43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5"/>
  <cols>
    <col min="1" max="1" width="25" bestFit="1" customWidth="1"/>
    <col min="2" max="2" width="16.85546875" customWidth="1"/>
    <col min="3" max="3" width="14.42578125" customWidth="1"/>
    <col min="4" max="4" width="13.28515625" customWidth="1"/>
    <col min="5" max="5" width="12.85546875" customWidth="1"/>
    <col min="6" max="6" width="14.28515625" customWidth="1"/>
    <col min="7" max="7" width="12.7109375" customWidth="1"/>
    <col min="8" max="8" width="22.28515625" customWidth="1"/>
    <col min="9" max="9" width="17.140625" customWidth="1"/>
    <col min="10" max="10" width="9.5703125" customWidth="1"/>
    <col min="11" max="11" width="11.140625" bestFit="1" customWidth="1"/>
    <col min="12" max="12" width="15.42578125" customWidth="1"/>
    <col min="13" max="13" width="14.28515625" customWidth="1"/>
    <col min="14" max="14" width="13.85546875" customWidth="1"/>
    <col min="15" max="15" width="15.28515625" customWidth="1"/>
    <col min="16" max="16" width="13.7109375" customWidth="1"/>
    <col min="17" max="17" width="23.28515625" customWidth="1"/>
    <col min="18" max="18" width="18.140625" customWidth="1"/>
    <col min="19" max="19" width="11.5703125" customWidth="1"/>
    <col min="20" max="20" width="10.7109375" bestFit="1" customWidth="1"/>
    <col min="21" max="21" width="15.85546875" bestFit="1" customWidth="1"/>
    <col min="22" max="22" width="14.7109375" customWidth="1"/>
    <col min="23" max="23" width="14.28515625" bestFit="1" customWidth="1"/>
    <col min="24" max="24" width="15.7109375" bestFit="1" customWidth="1"/>
    <col min="25" max="25" width="14.140625" bestFit="1" customWidth="1"/>
    <col min="26" max="26" width="24" bestFit="1" customWidth="1"/>
    <col min="27" max="27" width="18.85546875" bestFit="1" customWidth="1"/>
    <col min="28" max="28" width="11" bestFit="1" customWidth="1"/>
    <col min="29" max="37" width="11" customWidth="1"/>
    <col min="38" max="38" width="21.140625" customWidth="1"/>
  </cols>
  <sheetData>
    <row r="1" spans="1:39">
      <c r="B1" s="58" t="s">
        <v>524</v>
      </c>
      <c r="C1" s="59"/>
      <c r="D1" s="59"/>
      <c r="E1" s="59"/>
      <c r="F1" s="59"/>
      <c r="G1" s="59"/>
      <c r="H1" s="59"/>
      <c r="I1" s="59"/>
      <c r="J1" s="60"/>
      <c r="K1" s="55" t="s">
        <v>471</v>
      </c>
      <c r="L1" s="56"/>
      <c r="M1" s="56"/>
      <c r="N1" s="56"/>
      <c r="O1" s="56"/>
      <c r="P1" s="56"/>
      <c r="Q1" s="56"/>
      <c r="R1" s="56"/>
      <c r="S1" s="57"/>
      <c r="T1" s="52" t="s">
        <v>480</v>
      </c>
      <c r="U1" s="53"/>
      <c r="V1" s="53"/>
      <c r="W1" s="53"/>
      <c r="X1" s="53"/>
      <c r="Y1" s="53"/>
      <c r="Z1" s="53"/>
      <c r="AA1" s="53"/>
      <c r="AB1" s="54"/>
      <c r="AC1" s="50" t="s">
        <v>518</v>
      </c>
      <c r="AD1" s="51"/>
      <c r="AE1" s="51"/>
      <c r="AF1" s="51"/>
      <c r="AG1" s="51"/>
      <c r="AH1" s="51"/>
      <c r="AI1" s="51"/>
      <c r="AJ1" s="51"/>
      <c r="AK1" s="51"/>
      <c r="AL1" s="35" t="s">
        <v>481</v>
      </c>
      <c r="AM1" s="64"/>
    </row>
    <row r="2" spans="1:39">
      <c r="A2" s="5" t="s">
        <v>0</v>
      </c>
      <c r="B2" s="19" t="s">
        <v>506</v>
      </c>
      <c r="C2" s="20" t="s">
        <v>448</v>
      </c>
      <c r="D2" s="20" t="s">
        <v>500</v>
      </c>
      <c r="E2" s="33" t="s">
        <v>459</v>
      </c>
      <c r="F2" s="21" t="s">
        <v>460</v>
      </c>
      <c r="G2" s="21" t="s">
        <v>461</v>
      </c>
      <c r="H2" s="21" t="s">
        <v>462</v>
      </c>
      <c r="I2" s="21" t="s">
        <v>463</v>
      </c>
      <c r="J2" s="22" t="s">
        <v>453</v>
      </c>
      <c r="K2" s="19" t="s">
        <v>507</v>
      </c>
      <c r="L2" s="20" t="s">
        <v>482</v>
      </c>
      <c r="M2" s="20" t="s">
        <v>501</v>
      </c>
      <c r="N2" s="27" t="s">
        <v>483</v>
      </c>
      <c r="O2" s="27" t="s">
        <v>484</v>
      </c>
      <c r="P2" s="27" t="s">
        <v>485</v>
      </c>
      <c r="Q2" s="27" t="s">
        <v>486</v>
      </c>
      <c r="R2" s="27" t="s">
        <v>487</v>
      </c>
      <c r="S2" s="29" t="s">
        <v>488</v>
      </c>
      <c r="T2" s="19" t="s">
        <v>508</v>
      </c>
      <c r="U2" s="20" t="s">
        <v>489</v>
      </c>
      <c r="V2" s="20" t="s">
        <v>499</v>
      </c>
      <c r="W2" s="27" t="s">
        <v>490</v>
      </c>
      <c r="X2" s="27" t="s">
        <v>491</v>
      </c>
      <c r="Y2" s="27" t="s">
        <v>492</v>
      </c>
      <c r="Z2" s="27" t="s">
        <v>493</v>
      </c>
      <c r="AA2" s="27" t="s">
        <v>494</v>
      </c>
      <c r="AB2" s="29" t="s">
        <v>495</v>
      </c>
      <c r="AC2" s="19" t="s">
        <v>509</v>
      </c>
      <c r="AD2" s="20" t="s">
        <v>510</v>
      </c>
      <c r="AE2" s="20" t="s">
        <v>511</v>
      </c>
      <c r="AF2" s="27" t="s">
        <v>512</v>
      </c>
      <c r="AG2" s="27" t="s">
        <v>513</v>
      </c>
      <c r="AH2" s="27" t="s">
        <v>514</v>
      </c>
      <c r="AI2" s="27" t="s">
        <v>515</v>
      </c>
      <c r="AJ2" s="27" t="s">
        <v>516</v>
      </c>
      <c r="AK2" s="29" t="s">
        <v>517</v>
      </c>
      <c r="AL2" s="1" t="s">
        <v>519</v>
      </c>
    </row>
    <row r="3" spans="1:39" s="38" customFormat="1" ht="12.75">
      <c r="A3" s="36" t="s">
        <v>1</v>
      </c>
      <c r="B3" s="38">
        <f>'Rådata-K'!Q3</f>
        <v>5</v>
      </c>
      <c r="C3" s="44">
        <f>'Rådata-K'!P3</f>
        <v>78.917773448399998</v>
      </c>
      <c r="D3" s="41">
        <f>'Rådata-K'!R3</f>
        <v>45.99206040320697</v>
      </c>
      <c r="E3" s="41">
        <f>'Rådata-K'!S3</f>
        <v>8.5980002940744038E-2</v>
      </c>
      <c r="F3" s="41">
        <f>'Rådata-K'!T3</f>
        <v>0.11955454760857055</v>
      </c>
      <c r="G3" s="41">
        <f>'Rådata-K'!U3</f>
        <v>0.14968012727211183</v>
      </c>
      <c r="H3" s="41">
        <f>'Rådata-K'!V3</f>
        <v>5.7387260194335932E-2</v>
      </c>
      <c r="I3" s="41">
        <f>'Rådata-K'!W3</f>
        <v>0.79583769329147769</v>
      </c>
      <c r="J3" s="41">
        <f>'Rådata-K'!O3</f>
        <v>310000</v>
      </c>
      <c r="K3" s="41">
        <f>Tabell2[[#This Row],[NIBR11]]</f>
        <v>5</v>
      </c>
      <c r="L3" s="41">
        <f>IF(Tabell2[[#This Row],[ReisetidOslo]]&lt;=C$433,C$433,IF(Tabell2[[#This Row],[ReisetidOslo]]&gt;=C$434,C$434,Tabell2[[#This Row],[ReisetidOslo]]))</f>
        <v>78.917773448399998</v>
      </c>
      <c r="M3" s="41">
        <f>IF(Tabell2[[#This Row],[Beftettotal]]&lt;=D$433,D$433,IF(Tabell2[[#This Row],[Beftettotal]]&gt;=D$434,D$434,Tabell2[[#This Row],[Beftettotal]]))</f>
        <v>45.99206040320697</v>
      </c>
      <c r="N3" s="41">
        <f>IF(Tabell2[[#This Row],[Befvekst10]]&lt;=E$433,E$433,IF(Tabell2[[#This Row],[Befvekst10]]&gt;=E$434,E$434,Tabell2[[#This Row],[Befvekst10]]))</f>
        <v>8.5980002940744038E-2</v>
      </c>
      <c r="O3" s="41">
        <f>IF(Tabell2[[#This Row],[Kvinneandel]]&lt;=F$433,F$433,IF(Tabell2[[#This Row],[Kvinneandel]]&gt;=F$434,F$434,Tabell2[[#This Row],[Kvinneandel]]))</f>
        <v>0.11955454760857055</v>
      </c>
      <c r="P3" s="41">
        <f>IF(Tabell2[[#This Row],[Eldreandel]]&lt;=G$433,G$433,IF(Tabell2[[#This Row],[Eldreandel]]&gt;=G$434,G$434,Tabell2[[#This Row],[Eldreandel]]))</f>
        <v>0.14968012727211183</v>
      </c>
      <c r="Q3" s="41">
        <f>IF(Tabell2[[#This Row],[Sysselsettingsvekst10]]&lt;=H$433,H$433,IF(Tabell2[[#This Row],[Sysselsettingsvekst10]]&gt;=H$434,H$434,Tabell2[[#This Row],[Sysselsettingsvekst10]]))</f>
        <v>5.7387260194335932E-2</v>
      </c>
      <c r="R3" s="41">
        <f>IF(Tabell2[[#This Row],[Yrkesaktivandel]]&lt;=I$433,I$433,IF(Tabell2[[#This Row],[Yrkesaktivandel]]&gt;=I$434,I$434,Tabell2[[#This Row],[Yrkesaktivandel]]))</f>
        <v>0.82642965596795781</v>
      </c>
      <c r="S3" s="41">
        <f>IF(Tabell2[[#This Row],[Inntekt]]&lt;=J$433,J$433,IF(Tabell2[[#This Row],[Inntekt]]&gt;=J$434,J$434,Tabell2[[#This Row],[Inntekt]]))</f>
        <v>310000</v>
      </c>
      <c r="T3" s="44">
        <f>IF(Tabell2[[#This Row],[NIBR11-T]]&lt;=K$436,100,IF(Tabell2[[#This Row],[NIBR11-T]]&gt;=K$435,0,100*(K$435-Tabell2[[#This Row],[NIBR11-T]])/K$438))</f>
        <v>60</v>
      </c>
      <c r="U3" s="44">
        <f>(L$435-Tabell2[[#This Row],[ReisetidOslo-T]])*100/L$438</f>
        <v>88.851295686049838</v>
      </c>
      <c r="V3" s="44">
        <f>100-(M$435-Tabell2[[#This Row],[Beftettotal-T]])*100/M$438</f>
        <v>36.541415058275987</v>
      </c>
      <c r="W3" s="44">
        <f>100-(N$435-Tabell2[[#This Row],[Befvekst10-T]])*100/N$438</f>
        <v>73.601215109965054</v>
      </c>
      <c r="X3" s="44">
        <f>100-(O$435-Tabell2[[#This Row],[Kvinneandel-T]])*100/O$438</f>
        <v>76.174153746703041</v>
      </c>
      <c r="Y3" s="44">
        <f>(P$435-Tabell2[[#This Row],[Eldreandel-T]])*100/P$438</f>
        <v>58.002786651143644</v>
      </c>
      <c r="Z3" s="44">
        <f>100-(Q$435-Tabell2[[#This Row],[Sysselsettingsvekst10-T]])*100/Q$438</f>
        <v>43.972037040759581</v>
      </c>
      <c r="AA3" s="44">
        <f>100-(R$435-Tabell2[[#This Row],[Yrkesaktivandel-T]])*100/R$438</f>
        <v>0</v>
      </c>
      <c r="AB3" s="44">
        <f>100-(S$435-Tabell2[[#This Row],[Inntekt-T]])*100/S$438</f>
        <v>24.279499728113109</v>
      </c>
      <c r="AC3" s="44">
        <f>Tabell2[[#This Row],[NIBR11-I]]*Vekter!$B$3</f>
        <v>12</v>
      </c>
      <c r="AD3" s="44">
        <f>Tabell2[[#This Row],[ReisetidOslo-I]]*Vekter!$C$3</f>
        <v>8.8851295686049845</v>
      </c>
      <c r="AE3" s="44">
        <f>Tabell2[[#This Row],[Beftettotal-I]]*Vekter!$E$4</f>
        <v>3.654141505827599</v>
      </c>
      <c r="AF3" s="44">
        <f>Tabell2[[#This Row],[Befvekst10-I]]*Vekter!$F$3</f>
        <v>14.720243021993012</v>
      </c>
      <c r="AG3" s="44">
        <f>Tabell2[[#This Row],[Kvinneandel-I]]*Vekter!$G$3</f>
        <v>3.8087076873351524</v>
      </c>
      <c r="AH3" s="44">
        <f>Tabell2[[#This Row],[Eldreandel-I]]*Vekter!$H$3</f>
        <v>2.9001393325571825</v>
      </c>
      <c r="AI3" s="44">
        <f>Tabell2[[#This Row],[Sysselsettingsvekst10-I]]*Vekter!$I$3</f>
        <v>4.3972037040759586</v>
      </c>
      <c r="AJ3" s="44">
        <f>Tabell2[[#This Row],[Yrkesaktivandel-I]]*Vekter!$K$3</f>
        <v>0</v>
      </c>
      <c r="AK3" s="44">
        <f>Tabell2[[#This Row],[Inntekt-I]]*Vekter!$M$3</f>
        <v>2.427949972811311</v>
      </c>
      <c r="AL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52.793514793205198</v>
      </c>
    </row>
    <row r="4" spans="1:39" s="38" customFormat="1" ht="12.75">
      <c r="A4" s="36" t="s">
        <v>2</v>
      </c>
      <c r="B4" s="38">
        <f>'Rådata-K'!Q4</f>
        <v>4</v>
      </c>
      <c r="C4" s="44">
        <f>'Rådata-K'!P4</f>
        <v>43.352067609999999</v>
      </c>
      <c r="D4" s="41">
        <f>'Rådata-K'!R4</f>
        <v>483.82677165354329</v>
      </c>
      <c r="E4" s="41">
        <f>'Rådata-K'!S4</f>
        <v>0.12382032335942639</v>
      </c>
      <c r="F4" s="41">
        <f>'Rådata-K'!T4</f>
        <v>0.12020310516551118</v>
      </c>
      <c r="G4" s="41">
        <f>'Rådata-K'!U4</f>
        <v>0.14741398951925266</v>
      </c>
      <c r="H4" s="41">
        <f>'Rådata-K'!V4</f>
        <v>4.7103801485969932E-2</v>
      </c>
      <c r="I4" s="41">
        <f>'Rådata-K'!W4</f>
        <v>0.80338664158043271</v>
      </c>
      <c r="J4" s="41">
        <f>'Rådata-K'!O4</f>
        <v>330900</v>
      </c>
      <c r="K4" s="41">
        <f>Tabell2[[#This Row],[NIBR11]]</f>
        <v>4</v>
      </c>
      <c r="L4" s="41">
        <f>IF(Tabell2[[#This Row],[ReisetidOslo]]&lt;=C$433,C$433,IF(Tabell2[[#This Row],[ReisetidOslo]]&gt;=C$434,C$434,Tabell2[[#This Row],[ReisetidOslo]]))</f>
        <v>53.805284539509998</v>
      </c>
      <c r="M4" s="41">
        <f>IF(Tabell2[[#This Row],[Beftettotal]]&lt;=D$433,D$433,IF(Tabell2[[#This Row],[Beftettotal]]&gt;=D$434,D$434,Tabell2[[#This Row],[Beftettotal]]))</f>
        <v>123.5691465212405</v>
      </c>
      <c r="N4" s="41">
        <f>IF(Tabell2[[#This Row],[Befvekst10]]&lt;=E$433,E$433,IF(Tabell2[[#This Row],[Befvekst10]]&gt;=E$434,E$434,Tabell2[[#This Row],[Befvekst10]]))</f>
        <v>0.12382032335942639</v>
      </c>
      <c r="O4" s="41">
        <f>IF(Tabell2[[#This Row],[Kvinneandel]]&lt;=F$433,F$433,IF(Tabell2[[#This Row],[Kvinneandel]]&gt;=F$434,F$434,Tabell2[[#This Row],[Kvinneandel]]))</f>
        <v>0.12020310516551118</v>
      </c>
      <c r="P4" s="41">
        <f>IF(Tabell2[[#This Row],[Eldreandel]]&lt;=G$433,G$433,IF(Tabell2[[#This Row],[Eldreandel]]&gt;=G$434,G$434,Tabell2[[#This Row],[Eldreandel]]))</f>
        <v>0.14741398951925266</v>
      </c>
      <c r="Q4" s="41">
        <f>IF(Tabell2[[#This Row],[Sysselsettingsvekst10]]&lt;=H$433,H$433,IF(Tabell2[[#This Row],[Sysselsettingsvekst10]]&gt;=H$434,H$434,Tabell2[[#This Row],[Sysselsettingsvekst10]]))</f>
        <v>4.7103801485969932E-2</v>
      </c>
      <c r="R4" s="41">
        <f>IF(Tabell2[[#This Row],[Yrkesaktivandel]]&lt;=I$433,I$433,IF(Tabell2[[#This Row],[Yrkesaktivandel]]&gt;=I$434,I$434,Tabell2[[#This Row],[Yrkesaktivandel]]))</f>
        <v>0.82642965596795781</v>
      </c>
      <c r="S4" s="41">
        <f>IF(Tabell2[[#This Row],[Inntekt]]&lt;=J$433,J$433,IF(Tabell2[[#This Row],[Inntekt]]&gt;=J$434,J$434,Tabell2[[#This Row],[Inntekt]]))</f>
        <v>330900</v>
      </c>
      <c r="T4" s="44">
        <f>IF(Tabell2[[#This Row],[NIBR11-T]]&lt;=K$436,100,IF(Tabell2[[#This Row],[NIBR11-T]]&gt;=K$435,0,100*(K$435-Tabell2[[#This Row],[NIBR11-T]])/K$438))</f>
        <v>70</v>
      </c>
      <c r="U4" s="44">
        <f>(L$435-Tabell2[[#This Row],[ReisetidOslo-T]])*100/L$438</f>
        <v>100</v>
      </c>
      <c r="V4" s="44">
        <f>100-(M$435-Tabell2[[#This Row],[Beftettotal-T]])*100/M$438</f>
        <v>100</v>
      </c>
      <c r="W4" s="44">
        <f>100-(N$435-Tabell2[[#This Row],[Befvekst10-T]])*100/N$438</f>
        <v>89.25631863382165</v>
      </c>
      <c r="X4" s="44">
        <f>100-(O$435-Tabell2[[#This Row],[Kvinneandel-T]])*100/O$438</f>
        <v>77.948906283914553</v>
      </c>
      <c r="Y4" s="44">
        <f>(P$435-Tabell2[[#This Row],[Eldreandel-T]])*100/P$438</f>
        <v>60.670927387661628</v>
      </c>
      <c r="Z4" s="44">
        <f>100-(Q$435-Tabell2[[#This Row],[Sysselsettingsvekst10-T]])*100/Q$438</f>
        <v>40.948524547290752</v>
      </c>
      <c r="AA4" s="44">
        <f>100-(R$435-Tabell2[[#This Row],[Yrkesaktivandel-T]])*100/R$438</f>
        <v>0</v>
      </c>
      <c r="AB4" s="44">
        <f>100-(S$435-Tabell2[[#This Row],[Inntekt-T]])*100/S$438</f>
        <v>52.69168026101142</v>
      </c>
      <c r="AC4" s="44">
        <f>Tabell2[[#This Row],[NIBR11-I]]*Vekter!$B$3</f>
        <v>14</v>
      </c>
      <c r="AD4" s="44">
        <f>Tabell2[[#This Row],[ReisetidOslo-I]]*Vekter!$C$3</f>
        <v>10</v>
      </c>
      <c r="AE4" s="44">
        <f>Tabell2[[#This Row],[Beftettotal-I]]*Vekter!$E$4</f>
        <v>10</v>
      </c>
      <c r="AF4" s="44">
        <f>Tabell2[[#This Row],[Befvekst10-I]]*Vekter!$F$3</f>
        <v>17.85126372676433</v>
      </c>
      <c r="AG4" s="44">
        <f>Tabell2[[#This Row],[Kvinneandel-I]]*Vekter!$G$3</f>
        <v>3.8974453141957279</v>
      </c>
      <c r="AH4" s="44">
        <f>Tabell2[[#This Row],[Eldreandel-I]]*Vekter!$H$3</f>
        <v>3.0335463693830818</v>
      </c>
      <c r="AI4" s="44">
        <f>Tabell2[[#This Row],[Sysselsettingsvekst10-I]]*Vekter!$I$3</f>
        <v>4.0948524547290752</v>
      </c>
      <c r="AJ4" s="44">
        <f>Tabell2[[#This Row],[Yrkesaktivandel-I]]*Vekter!$K$3</f>
        <v>0</v>
      </c>
      <c r="AK4" s="44">
        <f>Tabell2[[#This Row],[Inntekt-I]]*Vekter!$M$3</f>
        <v>5.2691680261011422</v>
      </c>
      <c r="AL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68.14627589117336</v>
      </c>
    </row>
    <row r="5" spans="1:39" s="38" customFormat="1" ht="12.75">
      <c r="A5" s="36" t="s">
        <v>3</v>
      </c>
      <c r="B5" s="38">
        <f>'Rådata-K'!Q5</f>
        <v>2</v>
      </c>
      <c r="C5" s="44">
        <f>'Rådata-K'!P5</f>
        <v>61.282189696099998</v>
      </c>
      <c r="D5" s="41">
        <f>'Rådata-K'!R5</f>
        <v>131.45272601794341</v>
      </c>
      <c r="E5" s="41">
        <f>'Rådata-K'!S5</f>
        <v>9.8403871897847717E-2</v>
      </c>
      <c r="F5" s="41">
        <f>'Rådata-K'!T5</f>
        <v>0.12129450809067557</v>
      </c>
      <c r="G5" s="41">
        <f>'Rådata-K'!U5</f>
        <v>0.14377589859936624</v>
      </c>
      <c r="H5" s="41">
        <f>'Rådata-K'!V5</f>
        <v>7.1207000324088998E-2</v>
      </c>
      <c r="I5" s="41">
        <f>'Rådata-K'!W5</f>
        <v>0.80040575789778767</v>
      </c>
      <c r="J5" s="41">
        <f>'Rådata-K'!O5</f>
        <v>312700</v>
      </c>
      <c r="K5" s="41">
        <f>Tabell2[[#This Row],[NIBR11]]</f>
        <v>2</v>
      </c>
      <c r="L5" s="41">
        <f>IF(Tabell2[[#This Row],[ReisetidOslo]]&lt;=C$433,C$433,IF(Tabell2[[#This Row],[ReisetidOslo]]&gt;=C$434,C$434,Tabell2[[#This Row],[ReisetidOslo]]))</f>
        <v>61.282189696099998</v>
      </c>
      <c r="M5" s="41">
        <f>IF(Tabell2[[#This Row],[Beftettotal]]&lt;=D$433,D$433,IF(Tabell2[[#This Row],[Beftettotal]]&gt;=D$434,D$434,Tabell2[[#This Row],[Beftettotal]]))</f>
        <v>123.5691465212405</v>
      </c>
      <c r="N5" s="41">
        <f>IF(Tabell2[[#This Row],[Befvekst10]]&lt;=E$433,E$433,IF(Tabell2[[#This Row],[Befvekst10]]&gt;=E$434,E$434,Tabell2[[#This Row],[Befvekst10]]))</f>
        <v>9.8403871897847717E-2</v>
      </c>
      <c r="O5" s="41">
        <f>IF(Tabell2[[#This Row],[Kvinneandel]]&lt;=F$433,F$433,IF(Tabell2[[#This Row],[Kvinneandel]]&gt;=F$434,F$434,Tabell2[[#This Row],[Kvinneandel]]))</f>
        <v>0.12129450809067557</v>
      </c>
      <c r="P5" s="41">
        <f>IF(Tabell2[[#This Row],[Eldreandel]]&lt;=G$433,G$433,IF(Tabell2[[#This Row],[Eldreandel]]&gt;=G$434,G$434,Tabell2[[#This Row],[Eldreandel]]))</f>
        <v>0.14377589859936624</v>
      </c>
      <c r="Q5" s="41">
        <f>IF(Tabell2[[#This Row],[Sysselsettingsvekst10]]&lt;=H$433,H$433,IF(Tabell2[[#This Row],[Sysselsettingsvekst10]]&gt;=H$434,H$434,Tabell2[[#This Row],[Sysselsettingsvekst10]]))</f>
        <v>7.1207000324088998E-2</v>
      </c>
      <c r="R5" s="41">
        <f>IF(Tabell2[[#This Row],[Yrkesaktivandel]]&lt;=I$433,I$433,IF(Tabell2[[#This Row],[Yrkesaktivandel]]&gt;=I$434,I$434,Tabell2[[#This Row],[Yrkesaktivandel]]))</f>
        <v>0.82642965596795781</v>
      </c>
      <c r="S5" s="41">
        <f>IF(Tabell2[[#This Row],[Inntekt]]&lt;=J$433,J$433,IF(Tabell2[[#This Row],[Inntekt]]&gt;=J$434,J$434,Tabell2[[#This Row],[Inntekt]]))</f>
        <v>312700</v>
      </c>
      <c r="T5" s="44">
        <f>IF(Tabell2[[#This Row],[NIBR11-T]]&lt;=K$436,100,IF(Tabell2[[#This Row],[NIBR11-T]]&gt;=K$435,0,100*(K$435-Tabell2[[#This Row],[NIBR11-T]])/K$438))</f>
        <v>90</v>
      </c>
      <c r="U5" s="44">
        <f>(L$435-Tabell2[[#This Row],[ReisetidOslo-T]])*100/L$438</f>
        <v>96.680623530519028</v>
      </c>
      <c r="V5" s="44">
        <f>100-(M$435-Tabell2[[#This Row],[Beftettotal-T]])*100/M$438</f>
        <v>100</v>
      </c>
      <c r="W5" s="44">
        <f>100-(N$435-Tabell2[[#This Row],[Befvekst10-T]])*100/N$438</f>
        <v>78.741154532736445</v>
      </c>
      <c r="X5" s="44">
        <f>100-(O$435-Tabell2[[#This Row],[Kvinneandel-T]])*100/O$438</f>
        <v>80.935487952460136</v>
      </c>
      <c r="Y5" s="44">
        <f>(P$435-Tabell2[[#This Row],[Eldreandel-T]])*100/P$438</f>
        <v>64.954399817463383</v>
      </c>
      <c r="Z5" s="44">
        <f>100-(Q$435-Tabell2[[#This Row],[Sysselsettingsvekst10-T]])*100/Q$438</f>
        <v>48.035276668960535</v>
      </c>
      <c r="AA5" s="44">
        <f>100-(R$435-Tabell2[[#This Row],[Yrkesaktivandel-T]])*100/R$438</f>
        <v>0</v>
      </c>
      <c r="AB5" s="44">
        <f>100-(S$435-Tabell2[[#This Row],[Inntekt-T]])*100/S$438</f>
        <v>27.949972811310488</v>
      </c>
      <c r="AC5" s="44">
        <f>Tabell2[[#This Row],[NIBR11-I]]*Vekter!$B$3</f>
        <v>18</v>
      </c>
      <c r="AD5" s="44">
        <f>Tabell2[[#This Row],[ReisetidOslo-I]]*Vekter!$C$3</f>
        <v>9.6680623530519032</v>
      </c>
      <c r="AE5" s="44">
        <f>Tabell2[[#This Row],[Beftettotal-I]]*Vekter!$E$4</f>
        <v>10</v>
      </c>
      <c r="AF5" s="44">
        <f>Tabell2[[#This Row],[Befvekst10-I]]*Vekter!$F$3</f>
        <v>15.74823090654729</v>
      </c>
      <c r="AG5" s="44">
        <f>Tabell2[[#This Row],[Kvinneandel-I]]*Vekter!$G$3</f>
        <v>4.0467743976230066</v>
      </c>
      <c r="AH5" s="44">
        <f>Tabell2[[#This Row],[Eldreandel-I]]*Vekter!$H$3</f>
        <v>3.2477199908731693</v>
      </c>
      <c r="AI5" s="44">
        <f>Tabell2[[#This Row],[Sysselsettingsvekst10-I]]*Vekter!$I$3</f>
        <v>4.8035276668960538</v>
      </c>
      <c r="AJ5" s="44">
        <f>Tabell2[[#This Row],[Yrkesaktivandel-I]]*Vekter!$K$3</f>
        <v>0</v>
      </c>
      <c r="AK5" s="44">
        <f>Tabell2[[#This Row],[Inntekt-I]]*Vekter!$M$3</f>
        <v>2.7949972811310491</v>
      </c>
      <c r="AL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68.309312596122467</v>
      </c>
    </row>
    <row r="6" spans="1:39" s="38" customFormat="1" ht="12.75">
      <c r="A6" s="36" t="s">
        <v>4</v>
      </c>
      <c r="B6" s="38">
        <f>'Rådata-K'!Q6</f>
        <v>2</v>
      </c>
      <c r="C6" s="44">
        <f>'Rådata-K'!P6</f>
        <v>65.471503438900001</v>
      </c>
      <c r="D6" s="41">
        <f>'Rådata-K'!R6</f>
        <v>262.29525263742369</v>
      </c>
      <c r="E6" s="41">
        <f>'Rådata-K'!S6</f>
        <v>0.10332092547989191</v>
      </c>
      <c r="F6" s="41">
        <f>'Rådata-K'!T6</f>
        <v>0.11980207189447363</v>
      </c>
      <c r="G6" s="41">
        <f>'Rådata-K'!U6</f>
        <v>0.14410647897013878</v>
      </c>
      <c r="H6" s="41">
        <f>'Rådata-K'!V6</f>
        <v>5.5738996092211668E-2</v>
      </c>
      <c r="I6" s="41">
        <f>'Rådata-K'!W6</f>
        <v>0.81221494694061869</v>
      </c>
      <c r="J6" s="41">
        <f>'Rådata-K'!O6</f>
        <v>323000</v>
      </c>
      <c r="K6" s="41">
        <f>Tabell2[[#This Row],[NIBR11]]</f>
        <v>2</v>
      </c>
      <c r="L6" s="41">
        <f>IF(Tabell2[[#This Row],[ReisetidOslo]]&lt;=C$433,C$433,IF(Tabell2[[#This Row],[ReisetidOslo]]&gt;=C$434,C$434,Tabell2[[#This Row],[ReisetidOslo]]))</f>
        <v>65.471503438900001</v>
      </c>
      <c r="M6" s="41">
        <f>IF(Tabell2[[#This Row],[Beftettotal]]&lt;=D$433,D$433,IF(Tabell2[[#This Row],[Beftettotal]]&gt;=D$434,D$434,Tabell2[[#This Row],[Beftettotal]]))</f>
        <v>123.5691465212405</v>
      </c>
      <c r="N6" s="41">
        <f>IF(Tabell2[[#This Row],[Befvekst10]]&lt;=E$433,E$433,IF(Tabell2[[#This Row],[Befvekst10]]&gt;=E$434,E$434,Tabell2[[#This Row],[Befvekst10]]))</f>
        <v>0.10332092547989191</v>
      </c>
      <c r="O6" s="41">
        <f>IF(Tabell2[[#This Row],[Kvinneandel]]&lt;=F$433,F$433,IF(Tabell2[[#This Row],[Kvinneandel]]&gt;=F$434,F$434,Tabell2[[#This Row],[Kvinneandel]]))</f>
        <v>0.11980207189447363</v>
      </c>
      <c r="P6" s="41">
        <f>IF(Tabell2[[#This Row],[Eldreandel]]&lt;=G$433,G$433,IF(Tabell2[[#This Row],[Eldreandel]]&gt;=G$434,G$434,Tabell2[[#This Row],[Eldreandel]]))</f>
        <v>0.14410647897013878</v>
      </c>
      <c r="Q6" s="41">
        <f>IF(Tabell2[[#This Row],[Sysselsettingsvekst10]]&lt;=H$433,H$433,IF(Tabell2[[#This Row],[Sysselsettingsvekst10]]&gt;=H$434,H$434,Tabell2[[#This Row],[Sysselsettingsvekst10]]))</f>
        <v>5.5738996092211668E-2</v>
      </c>
      <c r="R6" s="41">
        <f>IF(Tabell2[[#This Row],[Yrkesaktivandel]]&lt;=I$433,I$433,IF(Tabell2[[#This Row],[Yrkesaktivandel]]&gt;=I$434,I$434,Tabell2[[#This Row],[Yrkesaktivandel]]))</f>
        <v>0.82642965596795781</v>
      </c>
      <c r="S6" s="41">
        <f>IF(Tabell2[[#This Row],[Inntekt]]&lt;=J$433,J$433,IF(Tabell2[[#This Row],[Inntekt]]&gt;=J$434,J$434,Tabell2[[#This Row],[Inntekt]]))</f>
        <v>323000</v>
      </c>
      <c r="T6" s="44">
        <f>IF(Tabell2[[#This Row],[NIBR11-T]]&lt;=K$436,100,IF(Tabell2[[#This Row],[NIBR11-T]]&gt;=K$435,0,100*(K$435-Tabell2[[#This Row],[NIBR11-T]])/K$438))</f>
        <v>90</v>
      </c>
      <c r="U6" s="44">
        <f>(L$435-Tabell2[[#This Row],[ReisetidOslo-T]])*100/L$438</f>
        <v>94.820775214953983</v>
      </c>
      <c r="V6" s="44">
        <f>100-(M$435-Tabell2[[#This Row],[Beftettotal-T]])*100/M$438</f>
        <v>100</v>
      </c>
      <c r="W6" s="44">
        <f>100-(N$435-Tabell2[[#This Row],[Befvekst10-T]])*100/N$438</f>
        <v>80.775412752739442</v>
      </c>
      <c r="X6" s="44">
        <f>100-(O$435-Tabell2[[#This Row],[Kvinneandel-T]])*100/O$438</f>
        <v>76.851494330783495</v>
      </c>
      <c r="Y6" s="44">
        <f>(P$435-Tabell2[[#This Row],[Eldreandel-T]])*100/P$438</f>
        <v>64.565175926356773</v>
      </c>
      <c r="Z6" s="44">
        <f>100-(Q$435-Tabell2[[#This Row],[Sysselsettingsvekst10-T]])*100/Q$438</f>
        <v>43.487419243709006</v>
      </c>
      <c r="AA6" s="44">
        <f>100-(R$435-Tabell2[[#This Row],[Yrkesaktivandel-T]])*100/R$438</f>
        <v>0</v>
      </c>
      <c r="AB6" s="44">
        <f>100-(S$435-Tabell2[[#This Row],[Inntekt-T]])*100/S$438</f>
        <v>41.952147906470906</v>
      </c>
      <c r="AC6" s="44">
        <f>Tabell2[[#This Row],[NIBR11-I]]*Vekter!$B$3</f>
        <v>18</v>
      </c>
      <c r="AD6" s="44">
        <f>Tabell2[[#This Row],[ReisetidOslo-I]]*Vekter!$C$3</f>
        <v>9.4820775214953983</v>
      </c>
      <c r="AE6" s="44">
        <f>Tabell2[[#This Row],[Beftettotal-I]]*Vekter!$E$4</f>
        <v>10</v>
      </c>
      <c r="AF6" s="44">
        <f>Tabell2[[#This Row],[Befvekst10-I]]*Vekter!$F$3</f>
        <v>16.155082550547888</v>
      </c>
      <c r="AG6" s="44">
        <f>Tabell2[[#This Row],[Kvinneandel-I]]*Vekter!$G$3</f>
        <v>3.842574716539175</v>
      </c>
      <c r="AH6" s="44">
        <f>Tabell2[[#This Row],[Eldreandel-I]]*Vekter!$H$3</f>
        <v>3.2282587963178386</v>
      </c>
      <c r="AI6" s="44">
        <f>Tabell2[[#This Row],[Sysselsettingsvekst10-I]]*Vekter!$I$3</f>
        <v>4.3487419243709011</v>
      </c>
      <c r="AJ6" s="44">
        <f>Tabell2[[#This Row],[Yrkesaktivandel-I]]*Vekter!$K$3</f>
        <v>0</v>
      </c>
      <c r="AK6" s="44">
        <f>Tabell2[[#This Row],[Inntekt-I]]*Vekter!$M$3</f>
        <v>4.1952147906470909</v>
      </c>
      <c r="AL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69.251950299918292</v>
      </c>
    </row>
    <row r="7" spans="1:39" s="38" customFormat="1" ht="12.75">
      <c r="A7" s="36" t="s">
        <v>5</v>
      </c>
      <c r="B7" s="38">
        <f>'Rådata-K'!Q7</f>
        <v>3</v>
      </c>
      <c r="C7" s="44">
        <f>'Rådata-K'!P7</f>
        <v>91.602707731899997</v>
      </c>
      <c r="D7" s="41">
        <f>'Rådata-K'!R7</f>
        <v>46.968174204355108</v>
      </c>
      <c r="E7" s="41">
        <f>'Rådata-K'!S7</f>
        <v>0.17224080267558528</v>
      </c>
      <c r="F7" s="41">
        <f>'Rådata-K'!T7</f>
        <v>9.2962434617213499E-2</v>
      </c>
      <c r="G7" s="41">
        <f>'Rådata-K'!U7</f>
        <v>0.15073704232049454</v>
      </c>
      <c r="H7" s="41">
        <f>'Rådata-K'!V7</f>
        <v>0.43538998835855636</v>
      </c>
      <c r="I7" s="41">
        <f>'Rådata-K'!W7</f>
        <v>0.8451043338683788</v>
      </c>
      <c r="J7" s="41">
        <f>'Rådata-K'!O7</f>
        <v>342100</v>
      </c>
      <c r="K7" s="41">
        <f>Tabell2[[#This Row],[NIBR11]]</f>
        <v>3</v>
      </c>
      <c r="L7" s="41">
        <f>IF(Tabell2[[#This Row],[ReisetidOslo]]&lt;=C$433,C$433,IF(Tabell2[[#This Row],[ReisetidOslo]]&gt;=C$434,C$434,Tabell2[[#This Row],[ReisetidOslo]]))</f>
        <v>91.602707731899997</v>
      </c>
      <c r="M7" s="41">
        <f>IF(Tabell2[[#This Row],[Beftettotal]]&lt;=D$433,D$433,IF(Tabell2[[#This Row],[Beftettotal]]&gt;=D$434,D$434,Tabell2[[#This Row],[Beftettotal]]))</f>
        <v>46.968174204355108</v>
      </c>
      <c r="N7" s="41">
        <f>IF(Tabell2[[#This Row],[Befvekst10]]&lt;=E$433,E$433,IF(Tabell2[[#This Row],[Befvekst10]]&gt;=E$434,E$434,Tabell2[[#This Row],[Befvekst10]]))</f>
        <v>0.149789129298837</v>
      </c>
      <c r="O7" s="41">
        <f>IF(Tabell2[[#This Row],[Kvinneandel]]&lt;=F$433,F$433,IF(Tabell2[[#This Row],[Kvinneandel]]&gt;=F$434,F$434,Tabell2[[#This Row],[Kvinneandel]]))</f>
        <v>9.2962434617213499E-2</v>
      </c>
      <c r="P7" s="41">
        <f>IF(Tabell2[[#This Row],[Eldreandel]]&lt;=G$433,G$433,IF(Tabell2[[#This Row],[Eldreandel]]&gt;=G$434,G$434,Tabell2[[#This Row],[Eldreandel]]))</f>
        <v>0.15073704232049454</v>
      </c>
      <c r="Q7" s="41">
        <f>IF(Tabell2[[#This Row],[Sysselsettingsvekst10]]&lt;=H$433,H$433,IF(Tabell2[[#This Row],[Sysselsettingsvekst10]]&gt;=H$434,H$434,Tabell2[[#This Row],[Sysselsettingsvekst10]]))</f>
        <v>0.24794749265568336</v>
      </c>
      <c r="R7" s="41">
        <f>IF(Tabell2[[#This Row],[Yrkesaktivandel]]&lt;=I$433,I$433,IF(Tabell2[[#This Row],[Yrkesaktivandel]]&gt;=I$434,I$434,Tabell2[[#This Row],[Yrkesaktivandel]]))</f>
        <v>0.8451043338683788</v>
      </c>
      <c r="S7" s="41">
        <f>IF(Tabell2[[#This Row],[Inntekt]]&lt;=J$433,J$433,IF(Tabell2[[#This Row],[Inntekt]]&gt;=J$434,J$434,Tabell2[[#This Row],[Inntekt]]))</f>
        <v>342100</v>
      </c>
      <c r="T7" s="44">
        <f>IF(Tabell2[[#This Row],[NIBR11-T]]&lt;=K$436,100,IF(Tabell2[[#This Row],[NIBR11-T]]&gt;=K$435,0,100*(K$435-Tabell2[[#This Row],[NIBR11-T]])/K$438))</f>
        <v>80</v>
      </c>
      <c r="U7" s="44">
        <f>(L$435-Tabell2[[#This Row],[ReisetidOslo-T]])*100/L$438</f>
        <v>83.219811603300599</v>
      </c>
      <c r="V7" s="44">
        <f>100-(M$435-Tabell2[[#This Row],[Beftettotal-T]])*100/M$438</f>
        <v>37.339882797431621</v>
      </c>
      <c r="W7" s="44">
        <f>100-(N$435-Tabell2[[#This Row],[Befvekst10-T]])*100/N$438</f>
        <v>100</v>
      </c>
      <c r="X7" s="44">
        <f>100-(O$435-Tabell2[[#This Row],[Kvinneandel-T]])*100/O$438</f>
        <v>3.4058705061966492</v>
      </c>
      <c r="Y7" s="44">
        <f>(P$435-Tabell2[[#This Row],[Eldreandel-T]])*100/P$438</f>
        <v>56.75837946889235</v>
      </c>
      <c r="Z7" s="44">
        <f>100-(Q$435-Tabell2[[#This Row],[Sysselsettingsvekst10-T]])*100/Q$438</f>
        <v>100</v>
      </c>
      <c r="AA7" s="44">
        <f>100-(R$435-Tabell2[[#This Row],[Yrkesaktivandel-T]])*100/R$438</f>
        <v>13.945906018610472</v>
      </c>
      <c r="AB7" s="44">
        <f>100-(S$435-Tabell2[[#This Row],[Inntekt-T]])*100/S$438</f>
        <v>67.917346383904288</v>
      </c>
      <c r="AC7" s="44">
        <f>Tabell2[[#This Row],[NIBR11-I]]*Vekter!$B$3</f>
        <v>16</v>
      </c>
      <c r="AD7" s="44">
        <f>Tabell2[[#This Row],[ReisetidOslo-I]]*Vekter!$C$3</f>
        <v>8.3219811603300595</v>
      </c>
      <c r="AE7" s="44">
        <f>Tabell2[[#This Row],[Beftettotal-I]]*Vekter!$E$4</f>
        <v>3.7339882797431621</v>
      </c>
      <c r="AF7" s="44">
        <f>Tabell2[[#This Row],[Befvekst10-I]]*Vekter!$F$3</f>
        <v>20</v>
      </c>
      <c r="AG7" s="44">
        <f>Tabell2[[#This Row],[Kvinneandel-I]]*Vekter!$G$3</f>
        <v>0.17029352530983247</v>
      </c>
      <c r="AH7" s="44">
        <f>Tabell2[[#This Row],[Eldreandel-I]]*Vekter!$H$3</f>
        <v>2.8379189734446175</v>
      </c>
      <c r="AI7" s="44">
        <f>Tabell2[[#This Row],[Sysselsettingsvekst10-I]]*Vekter!$I$3</f>
        <v>10</v>
      </c>
      <c r="AJ7" s="44">
        <f>Tabell2[[#This Row],[Yrkesaktivandel-I]]*Vekter!$K$3</f>
        <v>1.3945906018610472</v>
      </c>
      <c r="AK7" s="44">
        <f>Tabell2[[#This Row],[Inntekt-I]]*Vekter!$M$3</f>
        <v>6.7917346383904293</v>
      </c>
      <c r="AL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69.25050717907915</v>
      </c>
    </row>
    <row r="8" spans="1:39" s="38" customFormat="1" ht="12.75">
      <c r="A8" s="36" t="s">
        <v>6</v>
      </c>
      <c r="B8" s="38">
        <f>'Rådata-K'!Q8</f>
        <v>5</v>
      </c>
      <c r="C8" s="44">
        <f>'Rådata-K'!P8</f>
        <v>91.914837187499998</v>
      </c>
      <c r="D8" s="41">
        <f>'Rådata-K'!R8</f>
        <v>4.4570426284962572</v>
      </c>
      <c r="E8" s="41">
        <f>'Rådata-K'!S8</f>
        <v>-1.2491325468424685E-2</v>
      </c>
      <c r="F8" s="41">
        <f>'Rådata-K'!T8</f>
        <v>9.6275474349964862E-2</v>
      </c>
      <c r="G8" s="41">
        <f>'Rådata-K'!U8</f>
        <v>0.17287420941672524</v>
      </c>
      <c r="H8" s="41">
        <f>'Rådata-K'!V8</f>
        <v>-3.2258064516129004E-2</v>
      </c>
      <c r="I8" s="41">
        <f>'Rådata-K'!W8</f>
        <v>0.8712998712998713</v>
      </c>
      <c r="J8" s="41">
        <f>'Rådata-K'!O8</f>
        <v>321500</v>
      </c>
      <c r="K8" s="41">
        <f>Tabell2[[#This Row],[NIBR11]]</f>
        <v>5</v>
      </c>
      <c r="L8" s="41">
        <f>IF(Tabell2[[#This Row],[ReisetidOslo]]&lt;=C$433,C$433,IF(Tabell2[[#This Row],[ReisetidOslo]]&gt;=C$434,C$434,Tabell2[[#This Row],[ReisetidOslo]]))</f>
        <v>91.914837187499998</v>
      </c>
      <c r="M8" s="41">
        <f>IF(Tabell2[[#This Row],[Beftettotal]]&lt;=D$433,D$433,IF(Tabell2[[#This Row],[Beftettotal]]&gt;=D$434,D$434,Tabell2[[#This Row],[Beftettotal]]))</f>
        <v>4.4570426284962572</v>
      </c>
      <c r="N8" s="41">
        <f>IF(Tabell2[[#This Row],[Befvekst10]]&lt;=E$433,E$433,IF(Tabell2[[#This Row],[Befvekst10]]&gt;=E$434,E$434,Tabell2[[#This Row],[Befvekst10]]))</f>
        <v>-1.2491325468424685E-2</v>
      </c>
      <c r="O8" s="41">
        <f>IF(Tabell2[[#This Row],[Kvinneandel]]&lt;=F$433,F$433,IF(Tabell2[[#This Row],[Kvinneandel]]&gt;=F$434,F$434,Tabell2[[#This Row],[Kvinneandel]]))</f>
        <v>9.6275474349964862E-2</v>
      </c>
      <c r="P8" s="41">
        <f>IF(Tabell2[[#This Row],[Eldreandel]]&lt;=G$433,G$433,IF(Tabell2[[#This Row],[Eldreandel]]&gt;=G$434,G$434,Tabell2[[#This Row],[Eldreandel]]))</f>
        <v>0.17287420941672524</v>
      </c>
      <c r="Q8" s="41">
        <f>IF(Tabell2[[#This Row],[Sysselsettingsvekst10]]&lt;=H$433,H$433,IF(Tabell2[[#This Row],[Sysselsettingsvekst10]]&gt;=H$434,H$434,Tabell2[[#This Row],[Sysselsettingsvekst10]]))</f>
        <v>-3.2258064516129004E-2</v>
      </c>
      <c r="R8" s="41">
        <f>IF(Tabell2[[#This Row],[Yrkesaktivandel]]&lt;=I$433,I$433,IF(Tabell2[[#This Row],[Yrkesaktivandel]]&gt;=I$434,I$434,Tabell2[[#This Row],[Yrkesaktivandel]]))</f>
        <v>0.8712998712998713</v>
      </c>
      <c r="S8" s="41">
        <f>IF(Tabell2[[#This Row],[Inntekt]]&lt;=J$433,J$433,IF(Tabell2[[#This Row],[Inntekt]]&gt;=J$434,J$434,Tabell2[[#This Row],[Inntekt]]))</f>
        <v>321500</v>
      </c>
      <c r="T8" s="44">
        <f>IF(Tabell2[[#This Row],[NIBR11-T]]&lt;=K$436,100,IF(Tabell2[[#This Row],[NIBR11-T]]&gt;=K$435,0,100*(K$435-Tabell2[[#This Row],[NIBR11-T]])/K$438))</f>
        <v>60</v>
      </c>
      <c r="U8" s="44">
        <f>(L$435-Tabell2[[#This Row],[ReisetidOslo-T]])*100/L$438</f>
        <v>83.081241546752906</v>
      </c>
      <c r="V8" s="44">
        <f>100-(M$435-Tabell2[[#This Row],[Beftettotal-T]])*100/M$438</f>
        <v>2.5654875595014346</v>
      </c>
      <c r="W8" s="44">
        <f>100-(N$435-Tabell2[[#This Row],[Befvekst10-T]])*100/N$438</f>
        <v>32.862161546979976</v>
      </c>
      <c r="X8" s="44">
        <f>100-(O$435-Tabell2[[#This Row],[Kvinneandel-T]])*100/O$438</f>
        <v>12.471874916536649</v>
      </c>
      <c r="Y8" s="44">
        <f>(P$435-Tabell2[[#This Row],[Eldreandel-T]])*100/P$438</f>
        <v>30.69417518738442</v>
      </c>
      <c r="Z8" s="44">
        <f>100-(Q$435-Tabell2[[#This Row],[Sysselsettingsvekst10-T]])*100/Q$438</f>
        <v>17.614780505790847</v>
      </c>
      <c r="AA8" s="44">
        <f>100-(R$435-Tabell2[[#This Row],[Yrkesaktivandel-T]])*100/R$438</f>
        <v>33.508251622351878</v>
      </c>
      <c r="AB8" s="44">
        <f>100-(S$435-Tabell2[[#This Row],[Inntekt-T]])*100/S$438</f>
        <v>39.912996193583467</v>
      </c>
      <c r="AC8" s="44">
        <f>Tabell2[[#This Row],[NIBR11-I]]*Vekter!$B$3</f>
        <v>12</v>
      </c>
      <c r="AD8" s="44">
        <f>Tabell2[[#This Row],[ReisetidOslo-I]]*Vekter!$C$3</f>
        <v>8.3081241546752906</v>
      </c>
      <c r="AE8" s="44">
        <f>Tabell2[[#This Row],[Beftettotal-I]]*Vekter!$E$4</f>
        <v>0.25654875595014348</v>
      </c>
      <c r="AF8" s="44">
        <f>Tabell2[[#This Row],[Befvekst10-I]]*Vekter!$F$3</f>
        <v>6.572432309395996</v>
      </c>
      <c r="AG8" s="44">
        <f>Tabell2[[#This Row],[Kvinneandel-I]]*Vekter!$G$3</f>
        <v>0.62359374582683247</v>
      </c>
      <c r="AH8" s="44">
        <f>Tabell2[[#This Row],[Eldreandel-I]]*Vekter!$H$3</f>
        <v>1.534708759369221</v>
      </c>
      <c r="AI8" s="44">
        <f>Tabell2[[#This Row],[Sysselsettingsvekst10-I]]*Vekter!$I$3</f>
        <v>1.7614780505790848</v>
      </c>
      <c r="AJ8" s="44">
        <f>Tabell2[[#This Row],[Yrkesaktivandel-I]]*Vekter!$K$3</f>
        <v>3.3508251622351879</v>
      </c>
      <c r="AK8" s="44">
        <f>Tabell2[[#This Row],[Inntekt-I]]*Vekter!$M$3</f>
        <v>3.991299619358347</v>
      </c>
      <c r="AL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38.399010557390099</v>
      </c>
    </row>
    <row r="9" spans="1:39" s="38" customFormat="1" ht="12.75">
      <c r="A9" s="36" t="s">
        <v>7</v>
      </c>
      <c r="B9" s="38">
        <f>'Rådata-K'!Q9</f>
        <v>5</v>
      </c>
      <c r="C9" s="44">
        <f>'Rådata-K'!P9</f>
        <v>68.578013070300003</v>
      </c>
      <c r="D9" s="41">
        <f>'Rådata-K'!R9</f>
        <v>8.5204291699968522</v>
      </c>
      <c r="E9" s="41">
        <f>'Rådata-K'!S9</f>
        <v>5.9957818620066217E-2</v>
      </c>
      <c r="F9" s="41">
        <f>'Rådata-K'!T9</f>
        <v>0.10261512222853894</v>
      </c>
      <c r="G9" s="41">
        <f>'Rådata-K'!U9</f>
        <v>0.1824900511654349</v>
      </c>
      <c r="H9" s="41">
        <f>'Rådata-K'!V9</f>
        <v>2.4896265560165887E-3</v>
      </c>
      <c r="I9" s="41">
        <f>'Rådata-K'!W9</f>
        <v>0.84964682139253278</v>
      </c>
      <c r="J9" s="41">
        <f>'Rådata-K'!O9</f>
        <v>300200</v>
      </c>
      <c r="K9" s="41">
        <f>Tabell2[[#This Row],[NIBR11]]</f>
        <v>5</v>
      </c>
      <c r="L9" s="41">
        <f>IF(Tabell2[[#This Row],[ReisetidOslo]]&lt;=C$433,C$433,IF(Tabell2[[#This Row],[ReisetidOslo]]&gt;=C$434,C$434,Tabell2[[#This Row],[ReisetidOslo]]))</f>
        <v>68.578013070300003</v>
      </c>
      <c r="M9" s="41">
        <f>IF(Tabell2[[#This Row],[Beftettotal]]&lt;=D$433,D$433,IF(Tabell2[[#This Row],[Beftettotal]]&gt;=D$434,D$434,Tabell2[[#This Row],[Beftettotal]]))</f>
        <v>8.5204291699968522</v>
      </c>
      <c r="N9" s="41">
        <f>IF(Tabell2[[#This Row],[Befvekst10]]&lt;=E$433,E$433,IF(Tabell2[[#This Row],[Befvekst10]]&gt;=E$434,E$434,Tabell2[[#This Row],[Befvekst10]]))</f>
        <v>5.9957818620066217E-2</v>
      </c>
      <c r="O9" s="41">
        <f>IF(Tabell2[[#This Row],[Kvinneandel]]&lt;=F$433,F$433,IF(Tabell2[[#This Row],[Kvinneandel]]&gt;=F$434,F$434,Tabell2[[#This Row],[Kvinneandel]]))</f>
        <v>0.10261512222853894</v>
      </c>
      <c r="P9" s="41">
        <f>IF(Tabell2[[#This Row],[Eldreandel]]&lt;=G$433,G$433,IF(Tabell2[[#This Row],[Eldreandel]]&gt;=G$434,G$434,Tabell2[[#This Row],[Eldreandel]]))</f>
        <v>0.1824900511654349</v>
      </c>
      <c r="Q9" s="41">
        <f>IF(Tabell2[[#This Row],[Sysselsettingsvekst10]]&lt;=H$433,H$433,IF(Tabell2[[#This Row],[Sysselsettingsvekst10]]&gt;=H$434,H$434,Tabell2[[#This Row],[Sysselsettingsvekst10]]))</f>
        <v>2.4896265560165887E-3</v>
      </c>
      <c r="R9" s="41">
        <f>IF(Tabell2[[#This Row],[Yrkesaktivandel]]&lt;=I$433,I$433,IF(Tabell2[[#This Row],[Yrkesaktivandel]]&gt;=I$434,I$434,Tabell2[[#This Row],[Yrkesaktivandel]]))</f>
        <v>0.84964682139253278</v>
      </c>
      <c r="S9" s="41">
        <f>IF(Tabell2[[#This Row],[Inntekt]]&lt;=J$433,J$433,IF(Tabell2[[#This Row],[Inntekt]]&gt;=J$434,J$434,Tabell2[[#This Row],[Inntekt]]))</f>
        <v>300200</v>
      </c>
      <c r="T9" s="44">
        <f>IF(Tabell2[[#This Row],[NIBR11-T]]&lt;=K$436,100,IF(Tabell2[[#This Row],[NIBR11-T]]&gt;=K$435,0,100*(K$435-Tabell2[[#This Row],[NIBR11-T]])/K$438))</f>
        <v>60</v>
      </c>
      <c r="U9" s="44">
        <f>(L$435-Tabell2[[#This Row],[ReisetidOslo-T]])*100/L$438</f>
        <v>93.441638425503513</v>
      </c>
      <c r="V9" s="44">
        <f>100-(M$435-Tabell2[[#This Row],[Beftettotal-T]])*100/M$438</f>
        <v>5.8893654324411955</v>
      </c>
      <c r="W9" s="44">
        <f>100-(N$435-Tabell2[[#This Row],[Befvekst10-T]])*100/N$438</f>
        <v>62.835450313323442</v>
      </c>
      <c r="X9" s="44">
        <f>100-(O$435-Tabell2[[#This Row],[Kvinneandel-T]])*100/O$438</f>
        <v>29.820074836681911</v>
      </c>
      <c r="Y9" s="44">
        <f>(P$435-Tabell2[[#This Row],[Eldreandel-T]])*100/P$438</f>
        <v>19.372524924388678</v>
      </c>
      <c r="Z9" s="44">
        <f>100-(Q$435-Tabell2[[#This Row],[Sysselsettingsvekst10-T]])*100/Q$438</f>
        <v>27.831195143636108</v>
      </c>
      <c r="AA9" s="44">
        <f>100-(R$435-Tabell2[[#This Row],[Yrkesaktivandel-T]])*100/R$438</f>
        <v>17.338152162846995</v>
      </c>
      <c r="AB9" s="44">
        <f>100-(S$435-Tabell2[[#This Row],[Inntekt-T]])*100/S$438</f>
        <v>10.957041870581833</v>
      </c>
      <c r="AC9" s="44">
        <f>Tabell2[[#This Row],[NIBR11-I]]*Vekter!$B$3</f>
        <v>12</v>
      </c>
      <c r="AD9" s="44">
        <f>Tabell2[[#This Row],[ReisetidOslo-I]]*Vekter!$C$3</f>
        <v>9.3441638425503513</v>
      </c>
      <c r="AE9" s="44">
        <f>Tabell2[[#This Row],[Beftettotal-I]]*Vekter!$E$4</f>
        <v>0.58893654324411959</v>
      </c>
      <c r="AF9" s="44">
        <f>Tabell2[[#This Row],[Befvekst10-I]]*Vekter!$F$3</f>
        <v>12.56709006266469</v>
      </c>
      <c r="AG9" s="44">
        <f>Tabell2[[#This Row],[Kvinneandel-I]]*Vekter!$G$3</f>
        <v>1.4910037418340956</v>
      </c>
      <c r="AH9" s="44">
        <f>Tabell2[[#This Row],[Eldreandel-I]]*Vekter!$H$3</f>
        <v>0.96862624621943394</v>
      </c>
      <c r="AI9" s="44">
        <f>Tabell2[[#This Row],[Sysselsettingsvekst10-I]]*Vekter!$I$3</f>
        <v>2.7831195143636109</v>
      </c>
      <c r="AJ9" s="44">
        <f>Tabell2[[#This Row],[Yrkesaktivandel-I]]*Vekter!$K$3</f>
        <v>1.7338152162846996</v>
      </c>
      <c r="AK9" s="44">
        <f>Tabell2[[#This Row],[Inntekt-I]]*Vekter!$M$3</f>
        <v>1.0957041870581834</v>
      </c>
      <c r="AL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42.572459354219184</v>
      </c>
    </row>
    <row r="10" spans="1:39" s="38" customFormat="1" ht="12.75">
      <c r="A10" s="36" t="s">
        <v>8</v>
      </c>
      <c r="B10" s="38">
        <f>'Rådata-K'!Q10</f>
        <v>1</v>
      </c>
      <c r="C10" s="44">
        <f>'Rådata-K'!P10</f>
        <v>68.026200476699998</v>
      </c>
      <c r="D10" s="41">
        <f>'Rådata-K'!R10</f>
        <v>3.7566888719012779</v>
      </c>
      <c r="E10" s="41">
        <f>'Rådata-K'!S10</f>
        <v>4.7184170471841647E-2</v>
      </c>
      <c r="F10" s="41">
        <f>'Rådata-K'!T10</f>
        <v>9.0116279069767435E-2</v>
      </c>
      <c r="G10" s="41">
        <f>'Rådata-K'!U10</f>
        <v>0.2005813953488372</v>
      </c>
      <c r="H10" s="41">
        <f>'Rådata-K'!V10</f>
        <v>0.36645962732919246</v>
      </c>
      <c r="I10" s="41">
        <f>'Rådata-K'!W10</f>
        <v>0.90933333333333333</v>
      </c>
      <c r="J10" s="41">
        <f>'Rådata-K'!O10</f>
        <v>327800</v>
      </c>
      <c r="K10" s="41">
        <f>Tabell2[[#This Row],[NIBR11]]</f>
        <v>1</v>
      </c>
      <c r="L10" s="41">
        <f>IF(Tabell2[[#This Row],[ReisetidOslo]]&lt;=C$433,C$433,IF(Tabell2[[#This Row],[ReisetidOslo]]&gt;=C$434,C$434,Tabell2[[#This Row],[ReisetidOslo]]))</f>
        <v>68.026200476699998</v>
      </c>
      <c r="M10" s="41">
        <f>IF(Tabell2[[#This Row],[Beftettotal]]&lt;=D$433,D$433,IF(Tabell2[[#This Row],[Beftettotal]]&gt;=D$434,D$434,Tabell2[[#This Row],[Beftettotal]]))</f>
        <v>3.7566888719012779</v>
      </c>
      <c r="N10" s="41">
        <f>IF(Tabell2[[#This Row],[Befvekst10]]&lt;=E$433,E$433,IF(Tabell2[[#This Row],[Befvekst10]]&gt;=E$434,E$434,Tabell2[[#This Row],[Befvekst10]]))</f>
        <v>4.7184170471841647E-2</v>
      </c>
      <c r="O10" s="41">
        <f>IF(Tabell2[[#This Row],[Kvinneandel]]&lt;=F$433,F$433,IF(Tabell2[[#This Row],[Kvinneandel]]&gt;=F$434,F$434,Tabell2[[#This Row],[Kvinneandel]]))</f>
        <v>9.1717808671657367E-2</v>
      </c>
      <c r="P10" s="41">
        <f>IF(Tabell2[[#This Row],[Eldreandel]]&lt;=G$433,G$433,IF(Tabell2[[#This Row],[Eldreandel]]&gt;=G$434,G$434,Tabell2[[#This Row],[Eldreandel]]))</f>
        <v>0.1989437597342919</v>
      </c>
      <c r="Q10" s="41">
        <f>IF(Tabell2[[#This Row],[Sysselsettingsvekst10]]&lt;=H$433,H$433,IF(Tabell2[[#This Row],[Sysselsettingsvekst10]]&gt;=H$434,H$434,Tabell2[[#This Row],[Sysselsettingsvekst10]]))</f>
        <v>0.24794749265568336</v>
      </c>
      <c r="R10" s="41">
        <f>IF(Tabell2[[#This Row],[Yrkesaktivandel]]&lt;=I$433,I$433,IF(Tabell2[[#This Row],[Yrkesaktivandel]]&gt;=I$434,I$434,Tabell2[[#This Row],[Yrkesaktivandel]]))</f>
        <v>0.90933333333333333</v>
      </c>
      <c r="S10" s="41">
        <f>IF(Tabell2[[#This Row],[Inntekt]]&lt;=J$433,J$433,IF(Tabell2[[#This Row],[Inntekt]]&gt;=J$434,J$434,Tabell2[[#This Row],[Inntekt]]))</f>
        <v>327800</v>
      </c>
      <c r="T10" s="44">
        <f>IF(Tabell2[[#This Row],[NIBR11-T]]&lt;=K$436,100,IF(Tabell2[[#This Row],[NIBR11-T]]&gt;=K$435,0,100*(K$435-Tabell2[[#This Row],[NIBR11-T]])/K$438))</f>
        <v>100</v>
      </c>
      <c r="U10" s="44">
        <f>(L$435-Tabell2[[#This Row],[ReisetidOslo-T]])*100/L$438</f>
        <v>93.686615953023008</v>
      </c>
      <c r="V10" s="44">
        <f>100-(M$435-Tabell2[[#This Row],[Beftettotal-T]])*100/M$438</f>
        <v>1.9925934154172182</v>
      </c>
      <c r="W10" s="44">
        <f>100-(N$435-Tabell2[[#This Row],[Befvekst10-T]])*100/N$438</f>
        <v>57.550802035370559</v>
      </c>
      <c r="X10" s="44">
        <f>100-(O$435-Tabell2[[#This Row],[Kvinneandel-T]])*100/O$438</f>
        <v>0</v>
      </c>
      <c r="Y10" s="44">
        <f>(P$435-Tabell2[[#This Row],[Eldreandel-T]])*100/P$438</f>
        <v>0</v>
      </c>
      <c r="Z10" s="44">
        <f>100-(Q$435-Tabell2[[#This Row],[Sysselsettingsvekst10-T]])*100/Q$438</f>
        <v>100</v>
      </c>
      <c r="AA10" s="44">
        <f>100-(R$435-Tabell2[[#This Row],[Yrkesaktivandel-T]])*100/R$438</f>
        <v>61.91094161300996</v>
      </c>
      <c r="AB10" s="44">
        <f>100-(S$435-Tabell2[[#This Row],[Inntekt-T]])*100/S$438</f>
        <v>48.477433387710711</v>
      </c>
      <c r="AC10" s="44">
        <f>Tabell2[[#This Row],[NIBR11-I]]*Vekter!$B$3</f>
        <v>20</v>
      </c>
      <c r="AD10" s="44">
        <f>Tabell2[[#This Row],[ReisetidOslo-I]]*Vekter!$C$3</f>
        <v>9.3686615953023011</v>
      </c>
      <c r="AE10" s="44">
        <f>Tabell2[[#This Row],[Beftettotal-I]]*Vekter!$E$4</f>
        <v>0.19925934154172184</v>
      </c>
      <c r="AF10" s="44">
        <f>Tabell2[[#This Row],[Befvekst10-I]]*Vekter!$F$3</f>
        <v>11.510160407074112</v>
      </c>
      <c r="AG10" s="44">
        <f>Tabell2[[#This Row],[Kvinneandel-I]]*Vekter!$G$3</f>
        <v>0</v>
      </c>
      <c r="AH10" s="44">
        <f>Tabell2[[#This Row],[Eldreandel-I]]*Vekter!$H$3</f>
        <v>0</v>
      </c>
      <c r="AI10" s="44">
        <f>Tabell2[[#This Row],[Sysselsettingsvekst10-I]]*Vekter!$I$3</f>
        <v>10</v>
      </c>
      <c r="AJ10" s="44">
        <f>Tabell2[[#This Row],[Yrkesaktivandel-I]]*Vekter!$K$3</f>
        <v>6.1910941613009962</v>
      </c>
      <c r="AK10" s="44">
        <f>Tabell2[[#This Row],[Inntekt-I]]*Vekter!$M$3</f>
        <v>4.8477433387710711</v>
      </c>
      <c r="AL1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62.116918843990206</v>
      </c>
    </row>
    <row r="11" spans="1:39" s="38" customFormat="1" ht="12.75">
      <c r="A11" s="36" t="s">
        <v>9</v>
      </c>
      <c r="B11" s="38">
        <f>'Rådata-K'!Q11</f>
        <v>5</v>
      </c>
      <c r="C11" s="44">
        <f>'Rådata-K'!P11</f>
        <v>55.735764319200001</v>
      </c>
      <c r="D11" s="41">
        <f>'Rådata-K'!R11</f>
        <v>25.527023722181461</v>
      </c>
      <c r="E11" s="41">
        <f>'Rådata-K'!S11</f>
        <v>5.3917609046849835E-2</v>
      </c>
      <c r="F11" s="41">
        <f>'Rådata-K'!T11</f>
        <v>0.11055757808009198</v>
      </c>
      <c r="G11" s="41">
        <f>'Rådata-K'!U11</f>
        <v>0.14370569074535353</v>
      </c>
      <c r="H11" s="41">
        <f>'Rådata-K'!V11</f>
        <v>0.10853293413173648</v>
      </c>
      <c r="I11" s="41">
        <f>'Rådata-K'!W11</f>
        <v>0.85807717462393718</v>
      </c>
      <c r="J11" s="41">
        <f>'Rådata-K'!O11</f>
        <v>321100</v>
      </c>
      <c r="K11" s="41">
        <f>Tabell2[[#This Row],[NIBR11]]</f>
        <v>5</v>
      </c>
      <c r="L11" s="41">
        <f>IF(Tabell2[[#This Row],[ReisetidOslo]]&lt;=C$433,C$433,IF(Tabell2[[#This Row],[ReisetidOslo]]&gt;=C$434,C$434,Tabell2[[#This Row],[ReisetidOslo]]))</f>
        <v>55.735764319200001</v>
      </c>
      <c r="M11" s="41">
        <f>IF(Tabell2[[#This Row],[Beftettotal]]&lt;=D$433,D$433,IF(Tabell2[[#This Row],[Beftettotal]]&gt;=D$434,D$434,Tabell2[[#This Row],[Beftettotal]]))</f>
        <v>25.527023722181461</v>
      </c>
      <c r="N11" s="41">
        <f>IF(Tabell2[[#This Row],[Befvekst10]]&lt;=E$433,E$433,IF(Tabell2[[#This Row],[Befvekst10]]&gt;=E$434,E$434,Tabell2[[#This Row],[Befvekst10]]))</f>
        <v>5.3917609046849835E-2</v>
      </c>
      <c r="O11" s="41">
        <f>IF(Tabell2[[#This Row],[Kvinneandel]]&lt;=F$433,F$433,IF(Tabell2[[#This Row],[Kvinneandel]]&gt;=F$434,F$434,Tabell2[[#This Row],[Kvinneandel]]))</f>
        <v>0.11055757808009198</v>
      </c>
      <c r="P11" s="41">
        <f>IF(Tabell2[[#This Row],[Eldreandel]]&lt;=G$433,G$433,IF(Tabell2[[#This Row],[Eldreandel]]&gt;=G$434,G$434,Tabell2[[#This Row],[Eldreandel]]))</f>
        <v>0.14370569074535353</v>
      </c>
      <c r="Q11" s="41">
        <f>IF(Tabell2[[#This Row],[Sysselsettingsvekst10]]&lt;=H$433,H$433,IF(Tabell2[[#This Row],[Sysselsettingsvekst10]]&gt;=H$434,H$434,Tabell2[[#This Row],[Sysselsettingsvekst10]]))</f>
        <v>0.10853293413173648</v>
      </c>
      <c r="R11" s="41">
        <f>IF(Tabell2[[#This Row],[Yrkesaktivandel]]&lt;=I$433,I$433,IF(Tabell2[[#This Row],[Yrkesaktivandel]]&gt;=I$434,I$434,Tabell2[[#This Row],[Yrkesaktivandel]]))</f>
        <v>0.85807717462393718</v>
      </c>
      <c r="S11" s="41">
        <f>IF(Tabell2[[#This Row],[Inntekt]]&lt;=J$433,J$433,IF(Tabell2[[#This Row],[Inntekt]]&gt;=J$434,J$434,Tabell2[[#This Row],[Inntekt]]))</f>
        <v>321100</v>
      </c>
      <c r="T11" s="44">
        <f>IF(Tabell2[[#This Row],[NIBR11-T]]&lt;=K$436,100,IF(Tabell2[[#This Row],[NIBR11-T]]&gt;=K$435,0,100*(K$435-Tabell2[[#This Row],[NIBR11-T]])/K$438))</f>
        <v>60</v>
      </c>
      <c r="U11" s="44">
        <f>(L$435-Tabell2[[#This Row],[ReisetidOslo-T]])*100/L$438</f>
        <v>99.14296235925049</v>
      </c>
      <c r="V11" s="44">
        <f>100-(M$435-Tabell2[[#This Row],[Beftettotal-T]])*100/M$438</f>
        <v>19.800875634271193</v>
      </c>
      <c r="W11" s="44">
        <f>100-(N$435-Tabell2[[#This Row],[Befvekst10-T]])*100/N$438</f>
        <v>60.336525750099959</v>
      </c>
      <c r="X11" s="44">
        <f>100-(O$435-Tabell2[[#This Row],[Kvinneandel-T]])*100/O$438</f>
        <v>51.554296454154603</v>
      </c>
      <c r="Y11" s="44">
        <f>(P$435-Tabell2[[#This Row],[Eldreandel-T]])*100/P$438</f>
        <v>65.037062239497743</v>
      </c>
      <c r="Z11" s="44">
        <f>100-(Q$435-Tabell2[[#This Row],[Sysselsettingsvekst10-T]])*100/Q$438</f>
        <v>59.009738705356952</v>
      </c>
      <c r="AA11" s="44">
        <f>100-(R$435-Tabell2[[#This Row],[Yrkesaktivandel-T]])*100/R$438</f>
        <v>23.633784917305604</v>
      </c>
      <c r="AB11" s="44">
        <f>100-(S$435-Tabell2[[#This Row],[Inntekt-T]])*100/S$438</f>
        <v>39.369222403480151</v>
      </c>
      <c r="AC11" s="44">
        <f>Tabell2[[#This Row],[NIBR11-I]]*Vekter!$B$3</f>
        <v>12</v>
      </c>
      <c r="AD11" s="44">
        <f>Tabell2[[#This Row],[ReisetidOslo-I]]*Vekter!$C$3</f>
        <v>9.9142962359250504</v>
      </c>
      <c r="AE11" s="44">
        <f>Tabell2[[#This Row],[Beftettotal-I]]*Vekter!$E$4</f>
        <v>1.9800875634271193</v>
      </c>
      <c r="AF11" s="44">
        <f>Tabell2[[#This Row],[Befvekst10-I]]*Vekter!$F$3</f>
        <v>12.067305150019992</v>
      </c>
      <c r="AG11" s="44">
        <f>Tabell2[[#This Row],[Kvinneandel-I]]*Vekter!$G$3</f>
        <v>2.5777148227077302</v>
      </c>
      <c r="AH11" s="44">
        <f>Tabell2[[#This Row],[Eldreandel-I]]*Vekter!$H$3</f>
        <v>3.2518531119748872</v>
      </c>
      <c r="AI11" s="44">
        <f>Tabell2[[#This Row],[Sysselsettingsvekst10-I]]*Vekter!$I$3</f>
        <v>5.9009738705356956</v>
      </c>
      <c r="AJ11" s="44">
        <f>Tabell2[[#This Row],[Yrkesaktivandel-I]]*Vekter!$K$3</f>
        <v>2.3633784917305607</v>
      </c>
      <c r="AK11" s="44">
        <f>Tabell2[[#This Row],[Inntekt-I]]*Vekter!$M$3</f>
        <v>3.9369222403480153</v>
      </c>
      <c r="AL1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53.992531486669051</v>
      </c>
    </row>
    <row r="12" spans="1:39" s="38" customFormat="1" ht="12.75">
      <c r="A12" s="36" t="s">
        <v>10</v>
      </c>
      <c r="B12" s="38">
        <f>'Rådata-K'!Q12</f>
        <v>1</v>
      </c>
      <c r="C12" s="44">
        <f>'Rådata-K'!P12</f>
        <v>39.7032359146</v>
      </c>
      <c r="D12" s="41">
        <f>'Rådata-K'!R12</f>
        <v>37.654016757023165</v>
      </c>
      <c r="E12" s="41">
        <f>'Rådata-K'!S12</f>
        <v>0.14518201284796572</v>
      </c>
      <c r="F12" s="41">
        <f>'Rådata-K'!T12</f>
        <v>0.1243455497382199</v>
      </c>
      <c r="G12" s="41">
        <f>'Rådata-K'!U12</f>
        <v>0.13930441286462228</v>
      </c>
      <c r="H12" s="41">
        <f>'Rådata-K'!V12</f>
        <v>0.35179358086847068</v>
      </c>
      <c r="I12" s="41">
        <f>'Rådata-K'!W12</f>
        <v>0.86955117855989672</v>
      </c>
      <c r="J12" s="41">
        <f>'Rådata-K'!O12</f>
        <v>344700</v>
      </c>
      <c r="K12" s="41">
        <f>Tabell2[[#This Row],[NIBR11]]</f>
        <v>1</v>
      </c>
      <c r="L12" s="41">
        <f>IF(Tabell2[[#This Row],[ReisetidOslo]]&lt;=C$433,C$433,IF(Tabell2[[#This Row],[ReisetidOslo]]&gt;=C$434,C$434,Tabell2[[#This Row],[ReisetidOslo]]))</f>
        <v>53.805284539509998</v>
      </c>
      <c r="M12" s="41">
        <f>IF(Tabell2[[#This Row],[Beftettotal]]&lt;=D$433,D$433,IF(Tabell2[[#This Row],[Beftettotal]]&gt;=D$434,D$434,Tabell2[[#This Row],[Beftettotal]]))</f>
        <v>37.654016757023165</v>
      </c>
      <c r="N12" s="41">
        <f>IF(Tabell2[[#This Row],[Befvekst10]]&lt;=E$433,E$433,IF(Tabell2[[#This Row],[Befvekst10]]&gt;=E$434,E$434,Tabell2[[#This Row],[Befvekst10]]))</f>
        <v>0.14518201284796572</v>
      </c>
      <c r="O12" s="41">
        <f>IF(Tabell2[[#This Row],[Kvinneandel]]&lt;=F$433,F$433,IF(Tabell2[[#This Row],[Kvinneandel]]&gt;=F$434,F$434,Tabell2[[#This Row],[Kvinneandel]]))</f>
        <v>0.1243455497382199</v>
      </c>
      <c r="P12" s="41">
        <f>IF(Tabell2[[#This Row],[Eldreandel]]&lt;=G$433,G$433,IF(Tabell2[[#This Row],[Eldreandel]]&gt;=G$434,G$434,Tabell2[[#This Row],[Eldreandel]]))</f>
        <v>0.13930441286462228</v>
      </c>
      <c r="Q12" s="41">
        <f>IF(Tabell2[[#This Row],[Sysselsettingsvekst10]]&lt;=H$433,H$433,IF(Tabell2[[#This Row],[Sysselsettingsvekst10]]&gt;=H$434,H$434,Tabell2[[#This Row],[Sysselsettingsvekst10]]))</f>
        <v>0.24794749265568336</v>
      </c>
      <c r="R12" s="41">
        <f>IF(Tabell2[[#This Row],[Yrkesaktivandel]]&lt;=I$433,I$433,IF(Tabell2[[#This Row],[Yrkesaktivandel]]&gt;=I$434,I$434,Tabell2[[#This Row],[Yrkesaktivandel]]))</f>
        <v>0.86955117855989672</v>
      </c>
      <c r="S12" s="41">
        <f>IF(Tabell2[[#This Row],[Inntekt]]&lt;=J$433,J$433,IF(Tabell2[[#This Row],[Inntekt]]&gt;=J$434,J$434,Tabell2[[#This Row],[Inntekt]]))</f>
        <v>344700</v>
      </c>
      <c r="T12" s="44">
        <f>IF(Tabell2[[#This Row],[NIBR11-T]]&lt;=K$436,100,IF(Tabell2[[#This Row],[NIBR11-T]]&gt;=K$435,0,100*(K$435-Tabell2[[#This Row],[NIBR11-T]])/K$438))</f>
        <v>100</v>
      </c>
      <c r="U12" s="44">
        <f>(L$435-Tabell2[[#This Row],[ReisetidOslo-T]])*100/L$438</f>
        <v>100</v>
      </c>
      <c r="V12" s="44">
        <f>100-(M$435-Tabell2[[#This Row],[Beftettotal-T]])*100/M$438</f>
        <v>29.720838552423459</v>
      </c>
      <c r="W12" s="44">
        <f>100-(N$435-Tabell2[[#This Row],[Befvekst10-T]])*100/N$438</f>
        <v>98.09396738223063</v>
      </c>
      <c r="X12" s="44">
        <f>100-(O$435-Tabell2[[#This Row],[Kvinneandel-T]])*100/O$438</f>
        <v>89.284544789697833</v>
      </c>
      <c r="Y12" s="44">
        <f>(P$435-Tabell2[[#This Row],[Eldreandel-T]])*100/P$438</f>
        <v>70.219107678482303</v>
      </c>
      <c r="Z12" s="44">
        <f>100-(Q$435-Tabell2[[#This Row],[Sysselsettingsvekst10-T]])*100/Q$438</f>
        <v>100</v>
      </c>
      <c r="AA12" s="44">
        <f>100-(R$435-Tabell2[[#This Row],[Yrkesaktivandel-T]])*100/R$438</f>
        <v>32.202360043543848</v>
      </c>
      <c r="AB12" s="44">
        <f>100-(S$435-Tabell2[[#This Row],[Inntekt-T]])*100/S$438</f>
        <v>71.451876019575849</v>
      </c>
      <c r="AC12" s="44">
        <f>Tabell2[[#This Row],[NIBR11-I]]*Vekter!$B$3</f>
        <v>20</v>
      </c>
      <c r="AD12" s="44">
        <f>Tabell2[[#This Row],[ReisetidOslo-I]]*Vekter!$C$3</f>
        <v>10</v>
      </c>
      <c r="AE12" s="44">
        <f>Tabell2[[#This Row],[Beftettotal-I]]*Vekter!$E$4</f>
        <v>2.9720838552423459</v>
      </c>
      <c r="AF12" s="44">
        <f>Tabell2[[#This Row],[Befvekst10-I]]*Vekter!$F$3</f>
        <v>19.618793476446129</v>
      </c>
      <c r="AG12" s="44">
        <f>Tabell2[[#This Row],[Kvinneandel-I]]*Vekter!$G$3</f>
        <v>4.4642272394848916</v>
      </c>
      <c r="AH12" s="44">
        <f>Tabell2[[#This Row],[Eldreandel-I]]*Vekter!$H$3</f>
        <v>3.5109553839241152</v>
      </c>
      <c r="AI12" s="44">
        <f>Tabell2[[#This Row],[Sysselsettingsvekst10-I]]*Vekter!$I$3</f>
        <v>10</v>
      </c>
      <c r="AJ12" s="44">
        <f>Tabell2[[#This Row],[Yrkesaktivandel-I]]*Vekter!$K$3</f>
        <v>3.2202360043543852</v>
      </c>
      <c r="AK12" s="44">
        <f>Tabell2[[#This Row],[Inntekt-I]]*Vekter!$M$3</f>
        <v>7.1451876019575851</v>
      </c>
      <c r="AL1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80.931483561409451</v>
      </c>
    </row>
    <row r="13" spans="1:39" s="38" customFormat="1" ht="12.75">
      <c r="A13" s="36" t="s">
        <v>11</v>
      </c>
      <c r="B13" s="38">
        <f>'Rådata-K'!Q13</f>
        <v>5</v>
      </c>
      <c r="C13" s="44">
        <f>'Rådata-K'!P13</f>
        <v>43.567340327499998</v>
      </c>
      <c r="D13" s="41">
        <f>'Rådata-K'!R13</f>
        <v>218.27646038172355</v>
      </c>
      <c r="E13" s="41">
        <f>'Rådata-K'!S13</f>
        <v>0.10407372193373798</v>
      </c>
      <c r="F13" s="41">
        <f>'Rådata-K'!T13</f>
        <v>0.11671966083730789</v>
      </c>
      <c r="G13" s="41">
        <f>'Rådata-K'!U13</f>
        <v>0.13361155272919978</v>
      </c>
      <c r="H13" s="41">
        <f>'Rådata-K'!V13</f>
        <v>8.4482758620689768E-3</v>
      </c>
      <c r="I13" s="41">
        <f>'Rådata-K'!W13</f>
        <v>0.79843137254901964</v>
      </c>
      <c r="J13" s="41">
        <f>'Rådata-K'!O13</f>
        <v>322200</v>
      </c>
      <c r="K13" s="41">
        <f>Tabell2[[#This Row],[NIBR11]]</f>
        <v>5</v>
      </c>
      <c r="L13" s="41">
        <f>IF(Tabell2[[#This Row],[ReisetidOslo]]&lt;=C$433,C$433,IF(Tabell2[[#This Row],[ReisetidOslo]]&gt;=C$434,C$434,Tabell2[[#This Row],[ReisetidOslo]]))</f>
        <v>53.805284539509998</v>
      </c>
      <c r="M13" s="41">
        <f>IF(Tabell2[[#This Row],[Beftettotal]]&lt;=D$433,D$433,IF(Tabell2[[#This Row],[Beftettotal]]&gt;=D$434,D$434,Tabell2[[#This Row],[Beftettotal]]))</f>
        <v>123.5691465212405</v>
      </c>
      <c r="N13" s="41">
        <f>IF(Tabell2[[#This Row],[Befvekst10]]&lt;=E$433,E$433,IF(Tabell2[[#This Row],[Befvekst10]]&gt;=E$434,E$434,Tabell2[[#This Row],[Befvekst10]]))</f>
        <v>0.10407372193373798</v>
      </c>
      <c r="O13" s="41">
        <f>IF(Tabell2[[#This Row],[Kvinneandel]]&lt;=F$433,F$433,IF(Tabell2[[#This Row],[Kvinneandel]]&gt;=F$434,F$434,Tabell2[[#This Row],[Kvinneandel]]))</f>
        <v>0.11671966083730789</v>
      </c>
      <c r="P13" s="41">
        <f>IF(Tabell2[[#This Row],[Eldreandel]]&lt;=G$433,G$433,IF(Tabell2[[#This Row],[Eldreandel]]&gt;=G$434,G$434,Tabell2[[#This Row],[Eldreandel]]))</f>
        <v>0.13361155272919978</v>
      </c>
      <c r="Q13" s="41">
        <f>IF(Tabell2[[#This Row],[Sysselsettingsvekst10]]&lt;=H$433,H$433,IF(Tabell2[[#This Row],[Sysselsettingsvekst10]]&gt;=H$434,H$434,Tabell2[[#This Row],[Sysselsettingsvekst10]]))</f>
        <v>8.4482758620689768E-3</v>
      </c>
      <c r="R13" s="41">
        <f>IF(Tabell2[[#This Row],[Yrkesaktivandel]]&lt;=I$433,I$433,IF(Tabell2[[#This Row],[Yrkesaktivandel]]&gt;=I$434,I$434,Tabell2[[#This Row],[Yrkesaktivandel]]))</f>
        <v>0.82642965596795781</v>
      </c>
      <c r="S13" s="41">
        <f>IF(Tabell2[[#This Row],[Inntekt]]&lt;=J$433,J$433,IF(Tabell2[[#This Row],[Inntekt]]&gt;=J$434,J$434,Tabell2[[#This Row],[Inntekt]]))</f>
        <v>322200</v>
      </c>
      <c r="T13" s="44">
        <f>IF(Tabell2[[#This Row],[NIBR11-T]]&lt;=K$436,100,IF(Tabell2[[#This Row],[NIBR11-T]]&gt;=K$435,0,100*(K$435-Tabell2[[#This Row],[NIBR11-T]])/K$438))</f>
        <v>60</v>
      </c>
      <c r="U13" s="44">
        <f>(L$435-Tabell2[[#This Row],[ReisetidOslo-T]])*100/L$438</f>
        <v>100</v>
      </c>
      <c r="V13" s="44">
        <f>100-(M$435-Tabell2[[#This Row],[Beftettotal-T]])*100/M$438</f>
        <v>100</v>
      </c>
      <c r="W13" s="44">
        <f>100-(N$435-Tabell2[[#This Row],[Befvekst10-T]])*100/N$438</f>
        <v>81.086855845370707</v>
      </c>
      <c r="X13" s="44">
        <f>100-(O$435-Tabell2[[#This Row],[Kvinneandel-T]])*100/O$438</f>
        <v>68.41659632382904</v>
      </c>
      <c r="Y13" s="44">
        <f>(P$435-Tabell2[[#This Row],[Eldreandel-T]])*100/P$438</f>
        <v>76.921856448037815</v>
      </c>
      <c r="Z13" s="44">
        <f>100-(Q$435-Tabell2[[#This Row],[Sysselsettingsvekst10-T]])*100/Q$438</f>
        <v>29.583139808556282</v>
      </c>
      <c r="AA13" s="44">
        <f>100-(R$435-Tabell2[[#This Row],[Yrkesaktivandel-T]])*100/R$438</f>
        <v>0</v>
      </c>
      <c r="AB13" s="44">
        <f>100-(S$435-Tabell2[[#This Row],[Inntekt-T]])*100/S$438</f>
        <v>40.864600326264274</v>
      </c>
      <c r="AC13" s="44">
        <f>Tabell2[[#This Row],[NIBR11-I]]*Vekter!$B$3</f>
        <v>12</v>
      </c>
      <c r="AD13" s="44">
        <f>Tabell2[[#This Row],[ReisetidOslo-I]]*Vekter!$C$3</f>
        <v>10</v>
      </c>
      <c r="AE13" s="44">
        <f>Tabell2[[#This Row],[Beftettotal-I]]*Vekter!$E$4</f>
        <v>10</v>
      </c>
      <c r="AF13" s="44">
        <f>Tabell2[[#This Row],[Befvekst10-I]]*Vekter!$F$3</f>
        <v>16.217371169074141</v>
      </c>
      <c r="AG13" s="44">
        <f>Tabell2[[#This Row],[Kvinneandel-I]]*Vekter!$G$3</f>
        <v>3.4208298161914521</v>
      </c>
      <c r="AH13" s="44">
        <f>Tabell2[[#This Row],[Eldreandel-I]]*Vekter!$H$3</f>
        <v>3.8460928224018911</v>
      </c>
      <c r="AI13" s="44">
        <f>Tabell2[[#This Row],[Sysselsettingsvekst10-I]]*Vekter!$I$3</f>
        <v>2.9583139808556282</v>
      </c>
      <c r="AJ13" s="44">
        <f>Tabell2[[#This Row],[Yrkesaktivandel-I]]*Vekter!$K$3</f>
        <v>0</v>
      </c>
      <c r="AK13" s="44">
        <f>Tabell2[[#This Row],[Inntekt-I]]*Vekter!$M$3</f>
        <v>4.0864600326264275</v>
      </c>
      <c r="AL1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62.529067821149539</v>
      </c>
    </row>
    <row r="14" spans="1:39" s="38" customFormat="1" ht="12.75">
      <c r="A14" s="36" t="s">
        <v>12</v>
      </c>
      <c r="B14" s="38">
        <f>'Rådata-K'!Q14</f>
        <v>5</v>
      </c>
      <c r="C14" s="44">
        <f>'Rådata-K'!P14</f>
        <v>53.954692457199997</v>
      </c>
      <c r="D14" s="41">
        <f>'Rådata-K'!R14</f>
        <v>46.835657666059092</v>
      </c>
      <c r="E14" s="41">
        <f>'Rådata-K'!S14</f>
        <v>0.11392277447323318</v>
      </c>
      <c r="F14" s="41">
        <f>'Rådata-K'!T14</f>
        <v>0.11639062358584487</v>
      </c>
      <c r="G14" s="41">
        <f>'Rådata-K'!U14</f>
        <v>0.14643859172775817</v>
      </c>
      <c r="H14" s="41">
        <f>'Rådata-K'!V14</f>
        <v>8.3780160857908736E-2</v>
      </c>
      <c r="I14" s="41">
        <f>'Rådata-K'!W14</f>
        <v>0.83776135827700049</v>
      </c>
      <c r="J14" s="41">
        <f>'Rådata-K'!O14</f>
        <v>315700</v>
      </c>
      <c r="K14" s="41">
        <f>Tabell2[[#This Row],[NIBR11]]</f>
        <v>5</v>
      </c>
      <c r="L14" s="41">
        <f>IF(Tabell2[[#This Row],[ReisetidOslo]]&lt;=C$433,C$433,IF(Tabell2[[#This Row],[ReisetidOslo]]&gt;=C$434,C$434,Tabell2[[#This Row],[ReisetidOslo]]))</f>
        <v>53.954692457199997</v>
      </c>
      <c r="M14" s="41">
        <f>IF(Tabell2[[#This Row],[Beftettotal]]&lt;=D$433,D$433,IF(Tabell2[[#This Row],[Beftettotal]]&gt;=D$434,D$434,Tabell2[[#This Row],[Beftettotal]]))</f>
        <v>46.835657666059092</v>
      </c>
      <c r="N14" s="41">
        <f>IF(Tabell2[[#This Row],[Befvekst10]]&lt;=E$433,E$433,IF(Tabell2[[#This Row],[Befvekst10]]&gt;=E$434,E$434,Tabell2[[#This Row],[Befvekst10]]))</f>
        <v>0.11392277447323318</v>
      </c>
      <c r="O14" s="41">
        <f>IF(Tabell2[[#This Row],[Kvinneandel]]&lt;=F$433,F$433,IF(Tabell2[[#This Row],[Kvinneandel]]&gt;=F$434,F$434,Tabell2[[#This Row],[Kvinneandel]]))</f>
        <v>0.11639062358584487</v>
      </c>
      <c r="P14" s="41">
        <f>IF(Tabell2[[#This Row],[Eldreandel]]&lt;=G$433,G$433,IF(Tabell2[[#This Row],[Eldreandel]]&gt;=G$434,G$434,Tabell2[[#This Row],[Eldreandel]]))</f>
        <v>0.14643859172775817</v>
      </c>
      <c r="Q14" s="41">
        <f>IF(Tabell2[[#This Row],[Sysselsettingsvekst10]]&lt;=H$433,H$433,IF(Tabell2[[#This Row],[Sysselsettingsvekst10]]&gt;=H$434,H$434,Tabell2[[#This Row],[Sysselsettingsvekst10]]))</f>
        <v>8.3780160857908736E-2</v>
      </c>
      <c r="R14" s="41">
        <f>IF(Tabell2[[#This Row],[Yrkesaktivandel]]&lt;=I$433,I$433,IF(Tabell2[[#This Row],[Yrkesaktivandel]]&gt;=I$434,I$434,Tabell2[[#This Row],[Yrkesaktivandel]]))</f>
        <v>0.83776135827700049</v>
      </c>
      <c r="S14" s="41">
        <f>IF(Tabell2[[#This Row],[Inntekt]]&lt;=J$433,J$433,IF(Tabell2[[#This Row],[Inntekt]]&gt;=J$434,J$434,Tabell2[[#This Row],[Inntekt]]))</f>
        <v>315700</v>
      </c>
      <c r="T14" s="44">
        <f>IF(Tabell2[[#This Row],[NIBR11-T]]&lt;=K$436,100,IF(Tabell2[[#This Row],[NIBR11-T]]&gt;=K$435,0,100*(K$435-Tabell2[[#This Row],[NIBR11-T]])/K$438))</f>
        <v>60</v>
      </c>
      <c r="U14" s="44">
        <f>(L$435-Tabell2[[#This Row],[ReisetidOslo-T]])*100/L$438</f>
        <v>99.933670266514326</v>
      </c>
      <c r="V14" s="44">
        <f>100-(M$435-Tabell2[[#This Row],[Beftettotal-T]])*100/M$438</f>
        <v>37.23148336633097</v>
      </c>
      <c r="W14" s="44">
        <f>100-(N$435-Tabell2[[#This Row],[Befvekst10-T]])*100/N$438</f>
        <v>85.161555409531246</v>
      </c>
      <c r="X14" s="44">
        <f>100-(O$435-Tabell2[[#This Row],[Kvinneandel-T]])*100/O$438</f>
        <v>67.516198678898718</v>
      </c>
      <c r="Y14" s="44">
        <f>(P$435-Tabell2[[#This Row],[Eldreandel-T]])*100/P$438</f>
        <v>61.81935650610891</v>
      </c>
      <c r="Z14" s="44">
        <f>100-(Q$435-Tabell2[[#This Row],[Sysselsettingsvekst10-T]])*100/Q$438</f>
        <v>51.732000605379554</v>
      </c>
      <c r="AA14" s="44">
        <f>100-(R$435-Tabell2[[#This Row],[Yrkesaktivandel-T]])*100/R$438</f>
        <v>8.4623068882605992</v>
      </c>
      <c r="AB14" s="44">
        <f>100-(S$435-Tabell2[[#This Row],[Inntekt-T]])*100/S$438</f>
        <v>32.028276237085379</v>
      </c>
      <c r="AC14" s="44">
        <f>Tabell2[[#This Row],[NIBR11-I]]*Vekter!$B$3</f>
        <v>12</v>
      </c>
      <c r="AD14" s="44">
        <f>Tabell2[[#This Row],[ReisetidOslo-I]]*Vekter!$C$3</f>
        <v>9.9933670266514341</v>
      </c>
      <c r="AE14" s="44">
        <f>Tabell2[[#This Row],[Beftettotal-I]]*Vekter!$E$4</f>
        <v>3.7231483366330971</v>
      </c>
      <c r="AF14" s="44">
        <f>Tabell2[[#This Row],[Befvekst10-I]]*Vekter!$F$3</f>
        <v>17.032311081906251</v>
      </c>
      <c r="AG14" s="44">
        <f>Tabell2[[#This Row],[Kvinneandel-I]]*Vekter!$G$3</f>
        <v>3.3758099339449359</v>
      </c>
      <c r="AH14" s="44">
        <f>Tabell2[[#This Row],[Eldreandel-I]]*Vekter!$H$3</f>
        <v>3.0909678253054458</v>
      </c>
      <c r="AI14" s="44">
        <f>Tabell2[[#This Row],[Sysselsettingsvekst10-I]]*Vekter!$I$3</f>
        <v>5.1732000605379556</v>
      </c>
      <c r="AJ14" s="44">
        <f>Tabell2[[#This Row],[Yrkesaktivandel-I]]*Vekter!$K$3</f>
        <v>0.84623068882606001</v>
      </c>
      <c r="AK14" s="44">
        <f>Tabell2[[#This Row],[Inntekt-I]]*Vekter!$M$3</f>
        <v>3.2028276237085382</v>
      </c>
      <c r="AL1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58.437862577513727</v>
      </c>
    </row>
    <row r="15" spans="1:39" s="38" customFormat="1" ht="12.75">
      <c r="A15" s="36" t="s">
        <v>13</v>
      </c>
      <c r="B15" s="38">
        <f>'Rådata-K'!Q15</f>
        <v>5</v>
      </c>
      <c r="C15" s="44">
        <f>'Rådata-K'!P15</f>
        <v>52.956932457199997</v>
      </c>
      <c r="D15" s="41">
        <f>'Rådata-K'!R15</f>
        <v>35.875901590751901</v>
      </c>
      <c r="E15" s="41">
        <f>'Rådata-K'!S15</f>
        <v>0.11448741559238806</v>
      </c>
      <c r="F15" s="41">
        <f>'Rådata-K'!T15</f>
        <v>0.11649683282842192</v>
      </c>
      <c r="G15" s="41">
        <f>'Rådata-K'!U15</f>
        <v>0.12530983200220325</v>
      </c>
      <c r="H15" s="41">
        <f>'Rådata-K'!V15</f>
        <v>0.30827067669172936</v>
      </c>
      <c r="I15" s="41">
        <f>'Rådata-K'!W15</f>
        <v>0.86618705035971222</v>
      </c>
      <c r="J15" s="41">
        <f>'Rådata-K'!O15</f>
        <v>323500</v>
      </c>
      <c r="K15" s="41">
        <f>Tabell2[[#This Row],[NIBR11]]</f>
        <v>5</v>
      </c>
      <c r="L15" s="41">
        <f>IF(Tabell2[[#This Row],[ReisetidOslo]]&lt;=C$433,C$433,IF(Tabell2[[#This Row],[ReisetidOslo]]&gt;=C$434,C$434,Tabell2[[#This Row],[ReisetidOslo]]))</f>
        <v>53.805284539509998</v>
      </c>
      <c r="M15" s="41">
        <f>IF(Tabell2[[#This Row],[Beftettotal]]&lt;=D$433,D$433,IF(Tabell2[[#This Row],[Beftettotal]]&gt;=D$434,D$434,Tabell2[[#This Row],[Beftettotal]]))</f>
        <v>35.875901590751901</v>
      </c>
      <c r="N15" s="41">
        <f>IF(Tabell2[[#This Row],[Befvekst10]]&lt;=E$433,E$433,IF(Tabell2[[#This Row],[Befvekst10]]&gt;=E$434,E$434,Tabell2[[#This Row],[Befvekst10]]))</f>
        <v>0.11448741559238806</v>
      </c>
      <c r="O15" s="41">
        <f>IF(Tabell2[[#This Row],[Kvinneandel]]&lt;=F$433,F$433,IF(Tabell2[[#This Row],[Kvinneandel]]&gt;=F$434,F$434,Tabell2[[#This Row],[Kvinneandel]]))</f>
        <v>0.11649683282842192</v>
      </c>
      <c r="P15" s="41">
        <f>IF(Tabell2[[#This Row],[Eldreandel]]&lt;=G$433,G$433,IF(Tabell2[[#This Row],[Eldreandel]]&gt;=G$434,G$434,Tabell2[[#This Row],[Eldreandel]]))</f>
        <v>0.12530983200220325</v>
      </c>
      <c r="Q15" s="41">
        <f>IF(Tabell2[[#This Row],[Sysselsettingsvekst10]]&lt;=H$433,H$433,IF(Tabell2[[#This Row],[Sysselsettingsvekst10]]&gt;=H$434,H$434,Tabell2[[#This Row],[Sysselsettingsvekst10]]))</f>
        <v>0.24794749265568336</v>
      </c>
      <c r="R15" s="41">
        <f>IF(Tabell2[[#This Row],[Yrkesaktivandel]]&lt;=I$433,I$433,IF(Tabell2[[#This Row],[Yrkesaktivandel]]&gt;=I$434,I$434,Tabell2[[#This Row],[Yrkesaktivandel]]))</f>
        <v>0.86618705035971222</v>
      </c>
      <c r="S15" s="41">
        <f>IF(Tabell2[[#This Row],[Inntekt]]&lt;=J$433,J$433,IF(Tabell2[[#This Row],[Inntekt]]&gt;=J$434,J$434,Tabell2[[#This Row],[Inntekt]]))</f>
        <v>323500</v>
      </c>
      <c r="T15" s="44">
        <f>IF(Tabell2[[#This Row],[NIBR11-T]]&lt;=K$436,100,IF(Tabell2[[#This Row],[NIBR11-T]]&gt;=K$435,0,100*(K$435-Tabell2[[#This Row],[NIBR11-T]])/K$438))</f>
        <v>60</v>
      </c>
      <c r="U15" s="44">
        <f>(L$435-Tabell2[[#This Row],[ReisetidOslo-T]])*100/L$438</f>
        <v>100</v>
      </c>
      <c r="V15" s="44">
        <f>100-(M$435-Tabell2[[#This Row],[Beftettotal-T]])*100/M$438</f>
        <v>28.266328232928984</v>
      </c>
      <c r="W15" s="44">
        <f>100-(N$435-Tabell2[[#This Row],[Befvekst10-T]])*100/N$438</f>
        <v>85.395155840933285</v>
      </c>
      <c r="X15" s="44">
        <f>100-(O$435-Tabell2[[#This Row],[Kvinneandel-T]])*100/O$438</f>
        <v>67.80683614155987</v>
      </c>
      <c r="Y15" s="44">
        <f>(P$435-Tabell2[[#This Row],[Eldreandel-T]])*100/P$438</f>
        <v>86.696266334174894</v>
      </c>
      <c r="Z15" s="44">
        <f>100-(Q$435-Tabell2[[#This Row],[Sysselsettingsvekst10-T]])*100/Q$438</f>
        <v>100</v>
      </c>
      <c r="AA15" s="44">
        <f>100-(R$435-Tabell2[[#This Row],[Yrkesaktivandel-T]])*100/R$438</f>
        <v>29.690090971782652</v>
      </c>
      <c r="AB15" s="44">
        <f>100-(S$435-Tabell2[[#This Row],[Inntekt-T]])*100/S$438</f>
        <v>42.631865144100054</v>
      </c>
      <c r="AC15" s="44">
        <f>Tabell2[[#This Row],[NIBR11-I]]*Vekter!$B$3</f>
        <v>12</v>
      </c>
      <c r="AD15" s="44">
        <f>Tabell2[[#This Row],[ReisetidOslo-I]]*Vekter!$C$3</f>
        <v>10</v>
      </c>
      <c r="AE15" s="44">
        <f>Tabell2[[#This Row],[Beftettotal-I]]*Vekter!$E$4</f>
        <v>2.8266328232928988</v>
      </c>
      <c r="AF15" s="44">
        <f>Tabell2[[#This Row],[Befvekst10-I]]*Vekter!$F$3</f>
        <v>17.079031168186656</v>
      </c>
      <c r="AG15" s="44">
        <f>Tabell2[[#This Row],[Kvinneandel-I]]*Vekter!$G$3</f>
        <v>3.3903418070779936</v>
      </c>
      <c r="AH15" s="44">
        <f>Tabell2[[#This Row],[Eldreandel-I]]*Vekter!$H$3</f>
        <v>4.334813316708745</v>
      </c>
      <c r="AI15" s="44">
        <f>Tabell2[[#This Row],[Sysselsettingsvekst10-I]]*Vekter!$I$3</f>
        <v>10</v>
      </c>
      <c r="AJ15" s="44">
        <f>Tabell2[[#This Row],[Yrkesaktivandel-I]]*Vekter!$K$3</f>
        <v>2.9690090971782652</v>
      </c>
      <c r="AK15" s="44">
        <f>Tabell2[[#This Row],[Inntekt-I]]*Vekter!$M$3</f>
        <v>4.2631865144100054</v>
      </c>
      <c r="AL1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66.863014726854573</v>
      </c>
    </row>
    <row r="16" spans="1:39" s="38" customFormat="1" ht="12.75">
      <c r="A16" s="36" t="s">
        <v>14</v>
      </c>
      <c r="B16" s="38">
        <f>'Rådata-K'!Q16</f>
        <v>2</v>
      </c>
      <c r="C16" s="44">
        <f>'Rådata-K'!P16</f>
        <v>61.598186693599999</v>
      </c>
      <c r="D16" s="41">
        <f>'Rådata-K'!R16</f>
        <v>17.708357295668378</v>
      </c>
      <c r="E16" s="41">
        <f>'Rådata-K'!S16</f>
        <v>7.5289844950412022E-2</v>
      </c>
      <c r="F16" s="41">
        <f>'Rådata-K'!T16</f>
        <v>0.11184723304754482</v>
      </c>
      <c r="G16" s="41">
        <f>'Rådata-K'!U16</f>
        <v>0.14964925954793454</v>
      </c>
      <c r="H16" s="41">
        <f>'Rådata-K'!V16</f>
        <v>0.16118311731472246</v>
      </c>
      <c r="I16" s="41">
        <f>'Rådata-K'!W16</f>
        <v>0.85371276122721207</v>
      </c>
      <c r="J16" s="41">
        <f>'Rådata-K'!O16</f>
        <v>320200</v>
      </c>
      <c r="K16" s="41">
        <f>Tabell2[[#This Row],[NIBR11]]</f>
        <v>2</v>
      </c>
      <c r="L16" s="41">
        <f>IF(Tabell2[[#This Row],[ReisetidOslo]]&lt;=C$433,C$433,IF(Tabell2[[#This Row],[ReisetidOslo]]&gt;=C$434,C$434,Tabell2[[#This Row],[ReisetidOslo]]))</f>
        <v>61.598186693599999</v>
      </c>
      <c r="M16" s="41">
        <f>IF(Tabell2[[#This Row],[Beftettotal]]&lt;=D$433,D$433,IF(Tabell2[[#This Row],[Beftettotal]]&gt;=D$434,D$434,Tabell2[[#This Row],[Beftettotal]]))</f>
        <v>17.708357295668378</v>
      </c>
      <c r="N16" s="41">
        <f>IF(Tabell2[[#This Row],[Befvekst10]]&lt;=E$433,E$433,IF(Tabell2[[#This Row],[Befvekst10]]&gt;=E$434,E$434,Tabell2[[#This Row],[Befvekst10]]))</f>
        <v>7.5289844950412022E-2</v>
      </c>
      <c r="O16" s="41">
        <f>IF(Tabell2[[#This Row],[Kvinneandel]]&lt;=F$433,F$433,IF(Tabell2[[#This Row],[Kvinneandel]]&gt;=F$434,F$434,Tabell2[[#This Row],[Kvinneandel]]))</f>
        <v>0.11184723304754482</v>
      </c>
      <c r="P16" s="41">
        <f>IF(Tabell2[[#This Row],[Eldreandel]]&lt;=G$433,G$433,IF(Tabell2[[#This Row],[Eldreandel]]&gt;=G$434,G$434,Tabell2[[#This Row],[Eldreandel]]))</f>
        <v>0.14964925954793454</v>
      </c>
      <c r="Q16" s="41">
        <f>IF(Tabell2[[#This Row],[Sysselsettingsvekst10]]&lt;=H$433,H$433,IF(Tabell2[[#This Row],[Sysselsettingsvekst10]]&gt;=H$434,H$434,Tabell2[[#This Row],[Sysselsettingsvekst10]]))</f>
        <v>0.16118311731472246</v>
      </c>
      <c r="R16" s="41">
        <f>IF(Tabell2[[#This Row],[Yrkesaktivandel]]&lt;=I$433,I$433,IF(Tabell2[[#This Row],[Yrkesaktivandel]]&gt;=I$434,I$434,Tabell2[[#This Row],[Yrkesaktivandel]]))</f>
        <v>0.85371276122721207</v>
      </c>
      <c r="S16" s="41">
        <f>IF(Tabell2[[#This Row],[Inntekt]]&lt;=J$433,J$433,IF(Tabell2[[#This Row],[Inntekt]]&gt;=J$434,J$434,Tabell2[[#This Row],[Inntekt]]))</f>
        <v>320200</v>
      </c>
      <c r="T16" s="44">
        <f>IF(Tabell2[[#This Row],[NIBR11-T]]&lt;=K$436,100,IF(Tabell2[[#This Row],[NIBR11-T]]&gt;=K$435,0,100*(K$435-Tabell2[[#This Row],[NIBR11-T]])/K$438))</f>
        <v>90</v>
      </c>
      <c r="U16" s="44">
        <f>(L$435-Tabell2[[#This Row],[ReisetidOslo-T]])*100/L$438</f>
        <v>96.540336476455821</v>
      </c>
      <c r="V16" s="44">
        <f>100-(M$435-Tabell2[[#This Row],[Beftettotal-T]])*100/M$438</f>
        <v>13.405153232388557</v>
      </c>
      <c r="W16" s="44">
        <f>100-(N$435-Tabell2[[#This Row],[Befvekst10-T]])*100/N$438</f>
        <v>69.178537707307427</v>
      </c>
      <c r="X16" s="44">
        <f>100-(O$435-Tabell2[[#This Row],[Kvinneandel-T]])*100/O$438</f>
        <v>55.083387127943332</v>
      </c>
      <c r="Y16" s="44">
        <f>(P$435-Tabell2[[#This Row],[Eldreandel-T]])*100/P$438</f>
        <v>58.039130175369891</v>
      </c>
      <c r="Z16" s="44">
        <f>100-(Q$435-Tabell2[[#This Row],[Sysselsettingsvekst10-T]])*100/Q$438</f>
        <v>74.489791783965075</v>
      </c>
      <c r="AA16" s="44">
        <f>100-(R$435-Tabell2[[#This Row],[Yrkesaktivandel-T]])*100/R$438</f>
        <v>20.374521256553493</v>
      </c>
      <c r="AB16" s="44">
        <f>100-(S$435-Tabell2[[#This Row],[Inntekt-T]])*100/S$438</f>
        <v>38.145731375747687</v>
      </c>
      <c r="AC16" s="44">
        <f>Tabell2[[#This Row],[NIBR11-I]]*Vekter!$B$3</f>
        <v>18</v>
      </c>
      <c r="AD16" s="44">
        <f>Tabell2[[#This Row],[ReisetidOslo-I]]*Vekter!$C$3</f>
        <v>9.6540336476455835</v>
      </c>
      <c r="AE16" s="44">
        <f>Tabell2[[#This Row],[Beftettotal-I]]*Vekter!$E$4</f>
        <v>1.3405153232388558</v>
      </c>
      <c r="AF16" s="44">
        <f>Tabell2[[#This Row],[Befvekst10-I]]*Vekter!$F$3</f>
        <v>13.835707541461487</v>
      </c>
      <c r="AG16" s="44">
        <f>Tabell2[[#This Row],[Kvinneandel-I]]*Vekter!$G$3</f>
        <v>2.754169356397167</v>
      </c>
      <c r="AH16" s="44">
        <f>Tabell2[[#This Row],[Eldreandel-I]]*Vekter!$H$3</f>
        <v>2.9019565087684946</v>
      </c>
      <c r="AI16" s="44">
        <f>Tabell2[[#This Row],[Sysselsettingsvekst10-I]]*Vekter!$I$3</f>
        <v>7.4489791783965078</v>
      </c>
      <c r="AJ16" s="44">
        <f>Tabell2[[#This Row],[Yrkesaktivandel-I]]*Vekter!$K$3</f>
        <v>2.0374521256553493</v>
      </c>
      <c r="AK16" s="44">
        <f>Tabell2[[#This Row],[Inntekt-I]]*Vekter!$M$3</f>
        <v>3.8145731375747687</v>
      </c>
      <c r="AL1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61.787386819138213</v>
      </c>
    </row>
    <row r="17" spans="1:38" s="38" customFormat="1" ht="12.75">
      <c r="A17" s="36" t="s">
        <v>15</v>
      </c>
      <c r="B17" s="38">
        <f>'Rådata-K'!Q17</f>
        <v>2</v>
      </c>
      <c r="C17" s="44">
        <f>'Rådata-K'!P17</f>
        <v>50.793962371500001</v>
      </c>
      <c r="D17" s="41">
        <f>'Rådata-K'!R17</f>
        <v>58.86267902274642</v>
      </c>
      <c r="E17" s="41">
        <f>'Rådata-K'!S17</f>
        <v>9.3769567939887333E-2</v>
      </c>
      <c r="F17" s="41">
        <f>'Rådata-K'!T17</f>
        <v>0.10533848575926721</v>
      </c>
      <c r="G17" s="41">
        <f>'Rådata-K'!U17</f>
        <v>0.1525690568198082</v>
      </c>
      <c r="H17" s="41">
        <f>'Rådata-K'!V17</f>
        <v>0.35685685685685686</v>
      </c>
      <c r="I17" s="41">
        <f>'Rådata-K'!W17</f>
        <v>0.88656716417910453</v>
      </c>
      <c r="J17" s="41">
        <f>'Rådata-K'!O17</f>
        <v>340300</v>
      </c>
      <c r="K17" s="41">
        <f>Tabell2[[#This Row],[NIBR11]]</f>
        <v>2</v>
      </c>
      <c r="L17" s="41">
        <f>IF(Tabell2[[#This Row],[ReisetidOslo]]&lt;=C$433,C$433,IF(Tabell2[[#This Row],[ReisetidOslo]]&gt;=C$434,C$434,Tabell2[[#This Row],[ReisetidOslo]]))</f>
        <v>53.805284539509998</v>
      </c>
      <c r="M17" s="41">
        <f>IF(Tabell2[[#This Row],[Beftettotal]]&lt;=D$433,D$433,IF(Tabell2[[#This Row],[Beftettotal]]&gt;=D$434,D$434,Tabell2[[#This Row],[Beftettotal]]))</f>
        <v>58.86267902274642</v>
      </c>
      <c r="N17" s="41">
        <f>IF(Tabell2[[#This Row],[Befvekst10]]&lt;=E$433,E$433,IF(Tabell2[[#This Row],[Befvekst10]]&gt;=E$434,E$434,Tabell2[[#This Row],[Befvekst10]]))</f>
        <v>9.3769567939887333E-2</v>
      </c>
      <c r="O17" s="41">
        <f>IF(Tabell2[[#This Row],[Kvinneandel]]&lt;=F$433,F$433,IF(Tabell2[[#This Row],[Kvinneandel]]&gt;=F$434,F$434,Tabell2[[#This Row],[Kvinneandel]]))</f>
        <v>0.10533848575926721</v>
      </c>
      <c r="P17" s="41">
        <f>IF(Tabell2[[#This Row],[Eldreandel]]&lt;=G$433,G$433,IF(Tabell2[[#This Row],[Eldreandel]]&gt;=G$434,G$434,Tabell2[[#This Row],[Eldreandel]]))</f>
        <v>0.1525690568198082</v>
      </c>
      <c r="Q17" s="41">
        <f>IF(Tabell2[[#This Row],[Sysselsettingsvekst10]]&lt;=H$433,H$433,IF(Tabell2[[#This Row],[Sysselsettingsvekst10]]&gt;=H$434,H$434,Tabell2[[#This Row],[Sysselsettingsvekst10]]))</f>
        <v>0.24794749265568336</v>
      </c>
      <c r="R17" s="41">
        <f>IF(Tabell2[[#This Row],[Yrkesaktivandel]]&lt;=I$433,I$433,IF(Tabell2[[#This Row],[Yrkesaktivandel]]&gt;=I$434,I$434,Tabell2[[#This Row],[Yrkesaktivandel]]))</f>
        <v>0.88656716417910453</v>
      </c>
      <c r="S17" s="41">
        <f>IF(Tabell2[[#This Row],[Inntekt]]&lt;=J$433,J$433,IF(Tabell2[[#This Row],[Inntekt]]&gt;=J$434,J$434,Tabell2[[#This Row],[Inntekt]]))</f>
        <v>340300</v>
      </c>
      <c r="T17" s="44">
        <f>IF(Tabell2[[#This Row],[NIBR11-T]]&lt;=K$436,100,IF(Tabell2[[#This Row],[NIBR11-T]]&gt;=K$435,0,100*(K$435-Tabell2[[#This Row],[NIBR11-T]])/K$438))</f>
        <v>90</v>
      </c>
      <c r="U17" s="44">
        <f>(L$435-Tabell2[[#This Row],[ReisetidOslo-T]])*100/L$438</f>
        <v>100</v>
      </c>
      <c r="V17" s="44">
        <f>100-(M$435-Tabell2[[#This Row],[Beftettotal-T]])*100/M$438</f>
        <v>47.069668770691685</v>
      </c>
      <c r="W17" s="44">
        <f>100-(N$435-Tabell2[[#This Row],[Befvekst10-T]])*100/N$438</f>
        <v>76.823874038804135</v>
      </c>
      <c r="X17" s="44">
        <f>100-(O$435-Tabell2[[#This Row],[Kvinneandel-T]])*100/O$438</f>
        <v>37.272453248104533</v>
      </c>
      <c r="Y17" s="44">
        <f>(P$435-Tabell2[[#This Row],[Eldreandel-T]])*100/P$438</f>
        <v>54.601373563429114</v>
      </c>
      <c r="Z17" s="44">
        <f>100-(Q$435-Tabell2[[#This Row],[Sysselsettingsvekst10-T]])*100/Q$438</f>
        <v>100</v>
      </c>
      <c r="AA17" s="44">
        <f>100-(R$435-Tabell2[[#This Row],[Yrkesaktivandel-T]])*100/R$438</f>
        <v>44.909585170792219</v>
      </c>
      <c r="AB17" s="44">
        <f>100-(S$435-Tabell2[[#This Row],[Inntekt-T]])*100/S$438</f>
        <v>65.470364328439359</v>
      </c>
      <c r="AC17" s="44">
        <f>Tabell2[[#This Row],[NIBR11-I]]*Vekter!$B$3</f>
        <v>18</v>
      </c>
      <c r="AD17" s="44">
        <f>Tabell2[[#This Row],[ReisetidOslo-I]]*Vekter!$C$3</f>
        <v>10</v>
      </c>
      <c r="AE17" s="44">
        <f>Tabell2[[#This Row],[Beftettotal-I]]*Vekter!$E$4</f>
        <v>4.7069668770691688</v>
      </c>
      <c r="AF17" s="44">
        <f>Tabell2[[#This Row],[Befvekst10-I]]*Vekter!$F$3</f>
        <v>15.364774807760828</v>
      </c>
      <c r="AG17" s="44">
        <f>Tabell2[[#This Row],[Kvinneandel-I]]*Vekter!$G$3</f>
        <v>1.8636226624052268</v>
      </c>
      <c r="AH17" s="44">
        <f>Tabell2[[#This Row],[Eldreandel-I]]*Vekter!$H$3</f>
        <v>2.730068678171456</v>
      </c>
      <c r="AI17" s="44">
        <f>Tabell2[[#This Row],[Sysselsettingsvekst10-I]]*Vekter!$I$3</f>
        <v>10</v>
      </c>
      <c r="AJ17" s="44">
        <f>Tabell2[[#This Row],[Yrkesaktivandel-I]]*Vekter!$K$3</f>
        <v>4.4909585170792221</v>
      </c>
      <c r="AK17" s="44">
        <f>Tabell2[[#This Row],[Inntekt-I]]*Vekter!$M$3</f>
        <v>6.5470364328439361</v>
      </c>
      <c r="AL1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73.703427975329845</v>
      </c>
    </row>
    <row r="18" spans="1:38" s="38" customFormat="1" ht="12.75">
      <c r="A18" s="36" t="s">
        <v>16</v>
      </c>
      <c r="B18" s="38">
        <f>'Rådata-K'!Q18</f>
        <v>4</v>
      </c>
      <c r="C18" s="44">
        <f>'Rådata-K'!P18</f>
        <v>45.623984997800001</v>
      </c>
      <c r="D18" s="41">
        <f>'Rådata-K'!R18</f>
        <v>198.12542144302088</v>
      </c>
      <c r="E18" s="41">
        <f>'Rådata-K'!S18</f>
        <v>8.508752492798588E-2</v>
      </c>
      <c r="F18" s="41">
        <f>'Rådata-K'!T18</f>
        <v>0.10856987271118372</v>
      </c>
      <c r="G18" s="41">
        <f>'Rådata-K'!U18</f>
        <v>0.14178748893880608</v>
      </c>
      <c r="H18" s="41">
        <f>'Rådata-K'!V18</f>
        <v>0.10114857354575779</v>
      </c>
      <c r="I18" s="41">
        <f>'Rådata-K'!W18</f>
        <v>0.85483679525222556</v>
      </c>
      <c r="J18" s="41">
        <f>'Rådata-K'!O18</f>
        <v>352000</v>
      </c>
      <c r="K18" s="41">
        <f>Tabell2[[#This Row],[NIBR11]]</f>
        <v>4</v>
      </c>
      <c r="L18" s="41">
        <f>IF(Tabell2[[#This Row],[ReisetidOslo]]&lt;=C$433,C$433,IF(Tabell2[[#This Row],[ReisetidOslo]]&gt;=C$434,C$434,Tabell2[[#This Row],[ReisetidOslo]]))</f>
        <v>53.805284539509998</v>
      </c>
      <c r="M18" s="41">
        <f>IF(Tabell2[[#This Row],[Beftettotal]]&lt;=D$433,D$433,IF(Tabell2[[#This Row],[Beftettotal]]&gt;=D$434,D$434,Tabell2[[#This Row],[Beftettotal]]))</f>
        <v>123.5691465212405</v>
      </c>
      <c r="N18" s="41">
        <f>IF(Tabell2[[#This Row],[Befvekst10]]&lt;=E$433,E$433,IF(Tabell2[[#This Row],[Befvekst10]]&gt;=E$434,E$434,Tabell2[[#This Row],[Befvekst10]]))</f>
        <v>8.508752492798588E-2</v>
      </c>
      <c r="O18" s="41">
        <f>IF(Tabell2[[#This Row],[Kvinneandel]]&lt;=F$433,F$433,IF(Tabell2[[#This Row],[Kvinneandel]]&gt;=F$434,F$434,Tabell2[[#This Row],[Kvinneandel]]))</f>
        <v>0.10856987271118372</v>
      </c>
      <c r="P18" s="41">
        <f>IF(Tabell2[[#This Row],[Eldreandel]]&lt;=G$433,G$433,IF(Tabell2[[#This Row],[Eldreandel]]&gt;=G$434,G$434,Tabell2[[#This Row],[Eldreandel]]))</f>
        <v>0.14178748893880608</v>
      </c>
      <c r="Q18" s="41">
        <f>IF(Tabell2[[#This Row],[Sysselsettingsvekst10]]&lt;=H$433,H$433,IF(Tabell2[[#This Row],[Sysselsettingsvekst10]]&gt;=H$434,H$434,Tabell2[[#This Row],[Sysselsettingsvekst10]]))</f>
        <v>0.10114857354575779</v>
      </c>
      <c r="R18" s="41">
        <f>IF(Tabell2[[#This Row],[Yrkesaktivandel]]&lt;=I$433,I$433,IF(Tabell2[[#This Row],[Yrkesaktivandel]]&gt;=I$434,I$434,Tabell2[[#This Row],[Yrkesaktivandel]]))</f>
        <v>0.85483679525222556</v>
      </c>
      <c r="S18" s="41">
        <f>IF(Tabell2[[#This Row],[Inntekt]]&lt;=J$433,J$433,IF(Tabell2[[#This Row],[Inntekt]]&gt;=J$434,J$434,Tabell2[[#This Row],[Inntekt]]))</f>
        <v>352000</v>
      </c>
      <c r="T18" s="44">
        <f>IF(Tabell2[[#This Row],[NIBR11-T]]&lt;=K$436,100,IF(Tabell2[[#This Row],[NIBR11-T]]&gt;=K$435,0,100*(K$435-Tabell2[[#This Row],[NIBR11-T]])/K$438))</f>
        <v>70</v>
      </c>
      <c r="U18" s="44">
        <f>(L$435-Tabell2[[#This Row],[ReisetidOslo-T]])*100/L$438</f>
        <v>100</v>
      </c>
      <c r="V18" s="44">
        <f>100-(M$435-Tabell2[[#This Row],[Beftettotal-T]])*100/M$438</f>
        <v>100</v>
      </c>
      <c r="W18" s="44">
        <f>100-(N$435-Tabell2[[#This Row],[Befvekst10-T]])*100/N$438</f>
        <v>73.231983678309504</v>
      </c>
      <c r="X18" s="44">
        <f>100-(O$435-Tabell2[[#This Row],[Kvinneandel-T]])*100/O$438</f>
        <v>46.115017998531208</v>
      </c>
      <c r="Y18" s="44">
        <f>(P$435-Tabell2[[#This Row],[Eldreandel-T]])*100/P$438</f>
        <v>67.295544705735395</v>
      </c>
      <c r="Z18" s="44">
        <f>100-(Q$435-Tabell2[[#This Row],[Sysselsettingsvekst10-T]])*100/Q$438</f>
        <v>56.838610574135721</v>
      </c>
      <c r="AA18" s="44">
        <f>100-(R$435-Tabell2[[#This Row],[Yrkesaktivandel-T]])*100/R$438</f>
        <v>21.213929194840077</v>
      </c>
      <c r="AB18" s="44">
        <f>100-(S$435-Tabell2[[#This Row],[Inntekt-T]])*100/S$438</f>
        <v>81.375747688961397</v>
      </c>
      <c r="AC18" s="44">
        <f>Tabell2[[#This Row],[NIBR11-I]]*Vekter!$B$3</f>
        <v>14</v>
      </c>
      <c r="AD18" s="44">
        <f>Tabell2[[#This Row],[ReisetidOslo-I]]*Vekter!$C$3</f>
        <v>10</v>
      </c>
      <c r="AE18" s="44">
        <f>Tabell2[[#This Row],[Beftettotal-I]]*Vekter!$E$4</f>
        <v>10</v>
      </c>
      <c r="AF18" s="44">
        <f>Tabell2[[#This Row],[Befvekst10-I]]*Vekter!$F$3</f>
        <v>14.646396735661902</v>
      </c>
      <c r="AG18" s="44">
        <f>Tabell2[[#This Row],[Kvinneandel-I]]*Vekter!$G$3</f>
        <v>2.3057508999265606</v>
      </c>
      <c r="AH18" s="44">
        <f>Tabell2[[#This Row],[Eldreandel-I]]*Vekter!$H$3</f>
        <v>3.3647772352867698</v>
      </c>
      <c r="AI18" s="44">
        <f>Tabell2[[#This Row],[Sysselsettingsvekst10-I]]*Vekter!$I$3</f>
        <v>5.6838610574135728</v>
      </c>
      <c r="AJ18" s="44">
        <f>Tabell2[[#This Row],[Yrkesaktivandel-I]]*Vekter!$K$3</f>
        <v>2.1213929194840078</v>
      </c>
      <c r="AK18" s="44">
        <f>Tabell2[[#This Row],[Inntekt-I]]*Vekter!$M$3</f>
        <v>8.1375747688961404</v>
      </c>
      <c r="AL1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70.259753616668945</v>
      </c>
    </row>
    <row r="19" spans="1:38" s="38" customFormat="1" ht="12.75">
      <c r="A19" s="36" t="s">
        <v>17</v>
      </c>
      <c r="B19" s="38">
        <f>'Rådata-K'!Q19</f>
        <v>4</v>
      </c>
      <c r="C19" s="44">
        <f>'Rådata-K'!P19</f>
        <v>43.602192132200003</v>
      </c>
      <c r="D19" s="41">
        <f>'Rådata-K'!R19</f>
        <v>18.31024283935243</v>
      </c>
      <c r="E19" s="41">
        <f>'Rådata-K'!S19</f>
        <v>0.14032961706253033</v>
      </c>
      <c r="F19" s="41">
        <f>'Rådata-K'!T19</f>
        <v>0.11625929861849096</v>
      </c>
      <c r="G19" s="41">
        <f>'Rådata-K'!U19</f>
        <v>0.11200850159404889</v>
      </c>
      <c r="H19" s="41">
        <f>'Rådata-K'!V19</f>
        <v>0.19527702089010002</v>
      </c>
      <c r="I19" s="41">
        <f>'Rådata-K'!W19</f>
        <v>0.89344852411807052</v>
      </c>
      <c r="J19" s="41">
        <f>'Rådata-K'!O19</f>
        <v>345500</v>
      </c>
      <c r="K19" s="41">
        <f>Tabell2[[#This Row],[NIBR11]]</f>
        <v>4</v>
      </c>
      <c r="L19" s="41">
        <f>IF(Tabell2[[#This Row],[ReisetidOslo]]&lt;=C$433,C$433,IF(Tabell2[[#This Row],[ReisetidOslo]]&gt;=C$434,C$434,Tabell2[[#This Row],[ReisetidOslo]]))</f>
        <v>53.805284539509998</v>
      </c>
      <c r="M19" s="41">
        <f>IF(Tabell2[[#This Row],[Beftettotal]]&lt;=D$433,D$433,IF(Tabell2[[#This Row],[Beftettotal]]&gt;=D$434,D$434,Tabell2[[#This Row],[Beftettotal]]))</f>
        <v>18.31024283935243</v>
      </c>
      <c r="N19" s="41">
        <f>IF(Tabell2[[#This Row],[Befvekst10]]&lt;=E$433,E$433,IF(Tabell2[[#This Row],[Befvekst10]]&gt;=E$434,E$434,Tabell2[[#This Row],[Befvekst10]]))</f>
        <v>0.14032961706253033</v>
      </c>
      <c r="O19" s="41">
        <f>IF(Tabell2[[#This Row],[Kvinneandel]]&lt;=F$433,F$433,IF(Tabell2[[#This Row],[Kvinneandel]]&gt;=F$434,F$434,Tabell2[[#This Row],[Kvinneandel]]))</f>
        <v>0.11625929861849096</v>
      </c>
      <c r="P19" s="41">
        <f>IF(Tabell2[[#This Row],[Eldreandel]]&lt;=G$433,G$433,IF(Tabell2[[#This Row],[Eldreandel]]&gt;=G$434,G$434,Tabell2[[#This Row],[Eldreandel]]))</f>
        <v>0.11401054306234992</v>
      </c>
      <c r="Q19" s="41">
        <f>IF(Tabell2[[#This Row],[Sysselsettingsvekst10]]&lt;=H$433,H$433,IF(Tabell2[[#This Row],[Sysselsettingsvekst10]]&gt;=H$434,H$434,Tabell2[[#This Row],[Sysselsettingsvekst10]]))</f>
        <v>0.19527702089010002</v>
      </c>
      <c r="R19" s="41">
        <f>IF(Tabell2[[#This Row],[Yrkesaktivandel]]&lt;=I$433,I$433,IF(Tabell2[[#This Row],[Yrkesaktivandel]]&gt;=I$434,I$434,Tabell2[[#This Row],[Yrkesaktivandel]]))</f>
        <v>0.89344852411807052</v>
      </c>
      <c r="S19" s="41">
        <f>IF(Tabell2[[#This Row],[Inntekt]]&lt;=J$433,J$433,IF(Tabell2[[#This Row],[Inntekt]]&gt;=J$434,J$434,Tabell2[[#This Row],[Inntekt]]))</f>
        <v>345500</v>
      </c>
      <c r="T19" s="44">
        <f>IF(Tabell2[[#This Row],[NIBR11-T]]&lt;=K$436,100,IF(Tabell2[[#This Row],[NIBR11-T]]&gt;=K$435,0,100*(K$435-Tabell2[[#This Row],[NIBR11-T]])/K$438))</f>
        <v>70</v>
      </c>
      <c r="U19" s="44">
        <f>(L$435-Tabell2[[#This Row],[ReisetidOslo-T]])*100/L$438</f>
        <v>100</v>
      </c>
      <c r="V19" s="44">
        <f>100-(M$435-Tabell2[[#This Row],[Beftettotal-T]])*100/M$438</f>
        <v>13.897499707492756</v>
      </c>
      <c r="W19" s="44">
        <f>100-(N$435-Tabell2[[#This Row],[Befvekst10-T]])*100/N$438</f>
        <v>96.086459054626417</v>
      </c>
      <c r="X19" s="44">
        <f>100-(O$435-Tabell2[[#This Row],[Kvinneandel-T]])*100/O$438</f>
        <v>67.156833011940805</v>
      </c>
      <c r="Y19" s="44">
        <f>(P$435-Tabell2[[#This Row],[Eldreandel-T]])*100/P$438</f>
        <v>100</v>
      </c>
      <c r="Z19" s="44">
        <f>100-(Q$435-Tabell2[[#This Row],[Sysselsettingsvekst10-T]])*100/Q$438</f>
        <v>84.513981731595564</v>
      </c>
      <c r="AA19" s="44">
        <f>100-(R$435-Tabell2[[#This Row],[Yrkesaktivandel-T]])*100/R$438</f>
        <v>50.048458221282026</v>
      </c>
      <c r="AB19" s="44">
        <f>100-(S$435-Tabell2[[#This Row],[Inntekt-T]])*100/S$438</f>
        <v>72.539423599782495</v>
      </c>
      <c r="AC19" s="44">
        <f>Tabell2[[#This Row],[NIBR11-I]]*Vekter!$B$3</f>
        <v>14</v>
      </c>
      <c r="AD19" s="44">
        <f>Tabell2[[#This Row],[ReisetidOslo-I]]*Vekter!$C$3</f>
        <v>10</v>
      </c>
      <c r="AE19" s="44">
        <f>Tabell2[[#This Row],[Beftettotal-I]]*Vekter!$E$4</f>
        <v>1.3897499707492758</v>
      </c>
      <c r="AF19" s="44">
        <f>Tabell2[[#This Row],[Befvekst10-I]]*Vekter!$F$3</f>
        <v>19.217291810925285</v>
      </c>
      <c r="AG19" s="44">
        <f>Tabell2[[#This Row],[Kvinneandel-I]]*Vekter!$G$3</f>
        <v>3.3578416505970403</v>
      </c>
      <c r="AH19" s="44">
        <f>Tabell2[[#This Row],[Eldreandel-I]]*Vekter!$H$3</f>
        <v>5</v>
      </c>
      <c r="AI19" s="44">
        <f>Tabell2[[#This Row],[Sysselsettingsvekst10-I]]*Vekter!$I$3</f>
        <v>8.4513981731595571</v>
      </c>
      <c r="AJ19" s="44">
        <f>Tabell2[[#This Row],[Yrkesaktivandel-I]]*Vekter!$K$3</f>
        <v>5.0048458221282033</v>
      </c>
      <c r="AK19" s="44">
        <f>Tabell2[[#This Row],[Inntekt-I]]*Vekter!$M$3</f>
        <v>7.2539423599782502</v>
      </c>
      <c r="AL1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73.675069787537609</v>
      </c>
    </row>
    <row r="20" spans="1:38" s="38" customFormat="1" ht="12.75">
      <c r="A20" s="36" t="s">
        <v>18</v>
      </c>
      <c r="B20" s="38">
        <f>'Rådata-K'!Q20</f>
        <v>1</v>
      </c>
      <c r="C20" s="44">
        <f>'Rådata-K'!P20</f>
        <v>32.984666064899997</v>
      </c>
      <c r="D20" s="41">
        <f>'Rådata-K'!R20</f>
        <v>34.98112401168175</v>
      </c>
      <c r="E20" s="41">
        <f>'Rådata-K'!S20</f>
        <v>0.10235690235690242</v>
      </c>
      <c r="F20" s="41">
        <f>'Rådata-K'!T20</f>
        <v>0.1170840969252698</v>
      </c>
      <c r="G20" s="41">
        <f>'Rådata-K'!U20</f>
        <v>0.11443697821217674</v>
      </c>
      <c r="H20" s="41">
        <f>'Rådata-K'!V20</f>
        <v>0.11055776892430269</v>
      </c>
      <c r="I20" s="41">
        <f>'Rådata-K'!W20</f>
        <v>0.8735323716873532</v>
      </c>
      <c r="J20" s="41">
        <f>'Rådata-K'!O20</f>
        <v>336800</v>
      </c>
      <c r="K20" s="41">
        <f>Tabell2[[#This Row],[NIBR11]]</f>
        <v>1</v>
      </c>
      <c r="L20" s="41">
        <f>IF(Tabell2[[#This Row],[ReisetidOslo]]&lt;=C$433,C$433,IF(Tabell2[[#This Row],[ReisetidOslo]]&gt;=C$434,C$434,Tabell2[[#This Row],[ReisetidOslo]]))</f>
        <v>53.805284539509998</v>
      </c>
      <c r="M20" s="41">
        <f>IF(Tabell2[[#This Row],[Beftettotal]]&lt;=D$433,D$433,IF(Tabell2[[#This Row],[Beftettotal]]&gt;=D$434,D$434,Tabell2[[#This Row],[Beftettotal]]))</f>
        <v>34.98112401168175</v>
      </c>
      <c r="N20" s="41">
        <f>IF(Tabell2[[#This Row],[Befvekst10]]&lt;=E$433,E$433,IF(Tabell2[[#This Row],[Befvekst10]]&gt;=E$434,E$434,Tabell2[[#This Row],[Befvekst10]]))</f>
        <v>0.10235690235690242</v>
      </c>
      <c r="O20" s="41">
        <f>IF(Tabell2[[#This Row],[Kvinneandel]]&lt;=F$433,F$433,IF(Tabell2[[#This Row],[Kvinneandel]]&gt;=F$434,F$434,Tabell2[[#This Row],[Kvinneandel]]))</f>
        <v>0.1170840969252698</v>
      </c>
      <c r="P20" s="41">
        <f>IF(Tabell2[[#This Row],[Eldreandel]]&lt;=G$433,G$433,IF(Tabell2[[#This Row],[Eldreandel]]&gt;=G$434,G$434,Tabell2[[#This Row],[Eldreandel]]))</f>
        <v>0.11443697821217674</v>
      </c>
      <c r="Q20" s="41">
        <f>IF(Tabell2[[#This Row],[Sysselsettingsvekst10]]&lt;=H$433,H$433,IF(Tabell2[[#This Row],[Sysselsettingsvekst10]]&gt;=H$434,H$434,Tabell2[[#This Row],[Sysselsettingsvekst10]]))</f>
        <v>0.11055776892430269</v>
      </c>
      <c r="R20" s="41">
        <f>IF(Tabell2[[#This Row],[Yrkesaktivandel]]&lt;=I$433,I$433,IF(Tabell2[[#This Row],[Yrkesaktivandel]]&gt;=I$434,I$434,Tabell2[[#This Row],[Yrkesaktivandel]]))</f>
        <v>0.8735323716873532</v>
      </c>
      <c r="S20" s="41">
        <f>IF(Tabell2[[#This Row],[Inntekt]]&lt;=J$433,J$433,IF(Tabell2[[#This Row],[Inntekt]]&gt;=J$434,J$434,Tabell2[[#This Row],[Inntekt]]))</f>
        <v>336800</v>
      </c>
      <c r="T20" s="44">
        <f>IF(Tabell2[[#This Row],[NIBR11-T]]&lt;=K$436,100,IF(Tabell2[[#This Row],[NIBR11-T]]&gt;=K$435,0,100*(K$435-Tabell2[[#This Row],[NIBR11-T]])/K$438))</f>
        <v>100</v>
      </c>
      <c r="U20" s="44">
        <f>(L$435-Tabell2[[#This Row],[ReisetidOslo-T]])*100/L$438</f>
        <v>100</v>
      </c>
      <c r="V20" s="44">
        <f>100-(M$435-Tabell2[[#This Row],[Beftettotal-T]])*100/M$438</f>
        <v>27.534394077539559</v>
      </c>
      <c r="W20" s="44">
        <f>100-(N$435-Tabell2[[#This Row],[Befvekst10-T]])*100/N$438</f>
        <v>80.376582044573951</v>
      </c>
      <c r="X20" s="44">
        <f>100-(O$435-Tabell2[[#This Row],[Kvinneandel-T]])*100/O$438</f>
        <v>69.413861508453294</v>
      </c>
      <c r="Y20" s="44">
        <f>(P$435-Tabell2[[#This Row],[Eldreandel-T]])*100/P$438</f>
        <v>99.497917108833946</v>
      </c>
      <c r="Z20" s="44">
        <f>100-(Q$435-Tabell2[[#This Row],[Sysselsettingsvekst10-T]])*100/Q$438</f>
        <v>59.605074716922175</v>
      </c>
      <c r="AA20" s="44">
        <f>100-(R$435-Tabell2[[#This Row],[Yrkesaktivandel-T]])*100/R$438</f>
        <v>35.175441854834133</v>
      </c>
      <c r="AB20" s="44">
        <f>100-(S$435-Tabell2[[#This Row],[Inntekt-T]])*100/S$438</f>
        <v>60.712343665035348</v>
      </c>
      <c r="AC20" s="44">
        <f>Tabell2[[#This Row],[NIBR11-I]]*Vekter!$B$3</f>
        <v>20</v>
      </c>
      <c r="AD20" s="44">
        <f>Tabell2[[#This Row],[ReisetidOslo-I]]*Vekter!$C$3</f>
        <v>10</v>
      </c>
      <c r="AE20" s="44">
        <f>Tabell2[[#This Row],[Beftettotal-I]]*Vekter!$E$4</f>
        <v>2.7534394077539561</v>
      </c>
      <c r="AF20" s="44">
        <f>Tabell2[[#This Row],[Befvekst10-I]]*Vekter!$F$3</f>
        <v>16.075316408914791</v>
      </c>
      <c r="AG20" s="44">
        <f>Tabell2[[#This Row],[Kvinneandel-I]]*Vekter!$G$3</f>
        <v>3.4706930754226648</v>
      </c>
      <c r="AH20" s="44">
        <f>Tabell2[[#This Row],[Eldreandel-I]]*Vekter!$H$3</f>
        <v>4.974895855441698</v>
      </c>
      <c r="AI20" s="44">
        <f>Tabell2[[#This Row],[Sysselsettingsvekst10-I]]*Vekter!$I$3</f>
        <v>5.9605074716922175</v>
      </c>
      <c r="AJ20" s="44">
        <f>Tabell2[[#This Row],[Yrkesaktivandel-I]]*Vekter!$K$3</f>
        <v>3.5175441854834135</v>
      </c>
      <c r="AK20" s="44">
        <f>Tabell2[[#This Row],[Inntekt-I]]*Vekter!$M$3</f>
        <v>6.0712343665035355</v>
      </c>
      <c r="AL2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72.823630771212265</v>
      </c>
    </row>
    <row r="21" spans="1:38" s="38" customFormat="1" ht="12.75">
      <c r="A21" s="42" t="s">
        <v>19</v>
      </c>
      <c r="B21" s="38">
        <f>'Rådata-K'!Q21</f>
        <v>1</v>
      </c>
      <c r="C21" s="44">
        <f>'Rådata-K'!P21</f>
        <v>28.645814424499999</v>
      </c>
      <c r="D21" s="41">
        <f>'Rådata-K'!R21</f>
        <v>113.05808571001938</v>
      </c>
      <c r="E21" s="41">
        <f>'Rådata-K'!S21</f>
        <v>0.20998801438274062</v>
      </c>
      <c r="F21" s="41">
        <f>'Rådata-K'!T21</f>
        <v>0.11820643201479231</v>
      </c>
      <c r="G21" s="41">
        <f>'Rådata-K'!U21</f>
        <v>0.1084989764247507</v>
      </c>
      <c r="H21" s="41">
        <f>'Rådata-K'!V21</f>
        <v>0.6341785525620709</v>
      </c>
      <c r="I21" s="41">
        <f>'Rådata-K'!W21</f>
        <v>0.89085379589997749</v>
      </c>
      <c r="J21" s="41">
        <f>'Rådata-K'!O21</f>
        <v>376900</v>
      </c>
      <c r="K21" s="41">
        <f>Tabell2[[#This Row],[NIBR11]]</f>
        <v>1</v>
      </c>
      <c r="L21" s="41">
        <f>IF(Tabell2[[#This Row],[ReisetidOslo]]&lt;=C$433,C$433,IF(Tabell2[[#This Row],[ReisetidOslo]]&gt;=C$434,C$434,Tabell2[[#This Row],[ReisetidOslo]]))</f>
        <v>53.805284539509998</v>
      </c>
      <c r="M21" s="41">
        <f>IF(Tabell2[[#This Row],[Beftettotal]]&lt;=D$433,D$433,IF(Tabell2[[#This Row],[Beftettotal]]&gt;=D$434,D$434,Tabell2[[#This Row],[Beftettotal]]))</f>
        <v>113.05808571001938</v>
      </c>
      <c r="N21" s="41">
        <f>IF(Tabell2[[#This Row],[Befvekst10]]&lt;=E$433,E$433,IF(Tabell2[[#This Row],[Befvekst10]]&gt;=E$434,E$434,Tabell2[[#This Row],[Befvekst10]]))</f>
        <v>0.149789129298837</v>
      </c>
      <c r="O21" s="41">
        <f>IF(Tabell2[[#This Row],[Kvinneandel]]&lt;=F$433,F$433,IF(Tabell2[[#This Row],[Kvinneandel]]&gt;=F$434,F$434,Tabell2[[#This Row],[Kvinneandel]]))</f>
        <v>0.11820643201479231</v>
      </c>
      <c r="P21" s="41">
        <f>IF(Tabell2[[#This Row],[Eldreandel]]&lt;=G$433,G$433,IF(Tabell2[[#This Row],[Eldreandel]]&gt;=G$434,G$434,Tabell2[[#This Row],[Eldreandel]]))</f>
        <v>0.11401054306234992</v>
      </c>
      <c r="Q21" s="41">
        <f>IF(Tabell2[[#This Row],[Sysselsettingsvekst10]]&lt;=H$433,H$433,IF(Tabell2[[#This Row],[Sysselsettingsvekst10]]&gt;=H$434,H$434,Tabell2[[#This Row],[Sysselsettingsvekst10]]))</f>
        <v>0.24794749265568336</v>
      </c>
      <c r="R21" s="41">
        <f>IF(Tabell2[[#This Row],[Yrkesaktivandel]]&lt;=I$433,I$433,IF(Tabell2[[#This Row],[Yrkesaktivandel]]&gt;=I$434,I$434,Tabell2[[#This Row],[Yrkesaktivandel]]))</f>
        <v>0.89085379589997749</v>
      </c>
      <c r="S21" s="41">
        <f>IF(Tabell2[[#This Row],[Inntekt]]&lt;=J$433,J$433,IF(Tabell2[[#This Row],[Inntekt]]&gt;=J$434,J$434,Tabell2[[#This Row],[Inntekt]]))</f>
        <v>365700</v>
      </c>
      <c r="T21" s="44">
        <f>IF(Tabell2[[#This Row],[NIBR11-T]]&lt;=K$436,100,IF(Tabell2[[#This Row],[NIBR11-T]]&gt;=K$435,0,100*(K$435-Tabell2[[#This Row],[NIBR11-T]])/K$438))</f>
        <v>100</v>
      </c>
      <c r="U21" s="44">
        <f>(L$435-Tabell2[[#This Row],[ReisetidOslo-T]])*100/L$438</f>
        <v>100</v>
      </c>
      <c r="V21" s="44">
        <f>100-(M$435-Tabell2[[#This Row],[Beftettotal-T]])*100/M$438</f>
        <v>91.401880649375826</v>
      </c>
      <c r="W21" s="44">
        <f>100-(N$435-Tabell2[[#This Row],[Befvekst10-T]])*100/N$438</f>
        <v>100</v>
      </c>
      <c r="X21" s="44">
        <f>100-(O$435-Tabell2[[#This Row],[Kvinneandel-T]])*100/O$438</f>
        <v>72.485087842053673</v>
      </c>
      <c r="Y21" s="44">
        <f>(P$435-Tabell2[[#This Row],[Eldreandel-T]])*100/P$438</f>
        <v>100</v>
      </c>
      <c r="Z21" s="44">
        <f>100-(Q$435-Tabell2[[#This Row],[Sysselsettingsvekst10-T]])*100/Q$438</f>
        <v>100</v>
      </c>
      <c r="AA21" s="44">
        <f>100-(R$435-Tabell2[[#This Row],[Yrkesaktivandel-T]])*100/R$438</f>
        <v>48.110762906465034</v>
      </c>
      <c r="AB21" s="44">
        <f>100-(S$435-Tabell2[[#This Row],[Inntekt-T]])*100/S$438</f>
        <v>100</v>
      </c>
      <c r="AC21" s="44">
        <f>Tabell2[[#This Row],[NIBR11-I]]*Vekter!$B$3</f>
        <v>20</v>
      </c>
      <c r="AD21" s="44">
        <f>Tabell2[[#This Row],[ReisetidOslo-I]]*Vekter!$C$3</f>
        <v>10</v>
      </c>
      <c r="AE21" s="44">
        <f>Tabell2[[#This Row],[Beftettotal-I]]*Vekter!$E$4</f>
        <v>9.1401880649375826</v>
      </c>
      <c r="AF21" s="44">
        <f>Tabell2[[#This Row],[Befvekst10-I]]*Vekter!$F$3</f>
        <v>20</v>
      </c>
      <c r="AG21" s="44">
        <f>Tabell2[[#This Row],[Kvinneandel-I]]*Vekter!$G$3</f>
        <v>3.6242543921026837</v>
      </c>
      <c r="AH21" s="44">
        <f>Tabell2[[#This Row],[Eldreandel-I]]*Vekter!$H$3</f>
        <v>5</v>
      </c>
      <c r="AI21" s="44">
        <f>Tabell2[[#This Row],[Sysselsettingsvekst10-I]]*Vekter!$I$3</f>
        <v>10</v>
      </c>
      <c r="AJ21" s="44">
        <f>Tabell2[[#This Row],[Yrkesaktivandel-I]]*Vekter!$K$3</f>
        <v>4.8110762906465041</v>
      </c>
      <c r="AK21" s="44">
        <f>Tabell2[[#This Row],[Inntekt-I]]*Vekter!$M$3</f>
        <v>10</v>
      </c>
      <c r="AL2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92.575518747686772</v>
      </c>
    </row>
    <row r="22" spans="1:38" s="38" customFormat="1" ht="12.75">
      <c r="A22" s="42" t="s">
        <v>20</v>
      </c>
      <c r="B22" s="38">
        <f>'Rådata-K'!Q22</f>
        <v>1</v>
      </c>
      <c r="C22" s="44">
        <f>'Rådata-K'!P22</f>
        <v>22.093889002600001</v>
      </c>
      <c r="D22" s="41">
        <f>'Rådata-K'!R22</f>
        <v>175.0135927022292</v>
      </c>
      <c r="E22" s="41">
        <f>'Rådata-K'!S22</f>
        <v>0.1244808446221326</v>
      </c>
      <c r="F22" s="41">
        <f>'Rådata-K'!T22</f>
        <v>0.11753538142906456</v>
      </c>
      <c r="G22" s="41">
        <f>'Rådata-K'!U22</f>
        <v>0.11877804625474629</v>
      </c>
      <c r="H22" s="41">
        <f>'Rådata-K'!V22</f>
        <v>0.22248370745836343</v>
      </c>
      <c r="I22" s="41">
        <f>'Rådata-K'!W22</f>
        <v>0.89192094106407116</v>
      </c>
      <c r="J22" s="41">
        <f>'Rådata-K'!O22</f>
        <v>385900</v>
      </c>
      <c r="K22" s="41">
        <f>Tabell2[[#This Row],[NIBR11]]</f>
        <v>1</v>
      </c>
      <c r="L22" s="41">
        <f>IF(Tabell2[[#This Row],[ReisetidOslo]]&lt;=C$433,C$433,IF(Tabell2[[#This Row],[ReisetidOslo]]&gt;=C$434,C$434,Tabell2[[#This Row],[ReisetidOslo]]))</f>
        <v>53.805284539509998</v>
      </c>
      <c r="M22" s="41">
        <f>IF(Tabell2[[#This Row],[Beftettotal]]&lt;=D$433,D$433,IF(Tabell2[[#This Row],[Beftettotal]]&gt;=D$434,D$434,Tabell2[[#This Row],[Beftettotal]]))</f>
        <v>123.5691465212405</v>
      </c>
      <c r="N22" s="41">
        <f>IF(Tabell2[[#This Row],[Befvekst10]]&lt;=E$433,E$433,IF(Tabell2[[#This Row],[Befvekst10]]&gt;=E$434,E$434,Tabell2[[#This Row],[Befvekst10]]))</f>
        <v>0.1244808446221326</v>
      </c>
      <c r="O22" s="41">
        <f>IF(Tabell2[[#This Row],[Kvinneandel]]&lt;=F$433,F$433,IF(Tabell2[[#This Row],[Kvinneandel]]&gt;=F$434,F$434,Tabell2[[#This Row],[Kvinneandel]]))</f>
        <v>0.11753538142906456</v>
      </c>
      <c r="P22" s="41">
        <f>IF(Tabell2[[#This Row],[Eldreandel]]&lt;=G$433,G$433,IF(Tabell2[[#This Row],[Eldreandel]]&gt;=G$434,G$434,Tabell2[[#This Row],[Eldreandel]]))</f>
        <v>0.11877804625474629</v>
      </c>
      <c r="Q22" s="41">
        <f>IF(Tabell2[[#This Row],[Sysselsettingsvekst10]]&lt;=H$433,H$433,IF(Tabell2[[#This Row],[Sysselsettingsvekst10]]&gt;=H$434,H$434,Tabell2[[#This Row],[Sysselsettingsvekst10]]))</f>
        <v>0.22248370745836343</v>
      </c>
      <c r="R22" s="41">
        <f>IF(Tabell2[[#This Row],[Yrkesaktivandel]]&lt;=I$433,I$433,IF(Tabell2[[#This Row],[Yrkesaktivandel]]&gt;=I$434,I$434,Tabell2[[#This Row],[Yrkesaktivandel]]))</f>
        <v>0.89192094106407116</v>
      </c>
      <c r="S22" s="41">
        <f>IF(Tabell2[[#This Row],[Inntekt]]&lt;=J$433,J$433,IF(Tabell2[[#This Row],[Inntekt]]&gt;=J$434,J$434,Tabell2[[#This Row],[Inntekt]]))</f>
        <v>365700</v>
      </c>
      <c r="T22" s="44">
        <f>IF(Tabell2[[#This Row],[NIBR11-T]]&lt;=K$436,100,IF(Tabell2[[#This Row],[NIBR11-T]]&gt;=K$435,0,100*(K$435-Tabell2[[#This Row],[NIBR11-T]])/K$438))</f>
        <v>100</v>
      </c>
      <c r="U22" s="44">
        <f>(L$435-Tabell2[[#This Row],[ReisetidOslo-T]])*100/L$438</f>
        <v>100</v>
      </c>
      <c r="V22" s="44">
        <f>100-(M$435-Tabell2[[#This Row],[Beftettotal-T]])*100/M$438</f>
        <v>100</v>
      </c>
      <c r="W22" s="44">
        <f>100-(N$435-Tabell2[[#This Row],[Befvekst10-T]])*100/N$438</f>
        <v>89.529586107060837</v>
      </c>
      <c r="X22" s="44">
        <f>100-(O$435-Tabell2[[#This Row],[Kvinneandel-T]])*100/O$438</f>
        <v>70.648784006145036</v>
      </c>
      <c r="Y22" s="44">
        <f>(P$435-Tabell2[[#This Row],[Eldreandel-T]])*100/P$438</f>
        <v>94.386762471494478</v>
      </c>
      <c r="Z22" s="44">
        <f>100-(Q$435-Tabell2[[#This Row],[Sysselsettingsvekst10-T]])*100/Q$438</f>
        <v>92.513212251003736</v>
      </c>
      <c r="AA22" s="44">
        <f>100-(R$435-Tabell2[[#This Row],[Yrkesaktivandel-T]])*100/R$438</f>
        <v>48.907687289633621</v>
      </c>
      <c r="AB22" s="44">
        <f>100-(S$435-Tabell2[[#This Row],[Inntekt-T]])*100/S$438</f>
        <v>100</v>
      </c>
      <c r="AC22" s="44">
        <f>Tabell2[[#This Row],[NIBR11-I]]*Vekter!$B$3</f>
        <v>20</v>
      </c>
      <c r="AD22" s="44">
        <f>Tabell2[[#This Row],[ReisetidOslo-I]]*Vekter!$C$3</f>
        <v>10</v>
      </c>
      <c r="AE22" s="44">
        <f>Tabell2[[#This Row],[Beftettotal-I]]*Vekter!$E$4</f>
        <v>10</v>
      </c>
      <c r="AF22" s="44">
        <f>Tabell2[[#This Row],[Befvekst10-I]]*Vekter!$F$3</f>
        <v>17.905917221412167</v>
      </c>
      <c r="AG22" s="44">
        <f>Tabell2[[#This Row],[Kvinneandel-I]]*Vekter!$G$3</f>
        <v>3.5324392003072518</v>
      </c>
      <c r="AH22" s="44">
        <f>Tabell2[[#This Row],[Eldreandel-I]]*Vekter!$H$3</f>
        <v>4.7193381235747243</v>
      </c>
      <c r="AI22" s="44">
        <f>Tabell2[[#This Row],[Sysselsettingsvekst10-I]]*Vekter!$I$3</f>
        <v>9.2513212251003747</v>
      </c>
      <c r="AJ22" s="44">
        <f>Tabell2[[#This Row],[Yrkesaktivandel-I]]*Vekter!$K$3</f>
        <v>4.8907687289633621</v>
      </c>
      <c r="AK22" s="44">
        <f>Tabell2[[#This Row],[Inntekt-I]]*Vekter!$M$3</f>
        <v>10</v>
      </c>
      <c r="AL2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90.299784499357884</v>
      </c>
    </row>
    <row r="23" spans="1:38" s="38" customFormat="1" ht="12.75">
      <c r="A23" s="42" t="s">
        <v>21</v>
      </c>
      <c r="B23" s="38">
        <f>'Rådata-K'!Q23</f>
        <v>1</v>
      </c>
      <c r="C23" s="44">
        <f>'Rådata-K'!P23</f>
        <v>27.831666064899999</v>
      </c>
      <c r="D23" s="41">
        <f>'Rådata-K'!R23</f>
        <v>167.626806323344</v>
      </c>
      <c r="E23" s="41">
        <f>'Rådata-K'!S23</f>
        <v>0.23131723302700014</v>
      </c>
      <c r="F23" s="41">
        <f>'Rådata-K'!T23</f>
        <v>0.13573246933580191</v>
      </c>
      <c r="G23" s="41">
        <f>'Rådata-K'!U23</f>
        <v>0.11687109465401527</v>
      </c>
      <c r="H23" s="41">
        <f>'Rådata-K'!V23</f>
        <v>0.19461977757739701</v>
      </c>
      <c r="I23" s="41">
        <f>'Rådata-K'!W23</f>
        <v>0.86389212262320525</v>
      </c>
      <c r="J23" s="41">
        <f>'Rådata-K'!O23</f>
        <v>355200</v>
      </c>
      <c r="K23" s="41">
        <f>Tabell2[[#This Row],[NIBR11]]</f>
        <v>1</v>
      </c>
      <c r="L23" s="41">
        <f>IF(Tabell2[[#This Row],[ReisetidOslo]]&lt;=C$433,C$433,IF(Tabell2[[#This Row],[ReisetidOslo]]&gt;=C$434,C$434,Tabell2[[#This Row],[ReisetidOslo]]))</f>
        <v>53.805284539509998</v>
      </c>
      <c r="M23" s="41">
        <f>IF(Tabell2[[#This Row],[Beftettotal]]&lt;=D$433,D$433,IF(Tabell2[[#This Row],[Beftettotal]]&gt;=D$434,D$434,Tabell2[[#This Row],[Beftettotal]]))</f>
        <v>123.5691465212405</v>
      </c>
      <c r="N23" s="41">
        <f>IF(Tabell2[[#This Row],[Befvekst10]]&lt;=E$433,E$433,IF(Tabell2[[#This Row],[Befvekst10]]&gt;=E$434,E$434,Tabell2[[#This Row],[Befvekst10]]))</f>
        <v>0.149789129298837</v>
      </c>
      <c r="O23" s="41">
        <f>IF(Tabell2[[#This Row],[Kvinneandel]]&lt;=F$433,F$433,IF(Tabell2[[#This Row],[Kvinneandel]]&gt;=F$434,F$434,Tabell2[[#This Row],[Kvinneandel]]))</f>
        <v>0.12826135732659469</v>
      </c>
      <c r="P23" s="41">
        <f>IF(Tabell2[[#This Row],[Eldreandel]]&lt;=G$433,G$433,IF(Tabell2[[#This Row],[Eldreandel]]&gt;=G$434,G$434,Tabell2[[#This Row],[Eldreandel]]))</f>
        <v>0.11687109465401527</v>
      </c>
      <c r="Q23" s="41">
        <f>IF(Tabell2[[#This Row],[Sysselsettingsvekst10]]&lt;=H$433,H$433,IF(Tabell2[[#This Row],[Sysselsettingsvekst10]]&gt;=H$434,H$434,Tabell2[[#This Row],[Sysselsettingsvekst10]]))</f>
        <v>0.19461977757739701</v>
      </c>
      <c r="R23" s="41">
        <f>IF(Tabell2[[#This Row],[Yrkesaktivandel]]&lt;=I$433,I$433,IF(Tabell2[[#This Row],[Yrkesaktivandel]]&gt;=I$434,I$434,Tabell2[[#This Row],[Yrkesaktivandel]]))</f>
        <v>0.86389212262320525</v>
      </c>
      <c r="S23" s="41">
        <f>IF(Tabell2[[#This Row],[Inntekt]]&lt;=J$433,J$433,IF(Tabell2[[#This Row],[Inntekt]]&gt;=J$434,J$434,Tabell2[[#This Row],[Inntekt]]))</f>
        <v>355200</v>
      </c>
      <c r="T23" s="44">
        <f>IF(Tabell2[[#This Row],[NIBR11-T]]&lt;=K$436,100,IF(Tabell2[[#This Row],[NIBR11-T]]&gt;=K$435,0,100*(K$435-Tabell2[[#This Row],[NIBR11-T]])/K$438))</f>
        <v>100</v>
      </c>
      <c r="U23" s="44">
        <f>(L$435-Tabell2[[#This Row],[ReisetidOslo-T]])*100/L$438</f>
        <v>100</v>
      </c>
      <c r="V23" s="44">
        <f>100-(M$435-Tabell2[[#This Row],[Beftettotal-T]])*100/M$438</f>
        <v>100</v>
      </c>
      <c r="W23" s="44">
        <f>100-(N$435-Tabell2[[#This Row],[Befvekst10-T]])*100/N$438</f>
        <v>100</v>
      </c>
      <c r="X23" s="44">
        <f>100-(O$435-Tabell2[[#This Row],[Kvinneandel-T]])*100/O$438</f>
        <v>100</v>
      </c>
      <c r="Y23" s="44">
        <f>(P$435-Tabell2[[#This Row],[Eldreandel-T]])*100/P$438</f>
        <v>96.631998994322387</v>
      </c>
      <c r="Z23" s="44">
        <f>100-(Q$435-Tabell2[[#This Row],[Sysselsettingsvekst10-T]])*100/Q$438</f>
        <v>84.320740972473374</v>
      </c>
      <c r="AA23" s="44">
        <f>100-(R$435-Tabell2[[#This Row],[Yrkesaktivandel-T]])*100/R$438</f>
        <v>27.97628114312117</v>
      </c>
      <c r="AB23" s="44">
        <f>100-(S$435-Tabell2[[#This Row],[Inntekt-T]])*100/S$438</f>
        <v>85.725938009787924</v>
      </c>
      <c r="AC23" s="44">
        <f>Tabell2[[#This Row],[NIBR11-I]]*Vekter!$B$3</f>
        <v>20</v>
      </c>
      <c r="AD23" s="44">
        <f>Tabell2[[#This Row],[ReisetidOslo-I]]*Vekter!$C$3</f>
        <v>10</v>
      </c>
      <c r="AE23" s="44">
        <f>Tabell2[[#This Row],[Beftettotal-I]]*Vekter!$E$4</f>
        <v>10</v>
      </c>
      <c r="AF23" s="44">
        <f>Tabell2[[#This Row],[Befvekst10-I]]*Vekter!$F$3</f>
        <v>20</v>
      </c>
      <c r="AG23" s="44">
        <f>Tabell2[[#This Row],[Kvinneandel-I]]*Vekter!$G$3</f>
        <v>5</v>
      </c>
      <c r="AH23" s="44">
        <f>Tabell2[[#This Row],[Eldreandel-I]]*Vekter!$H$3</f>
        <v>4.8315999497161197</v>
      </c>
      <c r="AI23" s="44">
        <f>Tabell2[[#This Row],[Sysselsettingsvekst10-I]]*Vekter!$I$3</f>
        <v>8.4320740972473374</v>
      </c>
      <c r="AJ23" s="44">
        <f>Tabell2[[#This Row],[Yrkesaktivandel-I]]*Vekter!$K$3</f>
        <v>2.7976281143121171</v>
      </c>
      <c r="AK23" s="44">
        <f>Tabell2[[#This Row],[Inntekt-I]]*Vekter!$M$3</f>
        <v>8.5725938009787921</v>
      </c>
      <c r="AL2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89.633895962254371</v>
      </c>
    </row>
    <row r="24" spans="1:38" s="38" customFormat="1" ht="12.75">
      <c r="A24" s="42" t="s">
        <v>22</v>
      </c>
      <c r="B24" s="38">
        <f>'Rådata-K'!Q24</f>
        <v>1</v>
      </c>
      <c r="C24" s="44">
        <f>'Rådata-K'!P24</f>
        <v>30.311343656599998</v>
      </c>
      <c r="D24" s="41">
        <f>'Rådata-K'!R24</f>
        <v>176.90870884893766</v>
      </c>
      <c r="E24" s="41">
        <f>'Rådata-K'!S24</f>
        <v>0.16910970529239311</v>
      </c>
      <c r="F24" s="41">
        <f>'Rådata-K'!T24</f>
        <v>0.10657252210637455</v>
      </c>
      <c r="G24" s="41">
        <f>'Rådata-K'!U24</f>
        <v>0.13376006334961066</v>
      </c>
      <c r="H24" s="41">
        <f>'Rådata-K'!V24</f>
        <v>0.16206415620641557</v>
      </c>
      <c r="I24" s="41">
        <f>'Rådata-K'!W24</f>
        <v>0.88701343437822944</v>
      </c>
      <c r="J24" s="41">
        <f>'Rådata-K'!O24</f>
        <v>414800</v>
      </c>
      <c r="K24" s="41">
        <f>Tabell2[[#This Row],[NIBR11]]</f>
        <v>1</v>
      </c>
      <c r="L24" s="41">
        <f>IF(Tabell2[[#This Row],[ReisetidOslo]]&lt;=C$433,C$433,IF(Tabell2[[#This Row],[ReisetidOslo]]&gt;=C$434,C$434,Tabell2[[#This Row],[ReisetidOslo]]))</f>
        <v>53.805284539509998</v>
      </c>
      <c r="M24" s="41">
        <f>IF(Tabell2[[#This Row],[Beftettotal]]&lt;=D$433,D$433,IF(Tabell2[[#This Row],[Beftettotal]]&gt;=D$434,D$434,Tabell2[[#This Row],[Beftettotal]]))</f>
        <v>123.5691465212405</v>
      </c>
      <c r="N24" s="41">
        <f>IF(Tabell2[[#This Row],[Befvekst10]]&lt;=E$433,E$433,IF(Tabell2[[#This Row],[Befvekst10]]&gt;=E$434,E$434,Tabell2[[#This Row],[Befvekst10]]))</f>
        <v>0.149789129298837</v>
      </c>
      <c r="O24" s="41">
        <f>IF(Tabell2[[#This Row],[Kvinneandel]]&lt;=F$433,F$433,IF(Tabell2[[#This Row],[Kvinneandel]]&gt;=F$434,F$434,Tabell2[[#This Row],[Kvinneandel]]))</f>
        <v>0.10657252210637455</v>
      </c>
      <c r="P24" s="41">
        <f>IF(Tabell2[[#This Row],[Eldreandel]]&lt;=G$433,G$433,IF(Tabell2[[#This Row],[Eldreandel]]&gt;=G$434,G$434,Tabell2[[#This Row],[Eldreandel]]))</f>
        <v>0.13376006334961066</v>
      </c>
      <c r="Q24" s="41">
        <f>IF(Tabell2[[#This Row],[Sysselsettingsvekst10]]&lt;=H$433,H$433,IF(Tabell2[[#This Row],[Sysselsettingsvekst10]]&gt;=H$434,H$434,Tabell2[[#This Row],[Sysselsettingsvekst10]]))</f>
        <v>0.16206415620641557</v>
      </c>
      <c r="R24" s="41">
        <f>IF(Tabell2[[#This Row],[Yrkesaktivandel]]&lt;=I$433,I$433,IF(Tabell2[[#This Row],[Yrkesaktivandel]]&gt;=I$434,I$434,Tabell2[[#This Row],[Yrkesaktivandel]]))</f>
        <v>0.88701343437822944</v>
      </c>
      <c r="S24" s="41">
        <f>IF(Tabell2[[#This Row],[Inntekt]]&lt;=J$433,J$433,IF(Tabell2[[#This Row],[Inntekt]]&gt;=J$434,J$434,Tabell2[[#This Row],[Inntekt]]))</f>
        <v>365700</v>
      </c>
      <c r="T24" s="44">
        <f>IF(Tabell2[[#This Row],[NIBR11-T]]&lt;=K$436,100,IF(Tabell2[[#This Row],[NIBR11-T]]&gt;=K$435,0,100*(K$435-Tabell2[[#This Row],[NIBR11-T]])/K$438))</f>
        <v>100</v>
      </c>
      <c r="U24" s="44">
        <f>(L$435-Tabell2[[#This Row],[ReisetidOslo-T]])*100/L$438</f>
        <v>100</v>
      </c>
      <c r="V24" s="44">
        <f>100-(M$435-Tabell2[[#This Row],[Beftettotal-T]])*100/M$438</f>
        <v>100</v>
      </c>
      <c r="W24" s="44">
        <f>100-(N$435-Tabell2[[#This Row],[Befvekst10-T]])*100/N$438</f>
        <v>100</v>
      </c>
      <c r="X24" s="44">
        <f>100-(O$435-Tabell2[[#This Row],[Kvinneandel-T]])*100/O$438</f>
        <v>40.649345729893135</v>
      </c>
      <c r="Y24" s="44">
        <f>(P$435-Tabell2[[#This Row],[Eldreandel-T]])*100/P$438</f>
        <v>76.747000689325048</v>
      </c>
      <c r="Z24" s="44">
        <f>100-(Q$435-Tabell2[[#This Row],[Sysselsettingsvekst10-T]])*100/Q$438</f>
        <v>74.748832265558974</v>
      </c>
      <c r="AA24" s="44">
        <f>100-(R$435-Tabell2[[#This Row],[Yrkesaktivandel-T]])*100/R$438</f>
        <v>45.242851548348447</v>
      </c>
      <c r="AB24" s="44">
        <f>100-(S$435-Tabell2[[#This Row],[Inntekt-T]])*100/S$438</f>
        <v>100</v>
      </c>
      <c r="AC24" s="44">
        <f>Tabell2[[#This Row],[NIBR11-I]]*Vekter!$B$3</f>
        <v>20</v>
      </c>
      <c r="AD24" s="44">
        <f>Tabell2[[#This Row],[ReisetidOslo-I]]*Vekter!$C$3</f>
        <v>10</v>
      </c>
      <c r="AE24" s="44">
        <f>Tabell2[[#This Row],[Beftettotal-I]]*Vekter!$E$4</f>
        <v>10</v>
      </c>
      <c r="AF24" s="44">
        <f>Tabell2[[#This Row],[Befvekst10-I]]*Vekter!$F$3</f>
        <v>20</v>
      </c>
      <c r="AG24" s="44">
        <f>Tabell2[[#This Row],[Kvinneandel-I]]*Vekter!$G$3</f>
        <v>2.0324672864946569</v>
      </c>
      <c r="AH24" s="44">
        <f>Tabell2[[#This Row],[Eldreandel-I]]*Vekter!$H$3</f>
        <v>3.8373500344662528</v>
      </c>
      <c r="AI24" s="44">
        <f>Tabell2[[#This Row],[Sysselsettingsvekst10-I]]*Vekter!$I$3</f>
        <v>7.4748832265558978</v>
      </c>
      <c r="AJ24" s="44">
        <f>Tabell2[[#This Row],[Yrkesaktivandel-I]]*Vekter!$K$3</f>
        <v>4.5242851548348453</v>
      </c>
      <c r="AK24" s="44">
        <f>Tabell2[[#This Row],[Inntekt-I]]*Vekter!$M$3</f>
        <v>10</v>
      </c>
      <c r="AL2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87.868985702351651</v>
      </c>
    </row>
    <row r="25" spans="1:38" s="38" customFormat="1" ht="12.75">
      <c r="A25" s="42" t="s">
        <v>23</v>
      </c>
      <c r="B25" s="38">
        <f>'Rådata-K'!Q25</f>
        <v>1</v>
      </c>
      <c r="C25" s="44">
        <f>'Rådata-K'!P25</f>
        <v>41.235457695400001</v>
      </c>
      <c r="D25" s="41">
        <f>'Rådata-K'!R25</f>
        <v>289.67143786597268</v>
      </c>
      <c r="E25" s="41">
        <f>'Rådata-K'!S25</f>
        <v>0.12879508144767704</v>
      </c>
      <c r="F25" s="41">
        <f>'Rådata-K'!T25</f>
        <v>0.11056207535515751</v>
      </c>
      <c r="G25" s="41">
        <f>'Rådata-K'!U25</f>
        <v>0.10949519905665675</v>
      </c>
      <c r="H25" s="41">
        <f>'Rådata-K'!V25</f>
        <v>0.12013492475350285</v>
      </c>
      <c r="I25" s="41">
        <f>'Rådata-K'!W25</f>
        <v>0.86986891206583106</v>
      </c>
      <c r="J25" s="41">
        <f>'Rådata-K'!O25</f>
        <v>377900</v>
      </c>
      <c r="K25" s="41">
        <f>Tabell2[[#This Row],[NIBR11]]</f>
        <v>1</v>
      </c>
      <c r="L25" s="41">
        <f>IF(Tabell2[[#This Row],[ReisetidOslo]]&lt;=C$433,C$433,IF(Tabell2[[#This Row],[ReisetidOslo]]&gt;=C$434,C$434,Tabell2[[#This Row],[ReisetidOslo]]))</f>
        <v>53.805284539509998</v>
      </c>
      <c r="M25" s="41">
        <f>IF(Tabell2[[#This Row],[Beftettotal]]&lt;=D$433,D$433,IF(Tabell2[[#This Row],[Beftettotal]]&gt;=D$434,D$434,Tabell2[[#This Row],[Beftettotal]]))</f>
        <v>123.5691465212405</v>
      </c>
      <c r="N25" s="41">
        <f>IF(Tabell2[[#This Row],[Befvekst10]]&lt;=E$433,E$433,IF(Tabell2[[#This Row],[Befvekst10]]&gt;=E$434,E$434,Tabell2[[#This Row],[Befvekst10]]))</f>
        <v>0.12879508144767704</v>
      </c>
      <c r="O25" s="41">
        <f>IF(Tabell2[[#This Row],[Kvinneandel]]&lt;=F$433,F$433,IF(Tabell2[[#This Row],[Kvinneandel]]&gt;=F$434,F$434,Tabell2[[#This Row],[Kvinneandel]]))</f>
        <v>0.11056207535515751</v>
      </c>
      <c r="P25" s="41">
        <f>IF(Tabell2[[#This Row],[Eldreandel]]&lt;=G$433,G$433,IF(Tabell2[[#This Row],[Eldreandel]]&gt;=G$434,G$434,Tabell2[[#This Row],[Eldreandel]]))</f>
        <v>0.11401054306234992</v>
      </c>
      <c r="Q25" s="41">
        <f>IF(Tabell2[[#This Row],[Sysselsettingsvekst10]]&lt;=H$433,H$433,IF(Tabell2[[#This Row],[Sysselsettingsvekst10]]&gt;=H$434,H$434,Tabell2[[#This Row],[Sysselsettingsvekst10]]))</f>
        <v>0.12013492475350285</v>
      </c>
      <c r="R25" s="41">
        <f>IF(Tabell2[[#This Row],[Yrkesaktivandel]]&lt;=I$433,I$433,IF(Tabell2[[#This Row],[Yrkesaktivandel]]&gt;=I$434,I$434,Tabell2[[#This Row],[Yrkesaktivandel]]))</f>
        <v>0.86986891206583106</v>
      </c>
      <c r="S25" s="41">
        <f>IF(Tabell2[[#This Row],[Inntekt]]&lt;=J$433,J$433,IF(Tabell2[[#This Row],[Inntekt]]&gt;=J$434,J$434,Tabell2[[#This Row],[Inntekt]]))</f>
        <v>365700</v>
      </c>
      <c r="T25" s="44">
        <f>IF(Tabell2[[#This Row],[NIBR11-T]]&lt;=K$436,100,IF(Tabell2[[#This Row],[NIBR11-T]]&gt;=K$435,0,100*(K$435-Tabell2[[#This Row],[NIBR11-T]])/K$438))</f>
        <v>100</v>
      </c>
      <c r="U25" s="44">
        <f>(L$435-Tabell2[[#This Row],[ReisetidOslo-T]])*100/L$438</f>
        <v>100</v>
      </c>
      <c r="V25" s="44">
        <f>100-(M$435-Tabell2[[#This Row],[Beftettotal-T]])*100/M$438</f>
        <v>100</v>
      </c>
      <c r="W25" s="44">
        <f>100-(N$435-Tabell2[[#This Row],[Befvekst10-T]])*100/N$438</f>
        <v>91.314450066536907</v>
      </c>
      <c r="X25" s="44">
        <f>100-(O$435-Tabell2[[#This Row],[Kvinneandel-T]])*100/O$438</f>
        <v>51.566603072507398</v>
      </c>
      <c r="Y25" s="44">
        <f>(P$435-Tabell2[[#This Row],[Eldreandel-T]])*100/P$438</f>
        <v>100</v>
      </c>
      <c r="Z25" s="44">
        <f>100-(Q$435-Tabell2[[#This Row],[Sysselsettingsvekst10-T]])*100/Q$438</f>
        <v>62.420922100830779</v>
      </c>
      <c r="AA25" s="44">
        <f>100-(R$435-Tabell2[[#This Row],[Yrkesaktivandel-T]])*100/R$438</f>
        <v>32.43963758248465</v>
      </c>
      <c r="AB25" s="44">
        <f>100-(S$435-Tabell2[[#This Row],[Inntekt-T]])*100/S$438</f>
        <v>100</v>
      </c>
      <c r="AC25" s="44">
        <f>Tabell2[[#This Row],[NIBR11-I]]*Vekter!$B$3</f>
        <v>20</v>
      </c>
      <c r="AD25" s="44">
        <f>Tabell2[[#This Row],[ReisetidOslo-I]]*Vekter!$C$3</f>
        <v>10</v>
      </c>
      <c r="AE25" s="44">
        <f>Tabell2[[#This Row],[Beftettotal-I]]*Vekter!$E$4</f>
        <v>10</v>
      </c>
      <c r="AF25" s="44">
        <f>Tabell2[[#This Row],[Befvekst10-I]]*Vekter!$F$3</f>
        <v>18.262890013307381</v>
      </c>
      <c r="AG25" s="44">
        <f>Tabell2[[#This Row],[Kvinneandel-I]]*Vekter!$G$3</f>
        <v>2.57833015362537</v>
      </c>
      <c r="AH25" s="44">
        <f>Tabell2[[#This Row],[Eldreandel-I]]*Vekter!$H$3</f>
        <v>5</v>
      </c>
      <c r="AI25" s="44">
        <f>Tabell2[[#This Row],[Sysselsettingsvekst10-I]]*Vekter!$I$3</f>
        <v>6.2420922100830785</v>
      </c>
      <c r="AJ25" s="44">
        <f>Tabell2[[#This Row],[Yrkesaktivandel-I]]*Vekter!$K$3</f>
        <v>3.2439637582484653</v>
      </c>
      <c r="AK25" s="44">
        <f>Tabell2[[#This Row],[Inntekt-I]]*Vekter!$M$3</f>
        <v>10</v>
      </c>
      <c r="AL2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85.327276135264299</v>
      </c>
    </row>
    <row r="26" spans="1:38" s="38" customFormat="1" ht="12.75">
      <c r="A26" s="42" t="s">
        <v>24</v>
      </c>
      <c r="B26" s="38">
        <f>'Rådata-K'!Q26</f>
        <v>1</v>
      </c>
      <c r="C26" s="44">
        <f>'Rådata-K'!P26</f>
        <v>13.6336217919</v>
      </c>
      <c r="D26" s="41">
        <f>'Rådata-K'!R26</f>
        <v>688.79892037786772</v>
      </c>
      <c r="E26" s="41">
        <f>'Rådata-K'!S26</f>
        <v>0.10228058051140287</v>
      </c>
      <c r="F26" s="41">
        <f>'Rådata-K'!T26</f>
        <v>0.10901253918495298</v>
      </c>
      <c r="G26" s="41">
        <f>'Rådata-K'!U26</f>
        <v>0.1313871473354232</v>
      </c>
      <c r="H26" s="41">
        <f>'Rådata-K'!V26</f>
        <v>-3.2051282051281937E-4</v>
      </c>
      <c r="I26" s="41">
        <f>'Rådata-K'!W26</f>
        <v>0.90360046457607435</v>
      </c>
      <c r="J26" s="41">
        <f>'Rådata-K'!O26</f>
        <v>434200</v>
      </c>
      <c r="K26" s="41">
        <f>Tabell2[[#This Row],[NIBR11]]</f>
        <v>1</v>
      </c>
      <c r="L26" s="41">
        <f>IF(Tabell2[[#This Row],[ReisetidOslo]]&lt;=C$433,C$433,IF(Tabell2[[#This Row],[ReisetidOslo]]&gt;=C$434,C$434,Tabell2[[#This Row],[ReisetidOslo]]))</f>
        <v>53.805284539509998</v>
      </c>
      <c r="M26" s="41">
        <f>IF(Tabell2[[#This Row],[Beftettotal]]&lt;=D$433,D$433,IF(Tabell2[[#This Row],[Beftettotal]]&gt;=D$434,D$434,Tabell2[[#This Row],[Beftettotal]]))</f>
        <v>123.5691465212405</v>
      </c>
      <c r="N26" s="41">
        <f>IF(Tabell2[[#This Row],[Befvekst10]]&lt;=E$433,E$433,IF(Tabell2[[#This Row],[Befvekst10]]&gt;=E$434,E$434,Tabell2[[#This Row],[Befvekst10]]))</f>
        <v>0.10228058051140287</v>
      </c>
      <c r="O26" s="41">
        <f>IF(Tabell2[[#This Row],[Kvinneandel]]&lt;=F$433,F$433,IF(Tabell2[[#This Row],[Kvinneandel]]&gt;=F$434,F$434,Tabell2[[#This Row],[Kvinneandel]]))</f>
        <v>0.10901253918495298</v>
      </c>
      <c r="P26" s="41">
        <f>IF(Tabell2[[#This Row],[Eldreandel]]&lt;=G$433,G$433,IF(Tabell2[[#This Row],[Eldreandel]]&gt;=G$434,G$434,Tabell2[[#This Row],[Eldreandel]]))</f>
        <v>0.1313871473354232</v>
      </c>
      <c r="Q26" s="41">
        <f>IF(Tabell2[[#This Row],[Sysselsettingsvekst10]]&lt;=H$433,H$433,IF(Tabell2[[#This Row],[Sysselsettingsvekst10]]&gt;=H$434,H$434,Tabell2[[#This Row],[Sysselsettingsvekst10]]))</f>
        <v>-3.2051282051281937E-4</v>
      </c>
      <c r="R26" s="41">
        <f>IF(Tabell2[[#This Row],[Yrkesaktivandel]]&lt;=I$433,I$433,IF(Tabell2[[#This Row],[Yrkesaktivandel]]&gt;=I$434,I$434,Tabell2[[#This Row],[Yrkesaktivandel]]))</f>
        <v>0.90360046457607435</v>
      </c>
      <c r="S26" s="41">
        <f>IF(Tabell2[[#This Row],[Inntekt]]&lt;=J$433,J$433,IF(Tabell2[[#This Row],[Inntekt]]&gt;=J$434,J$434,Tabell2[[#This Row],[Inntekt]]))</f>
        <v>365700</v>
      </c>
      <c r="T26" s="44">
        <f>IF(Tabell2[[#This Row],[NIBR11-T]]&lt;=K$436,100,IF(Tabell2[[#This Row],[NIBR11-T]]&gt;=K$435,0,100*(K$435-Tabell2[[#This Row],[NIBR11-T]])/K$438))</f>
        <v>100</v>
      </c>
      <c r="U26" s="44">
        <f>(L$435-Tabell2[[#This Row],[ReisetidOslo-T]])*100/L$438</f>
        <v>100</v>
      </c>
      <c r="V26" s="44">
        <f>100-(M$435-Tabell2[[#This Row],[Beftettotal-T]])*100/M$438</f>
        <v>100</v>
      </c>
      <c r="W26" s="44">
        <f>100-(N$435-Tabell2[[#This Row],[Befvekst10-T]])*100/N$438</f>
        <v>80.345006561618021</v>
      </c>
      <c r="X26" s="44">
        <f>100-(O$435-Tabell2[[#This Row],[Kvinneandel-T]])*100/O$438</f>
        <v>47.326357592146309</v>
      </c>
      <c r="Y26" s="44">
        <f>(P$435-Tabell2[[#This Row],[Eldreandel-T]])*100/P$438</f>
        <v>79.540861686434042</v>
      </c>
      <c r="Z26" s="44">
        <f>100-(Q$435-Tabell2[[#This Row],[Sysselsettingsvekst10-T]])*100/Q$438</f>
        <v>27.004966172014591</v>
      </c>
      <c r="AA26" s="44">
        <f>100-(R$435-Tabell2[[#This Row],[Yrkesaktivandel-T]])*100/R$438</f>
        <v>57.629740655645143</v>
      </c>
      <c r="AB26" s="44">
        <f>100-(S$435-Tabell2[[#This Row],[Inntekt-T]])*100/S$438</f>
        <v>100</v>
      </c>
      <c r="AC26" s="44">
        <f>Tabell2[[#This Row],[NIBR11-I]]*Vekter!$B$3</f>
        <v>20</v>
      </c>
      <c r="AD26" s="44">
        <f>Tabell2[[#This Row],[ReisetidOslo-I]]*Vekter!$C$3</f>
        <v>10</v>
      </c>
      <c r="AE26" s="44">
        <f>Tabell2[[#This Row],[Beftettotal-I]]*Vekter!$E$4</f>
        <v>10</v>
      </c>
      <c r="AF26" s="44">
        <f>Tabell2[[#This Row],[Befvekst10-I]]*Vekter!$F$3</f>
        <v>16.069001312323604</v>
      </c>
      <c r="AG26" s="44">
        <f>Tabell2[[#This Row],[Kvinneandel-I]]*Vekter!$G$3</f>
        <v>2.3663178796073154</v>
      </c>
      <c r="AH26" s="44">
        <f>Tabell2[[#This Row],[Eldreandel-I]]*Vekter!$H$3</f>
        <v>3.9770430843217022</v>
      </c>
      <c r="AI26" s="44">
        <f>Tabell2[[#This Row],[Sysselsettingsvekst10-I]]*Vekter!$I$3</f>
        <v>2.7004966172014591</v>
      </c>
      <c r="AJ26" s="44">
        <f>Tabell2[[#This Row],[Yrkesaktivandel-I]]*Vekter!$K$3</f>
        <v>5.7629740655645145</v>
      </c>
      <c r="AK26" s="44">
        <f>Tabell2[[#This Row],[Inntekt-I]]*Vekter!$M$3</f>
        <v>10</v>
      </c>
      <c r="AL2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80.875832959018595</v>
      </c>
    </row>
    <row r="27" spans="1:38" s="38" customFormat="1" ht="12.75">
      <c r="A27" s="42" t="s">
        <v>25</v>
      </c>
      <c r="B27" s="38">
        <f>'Rådata-K'!Q27</f>
        <v>1</v>
      </c>
      <c r="C27" s="44">
        <f>'Rådata-K'!P27</f>
        <v>12.6966354384</v>
      </c>
      <c r="D27" s="41">
        <f>'Rådata-K'!R27</f>
        <v>595.30470049916801</v>
      </c>
      <c r="E27" s="41">
        <f>'Rådata-K'!S27</f>
        <v>0.12800378336305496</v>
      </c>
      <c r="F27" s="41">
        <f>'Rådata-K'!T27</f>
        <v>0.11626444461913371</v>
      </c>
      <c r="G27" s="41">
        <f>'Rådata-K'!U27</f>
        <v>0.1328249875533894</v>
      </c>
      <c r="H27" s="41">
        <f>'Rådata-K'!V27</f>
        <v>0.22864835568299036</v>
      </c>
      <c r="I27" s="41">
        <f>'Rådata-K'!W27</f>
        <v>0.89166882395041802</v>
      </c>
      <c r="J27" s="41">
        <f>'Rådata-K'!O27</f>
        <v>489000</v>
      </c>
      <c r="K27" s="41">
        <f>Tabell2[[#This Row],[NIBR11]]</f>
        <v>1</v>
      </c>
      <c r="L27" s="41">
        <f>IF(Tabell2[[#This Row],[ReisetidOslo]]&lt;=C$433,C$433,IF(Tabell2[[#This Row],[ReisetidOslo]]&gt;=C$434,C$434,Tabell2[[#This Row],[ReisetidOslo]]))</f>
        <v>53.805284539509998</v>
      </c>
      <c r="M27" s="41">
        <f>IF(Tabell2[[#This Row],[Beftettotal]]&lt;=D$433,D$433,IF(Tabell2[[#This Row],[Beftettotal]]&gt;=D$434,D$434,Tabell2[[#This Row],[Beftettotal]]))</f>
        <v>123.5691465212405</v>
      </c>
      <c r="N27" s="41">
        <f>IF(Tabell2[[#This Row],[Befvekst10]]&lt;=E$433,E$433,IF(Tabell2[[#This Row],[Befvekst10]]&gt;=E$434,E$434,Tabell2[[#This Row],[Befvekst10]]))</f>
        <v>0.12800378336305496</v>
      </c>
      <c r="O27" s="41">
        <f>IF(Tabell2[[#This Row],[Kvinneandel]]&lt;=F$433,F$433,IF(Tabell2[[#This Row],[Kvinneandel]]&gt;=F$434,F$434,Tabell2[[#This Row],[Kvinneandel]]))</f>
        <v>0.11626444461913371</v>
      </c>
      <c r="P27" s="41">
        <f>IF(Tabell2[[#This Row],[Eldreandel]]&lt;=G$433,G$433,IF(Tabell2[[#This Row],[Eldreandel]]&gt;=G$434,G$434,Tabell2[[#This Row],[Eldreandel]]))</f>
        <v>0.1328249875533894</v>
      </c>
      <c r="Q27" s="41">
        <f>IF(Tabell2[[#This Row],[Sysselsettingsvekst10]]&lt;=H$433,H$433,IF(Tabell2[[#This Row],[Sysselsettingsvekst10]]&gt;=H$434,H$434,Tabell2[[#This Row],[Sysselsettingsvekst10]]))</f>
        <v>0.22864835568299036</v>
      </c>
      <c r="R27" s="41">
        <f>IF(Tabell2[[#This Row],[Yrkesaktivandel]]&lt;=I$433,I$433,IF(Tabell2[[#This Row],[Yrkesaktivandel]]&gt;=I$434,I$434,Tabell2[[#This Row],[Yrkesaktivandel]]))</f>
        <v>0.89166882395041802</v>
      </c>
      <c r="S27" s="41">
        <f>IF(Tabell2[[#This Row],[Inntekt]]&lt;=J$433,J$433,IF(Tabell2[[#This Row],[Inntekt]]&gt;=J$434,J$434,Tabell2[[#This Row],[Inntekt]]))</f>
        <v>365700</v>
      </c>
      <c r="T27" s="44">
        <f>IF(Tabell2[[#This Row],[NIBR11-T]]&lt;=K$436,100,IF(Tabell2[[#This Row],[NIBR11-T]]&gt;=K$435,0,100*(K$435-Tabell2[[#This Row],[NIBR11-T]])/K$438))</f>
        <v>100</v>
      </c>
      <c r="U27" s="44">
        <f>(L$435-Tabell2[[#This Row],[ReisetidOslo-T]])*100/L$438</f>
        <v>100</v>
      </c>
      <c r="V27" s="44">
        <f>100-(M$435-Tabell2[[#This Row],[Beftettotal-T]])*100/M$438</f>
        <v>100</v>
      </c>
      <c r="W27" s="44">
        <f>100-(N$435-Tabell2[[#This Row],[Befvekst10-T]])*100/N$438</f>
        <v>90.987078276448358</v>
      </c>
      <c r="X27" s="44">
        <f>100-(O$435-Tabell2[[#This Row],[Kvinneandel-T]])*100/O$438</f>
        <v>67.170914842611765</v>
      </c>
      <c r="Y27" s="44">
        <f>(P$435-Tabell2[[#This Row],[Eldreandel-T]])*100/P$438</f>
        <v>77.847954865867095</v>
      </c>
      <c r="Z27" s="44">
        <f>100-(Q$435-Tabell2[[#This Row],[Sysselsettingsvekst10-T]])*100/Q$438</f>
        <v>94.325724116280782</v>
      </c>
      <c r="AA27" s="44">
        <f>100-(R$435-Tabell2[[#This Row],[Yrkesaktivandel-T]])*100/R$438</f>
        <v>48.719410865727497</v>
      </c>
      <c r="AB27" s="44">
        <f>100-(S$435-Tabell2[[#This Row],[Inntekt-T]])*100/S$438</f>
        <v>100</v>
      </c>
      <c r="AC27" s="44">
        <f>Tabell2[[#This Row],[NIBR11-I]]*Vekter!$B$3</f>
        <v>20</v>
      </c>
      <c r="AD27" s="44">
        <f>Tabell2[[#This Row],[ReisetidOslo-I]]*Vekter!$C$3</f>
        <v>10</v>
      </c>
      <c r="AE27" s="44">
        <f>Tabell2[[#This Row],[Beftettotal-I]]*Vekter!$E$4</f>
        <v>10</v>
      </c>
      <c r="AF27" s="44">
        <f>Tabell2[[#This Row],[Befvekst10-I]]*Vekter!$F$3</f>
        <v>18.197415655289671</v>
      </c>
      <c r="AG27" s="44">
        <f>Tabell2[[#This Row],[Kvinneandel-I]]*Vekter!$G$3</f>
        <v>3.3585457421305884</v>
      </c>
      <c r="AH27" s="44">
        <f>Tabell2[[#This Row],[Eldreandel-I]]*Vekter!$H$3</f>
        <v>3.8923977432933548</v>
      </c>
      <c r="AI27" s="44">
        <f>Tabell2[[#This Row],[Sysselsettingsvekst10-I]]*Vekter!$I$3</f>
        <v>9.4325724116280778</v>
      </c>
      <c r="AJ27" s="44">
        <f>Tabell2[[#This Row],[Yrkesaktivandel-I]]*Vekter!$K$3</f>
        <v>4.8719410865727504</v>
      </c>
      <c r="AK27" s="44">
        <f>Tabell2[[#This Row],[Inntekt-I]]*Vekter!$M$3</f>
        <v>10</v>
      </c>
      <c r="AL2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89.75287263891444</v>
      </c>
    </row>
    <row r="28" spans="1:38" s="38" customFormat="1" ht="12.75">
      <c r="A28" s="42" t="s">
        <v>26</v>
      </c>
      <c r="B28" s="38">
        <f>'Rådata-K'!Q28</f>
        <v>1</v>
      </c>
      <c r="C28" s="44">
        <f>'Rådata-K'!P28</f>
        <v>18.212478322500001</v>
      </c>
      <c r="D28" s="41">
        <f>'Rådata-K'!R28</f>
        <v>560.37923160925254</v>
      </c>
      <c r="E28" s="41">
        <f>'Rådata-K'!S28</f>
        <v>0.12916583316663344</v>
      </c>
      <c r="F28" s="41">
        <f>'Rådata-K'!T28</f>
        <v>0.1143904901943416</v>
      </c>
      <c r="G28" s="41">
        <f>'Rådata-K'!U28</f>
        <v>0.12401013339947208</v>
      </c>
      <c r="H28" s="41">
        <f>'Rådata-K'!V28</f>
        <v>0.15252727677577371</v>
      </c>
      <c r="I28" s="41">
        <f>'Rådata-K'!W28</f>
        <v>0.89562559812305131</v>
      </c>
      <c r="J28" s="41">
        <f>'Rådata-K'!O28</f>
        <v>466400</v>
      </c>
      <c r="K28" s="41">
        <f>Tabell2[[#This Row],[NIBR11]]</f>
        <v>1</v>
      </c>
      <c r="L28" s="41">
        <f>IF(Tabell2[[#This Row],[ReisetidOslo]]&lt;=C$433,C$433,IF(Tabell2[[#This Row],[ReisetidOslo]]&gt;=C$434,C$434,Tabell2[[#This Row],[ReisetidOslo]]))</f>
        <v>53.805284539509998</v>
      </c>
      <c r="M28" s="41">
        <f>IF(Tabell2[[#This Row],[Beftettotal]]&lt;=D$433,D$433,IF(Tabell2[[#This Row],[Beftettotal]]&gt;=D$434,D$434,Tabell2[[#This Row],[Beftettotal]]))</f>
        <v>123.5691465212405</v>
      </c>
      <c r="N28" s="41">
        <f>IF(Tabell2[[#This Row],[Befvekst10]]&lt;=E$433,E$433,IF(Tabell2[[#This Row],[Befvekst10]]&gt;=E$434,E$434,Tabell2[[#This Row],[Befvekst10]]))</f>
        <v>0.12916583316663344</v>
      </c>
      <c r="O28" s="41">
        <f>IF(Tabell2[[#This Row],[Kvinneandel]]&lt;=F$433,F$433,IF(Tabell2[[#This Row],[Kvinneandel]]&gt;=F$434,F$434,Tabell2[[#This Row],[Kvinneandel]]))</f>
        <v>0.1143904901943416</v>
      </c>
      <c r="P28" s="41">
        <f>IF(Tabell2[[#This Row],[Eldreandel]]&lt;=G$433,G$433,IF(Tabell2[[#This Row],[Eldreandel]]&gt;=G$434,G$434,Tabell2[[#This Row],[Eldreandel]]))</f>
        <v>0.12401013339947208</v>
      </c>
      <c r="Q28" s="41">
        <f>IF(Tabell2[[#This Row],[Sysselsettingsvekst10]]&lt;=H$433,H$433,IF(Tabell2[[#This Row],[Sysselsettingsvekst10]]&gt;=H$434,H$434,Tabell2[[#This Row],[Sysselsettingsvekst10]]))</f>
        <v>0.15252727677577371</v>
      </c>
      <c r="R28" s="41">
        <f>IF(Tabell2[[#This Row],[Yrkesaktivandel]]&lt;=I$433,I$433,IF(Tabell2[[#This Row],[Yrkesaktivandel]]&gt;=I$434,I$434,Tabell2[[#This Row],[Yrkesaktivandel]]))</f>
        <v>0.89562559812305131</v>
      </c>
      <c r="S28" s="41">
        <f>IF(Tabell2[[#This Row],[Inntekt]]&lt;=J$433,J$433,IF(Tabell2[[#This Row],[Inntekt]]&gt;=J$434,J$434,Tabell2[[#This Row],[Inntekt]]))</f>
        <v>365700</v>
      </c>
      <c r="T28" s="44">
        <f>IF(Tabell2[[#This Row],[NIBR11-T]]&lt;=K$436,100,IF(Tabell2[[#This Row],[NIBR11-T]]&gt;=K$435,0,100*(K$435-Tabell2[[#This Row],[NIBR11-T]])/K$438))</f>
        <v>100</v>
      </c>
      <c r="U28" s="44">
        <f>(L$435-Tabell2[[#This Row],[ReisetidOslo-T]])*100/L$438</f>
        <v>100</v>
      </c>
      <c r="V28" s="44">
        <f>100-(M$435-Tabell2[[#This Row],[Beftettotal-T]])*100/M$438</f>
        <v>100</v>
      </c>
      <c r="W28" s="44">
        <f>100-(N$435-Tabell2[[#This Row],[Befvekst10-T]])*100/N$438</f>
        <v>91.467835568501229</v>
      </c>
      <c r="X28" s="44">
        <f>100-(O$435-Tabell2[[#This Row],[Kvinneandel-T]])*100/O$438</f>
        <v>62.04291142267315</v>
      </c>
      <c r="Y28" s="44">
        <f>(P$435-Tabell2[[#This Row],[Eldreandel-T]])*100/P$438</f>
        <v>88.226525817636244</v>
      </c>
      <c r="Z28" s="44">
        <f>100-(Q$435-Tabell2[[#This Row],[Sysselsettingsvekst10-T]])*100/Q$438</f>
        <v>71.94482683071503</v>
      </c>
      <c r="AA28" s="44">
        <f>100-(R$435-Tabell2[[#This Row],[Yrkesaktivandel-T]])*100/R$438</f>
        <v>51.674257050633592</v>
      </c>
      <c r="AB28" s="44">
        <f>100-(S$435-Tabell2[[#This Row],[Inntekt-T]])*100/S$438</f>
        <v>100</v>
      </c>
      <c r="AC28" s="44">
        <f>Tabell2[[#This Row],[NIBR11-I]]*Vekter!$B$3</f>
        <v>20</v>
      </c>
      <c r="AD28" s="44">
        <f>Tabell2[[#This Row],[ReisetidOslo-I]]*Vekter!$C$3</f>
        <v>10</v>
      </c>
      <c r="AE28" s="44">
        <f>Tabell2[[#This Row],[Beftettotal-I]]*Vekter!$E$4</f>
        <v>10</v>
      </c>
      <c r="AF28" s="44">
        <f>Tabell2[[#This Row],[Befvekst10-I]]*Vekter!$F$3</f>
        <v>18.293567113700245</v>
      </c>
      <c r="AG28" s="44">
        <f>Tabell2[[#This Row],[Kvinneandel-I]]*Vekter!$G$3</f>
        <v>3.1021455711336579</v>
      </c>
      <c r="AH28" s="44">
        <f>Tabell2[[#This Row],[Eldreandel-I]]*Vekter!$H$3</f>
        <v>4.4113262908818127</v>
      </c>
      <c r="AI28" s="44">
        <f>Tabell2[[#This Row],[Sysselsettingsvekst10-I]]*Vekter!$I$3</f>
        <v>7.1944826830715032</v>
      </c>
      <c r="AJ28" s="44">
        <f>Tabell2[[#This Row],[Yrkesaktivandel-I]]*Vekter!$K$3</f>
        <v>5.1674257050633594</v>
      </c>
      <c r="AK28" s="44">
        <f>Tabell2[[#This Row],[Inntekt-I]]*Vekter!$M$3</f>
        <v>10</v>
      </c>
      <c r="AL2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88.168947363850592</v>
      </c>
    </row>
    <row r="29" spans="1:38" s="38" customFormat="1" ht="12.75">
      <c r="A29" s="42" t="s">
        <v>27</v>
      </c>
      <c r="B29" s="38">
        <f>'Rådata-K'!Q29</f>
        <v>1</v>
      </c>
      <c r="C29" s="44">
        <f>'Rådata-K'!P29</f>
        <v>46.009666064900003</v>
      </c>
      <c r="D29" s="41">
        <f>'Rådata-K'!R29</f>
        <v>15.499240895950752</v>
      </c>
      <c r="E29" s="41">
        <f>'Rådata-K'!S29</f>
        <v>0.14680310840963307</v>
      </c>
      <c r="F29" s="41">
        <f>'Rådata-K'!T29</f>
        <v>0.11405568601140557</v>
      </c>
      <c r="G29" s="41">
        <f>'Rådata-K'!U29</f>
        <v>0.14230124119423013</v>
      </c>
      <c r="H29" s="41">
        <f>'Rådata-K'!V29</f>
        <v>0.15549282521759578</v>
      </c>
      <c r="I29" s="41">
        <f>'Rådata-K'!W29</f>
        <v>0.86396890717878372</v>
      </c>
      <c r="J29" s="41">
        <f>'Rådata-K'!O29</f>
        <v>325300</v>
      </c>
      <c r="K29" s="41">
        <f>Tabell2[[#This Row],[NIBR11]]</f>
        <v>1</v>
      </c>
      <c r="L29" s="41">
        <f>IF(Tabell2[[#This Row],[ReisetidOslo]]&lt;=C$433,C$433,IF(Tabell2[[#This Row],[ReisetidOslo]]&gt;=C$434,C$434,Tabell2[[#This Row],[ReisetidOslo]]))</f>
        <v>53.805284539509998</v>
      </c>
      <c r="M29" s="41">
        <f>IF(Tabell2[[#This Row],[Beftettotal]]&lt;=D$433,D$433,IF(Tabell2[[#This Row],[Beftettotal]]&gt;=D$434,D$434,Tabell2[[#This Row],[Beftettotal]]))</f>
        <v>15.499240895950752</v>
      </c>
      <c r="N29" s="41">
        <f>IF(Tabell2[[#This Row],[Befvekst10]]&lt;=E$433,E$433,IF(Tabell2[[#This Row],[Befvekst10]]&gt;=E$434,E$434,Tabell2[[#This Row],[Befvekst10]]))</f>
        <v>0.14680310840963307</v>
      </c>
      <c r="O29" s="41">
        <f>IF(Tabell2[[#This Row],[Kvinneandel]]&lt;=F$433,F$433,IF(Tabell2[[#This Row],[Kvinneandel]]&gt;=F$434,F$434,Tabell2[[#This Row],[Kvinneandel]]))</f>
        <v>0.11405568601140557</v>
      </c>
      <c r="P29" s="41">
        <f>IF(Tabell2[[#This Row],[Eldreandel]]&lt;=G$433,G$433,IF(Tabell2[[#This Row],[Eldreandel]]&gt;=G$434,G$434,Tabell2[[#This Row],[Eldreandel]]))</f>
        <v>0.14230124119423013</v>
      </c>
      <c r="Q29" s="41">
        <f>IF(Tabell2[[#This Row],[Sysselsettingsvekst10]]&lt;=H$433,H$433,IF(Tabell2[[#This Row],[Sysselsettingsvekst10]]&gt;=H$434,H$434,Tabell2[[#This Row],[Sysselsettingsvekst10]]))</f>
        <v>0.15549282521759578</v>
      </c>
      <c r="R29" s="41">
        <f>IF(Tabell2[[#This Row],[Yrkesaktivandel]]&lt;=I$433,I$433,IF(Tabell2[[#This Row],[Yrkesaktivandel]]&gt;=I$434,I$434,Tabell2[[#This Row],[Yrkesaktivandel]]))</f>
        <v>0.86396890717878372</v>
      </c>
      <c r="S29" s="41">
        <f>IF(Tabell2[[#This Row],[Inntekt]]&lt;=J$433,J$433,IF(Tabell2[[#This Row],[Inntekt]]&gt;=J$434,J$434,Tabell2[[#This Row],[Inntekt]]))</f>
        <v>325300</v>
      </c>
      <c r="T29" s="44">
        <f>IF(Tabell2[[#This Row],[NIBR11-T]]&lt;=K$436,100,IF(Tabell2[[#This Row],[NIBR11-T]]&gt;=K$435,0,100*(K$435-Tabell2[[#This Row],[NIBR11-T]])/K$438))</f>
        <v>100</v>
      </c>
      <c r="U29" s="44">
        <f>(L$435-Tabell2[[#This Row],[ReisetidOslo-T]])*100/L$438</f>
        <v>100</v>
      </c>
      <c r="V29" s="44">
        <f>100-(M$435-Tabell2[[#This Row],[Beftettotal-T]])*100/M$438</f>
        <v>11.598080967720833</v>
      </c>
      <c r="W29" s="44">
        <f>100-(N$435-Tabell2[[#This Row],[Befvekst10-T]])*100/N$438</f>
        <v>98.764638733825137</v>
      </c>
      <c r="X29" s="44">
        <f>100-(O$435-Tabell2[[#This Row],[Kvinneandel-T]])*100/O$438</f>
        <v>61.126732793998059</v>
      </c>
      <c r="Y29" s="44">
        <f>(P$435-Tabell2[[#This Row],[Eldreandel-T]])*100/P$438</f>
        <v>66.690655034114414</v>
      </c>
      <c r="Z29" s="44">
        <f>100-(Q$435-Tabell2[[#This Row],[Sysselsettingsvekst10-T]])*100/Q$438</f>
        <v>72.816748721794482</v>
      </c>
      <c r="AA29" s="44">
        <f>100-(R$435-Tabell2[[#This Row],[Yrkesaktivandel-T]])*100/R$438</f>
        <v>28.033622437117685</v>
      </c>
      <c r="AB29" s="44">
        <f>100-(S$435-Tabell2[[#This Row],[Inntekt-T]])*100/S$438</f>
        <v>45.078847199564983</v>
      </c>
      <c r="AC29" s="44">
        <f>Tabell2[[#This Row],[NIBR11-I]]*Vekter!$B$3</f>
        <v>20</v>
      </c>
      <c r="AD29" s="44">
        <f>Tabell2[[#This Row],[ReisetidOslo-I]]*Vekter!$C$3</f>
        <v>10</v>
      </c>
      <c r="AE29" s="44">
        <f>Tabell2[[#This Row],[Beftettotal-I]]*Vekter!$E$4</f>
        <v>1.1598080967720834</v>
      </c>
      <c r="AF29" s="44">
        <f>Tabell2[[#This Row],[Befvekst10-I]]*Vekter!$F$3</f>
        <v>19.752927746765028</v>
      </c>
      <c r="AG29" s="44">
        <f>Tabell2[[#This Row],[Kvinneandel-I]]*Vekter!$G$3</f>
        <v>3.0563366396999032</v>
      </c>
      <c r="AH29" s="44">
        <f>Tabell2[[#This Row],[Eldreandel-I]]*Vekter!$H$3</f>
        <v>3.3345327517057211</v>
      </c>
      <c r="AI29" s="44">
        <f>Tabell2[[#This Row],[Sysselsettingsvekst10-I]]*Vekter!$I$3</f>
        <v>7.2816748721794484</v>
      </c>
      <c r="AJ29" s="44">
        <f>Tabell2[[#This Row],[Yrkesaktivandel-I]]*Vekter!$K$3</f>
        <v>2.8033622437117689</v>
      </c>
      <c r="AK29" s="44">
        <f>Tabell2[[#This Row],[Inntekt-I]]*Vekter!$M$3</f>
        <v>4.5078847199564986</v>
      </c>
      <c r="AL2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71.896527070790441</v>
      </c>
    </row>
    <row r="30" spans="1:38" s="38" customFormat="1" ht="12.75">
      <c r="A30" s="42" t="s">
        <v>28</v>
      </c>
      <c r="B30" s="38">
        <f>'Rådata-K'!Q30</f>
        <v>1</v>
      </c>
      <c r="C30" s="44">
        <f>'Rådata-K'!P30</f>
        <v>32.437829160100002</v>
      </c>
      <c r="D30" s="41">
        <f>'Rådata-K'!R30</f>
        <v>77.881031895842412</v>
      </c>
      <c r="E30" s="41">
        <f>'Rådata-K'!S30</f>
        <v>0.29912804779589863</v>
      </c>
      <c r="F30" s="41">
        <f>'Rådata-K'!T30</f>
        <v>0.12802187558262382</v>
      </c>
      <c r="G30" s="41">
        <f>'Rådata-K'!U30</f>
        <v>0.10695419799888137</v>
      </c>
      <c r="H30" s="41">
        <f>'Rådata-K'!V30</f>
        <v>0.31642304385210651</v>
      </c>
      <c r="I30" s="41">
        <f>'Rådata-K'!W30</f>
        <v>0.87915407854984895</v>
      </c>
      <c r="J30" s="41">
        <f>'Rådata-K'!O30</f>
        <v>372700</v>
      </c>
      <c r="K30" s="41">
        <f>Tabell2[[#This Row],[NIBR11]]</f>
        <v>1</v>
      </c>
      <c r="L30" s="41">
        <f>IF(Tabell2[[#This Row],[ReisetidOslo]]&lt;=C$433,C$433,IF(Tabell2[[#This Row],[ReisetidOslo]]&gt;=C$434,C$434,Tabell2[[#This Row],[ReisetidOslo]]))</f>
        <v>53.805284539509998</v>
      </c>
      <c r="M30" s="41">
        <f>IF(Tabell2[[#This Row],[Beftettotal]]&lt;=D$433,D$433,IF(Tabell2[[#This Row],[Beftettotal]]&gt;=D$434,D$434,Tabell2[[#This Row],[Beftettotal]]))</f>
        <v>77.881031895842412</v>
      </c>
      <c r="N30" s="41">
        <f>IF(Tabell2[[#This Row],[Befvekst10]]&lt;=E$433,E$433,IF(Tabell2[[#This Row],[Befvekst10]]&gt;=E$434,E$434,Tabell2[[#This Row],[Befvekst10]]))</f>
        <v>0.149789129298837</v>
      </c>
      <c r="O30" s="41">
        <f>IF(Tabell2[[#This Row],[Kvinneandel]]&lt;=F$433,F$433,IF(Tabell2[[#This Row],[Kvinneandel]]&gt;=F$434,F$434,Tabell2[[#This Row],[Kvinneandel]]))</f>
        <v>0.12802187558262382</v>
      </c>
      <c r="P30" s="41">
        <f>IF(Tabell2[[#This Row],[Eldreandel]]&lt;=G$433,G$433,IF(Tabell2[[#This Row],[Eldreandel]]&gt;=G$434,G$434,Tabell2[[#This Row],[Eldreandel]]))</f>
        <v>0.11401054306234992</v>
      </c>
      <c r="Q30" s="41">
        <f>IF(Tabell2[[#This Row],[Sysselsettingsvekst10]]&lt;=H$433,H$433,IF(Tabell2[[#This Row],[Sysselsettingsvekst10]]&gt;=H$434,H$434,Tabell2[[#This Row],[Sysselsettingsvekst10]]))</f>
        <v>0.24794749265568336</v>
      </c>
      <c r="R30" s="41">
        <f>IF(Tabell2[[#This Row],[Yrkesaktivandel]]&lt;=I$433,I$433,IF(Tabell2[[#This Row],[Yrkesaktivandel]]&gt;=I$434,I$434,Tabell2[[#This Row],[Yrkesaktivandel]]))</f>
        <v>0.87915407854984895</v>
      </c>
      <c r="S30" s="41">
        <f>IF(Tabell2[[#This Row],[Inntekt]]&lt;=J$433,J$433,IF(Tabell2[[#This Row],[Inntekt]]&gt;=J$434,J$434,Tabell2[[#This Row],[Inntekt]]))</f>
        <v>365700</v>
      </c>
      <c r="T30" s="44">
        <f>IF(Tabell2[[#This Row],[NIBR11-T]]&lt;=K$436,100,IF(Tabell2[[#This Row],[NIBR11-T]]&gt;=K$435,0,100*(K$435-Tabell2[[#This Row],[NIBR11-T]])/K$438))</f>
        <v>100</v>
      </c>
      <c r="U30" s="44">
        <f>(L$435-Tabell2[[#This Row],[ReisetidOslo-T]])*100/L$438</f>
        <v>100</v>
      </c>
      <c r="V30" s="44">
        <f>100-(M$435-Tabell2[[#This Row],[Beftettotal-T]])*100/M$438</f>
        <v>62.626810984215645</v>
      </c>
      <c r="W30" s="44">
        <f>100-(N$435-Tabell2[[#This Row],[Befvekst10-T]])*100/N$438</f>
        <v>100</v>
      </c>
      <c r="X30" s="44">
        <f>100-(O$435-Tabell2[[#This Row],[Kvinneandel-T]])*100/O$438</f>
        <v>99.34466751920516</v>
      </c>
      <c r="Y30" s="44">
        <f>(P$435-Tabell2[[#This Row],[Eldreandel-T]])*100/P$438</f>
        <v>100</v>
      </c>
      <c r="Z30" s="44">
        <f>100-(Q$435-Tabell2[[#This Row],[Sysselsettingsvekst10-T]])*100/Q$438</f>
        <v>100</v>
      </c>
      <c r="AA30" s="44">
        <f>100-(R$435-Tabell2[[#This Row],[Yrkesaktivandel-T]])*100/R$438</f>
        <v>39.373629153517115</v>
      </c>
      <c r="AB30" s="44">
        <f>100-(S$435-Tabell2[[#This Row],[Inntekt-T]])*100/S$438</f>
        <v>100</v>
      </c>
      <c r="AC30" s="44">
        <f>Tabell2[[#This Row],[NIBR11-I]]*Vekter!$B$3</f>
        <v>20</v>
      </c>
      <c r="AD30" s="44">
        <f>Tabell2[[#This Row],[ReisetidOslo-I]]*Vekter!$C$3</f>
        <v>10</v>
      </c>
      <c r="AE30" s="44">
        <f>Tabell2[[#This Row],[Beftettotal-I]]*Vekter!$E$4</f>
        <v>6.2626810984215648</v>
      </c>
      <c r="AF30" s="44">
        <f>Tabell2[[#This Row],[Befvekst10-I]]*Vekter!$F$3</f>
        <v>20</v>
      </c>
      <c r="AG30" s="44">
        <f>Tabell2[[#This Row],[Kvinneandel-I]]*Vekter!$G$3</f>
        <v>4.9672333759602587</v>
      </c>
      <c r="AH30" s="44">
        <f>Tabell2[[#This Row],[Eldreandel-I]]*Vekter!$H$3</f>
        <v>5</v>
      </c>
      <c r="AI30" s="44">
        <f>Tabell2[[#This Row],[Sysselsettingsvekst10-I]]*Vekter!$I$3</f>
        <v>10</v>
      </c>
      <c r="AJ30" s="44">
        <f>Tabell2[[#This Row],[Yrkesaktivandel-I]]*Vekter!$K$3</f>
        <v>3.9373629153517116</v>
      </c>
      <c r="AK30" s="44">
        <f>Tabell2[[#This Row],[Inntekt-I]]*Vekter!$M$3</f>
        <v>10</v>
      </c>
      <c r="AL3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90.167277389733542</v>
      </c>
    </row>
    <row r="31" spans="1:38" s="38" customFormat="1" ht="12.75">
      <c r="A31" s="42" t="s">
        <v>29</v>
      </c>
      <c r="B31" s="38">
        <f>'Rådata-K'!Q31</f>
        <v>1</v>
      </c>
      <c r="C31" s="44">
        <f>'Rådata-K'!P31</f>
        <v>23.2213798308</v>
      </c>
      <c r="D31" s="41">
        <f>'Rådata-K'!R31</f>
        <v>60.255174369152257</v>
      </c>
      <c r="E31" s="41">
        <f>'Rådata-K'!S31</f>
        <v>0.13927307816018009</v>
      </c>
      <c r="F31" s="41">
        <f>'Rådata-K'!T31</f>
        <v>0.11932994541690194</v>
      </c>
      <c r="G31" s="41">
        <f>'Rådata-K'!U31</f>
        <v>0.11932994541690194</v>
      </c>
      <c r="H31" s="41">
        <f>'Rådata-K'!V31</f>
        <v>0.12232833105957264</v>
      </c>
      <c r="I31" s="41">
        <f>'Rådata-K'!W31</f>
        <v>0.89479530307838784</v>
      </c>
      <c r="J31" s="41">
        <f>'Rådata-K'!O31</f>
        <v>376500</v>
      </c>
      <c r="K31" s="41">
        <f>Tabell2[[#This Row],[NIBR11]]</f>
        <v>1</v>
      </c>
      <c r="L31" s="41">
        <f>IF(Tabell2[[#This Row],[ReisetidOslo]]&lt;=C$433,C$433,IF(Tabell2[[#This Row],[ReisetidOslo]]&gt;=C$434,C$434,Tabell2[[#This Row],[ReisetidOslo]]))</f>
        <v>53.805284539509998</v>
      </c>
      <c r="M31" s="41">
        <f>IF(Tabell2[[#This Row],[Beftettotal]]&lt;=D$433,D$433,IF(Tabell2[[#This Row],[Beftettotal]]&gt;=D$434,D$434,Tabell2[[#This Row],[Beftettotal]]))</f>
        <v>60.255174369152257</v>
      </c>
      <c r="N31" s="41">
        <f>IF(Tabell2[[#This Row],[Befvekst10]]&lt;=E$433,E$433,IF(Tabell2[[#This Row],[Befvekst10]]&gt;=E$434,E$434,Tabell2[[#This Row],[Befvekst10]]))</f>
        <v>0.13927307816018009</v>
      </c>
      <c r="O31" s="41">
        <f>IF(Tabell2[[#This Row],[Kvinneandel]]&lt;=F$433,F$433,IF(Tabell2[[#This Row],[Kvinneandel]]&gt;=F$434,F$434,Tabell2[[#This Row],[Kvinneandel]]))</f>
        <v>0.11932994541690194</v>
      </c>
      <c r="P31" s="41">
        <f>IF(Tabell2[[#This Row],[Eldreandel]]&lt;=G$433,G$433,IF(Tabell2[[#This Row],[Eldreandel]]&gt;=G$434,G$434,Tabell2[[#This Row],[Eldreandel]]))</f>
        <v>0.11932994541690194</v>
      </c>
      <c r="Q31" s="41">
        <f>IF(Tabell2[[#This Row],[Sysselsettingsvekst10]]&lt;=H$433,H$433,IF(Tabell2[[#This Row],[Sysselsettingsvekst10]]&gt;=H$434,H$434,Tabell2[[#This Row],[Sysselsettingsvekst10]]))</f>
        <v>0.12232833105957264</v>
      </c>
      <c r="R31" s="41">
        <f>IF(Tabell2[[#This Row],[Yrkesaktivandel]]&lt;=I$433,I$433,IF(Tabell2[[#This Row],[Yrkesaktivandel]]&gt;=I$434,I$434,Tabell2[[#This Row],[Yrkesaktivandel]]))</f>
        <v>0.89479530307838784</v>
      </c>
      <c r="S31" s="41">
        <f>IF(Tabell2[[#This Row],[Inntekt]]&lt;=J$433,J$433,IF(Tabell2[[#This Row],[Inntekt]]&gt;=J$434,J$434,Tabell2[[#This Row],[Inntekt]]))</f>
        <v>365700</v>
      </c>
      <c r="T31" s="44">
        <f>IF(Tabell2[[#This Row],[NIBR11-T]]&lt;=K$436,100,IF(Tabell2[[#This Row],[NIBR11-T]]&gt;=K$435,0,100*(K$435-Tabell2[[#This Row],[NIBR11-T]])/K$438))</f>
        <v>100</v>
      </c>
      <c r="U31" s="44">
        <f>(L$435-Tabell2[[#This Row],[ReisetidOslo-T]])*100/L$438</f>
        <v>100</v>
      </c>
      <c r="V31" s="44">
        <f>100-(M$435-Tabell2[[#This Row],[Beftettotal-T]])*100/M$438</f>
        <v>48.208739450484963</v>
      </c>
      <c r="W31" s="44">
        <f>100-(N$435-Tabell2[[#This Row],[Befvekst10-T]])*100/N$438</f>
        <v>95.649353192142527</v>
      </c>
      <c r="X31" s="44">
        <f>100-(O$435-Tabell2[[#This Row],[Kvinneandel-T]])*100/O$438</f>
        <v>75.559538582233316</v>
      </c>
      <c r="Y31" s="44">
        <f>(P$435-Tabell2[[#This Row],[Eldreandel-T]])*100/P$438</f>
        <v>93.736958797759399</v>
      </c>
      <c r="Z31" s="44">
        <f>100-(Q$435-Tabell2[[#This Row],[Sysselsettingsvekst10-T]])*100/Q$438</f>
        <v>63.065821016432011</v>
      </c>
      <c r="AA31" s="44">
        <f>100-(R$435-Tabell2[[#This Row],[Yrkesaktivandel-T]])*100/R$438</f>
        <v>51.054207980853718</v>
      </c>
      <c r="AB31" s="44">
        <f>100-(S$435-Tabell2[[#This Row],[Inntekt-T]])*100/S$438</f>
        <v>100</v>
      </c>
      <c r="AC31" s="44">
        <f>Tabell2[[#This Row],[NIBR11-I]]*Vekter!$B$3</f>
        <v>20</v>
      </c>
      <c r="AD31" s="44">
        <f>Tabell2[[#This Row],[ReisetidOslo-I]]*Vekter!$C$3</f>
        <v>10</v>
      </c>
      <c r="AE31" s="44">
        <f>Tabell2[[#This Row],[Beftettotal-I]]*Vekter!$E$4</f>
        <v>4.820873945048497</v>
      </c>
      <c r="AF31" s="44">
        <f>Tabell2[[#This Row],[Befvekst10-I]]*Vekter!$F$3</f>
        <v>19.129870638428507</v>
      </c>
      <c r="AG31" s="44">
        <f>Tabell2[[#This Row],[Kvinneandel-I]]*Vekter!$G$3</f>
        <v>3.777976929111666</v>
      </c>
      <c r="AH31" s="44">
        <f>Tabell2[[#This Row],[Eldreandel-I]]*Vekter!$H$3</f>
        <v>4.6868479398879703</v>
      </c>
      <c r="AI31" s="44">
        <f>Tabell2[[#This Row],[Sysselsettingsvekst10-I]]*Vekter!$I$3</f>
        <v>6.3065821016432011</v>
      </c>
      <c r="AJ31" s="44">
        <f>Tabell2[[#This Row],[Yrkesaktivandel-I]]*Vekter!$K$3</f>
        <v>5.1054207980853725</v>
      </c>
      <c r="AK31" s="44">
        <f>Tabell2[[#This Row],[Inntekt-I]]*Vekter!$M$3</f>
        <v>10</v>
      </c>
      <c r="AL3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83.827572352205223</v>
      </c>
    </row>
    <row r="32" spans="1:38" s="38" customFormat="1" ht="12.75">
      <c r="A32" s="42" t="s">
        <v>30</v>
      </c>
      <c r="B32" s="38">
        <f>'Rådata-K'!Q32</f>
        <v>1</v>
      </c>
      <c r="C32" s="44">
        <f>'Rådata-K'!P32</f>
        <v>18.475864692399998</v>
      </c>
      <c r="D32" s="41">
        <f>'Rådata-K'!R32</f>
        <v>225.58593749999997</v>
      </c>
      <c r="E32" s="41">
        <f>'Rådata-K'!S32</f>
        <v>0.10518761533729748</v>
      </c>
      <c r="F32" s="41">
        <f>'Rådata-K'!T32</f>
        <v>0.13716759431045145</v>
      </c>
      <c r="G32" s="41">
        <f>'Rådata-K'!U32</f>
        <v>0.10519480519480519</v>
      </c>
      <c r="H32" s="41">
        <f>'Rådata-K'!V32</f>
        <v>0.16807076663858456</v>
      </c>
      <c r="I32" s="41">
        <f>'Rådata-K'!W32</f>
        <v>0.8900812355831913</v>
      </c>
      <c r="J32" s="41">
        <f>'Rådata-K'!O32</f>
        <v>378400</v>
      </c>
      <c r="K32" s="41">
        <f>Tabell2[[#This Row],[NIBR11]]</f>
        <v>1</v>
      </c>
      <c r="L32" s="41">
        <f>IF(Tabell2[[#This Row],[ReisetidOslo]]&lt;=C$433,C$433,IF(Tabell2[[#This Row],[ReisetidOslo]]&gt;=C$434,C$434,Tabell2[[#This Row],[ReisetidOslo]]))</f>
        <v>53.805284539509998</v>
      </c>
      <c r="M32" s="41">
        <f>IF(Tabell2[[#This Row],[Beftettotal]]&lt;=D$433,D$433,IF(Tabell2[[#This Row],[Beftettotal]]&gt;=D$434,D$434,Tabell2[[#This Row],[Beftettotal]]))</f>
        <v>123.5691465212405</v>
      </c>
      <c r="N32" s="41">
        <f>IF(Tabell2[[#This Row],[Befvekst10]]&lt;=E$433,E$433,IF(Tabell2[[#This Row],[Befvekst10]]&gt;=E$434,E$434,Tabell2[[#This Row],[Befvekst10]]))</f>
        <v>0.10518761533729748</v>
      </c>
      <c r="O32" s="41">
        <f>IF(Tabell2[[#This Row],[Kvinneandel]]&lt;=F$433,F$433,IF(Tabell2[[#This Row],[Kvinneandel]]&gt;=F$434,F$434,Tabell2[[#This Row],[Kvinneandel]]))</f>
        <v>0.12826135732659469</v>
      </c>
      <c r="P32" s="41">
        <f>IF(Tabell2[[#This Row],[Eldreandel]]&lt;=G$433,G$433,IF(Tabell2[[#This Row],[Eldreandel]]&gt;=G$434,G$434,Tabell2[[#This Row],[Eldreandel]]))</f>
        <v>0.11401054306234992</v>
      </c>
      <c r="Q32" s="41">
        <f>IF(Tabell2[[#This Row],[Sysselsettingsvekst10]]&lt;=H$433,H$433,IF(Tabell2[[#This Row],[Sysselsettingsvekst10]]&gt;=H$434,H$434,Tabell2[[#This Row],[Sysselsettingsvekst10]]))</f>
        <v>0.16807076663858456</v>
      </c>
      <c r="R32" s="41">
        <f>IF(Tabell2[[#This Row],[Yrkesaktivandel]]&lt;=I$433,I$433,IF(Tabell2[[#This Row],[Yrkesaktivandel]]&gt;=I$434,I$434,Tabell2[[#This Row],[Yrkesaktivandel]]))</f>
        <v>0.8900812355831913</v>
      </c>
      <c r="S32" s="41">
        <f>IF(Tabell2[[#This Row],[Inntekt]]&lt;=J$433,J$433,IF(Tabell2[[#This Row],[Inntekt]]&gt;=J$434,J$434,Tabell2[[#This Row],[Inntekt]]))</f>
        <v>365700</v>
      </c>
      <c r="T32" s="44">
        <f>IF(Tabell2[[#This Row],[NIBR11-T]]&lt;=K$436,100,IF(Tabell2[[#This Row],[NIBR11-T]]&gt;=K$435,0,100*(K$435-Tabell2[[#This Row],[NIBR11-T]])/K$438))</f>
        <v>100</v>
      </c>
      <c r="U32" s="44">
        <f>(L$435-Tabell2[[#This Row],[ReisetidOslo-T]])*100/L$438</f>
        <v>100</v>
      </c>
      <c r="V32" s="44">
        <f>100-(M$435-Tabell2[[#This Row],[Beftettotal-T]])*100/M$438</f>
        <v>100</v>
      </c>
      <c r="W32" s="44">
        <f>100-(N$435-Tabell2[[#This Row],[Befvekst10-T]])*100/N$438</f>
        <v>81.547690118292337</v>
      </c>
      <c r="X32" s="44">
        <f>100-(O$435-Tabell2[[#This Row],[Kvinneandel-T]])*100/O$438</f>
        <v>100</v>
      </c>
      <c r="Y32" s="44">
        <f>(P$435-Tabell2[[#This Row],[Eldreandel-T]])*100/P$438</f>
        <v>100</v>
      </c>
      <c r="Z32" s="44">
        <f>100-(Q$435-Tabell2[[#This Row],[Sysselsettingsvekst10-T]])*100/Q$438</f>
        <v>76.514878320694919</v>
      </c>
      <c r="AA32" s="44">
        <f>100-(R$435-Tabell2[[#This Row],[Yrkesaktivandel-T]])*100/R$438</f>
        <v>47.533829069691059</v>
      </c>
      <c r="AB32" s="44">
        <f>100-(S$435-Tabell2[[#This Row],[Inntekt-T]])*100/S$438</f>
        <v>100</v>
      </c>
      <c r="AC32" s="44">
        <f>Tabell2[[#This Row],[NIBR11-I]]*Vekter!$B$3</f>
        <v>20</v>
      </c>
      <c r="AD32" s="44">
        <f>Tabell2[[#This Row],[ReisetidOslo-I]]*Vekter!$C$3</f>
        <v>10</v>
      </c>
      <c r="AE32" s="44">
        <f>Tabell2[[#This Row],[Beftettotal-I]]*Vekter!$E$4</f>
        <v>10</v>
      </c>
      <c r="AF32" s="44">
        <f>Tabell2[[#This Row],[Befvekst10-I]]*Vekter!$F$3</f>
        <v>16.309538023658469</v>
      </c>
      <c r="AG32" s="44">
        <f>Tabell2[[#This Row],[Kvinneandel-I]]*Vekter!$G$3</f>
        <v>5</v>
      </c>
      <c r="AH32" s="44">
        <f>Tabell2[[#This Row],[Eldreandel-I]]*Vekter!$H$3</f>
        <v>5</v>
      </c>
      <c r="AI32" s="44">
        <f>Tabell2[[#This Row],[Sysselsettingsvekst10-I]]*Vekter!$I$3</f>
        <v>7.6514878320694919</v>
      </c>
      <c r="AJ32" s="44">
        <f>Tabell2[[#This Row],[Yrkesaktivandel-I]]*Vekter!$K$3</f>
        <v>4.7533829069691063</v>
      </c>
      <c r="AK32" s="44">
        <f>Tabell2[[#This Row],[Inntekt-I]]*Vekter!$M$3</f>
        <v>10</v>
      </c>
      <c r="AL3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88.714408762697062</v>
      </c>
    </row>
    <row r="33" spans="1:38" s="38" customFormat="1" ht="12.75">
      <c r="A33" s="42" t="s">
        <v>31</v>
      </c>
      <c r="B33" s="38">
        <f>'Rådata-K'!Q33</f>
        <v>1</v>
      </c>
      <c r="C33" s="44">
        <f>'Rådata-K'!P33</f>
        <v>35.480513446300002</v>
      </c>
      <c r="D33" s="41">
        <f>'Rådata-K'!R33</f>
        <v>45.089861553014018</v>
      </c>
      <c r="E33" s="41">
        <f>'Rådata-K'!S33</f>
        <v>0.16977133296151692</v>
      </c>
      <c r="F33" s="41">
        <f>'Rådata-K'!T33</f>
        <v>0.12577476876132354</v>
      </c>
      <c r="G33" s="41">
        <f>'Rådata-K'!U33</f>
        <v>9.3067607514065037E-2</v>
      </c>
      <c r="H33" s="41">
        <f>'Rådata-K'!V33</f>
        <v>0.23217726396917149</v>
      </c>
      <c r="I33" s="41">
        <f>'Rådata-K'!W33</f>
        <v>0.89155668627762763</v>
      </c>
      <c r="J33" s="41">
        <f>'Rådata-K'!O33</f>
        <v>361600</v>
      </c>
      <c r="K33" s="41">
        <f>Tabell2[[#This Row],[NIBR11]]</f>
        <v>1</v>
      </c>
      <c r="L33" s="41">
        <f>IF(Tabell2[[#This Row],[ReisetidOslo]]&lt;=C$433,C$433,IF(Tabell2[[#This Row],[ReisetidOslo]]&gt;=C$434,C$434,Tabell2[[#This Row],[ReisetidOslo]]))</f>
        <v>53.805284539509998</v>
      </c>
      <c r="M33" s="41">
        <f>IF(Tabell2[[#This Row],[Beftettotal]]&lt;=D$433,D$433,IF(Tabell2[[#This Row],[Beftettotal]]&gt;=D$434,D$434,Tabell2[[#This Row],[Beftettotal]]))</f>
        <v>45.089861553014018</v>
      </c>
      <c r="N33" s="41">
        <f>IF(Tabell2[[#This Row],[Befvekst10]]&lt;=E$433,E$433,IF(Tabell2[[#This Row],[Befvekst10]]&gt;=E$434,E$434,Tabell2[[#This Row],[Befvekst10]]))</f>
        <v>0.149789129298837</v>
      </c>
      <c r="O33" s="41">
        <f>IF(Tabell2[[#This Row],[Kvinneandel]]&lt;=F$433,F$433,IF(Tabell2[[#This Row],[Kvinneandel]]&gt;=F$434,F$434,Tabell2[[#This Row],[Kvinneandel]]))</f>
        <v>0.12577476876132354</v>
      </c>
      <c r="P33" s="41">
        <f>IF(Tabell2[[#This Row],[Eldreandel]]&lt;=G$433,G$433,IF(Tabell2[[#This Row],[Eldreandel]]&gt;=G$434,G$434,Tabell2[[#This Row],[Eldreandel]]))</f>
        <v>0.11401054306234992</v>
      </c>
      <c r="Q33" s="41">
        <f>IF(Tabell2[[#This Row],[Sysselsettingsvekst10]]&lt;=H$433,H$433,IF(Tabell2[[#This Row],[Sysselsettingsvekst10]]&gt;=H$434,H$434,Tabell2[[#This Row],[Sysselsettingsvekst10]]))</f>
        <v>0.23217726396917149</v>
      </c>
      <c r="R33" s="41">
        <f>IF(Tabell2[[#This Row],[Yrkesaktivandel]]&lt;=I$433,I$433,IF(Tabell2[[#This Row],[Yrkesaktivandel]]&gt;=I$434,I$434,Tabell2[[#This Row],[Yrkesaktivandel]]))</f>
        <v>0.89155668627762763</v>
      </c>
      <c r="S33" s="41">
        <f>IF(Tabell2[[#This Row],[Inntekt]]&lt;=J$433,J$433,IF(Tabell2[[#This Row],[Inntekt]]&gt;=J$434,J$434,Tabell2[[#This Row],[Inntekt]]))</f>
        <v>361600</v>
      </c>
      <c r="T33" s="44">
        <f>IF(Tabell2[[#This Row],[NIBR11-T]]&lt;=K$436,100,IF(Tabell2[[#This Row],[NIBR11-T]]&gt;=K$435,0,100*(K$435-Tabell2[[#This Row],[NIBR11-T]])/K$438))</f>
        <v>100</v>
      </c>
      <c r="U33" s="44">
        <f>(L$435-Tabell2[[#This Row],[ReisetidOslo-T]])*100/L$438</f>
        <v>100</v>
      </c>
      <c r="V33" s="44">
        <f>100-(M$435-Tabell2[[#This Row],[Beftettotal-T]])*100/M$438</f>
        <v>35.803410252550407</v>
      </c>
      <c r="W33" s="44">
        <f>100-(N$435-Tabell2[[#This Row],[Befvekst10-T]])*100/N$438</f>
        <v>100</v>
      </c>
      <c r="X33" s="44">
        <f>100-(O$435-Tabell2[[#This Row],[Kvinneandel-T]])*100/O$438</f>
        <v>93.195547075214904</v>
      </c>
      <c r="Y33" s="44">
        <f>(P$435-Tabell2[[#This Row],[Eldreandel-T]])*100/P$438</f>
        <v>100</v>
      </c>
      <c r="Z33" s="44">
        <f>100-(Q$435-Tabell2[[#This Row],[Sysselsettingsvekst10-T]])*100/Q$438</f>
        <v>95.363283423335147</v>
      </c>
      <c r="AA33" s="44">
        <f>100-(R$435-Tabell2[[#This Row],[Yrkesaktivandel-T]])*100/R$438</f>
        <v>48.63566851396007</v>
      </c>
      <c r="AB33" s="44">
        <f>100-(S$435-Tabell2[[#This Row],[Inntekt-T]])*100/S$438</f>
        <v>94.426318651440994</v>
      </c>
      <c r="AC33" s="44">
        <f>Tabell2[[#This Row],[NIBR11-I]]*Vekter!$B$3</f>
        <v>20</v>
      </c>
      <c r="AD33" s="44">
        <f>Tabell2[[#This Row],[ReisetidOslo-I]]*Vekter!$C$3</f>
        <v>10</v>
      </c>
      <c r="AE33" s="44">
        <f>Tabell2[[#This Row],[Beftettotal-I]]*Vekter!$E$4</f>
        <v>3.5803410252550409</v>
      </c>
      <c r="AF33" s="44">
        <f>Tabell2[[#This Row],[Befvekst10-I]]*Vekter!$F$3</f>
        <v>20</v>
      </c>
      <c r="AG33" s="44">
        <f>Tabell2[[#This Row],[Kvinneandel-I]]*Vekter!$G$3</f>
        <v>4.6597773537607452</v>
      </c>
      <c r="AH33" s="44">
        <f>Tabell2[[#This Row],[Eldreandel-I]]*Vekter!$H$3</f>
        <v>5</v>
      </c>
      <c r="AI33" s="44">
        <f>Tabell2[[#This Row],[Sysselsettingsvekst10-I]]*Vekter!$I$3</f>
        <v>9.5363283423335155</v>
      </c>
      <c r="AJ33" s="44">
        <f>Tabell2[[#This Row],[Yrkesaktivandel-I]]*Vekter!$K$3</f>
        <v>4.8635668513960075</v>
      </c>
      <c r="AK33" s="44">
        <f>Tabell2[[#This Row],[Inntekt-I]]*Vekter!$M$3</f>
        <v>9.442631865144099</v>
      </c>
      <c r="AL3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87.082645437889397</v>
      </c>
    </row>
    <row r="34" spans="1:38" s="38" customFormat="1" ht="12.75">
      <c r="A34" s="42" t="s">
        <v>32</v>
      </c>
      <c r="B34" s="38">
        <f>'Rådata-K'!Q34</f>
        <v>1</v>
      </c>
      <c r="C34" s="44">
        <f>'Rådata-K'!P34</f>
        <v>11.684167222799999</v>
      </c>
      <c r="D34" s="41">
        <f>'Rådata-K'!R34</f>
        <v>477.80297661233158</v>
      </c>
      <c r="E34" s="41">
        <f>'Rådata-K'!S34</f>
        <v>0.12988536569015219</v>
      </c>
      <c r="F34" s="41">
        <f>'Rådata-K'!T34</f>
        <v>0.11981963273903112</v>
      </c>
      <c r="G34" s="41">
        <f>'Rådata-K'!U34</f>
        <v>0.11275920377347295</v>
      </c>
      <c r="H34" s="41">
        <f>'Rådata-K'!V34</f>
        <v>0.32973701955495627</v>
      </c>
      <c r="I34" s="41">
        <f>'Rådata-K'!W34</f>
        <v>0.87727362593910641</v>
      </c>
      <c r="J34" s="41">
        <f>'Rådata-K'!O34</f>
        <v>386900</v>
      </c>
      <c r="K34" s="41">
        <f>Tabell2[[#This Row],[NIBR11]]</f>
        <v>1</v>
      </c>
      <c r="L34" s="41">
        <f>IF(Tabell2[[#This Row],[ReisetidOslo]]&lt;=C$433,C$433,IF(Tabell2[[#This Row],[ReisetidOslo]]&gt;=C$434,C$434,Tabell2[[#This Row],[ReisetidOslo]]))</f>
        <v>53.805284539509998</v>
      </c>
      <c r="M34" s="41">
        <f>IF(Tabell2[[#This Row],[Beftettotal]]&lt;=D$433,D$433,IF(Tabell2[[#This Row],[Beftettotal]]&gt;=D$434,D$434,Tabell2[[#This Row],[Beftettotal]]))</f>
        <v>123.5691465212405</v>
      </c>
      <c r="N34" s="41">
        <f>IF(Tabell2[[#This Row],[Befvekst10]]&lt;=E$433,E$433,IF(Tabell2[[#This Row],[Befvekst10]]&gt;=E$434,E$434,Tabell2[[#This Row],[Befvekst10]]))</f>
        <v>0.12988536569015219</v>
      </c>
      <c r="O34" s="41">
        <f>IF(Tabell2[[#This Row],[Kvinneandel]]&lt;=F$433,F$433,IF(Tabell2[[#This Row],[Kvinneandel]]&gt;=F$434,F$434,Tabell2[[#This Row],[Kvinneandel]]))</f>
        <v>0.11981963273903112</v>
      </c>
      <c r="P34" s="41">
        <f>IF(Tabell2[[#This Row],[Eldreandel]]&lt;=G$433,G$433,IF(Tabell2[[#This Row],[Eldreandel]]&gt;=G$434,G$434,Tabell2[[#This Row],[Eldreandel]]))</f>
        <v>0.11401054306234992</v>
      </c>
      <c r="Q34" s="41">
        <f>IF(Tabell2[[#This Row],[Sysselsettingsvekst10]]&lt;=H$433,H$433,IF(Tabell2[[#This Row],[Sysselsettingsvekst10]]&gt;=H$434,H$434,Tabell2[[#This Row],[Sysselsettingsvekst10]]))</f>
        <v>0.24794749265568336</v>
      </c>
      <c r="R34" s="41">
        <f>IF(Tabell2[[#This Row],[Yrkesaktivandel]]&lt;=I$433,I$433,IF(Tabell2[[#This Row],[Yrkesaktivandel]]&gt;=I$434,I$434,Tabell2[[#This Row],[Yrkesaktivandel]]))</f>
        <v>0.87727362593910641</v>
      </c>
      <c r="S34" s="41">
        <f>IF(Tabell2[[#This Row],[Inntekt]]&lt;=J$433,J$433,IF(Tabell2[[#This Row],[Inntekt]]&gt;=J$434,J$434,Tabell2[[#This Row],[Inntekt]]))</f>
        <v>365700</v>
      </c>
      <c r="T34" s="44">
        <f>IF(Tabell2[[#This Row],[NIBR11-T]]&lt;=K$436,100,IF(Tabell2[[#This Row],[NIBR11-T]]&gt;=K$435,0,100*(K$435-Tabell2[[#This Row],[NIBR11-T]])/K$438))</f>
        <v>100</v>
      </c>
      <c r="U34" s="44">
        <f>(L$435-Tabell2[[#This Row],[ReisetidOslo-T]])*100/L$438</f>
        <v>100</v>
      </c>
      <c r="V34" s="44">
        <f>100-(M$435-Tabell2[[#This Row],[Beftettotal-T]])*100/M$438</f>
        <v>100</v>
      </c>
      <c r="W34" s="44">
        <f>100-(N$435-Tabell2[[#This Row],[Befvekst10-T]])*100/N$438</f>
        <v>91.76551687827434</v>
      </c>
      <c r="X34" s="44">
        <f>100-(O$435-Tabell2[[#This Row],[Kvinneandel-T]])*100/O$438</f>
        <v>76.899548899110485</v>
      </c>
      <c r="Y34" s="44">
        <f>(P$435-Tabell2[[#This Row],[Eldreandel-T]])*100/P$438</f>
        <v>100</v>
      </c>
      <c r="Z34" s="44">
        <f>100-(Q$435-Tabell2[[#This Row],[Sysselsettingsvekst10-T]])*100/Q$438</f>
        <v>100</v>
      </c>
      <c r="AA34" s="44">
        <f>100-(R$435-Tabell2[[#This Row],[Yrkesaktivandel-T]])*100/R$438</f>
        <v>37.969341726354848</v>
      </c>
      <c r="AB34" s="44">
        <f>100-(S$435-Tabell2[[#This Row],[Inntekt-T]])*100/S$438</f>
        <v>100</v>
      </c>
      <c r="AC34" s="44">
        <f>Tabell2[[#This Row],[NIBR11-I]]*Vekter!$B$3</f>
        <v>20</v>
      </c>
      <c r="AD34" s="44">
        <f>Tabell2[[#This Row],[ReisetidOslo-I]]*Vekter!$C$3</f>
        <v>10</v>
      </c>
      <c r="AE34" s="44">
        <f>Tabell2[[#This Row],[Beftettotal-I]]*Vekter!$E$4</f>
        <v>10</v>
      </c>
      <c r="AF34" s="44">
        <f>Tabell2[[#This Row],[Befvekst10-I]]*Vekter!$F$3</f>
        <v>18.353103375654868</v>
      </c>
      <c r="AG34" s="44">
        <f>Tabell2[[#This Row],[Kvinneandel-I]]*Vekter!$G$3</f>
        <v>3.8449774449555245</v>
      </c>
      <c r="AH34" s="44">
        <f>Tabell2[[#This Row],[Eldreandel-I]]*Vekter!$H$3</f>
        <v>5</v>
      </c>
      <c r="AI34" s="44">
        <f>Tabell2[[#This Row],[Sysselsettingsvekst10-I]]*Vekter!$I$3</f>
        <v>10</v>
      </c>
      <c r="AJ34" s="44">
        <f>Tabell2[[#This Row],[Yrkesaktivandel-I]]*Vekter!$K$3</f>
        <v>3.7969341726354848</v>
      </c>
      <c r="AK34" s="44">
        <f>Tabell2[[#This Row],[Inntekt-I]]*Vekter!$M$3</f>
        <v>10</v>
      </c>
      <c r="AL3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90.995014993245874</v>
      </c>
    </row>
    <row r="35" spans="1:38" s="38" customFormat="1" ht="12.75">
      <c r="A35" s="42" t="s">
        <v>33</v>
      </c>
      <c r="B35" s="38">
        <f>'Rådata-K'!Q35</f>
        <v>1</v>
      </c>
      <c r="C35" s="44">
        <f>'Rådata-K'!P35</f>
        <v>16.249666064900001</v>
      </c>
      <c r="D35" s="41">
        <f>'Rådata-K'!R35</f>
        <v>645.17720368687526</v>
      </c>
      <c r="E35" s="41">
        <f>'Rådata-K'!S35</f>
        <v>0.24139481440775334</v>
      </c>
      <c r="F35" s="41">
        <f>'Rådata-K'!T35</f>
        <v>0.13058875608676407</v>
      </c>
      <c r="G35" s="41">
        <f>'Rådata-K'!U35</f>
        <v>0.12195661797255422</v>
      </c>
      <c r="H35" s="41">
        <f>'Rådata-K'!V35</f>
        <v>0.23457930970752661</v>
      </c>
      <c r="I35" s="41">
        <f>'Rådata-K'!W35</f>
        <v>0.86945837681354565</v>
      </c>
      <c r="J35" s="41">
        <f>'Rådata-K'!O35</f>
        <v>376600</v>
      </c>
      <c r="K35" s="41">
        <f>Tabell2[[#This Row],[NIBR11]]</f>
        <v>1</v>
      </c>
      <c r="L35" s="41">
        <f>IF(Tabell2[[#This Row],[ReisetidOslo]]&lt;=C$433,C$433,IF(Tabell2[[#This Row],[ReisetidOslo]]&gt;=C$434,C$434,Tabell2[[#This Row],[ReisetidOslo]]))</f>
        <v>53.805284539509998</v>
      </c>
      <c r="M35" s="41">
        <f>IF(Tabell2[[#This Row],[Beftettotal]]&lt;=D$433,D$433,IF(Tabell2[[#This Row],[Beftettotal]]&gt;=D$434,D$434,Tabell2[[#This Row],[Beftettotal]]))</f>
        <v>123.5691465212405</v>
      </c>
      <c r="N35" s="41">
        <f>IF(Tabell2[[#This Row],[Befvekst10]]&lt;=E$433,E$433,IF(Tabell2[[#This Row],[Befvekst10]]&gt;=E$434,E$434,Tabell2[[#This Row],[Befvekst10]]))</f>
        <v>0.149789129298837</v>
      </c>
      <c r="O35" s="41">
        <f>IF(Tabell2[[#This Row],[Kvinneandel]]&lt;=F$433,F$433,IF(Tabell2[[#This Row],[Kvinneandel]]&gt;=F$434,F$434,Tabell2[[#This Row],[Kvinneandel]]))</f>
        <v>0.12826135732659469</v>
      </c>
      <c r="P35" s="41">
        <f>IF(Tabell2[[#This Row],[Eldreandel]]&lt;=G$433,G$433,IF(Tabell2[[#This Row],[Eldreandel]]&gt;=G$434,G$434,Tabell2[[#This Row],[Eldreandel]]))</f>
        <v>0.12195661797255422</v>
      </c>
      <c r="Q35" s="41">
        <f>IF(Tabell2[[#This Row],[Sysselsettingsvekst10]]&lt;=H$433,H$433,IF(Tabell2[[#This Row],[Sysselsettingsvekst10]]&gt;=H$434,H$434,Tabell2[[#This Row],[Sysselsettingsvekst10]]))</f>
        <v>0.23457930970752661</v>
      </c>
      <c r="R35" s="41">
        <f>IF(Tabell2[[#This Row],[Yrkesaktivandel]]&lt;=I$433,I$433,IF(Tabell2[[#This Row],[Yrkesaktivandel]]&gt;=I$434,I$434,Tabell2[[#This Row],[Yrkesaktivandel]]))</f>
        <v>0.86945837681354565</v>
      </c>
      <c r="S35" s="41">
        <f>IF(Tabell2[[#This Row],[Inntekt]]&lt;=J$433,J$433,IF(Tabell2[[#This Row],[Inntekt]]&gt;=J$434,J$434,Tabell2[[#This Row],[Inntekt]]))</f>
        <v>365700</v>
      </c>
      <c r="T35" s="44">
        <f>IF(Tabell2[[#This Row],[NIBR11-T]]&lt;=K$436,100,IF(Tabell2[[#This Row],[NIBR11-T]]&gt;=K$435,0,100*(K$435-Tabell2[[#This Row],[NIBR11-T]])/K$438))</f>
        <v>100</v>
      </c>
      <c r="U35" s="44">
        <f>(L$435-Tabell2[[#This Row],[ReisetidOslo-T]])*100/L$438</f>
        <v>100</v>
      </c>
      <c r="V35" s="44">
        <f>100-(M$435-Tabell2[[#This Row],[Beftettotal-T]])*100/M$438</f>
        <v>100</v>
      </c>
      <c r="W35" s="44">
        <f>100-(N$435-Tabell2[[#This Row],[Befvekst10-T]])*100/N$438</f>
        <v>100</v>
      </c>
      <c r="X35" s="44">
        <f>100-(O$435-Tabell2[[#This Row],[Kvinneandel-T]])*100/O$438</f>
        <v>100</v>
      </c>
      <c r="Y35" s="44">
        <f>(P$435-Tabell2[[#This Row],[Eldreandel-T]])*100/P$438</f>
        <v>90.644325952122671</v>
      </c>
      <c r="Z35" s="44">
        <f>100-(Q$435-Tabell2[[#This Row],[Sysselsettingsvekst10-T]])*100/Q$438</f>
        <v>96.069525895422075</v>
      </c>
      <c r="AA35" s="44">
        <f>100-(R$435-Tabell2[[#This Row],[Yrkesaktivandel-T]])*100/R$438</f>
        <v>32.133057406043164</v>
      </c>
      <c r="AB35" s="44">
        <f>100-(S$435-Tabell2[[#This Row],[Inntekt-T]])*100/S$438</f>
        <v>100</v>
      </c>
      <c r="AC35" s="44">
        <f>Tabell2[[#This Row],[NIBR11-I]]*Vekter!$B$3</f>
        <v>20</v>
      </c>
      <c r="AD35" s="44">
        <f>Tabell2[[#This Row],[ReisetidOslo-I]]*Vekter!$C$3</f>
        <v>10</v>
      </c>
      <c r="AE35" s="44">
        <f>Tabell2[[#This Row],[Beftettotal-I]]*Vekter!$E$4</f>
        <v>10</v>
      </c>
      <c r="AF35" s="44">
        <f>Tabell2[[#This Row],[Befvekst10-I]]*Vekter!$F$3</f>
        <v>20</v>
      </c>
      <c r="AG35" s="44">
        <f>Tabell2[[#This Row],[Kvinneandel-I]]*Vekter!$G$3</f>
        <v>5</v>
      </c>
      <c r="AH35" s="44">
        <f>Tabell2[[#This Row],[Eldreandel-I]]*Vekter!$H$3</f>
        <v>4.5322162976061335</v>
      </c>
      <c r="AI35" s="44">
        <f>Tabell2[[#This Row],[Sysselsettingsvekst10-I]]*Vekter!$I$3</f>
        <v>9.6069525895422085</v>
      </c>
      <c r="AJ35" s="44">
        <f>Tabell2[[#This Row],[Yrkesaktivandel-I]]*Vekter!$K$3</f>
        <v>3.2133057406043166</v>
      </c>
      <c r="AK35" s="44">
        <f>Tabell2[[#This Row],[Inntekt-I]]*Vekter!$M$3</f>
        <v>10</v>
      </c>
      <c r="AL3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92.352474627752656</v>
      </c>
    </row>
    <row r="36" spans="1:38" s="38" customFormat="1" ht="12.75">
      <c r="A36" s="42" t="s">
        <v>34</v>
      </c>
      <c r="B36" s="38">
        <f>'Rådata-K'!Q36</f>
        <v>1</v>
      </c>
      <c r="C36" s="44">
        <f>'Rådata-K'!P36</f>
        <v>24.854360699699999</v>
      </c>
      <c r="D36" s="41">
        <f>'Rådata-K'!R36</f>
        <v>115.20163239005531</v>
      </c>
      <c r="E36" s="41">
        <f>'Rådata-K'!S36</f>
        <v>0.11826948136565019</v>
      </c>
      <c r="F36" s="41">
        <f>'Rådata-K'!T36</f>
        <v>0.11564277057891302</v>
      </c>
      <c r="G36" s="41">
        <f>'Rådata-K'!U36</f>
        <v>0.10701966999160996</v>
      </c>
      <c r="H36" s="41">
        <f>'Rådata-K'!V36</f>
        <v>0.1316326530612244</v>
      </c>
      <c r="I36" s="41">
        <f>'Rådata-K'!W36</f>
        <v>0.9067411248504188</v>
      </c>
      <c r="J36" s="41">
        <f>'Rådata-K'!O36</f>
        <v>394100</v>
      </c>
      <c r="K36" s="41">
        <f>Tabell2[[#This Row],[NIBR11]]</f>
        <v>1</v>
      </c>
      <c r="L36" s="41">
        <f>IF(Tabell2[[#This Row],[ReisetidOslo]]&lt;=C$433,C$433,IF(Tabell2[[#This Row],[ReisetidOslo]]&gt;=C$434,C$434,Tabell2[[#This Row],[ReisetidOslo]]))</f>
        <v>53.805284539509998</v>
      </c>
      <c r="M36" s="41">
        <f>IF(Tabell2[[#This Row],[Beftettotal]]&lt;=D$433,D$433,IF(Tabell2[[#This Row],[Beftettotal]]&gt;=D$434,D$434,Tabell2[[#This Row],[Beftettotal]]))</f>
        <v>115.20163239005531</v>
      </c>
      <c r="N36" s="41">
        <f>IF(Tabell2[[#This Row],[Befvekst10]]&lt;=E$433,E$433,IF(Tabell2[[#This Row],[Befvekst10]]&gt;=E$434,E$434,Tabell2[[#This Row],[Befvekst10]]))</f>
        <v>0.11826948136565019</v>
      </c>
      <c r="O36" s="41">
        <f>IF(Tabell2[[#This Row],[Kvinneandel]]&lt;=F$433,F$433,IF(Tabell2[[#This Row],[Kvinneandel]]&gt;=F$434,F$434,Tabell2[[#This Row],[Kvinneandel]]))</f>
        <v>0.11564277057891302</v>
      </c>
      <c r="P36" s="41">
        <f>IF(Tabell2[[#This Row],[Eldreandel]]&lt;=G$433,G$433,IF(Tabell2[[#This Row],[Eldreandel]]&gt;=G$434,G$434,Tabell2[[#This Row],[Eldreandel]]))</f>
        <v>0.11401054306234992</v>
      </c>
      <c r="Q36" s="41">
        <f>IF(Tabell2[[#This Row],[Sysselsettingsvekst10]]&lt;=H$433,H$433,IF(Tabell2[[#This Row],[Sysselsettingsvekst10]]&gt;=H$434,H$434,Tabell2[[#This Row],[Sysselsettingsvekst10]]))</f>
        <v>0.1316326530612244</v>
      </c>
      <c r="R36" s="41">
        <f>IF(Tabell2[[#This Row],[Yrkesaktivandel]]&lt;=I$433,I$433,IF(Tabell2[[#This Row],[Yrkesaktivandel]]&gt;=I$434,I$434,Tabell2[[#This Row],[Yrkesaktivandel]]))</f>
        <v>0.9067411248504188</v>
      </c>
      <c r="S36" s="41">
        <f>IF(Tabell2[[#This Row],[Inntekt]]&lt;=J$433,J$433,IF(Tabell2[[#This Row],[Inntekt]]&gt;=J$434,J$434,Tabell2[[#This Row],[Inntekt]]))</f>
        <v>365700</v>
      </c>
      <c r="T36" s="44">
        <f>IF(Tabell2[[#This Row],[NIBR11-T]]&lt;=K$436,100,IF(Tabell2[[#This Row],[NIBR11-T]]&gt;=K$435,0,100*(K$435-Tabell2[[#This Row],[NIBR11-T]])/K$438))</f>
        <v>100</v>
      </c>
      <c r="U36" s="44">
        <f>(L$435-Tabell2[[#This Row],[ReisetidOslo-T]])*100/L$438</f>
        <v>100</v>
      </c>
      <c r="V36" s="44">
        <f>100-(M$435-Tabell2[[#This Row],[Beftettotal-T]])*100/M$438</f>
        <v>93.155316436647425</v>
      </c>
      <c r="W36" s="44">
        <f>100-(N$435-Tabell2[[#This Row],[Befvekst10-T]])*100/N$438</f>
        <v>86.959852718743576</v>
      </c>
      <c r="X36" s="44">
        <f>100-(O$435-Tabell2[[#This Row],[Kvinneandel-T]])*100/O$438</f>
        <v>65.469728003613582</v>
      </c>
      <c r="Y36" s="44">
        <f>(P$435-Tabell2[[#This Row],[Eldreandel-T]])*100/P$438</f>
        <v>100</v>
      </c>
      <c r="Z36" s="44">
        <f>100-(Q$435-Tabell2[[#This Row],[Sysselsettingsvekst10-T]])*100/Q$438</f>
        <v>65.801450595258899</v>
      </c>
      <c r="AA36" s="44">
        <f>100-(R$435-Tabell2[[#This Row],[Yrkesaktivandel-T]])*100/R$438</f>
        <v>59.975127990084985</v>
      </c>
      <c r="AB36" s="44">
        <f>100-(S$435-Tabell2[[#This Row],[Inntekt-T]])*100/S$438</f>
        <v>100</v>
      </c>
      <c r="AC36" s="44">
        <f>Tabell2[[#This Row],[NIBR11-I]]*Vekter!$B$3</f>
        <v>20</v>
      </c>
      <c r="AD36" s="44">
        <f>Tabell2[[#This Row],[ReisetidOslo-I]]*Vekter!$C$3</f>
        <v>10</v>
      </c>
      <c r="AE36" s="44">
        <f>Tabell2[[#This Row],[Beftettotal-I]]*Vekter!$E$4</f>
        <v>9.3155316436647428</v>
      </c>
      <c r="AF36" s="44">
        <f>Tabell2[[#This Row],[Befvekst10-I]]*Vekter!$F$3</f>
        <v>17.391970543748716</v>
      </c>
      <c r="AG36" s="44">
        <f>Tabell2[[#This Row],[Kvinneandel-I]]*Vekter!$G$3</f>
        <v>3.2734864001806794</v>
      </c>
      <c r="AH36" s="44">
        <f>Tabell2[[#This Row],[Eldreandel-I]]*Vekter!$H$3</f>
        <v>5</v>
      </c>
      <c r="AI36" s="44">
        <f>Tabell2[[#This Row],[Sysselsettingsvekst10-I]]*Vekter!$I$3</f>
        <v>6.5801450595258899</v>
      </c>
      <c r="AJ36" s="44">
        <f>Tabell2[[#This Row],[Yrkesaktivandel-I]]*Vekter!$K$3</f>
        <v>5.9975127990084989</v>
      </c>
      <c r="AK36" s="44">
        <f>Tabell2[[#This Row],[Inntekt-I]]*Vekter!$M$3</f>
        <v>10</v>
      </c>
      <c r="AL3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87.558646446128535</v>
      </c>
    </row>
    <row r="37" spans="1:38" s="38" customFormat="1" ht="12.75">
      <c r="A37" s="42" t="s">
        <v>35</v>
      </c>
      <c r="B37" s="38">
        <f>'Rådata-K'!Q37</f>
        <v>1</v>
      </c>
      <c r="C37" s="44">
        <f>'Rådata-K'!P37</f>
        <v>23.6326498886</v>
      </c>
      <c r="D37" s="41">
        <f>'Rådata-K'!R37</f>
        <v>73.951196057218411</v>
      </c>
      <c r="E37" s="41">
        <f>'Rådata-K'!S37</f>
        <v>0.28756802009208871</v>
      </c>
      <c r="F37" s="41">
        <f>'Rådata-K'!T37</f>
        <v>0.11215864759427828</v>
      </c>
      <c r="G37" s="41">
        <f>'Rådata-K'!U37</f>
        <v>0.10159297789336801</v>
      </c>
      <c r="H37" s="41">
        <f>'Rådata-K'!V37</f>
        <v>0.4915094339622641</v>
      </c>
      <c r="I37" s="41">
        <f>'Rådata-K'!W37</f>
        <v>0.92343836373687116</v>
      </c>
      <c r="J37" s="41">
        <f>'Rådata-K'!O37</f>
        <v>394300</v>
      </c>
      <c r="K37" s="41">
        <f>Tabell2[[#This Row],[NIBR11]]</f>
        <v>1</v>
      </c>
      <c r="L37" s="41">
        <f>IF(Tabell2[[#This Row],[ReisetidOslo]]&lt;=C$433,C$433,IF(Tabell2[[#This Row],[ReisetidOslo]]&gt;=C$434,C$434,Tabell2[[#This Row],[ReisetidOslo]]))</f>
        <v>53.805284539509998</v>
      </c>
      <c r="M37" s="41">
        <f>IF(Tabell2[[#This Row],[Beftettotal]]&lt;=D$433,D$433,IF(Tabell2[[#This Row],[Beftettotal]]&gt;=D$434,D$434,Tabell2[[#This Row],[Beftettotal]]))</f>
        <v>73.951196057218411</v>
      </c>
      <c r="N37" s="41">
        <f>IF(Tabell2[[#This Row],[Befvekst10]]&lt;=E$433,E$433,IF(Tabell2[[#This Row],[Befvekst10]]&gt;=E$434,E$434,Tabell2[[#This Row],[Befvekst10]]))</f>
        <v>0.149789129298837</v>
      </c>
      <c r="O37" s="41">
        <f>IF(Tabell2[[#This Row],[Kvinneandel]]&lt;=F$433,F$433,IF(Tabell2[[#This Row],[Kvinneandel]]&gt;=F$434,F$434,Tabell2[[#This Row],[Kvinneandel]]))</f>
        <v>0.11215864759427828</v>
      </c>
      <c r="P37" s="41">
        <f>IF(Tabell2[[#This Row],[Eldreandel]]&lt;=G$433,G$433,IF(Tabell2[[#This Row],[Eldreandel]]&gt;=G$434,G$434,Tabell2[[#This Row],[Eldreandel]]))</f>
        <v>0.11401054306234992</v>
      </c>
      <c r="Q37" s="41">
        <f>IF(Tabell2[[#This Row],[Sysselsettingsvekst10]]&lt;=H$433,H$433,IF(Tabell2[[#This Row],[Sysselsettingsvekst10]]&gt;=H$434,H$434,Tabell2[[#This Row],[Sysselsettingsvekst10]]))</f>
        <v>0.24794749265568336</v>
      </c>
      <c r="R37" s="41">
        <f>IF(Tabell2[[#This Row],[Yrkesaktivandel]]&lt;=I$433,I$433,IF(Tabell2[[#This Row],[Yrkesaktivandel]]&gt;=I$434,I$434,Tabell2[[#This Row],[Yrkesaktivandel]]))</f>
        <v>0.92343836373687116</v>
      </c>
      <c r="S37" s="41">
        <f>IF(Tabell2[[#This Row],[Inntekt]]&lt;=J$433,J$433,IF(Tabell2[[#This Row],[Inntekt]]&gt;=J$434,J$434,Tabell2[[#This Row],[Inntekt]]))</f>
        <v>365700</v>
      </c>
      <c r="T37" s="44">
        <f>IF(Tabell2[[#This Row],[NIBR11-T]]&lt;=K$436,100,IF(Tabell2[[#This Row],[NIBR11-T]]&gt;=K$435,0,100*(K$435-Tabell2[[#This Row],[NIBR11-T]])/K$438))</f>
        <v>100</v>
      </c>
      <c r="U37" s="44">
        <f>(L$435-Tabell2[[#This Row],[ReisetidOslo-T]])*100/L$438</f>
        <v>100</v>
      </c>
      <c r="V37" s="44">
        <f>100-(M$435-Tabell2[[#This Row],[Beftettotal-T]])*100/M$438</f>
        <v>59.412178496048739</v>
      </c>
      <c r="W37" s="44">
        <f>100-(N$435-Tabell2[[#This Row],[Befvekst10-T]])*100/N$438</f>
        <v>100</v>
      </c>
      <c r="X37" s="44">
        <f>100-(O$435-Tabell2[[#This Row],[Kvinneandel-T]])*100/O$438</f>
        <v>55.935560926591059</v>
      </c>
      <c r="Y37" s="44">
        <f>(P$435-Tabell2[[#This Row],[Eldreandel-T]])*100/P$438</f>
        <v>100</v>
      </c>
      <c r="Z37" s="44">
        <f>100-(Q$435-Tabell2[[#This Row],[Sysselsettingsvekst10-T]])*100/Q$438</f>
        <v>100</v>
      </c>
      <c r="AA37" s="44">
        <f>100-(R$435-Tabell2[[#This Row],[Yrkesaktivandel-T]])*100/R$438</f>
        <v>72.444318919236352</v>
      </c>
      <c r="AB37" s="44">
        <f>100-(S$435-Tabell2[[#This Row],[Inntekt-T]])*100/S$438</f>
        <v>100</v>
      </c>
      <c r="AC37" s="44">
        <f>Tabell2[[#This Row],[NIBR11-I]]*Vekter!$B$3</f>
        <v>20</v>
      </c>
      <c r="AD37" s="44">
        <f>Tabell2[[#This Row],[ReisetidOslo-I]]*Vekter!$C$3</f>
        <v>10</v>
      </c>
      <c r="AE37" s="44">
        <f>Tabell2[[#This Row],[Beftettotal-I]]*Vekter!$E$4</f>
        <v>5.9412178496048744</v>
      </c>
      <c r="AF37" s="44">
        <f>Tabell2[[#This Row],[Befvekst10-I]]*Vekter!$F$3</f>
        <v>20</v>
      </c>
      <c r="AG37" s="44">
        <f>Tabell2[[#This Row],[Kvinneandel-I]]*Vekter!$G$3</f>
        <v>2.7967780463295533</v>
      </c>
      <c r="AH37" s="44">
        <f>Tabell2[[#This Row],[Eldreandel-I]]*Vekter!$H$3</f>
        <v>5</v>
      </c>
      <c r="AI37" s="44">
        <f>Tabell2[[#This Row],[Sysselsettingsvekst10-I]]*Vekter!$I$3</f>
        <v>10</v>
      </c>
      <c r="AJ37" s="44">
        <f>Tabell2[[#This Row],[Yrkesaktivandel-I]]*Vekter!$K$3</f>
        <v>7.2444318919236359</v>
      </c>
      <c r="AK37" s="44">
        <f>Tabell2[[#This Row],[Inntekt-I]]*Vekter!$M$3</f>
        <v>10</v>
      </c>
      <c r="AL3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90.982427787858072</v>
      </c>
    </row>
    <row r="38" spans="1:38" s="38" customFormat="1" ht="12.75">
      <c r="A38" s="42" t="s">
        <v>36</v>
      </c>
      <c r="B38" s="38">
        <f>'Rådata-K'!Q38</f>
        <v>1</v>
      </c>
      <c r="C38" s="44">
        <f>'Rådata-K'!P38</f>
        <v>28.008664007299998</v>
      </c>
      <c r="D38" s="41">
        <f>'Rådata-K'!R38</f>
        <v>122.96114389828494</v>
      </c>
      <c r="E38" s="41">
        <f>'Rådata-K'!S38</f>
        <v>0.41482089144107182</v>
      </c>
      <c r="F38" s="41">
        <f>'Rådata-K'!T38</f>
        <v>0.14005927071253704</v>
      </c>
      <c r="G38" s="41">
        <f>'Rådata-K'!U38</f>
        <v>0.10085684834428553</v>
      </c>
      <c r="H38" s="41">
        <f>'Rådata-K'!V38</f>
        <v>0.1719895422156148</v>
      </c>
      <c r="I38" s="41">
        <f>'Rådata-K'!W38</f>
        <v>0.87234042553191493</v>
      </c>
      <c r="J38" s="41">
        <f>'Rådata-K'!O38</f>
        <v>375300</v>
      </c>
      <c r="K38" s="41">
        <f>Tabell2[[#This Row],[NIBR11]]</f>
        <v>1</v>
      </c>
      <c r="L38" s="41">
        <f>IF(Tabell2[[#This Row],[ReisetidOslo]]&lt;=C$433,C$433,IF(Tabell2[[#This Row],[ReisetidOslo]]&gt;=C$434,C$434,Tabell2[[#This Row],[ReisetidOslo]]))</f>
        <v>53.805284539509998</v>
      </c>
      <c r="M38" s="41">
        <f>IF(Tabell2[[#This Row],[Beftettotal]]&lt;=D$433,D$433,IF(Tabell2[[#This Row],[Beftettotal]]&gt;=D$434,D$434,Tabell2[[#This Row],[Beftettotal]]))</f>
        <v>122.96114389828494</v>
      </c>
      <c r="N38" s="41">
        <f>IF(Tabell2[[#This Row],[Befvekst10]]&lt;=E$433,E$433,IF(Tabell2[[#This Row],[Befvekst10]]&gt;=E$434,E$434,Tabell2[[#This Row],[Befvekst10]]))</f>
        <v>0.149789129298837</v>
      </c>
      <c r="O38" s="41">
        <f>IF(Tabell2[[#This Row],[Kvinneandel]]&lt;=F$433,F$433,IF(Tabell2[[#This Row],[Kvinneandel]]&gt;=F$434,F$434,Tabell2[[#This Row],[Kvinneandel]]))</f>
        <v>0.12826135732659469</v>
      </c>
      <c r="P38" s="41">
        <f>IF(Tabell2[[#This Row],[Eldreandel]]&lt;=G$433,G$433,IF(Tabell2[[#This Row],[Eldreandel]]&gt;=G$434,G$434,Tabell2[[#This Row],[Eldreandel]]))</f>
        <v>0.11401054306234992</v>
      </c>
      <c r="Q38" s="41">
        <f>IF(Tabell2[[#This Row],[Sysselsettingsvekst10]]&lt;=H$433,H$433,IF(Tabell2[[#This Row],[Sysselsettingsvekst10]]&gt;=H$434,H$434,Tabell2[[#This Row],[Sysselsettingsvekst10]]))</f>
        <v>0.1719895422156148</v>
      </c>
      <c r="R38" s="41">
        <f>IF(Tabell2[[#This Row],[Yrkesaktivandel]]&lt;=I$433,I$433,IF(Tabell2[[#This Row],[Yrkesaktivandel]]&gt;=I$434,I$434,Tabell2[[#This Row],[Yrkesaktivandel]]))</f>
        <v>0.87234042553191493</v>
      </c>
      <c r="S38" s="41">
        <f>IF(Tabell2[[#This Row],[Inntekt]]&lt;=J$433,J$433,IF(Tabell2[[#This Row],[Inntekt]]&gt;=J$434,J$434,Tabell2[[#This Row],[Inntekt]]))</f>
        <v>365700</v>
      </c>
      <c r="T38" s="44">
        <f>IF(Tabell2[[#This Row],[NIBR11-T]]&lt;=K$436,100,IF(Tabell2[[#This Row],[NIBR11-T]]&gt;=K$435,0,100*(K$435-Tabell2[[#This Row],[NIBR11-T]])/K$438))</f>
        <v>100</v>
      </c>
      <c r="U38" s="44">
        <f>(L$435-Tabell2[[#This Row],[ReisetidOslo-T]])*100/L$438</f>
        <v>100</v>
      </c>
      <c r="V38" s="44">
        <f>100-(M$435-Tabell2[[#This Row],[Beftettotal-T]])*100/M$438</f>
        <v>99.50264971237884</v>
      </c>
      <c r="W38" s="44">
        <f>100-(N$435-Tabell2[[#This Row],[Befvekst10-T]])*100/N$438</f>
        <v>100</v>
      </c>
      <c r="X38" s="44">
        <f>100-(O$435-Tabell2[[#This Row],[Kvinneandel-T]])*100/O$438</f>
        <v>100</v>
      </c>
      <c r="Y38" s="44">
        <f>(P$435-Tabell2[[#This Row],[Eldreandel-T]])*100/P$438</f>
        <v>100</v>
      </c>
      <c r="Z38" s="44">
        <f>100-(Q$435-Tabell2[[#This Row],[Sysselsettingsvekst10-T]])*100/Q$438</f>
        <v>77.667065269878876</v>
      </c>
      <c r="AA38" s="44">
        <f>100-(R$435-Tabell2[[#This Row],[Yrkesaktivandel-T]])*100/R$438</f>
        <v>34.285318386487106</v>
      </c>
      <c r="AB38" s="44">
        <f>100-(S$435-Tabell2[[#This Row],[Inntekt-T]])*100/S$438</f>
        <v>100</v>
      </c>
      <c r="AC38" s="44">
        <f>Tabell2[[#This Row],[NIBR11-I]]*Vekter!$B$3</f>
        <v>20</v>
      </c>
      <c r="AD38" s="44">
        <f>Tabell2[[#This Row],[ReisetidOslo-I]]*Vekter!$C$3</f>
        <v>10</v>
      </c>
      <c r="AE38" s="44">
        <f>Tabell2[[#This Row],[Beftettotal-I]]*Vekter!$E$4</f>
        <v>9.9502649712378854</v>
      </c>
      <c r="AF38" s="44">
        <f>Tabell2[[#This Row],[Befvekst10-I]]*Vekter!$F$3</f>
        <v>20</v>
      </c>
      <c r="AG38" s="44">
        <f>Tabell2[[#This Row],[Kvinneandel-I]]*Vekter!$G$3</f>
        <v>5</v>
      </c>
      <c r="AH38" s="44">
        <f>Tabell2[[#This Row],[Eldreandel-I]]*Vekter!$H$3</f>
        <v>5</v>
      </c>
      <c r="AI38" s="44">
        <f>Tabell2[[#This Row],[Sysselsettingsvekst10-I]]*Vekter!$I$3</f>
        <v>7.7667065269878881</v>
      </c>
      <c r="AJ38" s="44">
        <f>Tabell2[[#This Row],[Yrkesaktivandel-I]]*Vekter!$K$3</f>
        <v>3.4285318386487109</v>
      </c>
      <c r="AK38" s="44">
        <f>Tabell2[[#This Row],[Inntekt-I]]*Vekter!$M$3</f>
        <v>10</v>
      </c>
      <c r="AL3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91.145503336874484</v>
      </c>
    </row>
    <row r="39" spans="1:38" s="38" customFormat="1" ht="12.75">
      <c r="A39" s="42" t="s">
        <v>37</v>
      </c>
      <c r="B39" s="38">
        <f>'Rådata-K'!Q39</f>
        <v>1</v>
      </c>
      <c r="C39" s="44">
        <f>'Rådata-K'!P39</f>
        <v>38.977310509699997</v>
      </c>
      <c r="D39" s="41">
        <f>'Rådata-K'!R39</f>
        <v>30.53581234800345</v>
      </c>
      <c r="E39" s="41">
        <f>'Rådata-K'!S39</f>
        <v>0.11478978118913963</v>
      </c>
      <c r="F39" s="41">
        <f>'Rådata-K'!T39</f>
        <v>0.11422258760661802</v>
      </c>
      <c r="G39" s="41">
        <f>'Rådata-K'!U39</f>
        <v>0.12146747507964238</v>
      </c>
      <c r="H39" s="41">
        <f>'Rådata-K'!V39</f>
        <v>8.3990045624222409E-2</v>
      </c>
      <c r="I39" s="41">
        <f>'Rådata-K'!W39</f>
        <v>0.86588194862101553</v>
      </c>
      <c r="J39" s="41">
        <f>'Rådata-K'!O39</f>
        <v>338900</v>
      </c>
      <c r="K39" s="41">
        <f>Tabell2[[#This Row],[NIBR11]]</f>
        <v>1</v>
      </c>
      <c r="L39" s="41">
        <f>IF(Tabell2[[#This Row],[ReisetidOslo]]&lt;=C$433,C$433,IF(Tabell2[[#This Row],[ReisetidOslo]]&gt;=C$434,C$434,Tabell2[[#This Row],[ReisetidOslo]]))</f>
        <v>53.805284539509998</v>
      </c>
      <c r="M39" s="41">
        <f>IF(Tabell2[[#This Row],[Beftettotal]]&lt;=D$433,D$433,IF(Tabell2[[#This Row],[Beftettotal]]&gt;=D$434,D$434,Tabell2[[#This Row],[Beftettotal]]))</f>
        <v>30.53581234800345</v>
      </c>
      <c r="N39" s="41">
        <f>IF(Tabell2[[#This Row],[Befvekst10]]&lt;=E$433,E$433,IF(Tabell2[[#This Row],[Befvekst10]]&gt;=E$434,E$434,Tabell2[[#This Row],[Befvekst10]]))</f>
        <v>0.11478978118913963</v>
      </c>
      <c r="O39" s="41">
        <f>IF(Tabell2[[#This Row],[Kvinneandel]]&lt;=F$433,F$433,IF(Tabell2[[#This Row],[Kvinneandel]]&gt;=F$434,F$434,Tabell2[[#This Row],[Kvinneandel]]))</f>
        <v>0.11422258760661802</v>
      </c>
      <c r="P39" s="41">
        <f>IF(Tabell2[[#This Row],[Eldreandel]]&lt;=G$433,G$433,IF(Tabell2[[#This Row],[Eldreandel]]&gt;=G$434,G$434,Tabell2[[#This Row],[Eldreandel]]))</f>
        <v>0.12146747507964238</v>
      </c>
      <c r="Q39" s="41">
        <f>IF(Tabell2[[#This Row],[Sysselsettingsvekst10]]&lt;=H$433,H$433,IF(Tabell2[[#This Row],[Sysselsettingsvekst10]]&gt;=H$434,H$434,Tabell2[[#This Row],[Sysselsettingsvekst10]]))</f>
        <v>8.3990045624222409E-2</v>
      </c>
      <c r="R39" s="41">
        <f>IF(Tabell2[[#This Row],[Yrkesaktivandel]]&lt;=I$433,I$433,IF(Tabell2[[#This Row],[Yrkesaktivandel]]&gt;=I$434,I$434,Tabell2[[#This Row],[Yrkesaktivandel]]))</f>
        <v>0.86588194862101553</v>
      </c>
      <c r="S39" s="41">
        <f>IF(Tabell2[[#This Row],[Inntekt]]&lt;=J$433,J$433,IF(Tabell2[[#This Row],[Inntekt]]&gt;=J$434,J$434,Tabell2[[#This Row],[Inntekt]]))</f>
        <v>338900</v>
      </c>
      <c r="T39" s="44">
        <f>IF(Tabell2[[#This Row],[NIBR11-T]]&lt;=K$436,100,IF(Tabell2[[#This Row],[NIBR11-T]]&gt;=K$435,0,100*(K$435-Tabell2[[#This Row],[NIBR11-T]])/K$438))</f>
        <v>100</v>
      </c>
      <c r="U39" s="44">
        <f>(L$435-Tabell2[[#This Row],[ReisetidOslo-T]])*100/L$438</f>
        <v>100</v>
      </c>
      <c r="V39" s="44">
        <f>100-(M$435-Tabell2[[#This Row],[Beftettotal-T]])*100/M$438</f>
        <v>23.898098852777437</v>
      </c>
      <c r="W39" s="44">
        <f>100-(N$435-Tabell2[[#This Row],[Befvekst10-T]])*100/N$438</f>
        <v>85.520248986731843</v>
      </c>
      <c r="X39" s="44">
        <f>100-(O$435-Tabell2[[#This Row],[Kvinneandel-T]])*100/O$438</f>
        <v>61.583452519792658</v>
      </c>
      <c r="Y39" s="44">
        <f>(P$435-Tabell2[[#This Row],[Eldreandel-T]])*100/P$438</f>
        <v>91.220240667329065</v>
      </c>
      <c r="Z39" s="44">
        <f>100-(Q$435-Tabell2[[#This Row],[Sysselsettingsvekst10-T]])*100/Q$438</f>
        <v>51.793710311338884</v>
      </c>
      <c r="AA39" s="44">
        <f>100-(R$435-Tabell2[[#This Row],[Yrkesaktivandel-T]])*100/R$438</f>
        <v>29.462246604309897</v>
      </c>
      <c r="AB39" s="44">
        <f>100-(S$435-Tabell2[[#This Row],[Inntekt-T]])*100/S$438</f>
        <v>63.567156063077761</v>
      </c>
      <c r="AC39" s="44">
        <f>Tabell2[[#This Row],[NIBR11-I]]*Vekter!$B$3</f>
        <v>20</v>
      </c>
      <c r="AD39" s="44">
        <f>Tabell2[[#This Row],[ReisetidOslo-I]]*Vekter!$C$3</f>
        <v>10</v>
      </c>
      <c r="AE39" s="44">
        <f>Tabell2[[#This Row],[Beftettotal-I]]*Vekter!$E$4</f>
        <v>2.3898098852777436</v>
      </c>
      <c r="AF39" s="44">
        <f>Tabell2[[#This Row],[Befvekst10-I]]*Vekter!$F$3</f>
        <v>17.10404979734637</v>
      </c>
      <c r="AG39" s="44">
        <f>Tabell2[[#This Row],[Kvinneandel-I]]*Vekter!$G$3</f>
        <v>3.0791726259896333</v>
      </c>
      <c r="AH39" s="44">
        <f>Tabell2[[#This Row],[Eldreandel-I]]*Vekter!$H$3</f>
        <v>4.5610120333664534</v>
      </c>
      <c r="AI39" s="44">
        <f>Tabell2[[#This Row],[Sysselsettingsvekst10-I]]*Vekter!$I$3</f>
        <v>5.179371031133889</v>
      </c>
      <c r="AJ39" s="44">
        <f>Tabell2[[#This Row],[Yrkesaktivandel-I]]*Vekter!$K$3</f>
        <v>2.9462246604309899</v>
      </c>
      <c r="AK39" s="44">
        <f>Tabell2[[#This Row],[Inntekt-I]]*Vekter!$M$3</f>
        <v>6.3567156063077768</v>
      </c>
      <c r="AL3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71.616355639852856</v>
      </c>
    </row>
    <row r="40" spans="1:38" s="38" customFormat="1" ht="12.75">
      <c r="A40" s="42" t="s">
        <v>38</v>
      </c>
      <c r="B40" s="38">
        <f>'Rådata-K'!Q40</f>
        <v>1</v>
      </c>
      <c r="C40" s="44">
        <f>'Rådata-K'!P40</f>
        <v>47.637274110600003</v>
      </c>
      <c r="D40" s="41">
        <f>'Rådata-K'!R40</f>
        <v>47.362541073384449</v>
      </c>
      <c r="E40" s="41">
        <f>'Rådata-K'!S40</f>
        <v>0.19883559744940404</v>
      </c>
      <c r="F40" s="41">
        <f>'Rådata-K'!T40</f>
        <v>0.12534110355672726</v>
      </c>
      <c r="G40" s="41">
        <f>'Rådata-K'!U40</f>
        <v>0.1177558854817076</v>
      </c>
      <c r="H40" s="41">
        <f>'Rådata-K'!V40</f>
        <v>6.1243867700585541E-2</v>
      </c>
      <c r="I40" s="41">
        <f>'Rådata-K'!W40</f>
        <v>0.84778937672704946</v>
      </c>
      <c r="J40" s="41">
        <f>'Rådata-K'!O40</f>
        <v>337700</v>
      </c>
      <c r="K40" s="41">
        <f>Tabell2[[#This Row],[NIBR11]]</f>
        <v>1</v>
      </c>
      <c r="L40" s="41">
        <f>IF(Tabell2[[#This Row],[ReisetidOslo]]&lt;=C$433,C$433,IF(Tabell2[[#This Row],[ReisetidOslo]]&gt;=C$434,C$434,Tabell2[[#This Row],[ReisetidOslo]]))</f>
        <v>53.805284539509998</v>
      </c>
      <c r="M40" s="41">
        <f>IF(Tabell2[[#This Row],[Beftettotal]]&lt;=D$433,D$433,IF(Tabell2[[#This Row],[Beftettotal]]&gt;=D$434,D$434,Tabell2[[#This Row],[Beftettotal]]))</f>
        <v>47.362541073384449</v>
      </c>
      <c r="N40" s="41">
        <f>IF(Tabell2[[#This Row],[Befvekst10]]&lt;=E$433,E$433,IF(Tabell2[[#This Row],[Befvekst10]]&gt;=E$434,E$434,Tabell2[[#This Row],[Befvekst10]]))</f>
        <v>0.149789129298837</v>
      </c>
      <c r="O40" s="41">
        <f>IF(Tabell2[[#This Row],[Kvinneandel]]&lt;=F$433,F$433,IF(Tabell2[[#This Row],[Kvinneandel]]&gt;=F$434,F$434,Tabell2[[#This Row],[Kvinneandel]]))</f>
        <v>0.12534110355672726</v>
      </c>
      <c r="P40" s="41">
        <f>IF(Tabell2[[#This Row],[Eldreandel]]&lt;=G$433,G$433,IF(Tabell2[[#This Row],[Eldreandel]]&gt;=G$434,G$434,Tabell2[[#This Row],[Eldreandel]]))</f>
        <v>0.1177558854817076</v>
      </c>
      <c r="Q40" s="41">
        <f>IF(Tabell2[[#This Row],[Sysselsettingsvekst10]]&lt;=H$433,H$433,IF(Tabell2[[#This Row],[Sysselsettingsvekst10]]&gt;=H$434,H$434,Tabell2[[#This Row],[Sysselsettingsvekst10]]))</f>
        <v>6.1243867700585541E-2</v>
      </c>
      <c r="R40" s="41">
        <f>IF(Tabell2[[#This Row],[Yrkesaktivandel]]&lt;=I$433,I$433,IF(Tabell2[[#This Row],[Yrkesaktivandel]]&gt;=I$434,I$434,Tabell2[[#This Row],[Yrkesaktivandel]]))</f>
        <v>0.84778937672704946</v>
      </c>
      <c r="S40" s="41">
        <f>IF(Tabell2[[#This Row],[Inntekt]]&lt;=J$433,J$433,IF(Tabell2[[#This Row],[Inntekt]]&gt;=J$434,J$434,Tabell2[[#This Row],[Inntekt]]))</f>
        <v>337700</v>
      </c>
      <c r="T40" s="44">
        <f>IF(Tabell2[[#This Row],[NIBR11-T]]&lt;=K$436,100,IF(Tabell2[[#This Row],[NIBR11-T]]&gt;=K$435,0,100*(K$435-Tabell2[[#This Row],[NIBR11-T]])/K$438))</f>
        <v>100</v>
      </c>
      <c r="U40" s="44">
        <f>(L$435-Tabell2[[#This Row],[ReisetidOslo-T]])*100/L$438</f>
        <v>100</v>
      </c>
      <c r="V40" s="44">
        <f>100-(M$435-Tabell2[[#This Row],[Beftettotal-T]])*100/M$438</f>
        <v>37.662477582938557</v>
      </c>
      <c r="W40" s="44">
        <f>100-(N$435-Tabell2[[#This Row],[Befvekst10-T]])*100/N$438</f>
        <v>100</v>
      </c>
      <c r="X40" s="44">
        <f>100-(O$435-Tabell2[[#This Row],[Kvinneandel-T]])*100/O$438</f>
        <v>92.008839104702318</v>
      </c>
      <c r="Y40" s="44">
        <f>(P$435-Tabell2[[#This Row],[Eldreandel-T]])*100/P$438</f>
        <v>95.590250121075456</v>
      </c>
      <c r="Z40" s="44">
        <f>100-(Q$435-Tabell2[[#This Row],[Sysselsettingsvekst10-T]])*100/Q$438</f>
        <v>45.105945515353355</v>
      </c>
      <c r="AA40" s="44">
        <f>100-(R$435-Tabell2[[#This Row],[Yrkesaktivandel-T]])*100/R$438</f>
        <v>15.951046646075767</v>
      </c>
      <c r="AB40" s="44">
        <f>100-(S$435-Tabell2[[#This Row],[Inntekt-T]])*100/S$438</f>
        <v>61.935834692767806</v>
      </c>
      <c r="AC40" s="44">
        <f>Tabell2[[#This Row],[NIBR11-I]]*Vekter!$B$3</f>
        <v>20</v>
      </c>
      <c r="AD40" s="44">
        <f>Tabell2[[#This Row],[ReisetidOslo-I]]*Vekter!$C$3</f>
        <v>10</v>
      </c>
      <c r="AE40" s="44">
        <f>Tabell2[[#This Row],[Beftettotal-I]]*Vekter!$E$4</f>
        <v>3.7662477582938561</v>
      </c>
      <c r="AF40" s="44">
        <f>Tabell2[[#This Row],[Befvekst10-I]]*Vekter!$F$3</f>
        <v>20</v>
      </c>
      <c r="AG40" s="44">
        <f>Tabell2[[#This Row],[Kvinneandel-I]]*Vekter!$G$3</f>
        <v>4.6004419552351159</v>
      </c>
      <c r="AH40" s="44">
        <f>Tabell2[[#This Row],[Eldreandel-I]]*Vekter!$H$3</f>
        <v>4.7795125060537726</v>
      </c>
      <c r="AI40" s="44">
        <f>Tabell2[[#This Row],[Sysselsettingsvekst10-I]]*Vekter!$I$3</f>
        <v>4.5105945515353358</v>
      </c>
      <c r="AJ40" s="44">
        <f>Tabell2[[#This Row],[Yrkesaktivandel-I]]*Vekter!$K$3</f>
        <v>1.5951046646075768</v>
      </c>
      <c r="AK40" s="44">
        <f>Tabell2[[#This Row],[Inntekt-I]]*Vekter!$M$3</f>
        <v>6.1935834692767813</v>
      </c>
      <c r="AL4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75.445484905002445</v>
      </c>
    </row>
    <row r="41" spans="1:38" s="38" customFormat="1" ht="12.75">
      <c r="A41" s="42" t="s">
        <v>39</v>
      </c>
      <c r="B41" s="38">
        <f>'Rådata-K'!Q41</f>
        <v>1</v>
      </c>
      <c r="C41" s="44">
        <f>'Rådata-K'!P41</f>
        <v>37.991412563899999</v>
      </c>
      <c r="D41" s="41">
        <f>'Rådata-K'!R41</f>
        <v>33.320625238276783</v>
      </c>
      <c r="E41" s="41">
        <f>'Rådata-K'!S41</f>
        <v>0.20411191182704536</v>
      </c>
      <c r="F41" s="41">
        <f>'Rådata-K'!T41</f>
        <v>0.12480197148389369</v>
      </c>
      <c r="G41" s="41">
        <f>'Rådata-K'!U41</f>
        <v>0.10552719591621193</v>
      </c>
      <c r="H41" s="41">
        <f>'Rådata-K'!V41</f>
        <v>0.30765527202696186</v>
      </c>
      <c r="I41" s="41">
        <f>'Rådata-K'!W41</f>
        <v>0.88591694990394565</v>
      </c>
      <c r="J41" s="41">
        <f>'Rådata-K'!O41</f>
        <v>351100</v>
      </c>
      <c r="K41" s="41">
        <f>Tabell2[[#This Row],[NIBR11]]</f>
        <v>1</v>
      </c>
      <c r="L41" s="41">
        <f>IF(Tabell2[[#This Row],[ReisetidOslo]]&lt;=C$433,C$433,IF(Tabell2[[#This Row],[ReisetidOslo]]&gt;=C$434,C$434,Tabell2[[#This Row],[ReisetidOslo]]))</f>
        <v>53.805284539509998</v>
      </c>
      <c r="M41" s="41">
        <f>IF(Tabell2[[#This Row],[Beftettotal]]&lt;=D$433,D$433,IF(Tabell2[[#This Row],[Beftettotal]]&gt;=D$434,D$434,Tabell2[[#This Row],[Beftettotal]]))</f>
        <v>33.320625238276783</v>
      </c>
      <c r="N41" s="41">
        <f>IF(Tabell2[[#This Row],[Befvekst10]]&lt;=E$433,E$433,IF(Tabell2[[#This Row],[Befvekst10]]&gt;=E$434,E$434,Tabell2[[#This Row],[Befvekst10]]))</f>
        <v>0.149789129298837</v>
      </c>
      <c r="O41" s="41">
        <f>IF(Tabell2[[#This Row],[Kvinneandel]]&lt;=F$433,F$433,IF(Tabell2[[#This Row],[Kvinneandel]]&gt;=F$434,F$434,Tabell2[[#This Row],[Kvinneandel]]))</f>
        <v>0.12480197148389369</v>
      </c>
      <c r="P41" s="41">
        <f>IF(Tabell2[[#This Row],[Eldreandel]]&lt;=G$433,G$433,IF(Tabell2[[#This Row],[Eldreandel]]&gt;=G$434,G$434,Tabell2[[#This Row],[Eldreandel]]))</f>
        <v>0.11401054306234992</v>
      </c>
      <c r="Q41" s="41">
        <f>IF(Tabell2[[#This Row],[Sysselsettingsvekst10]]&lt;=H$433,H$433,IF(Tabell2[[#This Row],[Sysselsettingsvekst10]]&gt;=H$434,H$434,Tabell2[[#This Row],[Sysselsettingsvekst10]]))</f>
        <v>0.24794749265568336</v>
      </c>
      <c r="R41" s="41">
        <f>IF(Tabell2[[#This Row],[Yrkesaktivandel]]&lt;=I$433,I$433,IF(Tabell2[[#This Row],[Yrkesaktivandel]]&gt;=I$434,I$434,Tabell2[[#This Row],[Yrkesaktivandel]]))</f>
        <v>0.88591694990394565</v>
      </c>
      <c r="S41" s="41">
        <f>IF(Tabell2[[#This Row],[Inntekt]]&lt;=J$433,J$433,IF(Tabell2[[#This Row],[Inntekt]]&gt;=J$434,J$434,Tabell2[[#This Row],[Inntekt]]))</f>
        <v>351100</v>
      </c>
      <c r="T41" s="44">
        <f>IF(Tabell2[[#This Row],[NIBR11-T]]&lt;=K$436,100,IF(Tabell2[[#This Row],[NIBR11-T]]&gt;=K$435,0,100*(K$435-Tabell2[[#This Row],[NIBR11-T]])/K$438))</f>
        <v>100</v>
      </c>
      <c r="U41" s="44">
        <f>(L$435-Tabell2[[#This Row],[ReisetidOslo-T]])*100/L$438</f>
        <v>100</v>
      </c>
      <c r="V41" s="44">
        <f>100-(M$435-Tabell2[[#This Row],[Beftettotal-T]])*100/M$438</f>
        <v>26.176094768676364</v>
      </c>
      <c r="W41" s="44">
        <f>100-(N$435-Tabell2[[#This Row],[Befvekst10-T]])*100/N$438</f>
        <v>100</v>
      </c>
      <c r="X41" s="44">
        <f>100-(O$435-Tabell2[[#This Row],[Kvinneandel-T]])*100/O$438</f>
        <v>90.533525150044198</v>
      </c>
      <c r="Y41" s="44">
        <f>(P$435-Tabell2[[#This Row],[Eldreandel-T]])*100/P$438</f>
        <v>100</v>
      </c>
      <c r="Z41" s="44">
        <f>100-(Q$435-Tabell2[[#This Row],[Sysselsettingsvekst10-T]])*100/Q$438</f>
        <v>100</v>
      </c>
      <c r="AA41" s="44">
        <f>100-(R$435-Tabell2[[#This Row],[Yrkesaktivandel-T]])*100/R$438</f>
        <v>44.424017107895665</v>
      </c>
      <c r="AB41" s="44">
        <f>100-(S$435-Tabell2[[#This Row],[Inntekt-T]])*100/S$438</f>
        <v>80.152256661228932</v>
      </c>
      <c r="AC41" s="44">
        <f>Tabell2[[#This Row],[NIBR11-I]]*Vekter!$B$3</f>
        <v>20</v>
      </c>
      <c r="AD41" s="44">
        <f>Tabell2[[#This Row],[ReisetidOslo-I]]*Vekter!$C$3</f>
        <v>10</v>
      </c>
      <c r="AE41" s="44">
        <f>Tabell2[[#This Row],[Beftettotal-I]]*Vekter!$E$4</f>
        <v>2.6176094768676368</v>
      </c>
      <c r="AF41" s="44">
        <f>Tabell2[[#This Row],[Befvekst10-I]]*Vekter!$F$3</f>
        <v>20</v>
      </c>
      <c r="AG41" s="44">
        <f>Tabell2[[#This Row],[Kvinneandel-I]]*Vekter!$G$3</f>
        <v>4.5266762575022099</v>
      </c>
      <c r="AH41" s="44">
        <f>Tabell2[[#This Row],[Eldreandel-I]]*Vekter!$H$3</f>
        <v>5</v>
      </c>
      <c r="AI41" s="44">
        <f>Tabell2[[#This Row],[Sysselsettingsvekst10-I]]*Vekter!$I$3</f>
        <v>10</v>
      </c>
      <c r="AJ41" s="44">
        <f>Tabell2[[#This Row],[Yrkesaktivandel-I]]*Vekter!$K$3</f>
        <v>4.442401710789567</v>
      </c>
      <c r="AK41" s="44">
        <f>Tabell2[[#This Row],[Inntekt-I]]*Vekter!$M$3</f>
        <v>8.0152256661228929</v>
      </c>
      <c r="AL4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84.6019131112823</v>
      </c>
    </row>
    <row r="42" spans="1:38" s="38" customFormat="1" ht="12.75">
      <c r="A42" s="42" t="s">
        <v>40</v>
      </c>
      <c r="B42" s="38">
        <f>'Rådata-K'!Q42</f>
        <v>1</v>
      </c>
      <c r="C42" s="44">
        <f>'Rådata-K'!P42</f>
        <v>53.456666064899999</v>
      </c>
      <c r="D42" s="41">
        <f>'Rådata-K'!R42</f>
        <v>9.3241156653565405</v>
      </c>
      <c r="E42" s="41">
        <f>'Rådata-K'!S42</f>
        <v>1.257621951219523E-2</v>
      </c>
      <c r="F42" s="41">
        <f>'Rådata-K'!T42</f>
        <v>0.10199473089951072</v>
      </c>
      <c r="G42" s="41">
        <f>'Rådata-K'!U42</f>
        <v>0.16635302973278132</v>
      </c>
      <c r="H42" s="41">
        <f>'Rådata-K'!V42</f>
        <v>-6.242905788876274E-2</v>
      </c>
      <c r="I42" s="41">
        <f>'Rådata-K'!W42</f>
        <v>0.86604774535809015</v>
      </c>
      <c r="J42" s="41">
        <f>'Rådata-K'!O42</f>
        <v>307800</v>
      </c>
      <c r="K42" s="41">
        <f>Tabell2[[#This Row],[NIBR11]]</f>
        <v>1</v>
      </c>
      <c r="L42" s="41">
        <f>IF(Tabell2[[#This Row],[ReisetidOslo]]&lt;=C$433,C$433,IF(Tabell2[[#This Row],[ReisetidOslo]]&gt;=C$434,C$434,Tabell2[[#This Row],[ReisetidOslo]]))</f>
        <v>53.805284539509998</v>
      </c>
      <c r="M42" s="41">
        <f>IF(Tabell2[[#This Row],[Beftettotal]]&lt;=D$433,D$433,IF(Tabell2[[#This Row],[Beftettotal]]&gt;=D$434,D$434,Tabell2[[#This Row],[Beftettotal]]))</f>
        <v>9.3241156653565405</v>
      </c>
      <c r="N42" s="41">
        <f>IF(Tabell2[[#This Row],[Befvekst10]]&lt;=E$433,E$433,IF(Tabell2[[#This Row],[Befvekst10]]&gt;=E$434,E$434,Tabell2[[#This Row],[Befvekst10]]))</f>
        <v>1.257621951219523E-2</v>
      </c>
      <c r="O42" s="41">
        <f>IF(Tabell2[[#This Row],[Kvinneandel]]&lt;=F$433,F$433,IF(Tabell2[[#This Row],[Kvinneandel]]&gt;=F$434,F$434,Tabell2[[#This Row],[Kvinneandel]]))</f>
        <v>0.10199473089951072</v>
      </c>
      <c r="P42" s="41">
        <f>IF(Tabell2[[#This Row],[Eldreandel]]&lt;=G$433,G$433,IF(Tabell2[[#This Row],[Eldreandel]]&gt;=G$434,G$434,Tabell2[[#This Row],[Eldreandel]]))</f>
        <v>0.16635302973278132</v>
      </c>
      <c r="Q42" s="41">
        <f>IF(Tabell2[[#This Row],[Sysselsettingsvekst10]]&lt;=H$433,H$433,IF(Tabell2[[#This Row],[Sysselsettingsvekst10]]&gt;=H$434,H$434,Tabell2[[#This Row],[Sysselsettingsvekst10]]))</f>
        <v>-6.242905788876274E-2</v>
      </c>
      <c r="R42" s="41">
        <f>IF(Tabell2[[#This Row],[Yrkesaktivandel]]&lt;=I$433,I$433,IF(Tabell2[[#This Row],[Yrkesaktivandel]]&gt;=I$434,I$434,Tabell2[[#This Row],[Yrkesaktivandel]]))</f>
        <v>0.86604774535809015</v>
      </c>
      <c r="S42" s="41">
        <f>IF(Tabell2[[#This Row],[Inntekt]]&lt;=J$433,J$433,IF(Tabell2[[#This Row],[Inntekt]]&gt;=J$434,J$434,Tabell2[[#This Row],[Inntekt]]))</f>
        <v>307800</v>
      </c>
      <c r="T42" s="44">
        <f>IF(Tabell2[[#This Row],[NIBR11-T]]&lt;=K$436,100,IF(Tabell2[[#This Row],[NIBR11-T]]&gt;=K$435,0,100*(K$435-Tabell2[[#This Row],[NIBR11-T]])/K$438))</f>
        <v>100</v>
      </c>
      <c r="U42" s="44">
        <f>(L$435-Tabell2[[#This Row],[ReisetidOslo-T]])*100/L$438</f>
        <v>100</v>
      </c>
      <c r="V42" s="44">
        <f>100-(M$435-Tabell2[[#This Row],[Beftettotal-T]])*100/M$438</f>
        <v>6.5467864607935837</v>
      </c>
      <c r="W42" s="44">
        <f>100-(N$435-Tabell2[[#This Row],[Befvekst10-T]])*100/N$438</f>
        <v>43.232977846061459</v>
      </c>
      <c r="X42" s="44">
        <f>100-(O$435-Tabell2[[#This Row],[Kvinneandel-T]])*100/O$438</f>
        <v>28.122398086987261</v>
      </c>
      <c r="Y42" s="44">
        <f>(P$435-Tabell2[[#This Row],[Eldreandel-T]])*100/P$438</f>
        <v>38.37218379164139</v>
      </c>
      <c r="Z42" s="44">
        <f>100-(Q$435-Tabell2[[#This Row],[Sysselsettingsvekst10-T]])*100/Q$438</f>
        <v>8.7439931579201868</v>
      </c>
      <c r="AA42" s="44">
        <f>100-(R$435-Tabell2[[#This Row],[Yrkesaktivandel-T]])*100/R$438</f>
        <v>29.58606055846559</v>
      </c>
      <c r="AB42" s="44">
        <f>100-(S$435-Tabell2[[#This Row],[Inntekt-T]])*100/S$438</f>
        <v>21.288743882544864</v>
      </c>
      <c r="AC42" s="44">
        <f>Tabell2[[#This Row],[NIBR11-I]]*Vekter!$B$3</f>
        <v>20</v>
      </c>
      <c r="AD42" s="44">
        <f>Tabell2[[#This Row],[ReisetidOslo-I]]*Vekter!$C$3</f>
        <v>10</v>
      </c>
      <c r="AE42" s="44">
        <f>Tabell2[[#This Row],[Beftettotal-I]]*Vekter!$E$4</f>
        <v>0.65467864607935844</v>
      </c>
      <c r="AF42" s="44">
        <f>Tabell2[[#This Row],[Befvekst10-I]]*Vekter!$F$3</f>
        <v>8.6465955692122929</v>
      </c>
      <c r="AG42" s="44">
        <f>Tabell2[[#This Row],[Kvinneandel-I]]*Vekter!$G$3</f>
        <v>1.4061199043493631</v>
      </c>
      <c r="AH42" s="44">
        <f>Tabell2[[#This Row],[Eldreandel-I]]*Vekter!$H$3</f>
        <v>1.9186091895820696</v>
      </c>
      <c r="AI42" s="44">
        <f>Tabell2[[#This Row],[Sysselsettingsvekst10-I]]*Vekter!$I$3</f>
        <v>0.87439931579201868</v>
      </c>
      <c r="AJ42" s="44">
        <f>Tabell2[[#This Row],[Yrkesaktivandel-I]]*Vekter!$K$3</f>
        <v>2.958606055846559</v>
      </c>
      <c r="AK42" s="44">
        <f>Tabell2[[#This Row],[Inntekt-I]]*Vekter!$M$3</f>
        <v>2.1288743882544865</v>
      </c>
      <c r="AL4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48.587883069116145</v>
      </c>
    </row>
    <row r="43" spans="1:38" s="38" customFormat="1" ht="12.75">
      <c r="A43" s="42" t="s">
        <v>41</v>
      </c>
      <c r="B43" s="38">
        <f>'Rådata-K'!Q43</f>
        <v>1</v>
      </c>
      <c r="C43" s="44">
        <f>'Rådata-K'!P43</f>
        <v>1.4215456179399999</v>
      </c>
      <c r="D43" s="41">
        <f>'Rådata-K'!R43</f>
        <v>1350.610024665257</v>
      </c>
      <c r="E43" s="41">
        <f>'Rådata-K'!S43</f>
        <v>0.19644588549500663</v>
      </c>
      <c r="F43" s="41">
        <f>'Rådata-K'!T43</f>
        <v>0.18335031836748006</v>
      </c>
      <c r="G43" s="41">
        <f>'Rådata-K'!U43</f>
        <v>0.10148462786469586</v>
      </c>
      <c r="H43" s="41">
        <f>'Rådata-K'!V43</f>
        <v>7.243734081429265E-2</v>
      </c>
      <c r="I43" s="41">
        <f>'Rådata-K'!W43</f>
        <v>0.81363068284061302</v>
      </c>
      <c r="J43" s="41">
        <f>'Rådata-K'!O43</f>
        <v>407700</v>
      </c>
      <c r="K43" s="41">
        <f>Tabell2[[#This Row],[NIBR11]]</f>
        <v>1</v>
      </c>
      <c r="L43" s="41">
        <f>IF(Tabell2[[#This Row],[ReisetidOslo]]&lt;=C$433,C$433,IF(Tabell2[[#This Row],[ReisetidOslo]]&gt;=C$434,C$434,Tabell2[[#This Row],[ReisetidOslo]]))</f>
        <v>53.805284539509998</v>
      </c>
      <c r="M43" s="41">
        <f>IF(Tabell2[[#This Row],[Beftettotal]]&lt;=D$433,D$433,IF(Tabell2[[#This Row],[Beftettotal]]&gt;=D$434,D$434,Tabell2[[#This Row],[Beftettotal]]))</f>
        <v>123.5691465212405</v>
      </c>
      <c r="N43" s="41">
        <f>IF(Tabell2[[#This Row],[Befvekst10]]&lt;=E$433,E$433,IF(Tabell2[[#This Row],[Befvekst10]]&gt;=E$434,E$434,Tabell2[[#This Row],[Befvekst10]]))</f>
        <v>0.149789129298837</v>
      </c>
      <c r="O43" s="41">
        <f>IF(Tabell2[[#This Row],[Kvinneandel]]&lt;=F$433,F$433,IF(Tabell2[[#This Row],[Kvinneandel]]&gt;=F$434,F$434,Tabell2[[#This Row],[Kvinneandel]]))</f>
        <v>0.12826135732659469</v>
      </c>
      <c r="P43" s="41">
        <f>IF(Tabell2[[#This Row],[Eldreandel]]&lt;=G$433,G$433,IF(Tabell2[[#This Row],[Eldreandel]]&gt;=G$434,G$434,Tabell2[[#This Row],[Eldreandel]]))</f>
        <v>0.11401054306234992</v>
      </c>
      <c r="Q43" s="41">
        <f>IF(Tabell2[[#This Row],[Sysselsettingsvekst10]]&lt;=H$433,H$433,IF(Tabell2[[#This Row],[Sysselsettingsvekst10]]&gt;=H$434,H$434,Tabell2[[#This Row],[Sysselsettingsvekst10]]))</f>
        <v>7.243734081429265E-2</v>
      </c>
      <c r="R43" s="41">
        <f>IF(Tabell2[[#This Row],[Yrkesaktivandel]]&lt;=I$433,I$433,IF(Tabell2[[#This Row],[Yrkesaktivandel]]&gt;=I$434,I$434,Tabell2[[#This Row],[Yrkesaktivandel]]))</f>
        <v>0.82642965596795781</v>
      </c>
      <c r="S43" s="41">
        <f>IF(Tabell2[[#This Row],[Inntekt]]&lt;=J$433,J$433,IF(Tabell2[[#This Row],[Inntekt]]&gt;=J$434,J$434,Tabell2[[#This Row],[Inntekt]]))</f>
        <v>365700</v>
      </c>
      <c r="T43" s="44">
        <f>IF(Tabell2[[#This Row],[NIBR11-T]]&lt;=K$436,100,IF(Tabell2[[#This Row],[NIBR11-T]]&gt;=K$435,0,100*(K$435-Tabell2[[#This Row],[NIBR11-T]])/K$438))</f>
        <v>100</v>
      </c>
      <c r="U43" s="44">
        <f>(L$435-Tabell2[[#This Row],[ReisetidOslo-T]])*100/L$438</f>
        <v>100</v>
      </c>
      <c r="V43" s="44">
        <f>100-(M$435-Tabell2[[#This Row],[Beftettotal-T]])*100/M$438</f>
        <v>100</v>
      </c>
      <c r="W43" s="44">
        <f>100-(N$435-Tabell2[[#This Row],[Befvekst10-T]])*100/N$438</f>
        <v>100</v>
      </c>
      <c r="X43" s="44">
        <f>100-(O$435-Tabell2[[#This Row],[Kvinneandel-T]])*100/O$438</f>
        <v>100</v>
      </c>
      <c r="Y43" s="44">
        <f>(P$435-Tabell2[[#This Row],[Eldreandel-T]])*100/P$438</f>
        <v>100</v>
      </c>
      <c r="Z43" s="44">
        <f>100-(Q$435-Tabell2[[#This Row],[Sysselsettingsvekst10-T]])*100/Q$438</f>
        <v>48.397017786307075</v>
      </c>
      <c r="AA43" s="44">
        <f>100-(R$435-Tabell2[[#This Row],[Yrkesaktivandel-T]])*100/R$438</f>
        <v>0</v>
      </c>
      <c r="AB43" s="44">
        <f>100-(S$435-Tabell2[[#This Row],[Inntekt-T]])*100/S$438</f>
        <v>100</v>
      </c>
      <c r="AC43" s="44">
        <f>Tabell2[[#This Row],[NIBR11-I]]*Vekter!$B$3</f>
        <v>20</v>
      </c>
      <c r="AD43" s="44">
        <f>Tabell2[[#This Row],[ReisetidOslo-I]]*Vekter!$C$3</f>
        <v>10</v>
      </c>
      <c r="AE43" s="44">
        <f>Tabell2[[#This Row],[Beftettotal-I]]*Vekter!$E$4</f>
        <v>10</v>
      </c>
      <c r="AF43" s="44">
        <f>Tabell2[[#This Row],[Befvekst10-I]]*Vekter!$F$3</f>
        <v>20</v>
      </c>
      <c r="AG43" s="44">
        <f>Tabell2[[#This Row],[Kvinneandel-I]]*Vekter!$G$3</f>
        <v>5</v>
      </c>
      <c r="AH43" s="44">
        <f>Tabell2[[#This Row],[Eldreandel-I]]*Vekter!$H$3</f>
        <v>5</v>
      </c>
      <c r="AI43" s="44">
        <f>Tabell2[[#This Row],[Sysselsettingsvekst10-I]]*Vekter!$I$3</f>
        <v>4.8397017786307082</v>
      </c>
      <c r="AJ43" s="44">
        <f>Tabell2[[#This Row],[Yrkesaktivandel-I]]*Vekter!$K$3</f>
        <v>0</v>
      </c>
      <c r="AK43" s="44">
        <f>Tabell2[[#This Row],[Inntekt-I]]*Vekter!$M$3</f>
        <v>10</v>
      </c>
      <c r="AL4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84.839701778630712</v>
      </c>
    </row>
    <row r="44" spans="1:38" s="38" customFormat="1" ht="12.75">
      <c r="A44" s="42" t="s">
        <v>42</v>
      </c>
      <c r="B44" s="38">
        <f>'Rådata-K'!Q44</f>
        <v>5</v>
      </c>
      <c r="C44" s="44">
        <f>'Rådata-K'!P44</f>
        <v>71.894646143399996</v>
      </c>
      <c r="D44" s="41">
        <f>'Rådata-K'!R44</f>
        <v>16.90578416710888</v>
      </c>
      <c r="E44" s="41">
        <f>'Rådata-K'!S44</f>
        <v>8.9830703673845491E-3</v>
      </c>
      <c r="F44" s="41">
        <f>'Rådata-K'!T44</f>
        <v>0.10466841684739185</v>
      </c>
      <c r="G44" s="41">
        <f>'Rådata-K'!U44</f>
        <v>0.16379408743294144</v>
      </c>
      <c r="H44" s="41">
        <f>'Rådata-K'!V44</f>
        <v>-3.2702035054699485E-2</v>
      </c>
      <c r="I44" s="41">
        <f>'Rådata-K'!W44</f>
        <v>0.77141733057932527</v>
      </c>
      <c r="J44" s="41">
        <f>'Rådata-K'!O44</f>
        <v>310600</v>
      </c>
      <c r="K44" s="41">
        <f>Tabell2[[#This Row],[NIBR11]]</f>
        <v>5</v>
      </c>
      <c r="L44" s="41">
        <f>IF(Tabell2[[#This Row],[ReisetidOslo]]&lt;=C$433,C$433,IF(Tabell2[[#This Row],[ReisetidOslo]]&gt;=C$434,C$434,Tabell2[[#This Row],[ReisetidOslo]]))</f>
        <v>71.894646143399996</v>
      </c>
      <c r="M44" s="41">
        <f>IF(Tabell2[[#This Row],[Beftettotal]]&lt;=D$433,D$433,IF(Tabell2[[#This Row],[Beftettotal]]&gt;=D$434,D$434,Tabell2[[#This Row],[Beftettotal]]))</f>
        <v>16.90578416710888</v>
      </c>
      <c r="N44" s="41">
        <f>IF(Tabell2[[#This Row],[Befvekst10]]&lt;=E$433,E$433,IF(Tabell2[[#This Row],[Befvekst10]]&gt;=E$434,E$434,Tabell2[[#This Row],[Befvekst10]]))</f>
        <v>8.9830703673845491E-3</v>
      </c>
      <c r="O44" s="41">
        <f>IF(Tabell2[[#This Row],[Kvinneandel]]&lt;=F$433,F$433,IF(Tabell2[[#This Row],[Kvinneandel]]&gt;=F$434,F$434,Tabell2[[#This Row],[Kvinneandel]]))</f>
        <v>0.10466841684739185</v>
      </c>
      <c r="P44" s="41">
        <f>IF(Tabell2[[#This Row],[Eldreandel]]&lt;=G$433,G$433,IF(Tabell2[[#This Row],[Eldreandel]]&gt;=G$434,G$434,Tabell2[[#This Row],[Eldreandel]]))</f>
        <v>0.16379408743294144</v>
      </c>
      <c r="Q44" s="41">
        <f>IF(Tabell2[[#This Row],[Sysselsettingsvekst10]]&lt;=H$433,H$433,IF(Tabell2[[#This Row],[Sysselsettingsvekst10]]&gt;=H$434,H$434,Tabell2[[#This Row],[Sysselsettingsvekst10]]))</f>
        <v>-3.2702035054699485E-2</v>
      </c>
      <c r="R44" s="41">
        <f>IF(Tabell2[[#This Row],[Yrkesaktivandel]]&lt;=I$433,I$433,IF(Tabell2[[#This Row],[Yrkesaktivandel]]&gt;=I$434,I$434,Tabell2[[#This Row],[Yrkesaktivandel]]))</f>
        <v>0.82642965596795781</v>
      </c>
      <c r="S44" s="41">
        <f>IF(Tabell2[[#This Row],[Inntekt]]&lt;=J$433,J$433,IF(Tabell2[[#This Row],[Inntekt]]&gt;=J$434,J$434,Tabell2[[#This Row],[Inntekt]]))</f>
        <v>310600</v>
      </c>
      <c r="T44" s="44">
        <f>IF(Tabell2[[#This Row],[NIBR11-T]]&lt;=K$436,100,IF(Tabell2[[#This Row],[NIBR11-T]]&gt;=K$435,0,100*(K$435-Tabell2[[#This Row],[NIBR11-T]])/K$438))</f>
        <v>60</v>
      </c>
      <c r="U44" s="44">
        <f>(L$435-Tabell2[[#This Row],[ReisetidOslo-T]])*100/L$438</f>
        <v>91.969217209748606</v>
      </c>
      <c r="V44" s="44">
        <f>100-(M$435-Tabell2[[#This Row],[Beftettotal-T]])*100/M$438</f>
        <v>12.748642945663576</v>
      </c>
      <c r="W44" s="44">
        <f>100-(N$435-Tabell2[[#This Row],[Befvekst10-T]])*100/N$438</f>
        <v>41.746438588035097</v>
      </c>
      <c r="X44" s="44">
        <f>100-(O$435-Tabell2[[#This Row],[Kvinneandel-T]])*100/O$438</f>
        <v>35.438835724523315</v>
      </c>
      <c r="Y44" s="44">
        <f>(P$435-Tabell2[[#This Row],[Eldreandel-T]])*100/P$438</f>
        <v>41.385071328591629</v>
      </c>
      <c r="Z44" s="44">
        <f>100-(Q$435-Tabell2[[#This Row],[Sysselsettingsvekst10-T]])*100/Q$438</f>
        <v>17.484245584791182</v>
      </c>
      <c r="AA44" s="44">
        <f>100-(R$435-Tabell2[[#This Row],[Yrkesaktivandel-T]])*100/R$438</f>
        <v>0</v>
      </c>
      <c r="AB44" s="44">
        <f>100-(S$435-Tabell2[[#This Row],[Inntekt-T]])*100/S$438</f>
        <v>25.095160413268076</v>
      </c>
      <c r="AC44" s="44">
        <f>Tabell2[[#This Row],[NIBR11-I]]*Vekter!$B$3</f>
        <v>12</v>
      </c>
      <c r="AD44" s="44">
        <f>Tabell2[[#This Row],[ReisetidOslo-I]]*Vekter!$C$3</f>
        <v>9.1969217209748617</v>
      </c>
      <c r="AE44" s="44">
        <f>Tabell2[[#This Row],[Beftettotal-I]]*Vekter!$E$4</f>
        <v>1.2748642945663577</v>
      </c>
      <c r="AF44" s="44">
        <f>Tabell2[[#This Row],[Befvekst10-I]]*Vekter!$F$3</f>
        <v>8.3492877176070195</v>
      </c>
      <c r="AG44" s="44">
        <f>Tabell2[[#This Row],[Kvinneandel-I]]*Vekter!$G$3</f>
        <v>1.7719417862261659</v>
      </c>
      <c r="AH44" s="44">
        <f>Tabell2[[#This Row],[Eldreandel-I]]*Vekter!$H$3</f>
        <v>2.0692535664295817</v>
      </c>
      <c r="AI44" s="44">
        <f>Tabell2[[#This Row],[Sysselsettingsvekst10-I]]*Vekter!$I$3</f>
        <v>1.7484245584791183</v>
      </c>
      <c r="AJ44" s="44">
        <f>Tabell2[[#This Row],[Yrkesaktivandel-I]]*Vekter!$K$3</f>
        <v>0</v>
      </c>
      <c r="AK44" s="44">
        <f>Tabell2[[#This Row],[Inntekt-I]]*Vekter!$M$3</f>
        <v>2.5095160413268078</v>
      </c>
      <c r="AL4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38.920209685609905</v>
      </c>
    </row>
    <row r="45" spans="1:38" s="38" customFormat="1" ht="12.75">
      <c r="A45" s="42" t="s">
        <v>43</v>
      </c>
      <c r="B45" s="38">
        <f>'Rådata-K'!Q45</f>
        <v>4</v>
      </c>
      <c r="C45" s="44">
        <f>'Rådata-K'!P45</f>
        <v>85.858693424400002</v>
      </c>
      <c r="D45" s="41">
        <f>'Rådata-K'!R45</f>
        <v>82.761077076506609</v>
      </c>
      <c r="E45" s="41">
        <f>'Rådata-K'!S45</f>
        <v>7.765657465123188E-2</v>
      </c>
      <c r="F45" s="41">
        <f>'Rådata-K'!T45</f>
        <v>0.1170597348941298</v>
      </c>
      <c r="G45" s="41">
        <f>'Rådata-K'!U45</f>
        <v>0.16691341022551215</v>
      </c>
      <c r="H45" s="41">
        <f>'Rådata-K'!V45</f>
        <v>0.17479499352611128</v>
      </c>
      <c r="I45" s="41">
        <f>'Rådata-K'!W45</f>
        <v>0.84318020364669666</v>
      </c>
      <c r="J45" s="41">
        <f>'Rådata-K'!O45</f>
        <v>339500</v>
      </c>
      <c r="K45" s="41">
        <f>Tabell2[[#This Row],[NIBR11]]</f>
        <v>4</v>
      </c>
      <c r="L45" s="41">
        <f>IF(Tabell2[[#This Row],[ReisetidOslo]]&lt;=C$433,C$433,IF(Tabell2[[#This Row],[ReisetidOslo]]&gt;=C$434,C$434,Tabell2[[#This Row],[ReisetidOslo]]))</f>
        <v>85.858693424400002</v>
      </c>
      <c r="M45" s="41">
        <f>IF(Tabell2[[#This Row],[Beftettotal]]&lt;=D$433,D$433,IF(Tabell2[[#This Row],[Beftettotal]]&gt;=D$434,D$434,Tabell2[[#This Row],[Beftettotal]]))</f>
        <v>82.761077076506609</v>
      </c>
      <c r="N45" s="41">
        <f>IF(Tabell2[[#This Row],[Befvekst10]]&lt;=E$433,E$433,IF(Tabell2[[#This Row],[Befvekst10]]&gt;=E$434,E$434,Tabell2[[#This Row],[Befvekst10]]))</f>
        <v>7.765657465123188E-2</v>
      </c>
      <c r="O45" s="41">
        <f>IF(Tabell2[[#This Row],[Kvinneandel]]&lt;=F$433,F$433,IF(Tabell2[[#This Row],[Kvinneandel]]&gt;=F$434,F$434,Tabell2[[#This Row],[Kvinneandel]]))</f>
        <v>0.1170597348941298</v>
      </c>
      <c r="P45" s="41">
        <f>IF(Tabell2[[#This Row],[Eldreandel]]&lt;=G$433,G$433,IF(Tabell2[[#This Row],[Eldreandel]]&gt;=G$434,G$434,Tabell2[[#This Row],[Eldreandel]]))</f>
        <v>0.16691341022551215</v>
      </c>
      <c r="Q45" s="41">
        <f>IF(Tabell2[[#This Row],[Sysselsettingsvekst10]]&lt;=H$433,H$433,IF(Tabell2[[#This Row],[Sysselsettingsvekst10]]&gt;=H$434,H$434,Tabell2[[#This Row],[Sysselsettingsvekst10]]))</f>
        <v>0.17479499352611128</v>
      </c>
      <c r="R45" s="41">
        <f>IF(Tabell2[[#This Row],[Yrkesaktivandel]]&lt;=I$433,I$433,IF(Tabell2[[#This Row],[Yrkesaktivandel]]&gt;=I$434,I$434,Tabell2[[#This Row],[Yrkesaktivandel]]))</f>
        <v>0.84318020364669666</v>
      </c>
      <c r="S45" s="41">
        <f>IF(Tabell2[[#This Row],[Inntekt]]&lt;=J$433,J$433,IF(Tabell2[[#This Row],[Inntekt]]&gt;=J$434,J$434,Tabell2[[#This Row],[Inntekt]]))</f>
        <v>339500</v>
      </c>
      <c r="T45" s="44">
        <f>IF(Tabell2[[#This Row],[NIBR11-T]]&lt;=K$436,100,IF(Tabell2[[#This Row],[NIBR11-T]]&gt;=K$435,0,100*(K$435-Tabell2[[#This Row],[NIBR11-T]])/K$438))</f>
        <v>70</v>
      </c>
      <c r="U45" s="44">
        <f>(L$435-Tabell2[[#This Row],[ReisetidOslo-T]])*100/L$438</f>
        <v>85.769870154715107</v>
      </c>
      <c r="V45" s="44">
        <f>100-(M$435-Tabell2[[#This Row],[Beftettotal-T]])*100/M$438</f>
        <v>66.618721187512676</v>
      </c>
      <c r="W45" s="44">
        <f>100-(N$435-Tabell2[[#This Row],[Befvekst10-T]])*100/N$438</f>
        <v>70.157688995387645</v>
      </c>
      <c r="X45" s="44">
        <f>100-(O$435-Tabell2[[#This Row],[Kvinneandel-T]])*100/O$438</f>
        <v>69.347195757488464</v>
      </c>
      <c r="Y45" s="44">
        <f>(P$435-Tabell2[[#This Row],[Eldreandel-T]])*100/P$438</f>
        <v>37.712394236165913</v>
      </c>
      <c r="Z45" s="44">
        <f>100-(Q$435-Tabell2[[#This Row],[Sysselsettingsvekst10-T]])*100/Q$438</f>
        <v>78.491915870018289</v>
      </c>
      <c r="AA45" s="44">
        <f>100-(R$435-Tabell2[[#This Row],[Yrkesaktivandel-T]])*100/R$438</f>
        <v>12.509000954853391</v>
      </c>
      <c r="AB45" s="44">
        <f>100-(S$435-Tabell2[[#This Row],[Inntekt-T]])*100/S$438</f>
        <v>64.382816748232727</v>
      </c>
      <c r="AC45" s="44">
        <f>Tabell2[[#This Row],[NIBR11-I]]*Vekter!$B$3</f>
        <v>14</v>
      </c>
      <c r="AD45" s="44">
        <f>Tabell2[[#This Row],[ReisetidOslo-I]]*Vekter!$C$3</f>
        <v>8.5769870154715111</v>
      </c>
      <c r="AE45" s="44">
        <f>Tabell2[[#This Row],[Beftettotal-I]]*Vekter!$E$4</f>
        <v>6.6618721187512682</v>
      </c>
      <c r="AF45" s="44">
        <f>Tabell2[[#This Row],[Befvekst10-I]]*Vekter!$F$3</f>
        <v>14.03153779907753</v>
      </c>
      <c r="AG45" s="44">
        <f>Tabell2[[#This Row],[Kvinneandel-I]]*Vekter!$G$3</f>
        <v>3.4673597878744236</v>
      </c>
      <c r="AH45" s="44">
        <f>Tabell2[[#This Row],[Eldreandel-I]]*Vekter!$H$3</f>
        <v>1.8856197118082958</v>
      </c>
      <c r="AI45" s="44">
        <f>Tabell2[[#This Row],[Sysselsettingsvekst10-I]]*Vekter!$I$3</f>
        <v>7.8491915870018296</v>
      </c>
      <c r="AJ45" s="44">
        <f>Tabell2[[#This Row],[Yrkesaktivandel-I]]*Vekter!$K$3</f>
        <v>1.2509000954853393</v>
      </c>
      <c r="AK45" s="44">
        <f>Tabell2[[#This Row],[Inntekt-I]]*Vekter!$M$3</f>
        <v>6.4382816748232727</v>
      </c>
      <c r="AL4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64.16174979029347</v>
      </c>
    </row>
    <row r="46" spans="1:38" s="38" customFormat="1" ht="12.75">
      <c r="A46" s="42" t="s">
        <v>44</v>
      </c>
      <c r="B46" s="38">
        <f>'Rådata-K'!Q46</f>
        <v>4</v>
      </c>
      <c r="C46" s="44">
        <f>'Rådata-K'!P46</f>
        <v>94.007093189000003</v>
      </c>
      <c r="D46" s="41">
        <f>'Rådata-K'!R46</f>
        <v>25.928645642103287</v>
      </c>
      <c r="E46" s="41">
        <f>'Rådata-K'!S46</f>
        <v>4.7001671871549799E-2</v>
      </c>
      <c r="F46" s="41">
        <f>'Rådata-K'!T46</f>
        <v>0.11201831821879425</v>
      </c>
      <c r="G46" s="41">
        <f>'Rådata-K'!U46</f>
        <v>0.14949835798861136</v>
      </c>
      <c r="H46" s="41">
        <f>'Rådata-K'!V46</f>
        <v>1.0656156484928125E-2</v>
      </c>
      <c r="I46" s="41">
        <f>'Rådata-K'!W46</f>
        <v>0.85514579312503258</v>
      </c>
      <c r="J46" s="41">
        <f>'Rådata-K'!O46</f>
        <v>310800</v>
      </c>
      <c r="K46" s="41">
        <f>Tabell2[[#This Row],[NIBR11]]</f>
        <v>4</v>
      </c>
      <c r="L46" s="41">
        <f>IF(Tabell2[[#This Row],[ReisetidOslo]]&lt;=C$433,C$433,IF(Tabell2[[#This Row],[ReisetidOslo]]&gt;=C$434,C$434,Tabell2[[#This Row],[ReisetidOslo]]))</f>
        <v>94.007093189000003</v>
      </c>
      <c r="M46" s="41">
        <f>IF(Tabell2[[#This Row],[Beftettotal]]&lt;=D$433,D$433,IF(Tabell2[[#This Row],[Beftettotal]]&gt;=D$434,D$434,Tabell2[[#This Row],[Beftettotal]]))</f>
        <v>25.928645642103287</v>
      </c>
      <c r="N46" s="41">
        <f>IF(Tabell2[[#This Row],[Befvekst10]]&lt;=E$433,E$433,IF(Tabell2[[#This Row],[Befvekst10]]&gt;=E$434,E$434,Tabell2[[#This Row],[Befvekst10]]))</f>
        <v>4.7001671871549799E-2</v>
      </c>
      <c r="O46" s="41">
        <f>IF(Tabell2[[#This Row],[Kvinneandel]]&lt;=F$433,F$433,IF(Tabell2[[#This Row],[Kvinneandel]]&gt;=F$434,F$434,Tabell2[[#This Row],[Kvinneandel]]))</f>
        <v>0.11201831821879425</v>
      </c>
      <c r="P46" s="41">
        <f>IF(Tabell2[[#This Row],[Eldreandel]]&lt;=G$433,G$433,IF(Tabell2[[#This Row],[Eldreandel]]&gt;=G$434,G$434,Tabell2[[#This Row],[Eldreandel]]))</f>
        <v>0.14949835798861136</v>
      </c>
      <c r="Q46" s="41">
        <f>IF(Tabell2[[#This Row],[Sysselsettingsvekst10]]&lt;=H$433,H$433,IF(Tabell2[[#This Row],[Sysselsettingsvekst10]]&gt;=H$434,H$434,Tabell2[[#This Row],[Sysselsettingsvekst10]]))</f>
        <v>1.0656156484928125E-2</v>
      </c>
      <c r="R46" s="41">
        <f>IF(Tabell2[[#This Row],[Yrkesaktivandel]]&lt;=I$433,I$433,IF(Tabell2[[#This Row],[Yrkesaktivandel]]&gt;=I$434,I$434,Tabell2[[#This Row],[Yrkesaktivandel]]))</f>
        <v>0.85514579312503258</v>
      </c>
      <c r="S46" s="41">
        <f>IF(Tabell2[[#This Row],[Inntekt]]&lt;=J$433,J$433,IF(Tabell2[[#This Row],[Inntekt]]&gt;=J$434,J$434,Tabell2[[#This Row],[Inntekt]]))</f>
        <v>310800</v>
      </c>
      <c r="T46" s="44">
        <f>IF(Tabell2[[#This Row],[NIBR11-T]]&lt;=K$436,100,IF(Tabell2[[#This Row],[NIBR11-T]]&gt;=K$435,0,100*(K$435-Tabell2[[#This Row],[NIBR11-T]])/K$438))</f>
        <v>70</v>
      </c>
      <c r="U46" s="44">
        <f>(L$435-Tabell2[[#This Row],[ReisetidOslo-T]])*100/L$438</f>
        <v>82.152383256583434</v>
      </c>
      <c r="V46" s="44">
        <f>100-(M$435-Tabell2[[#This Row],[Beftettotal-T]])*100/M$438</f>
        <v>20.129405100833537</v>
      </c>
      <c r="W46" s="44">
        <f>100-(N$435-Tabell2[[#This Row],[Befvekst10-T]])*100/N$438</f>
        <v>57.475299649320014</v>
      </c>
      <c r="X46" s="44">
        <f>100-(O$435-Tabell2[[#This Row],[Kvinneandel-T]])*100/O$438</f>
        <v>55.551555046896425</v>
      </c>
      <c r="Y46" s="44">
        <f>(P$435-Tabell2[[#This Row],[Eldreandel-T]])*100/P$438</f>
        <v>58.216801015161629</v>
      </c>
      <c r="Z46" s="44">
        <f>100-(Q$435-Tabell2[[#This Row],[Sysselsettingsvekst10-T]])*100/Q$438</f>
        <v>30.23229442050328</v>
      </c>
      <c r="AA46" s="44">
        <f>100-(R$435-Tabell2[[#This Row],[Yrkesaktivandel-T]])*100/R$438</f>
        <v>21.444683123614411</v>
      </c>
      <c r="AB46" s="44">
        <f>100-(S$435-Tabell2[[#This Row],[Inntekt-T]])*100/S$438</f>
        <v>25.367047308319741</v>
      </c>
      <c r="AC46" s="44">
        <f>Tabell2[[#This Row],[NIBR11-I]]*Vekter!$B$3</f>
        <v>14</v>
      </c>
      <c r="AD46" s="44">
        <f>Tabell2[[#This Row],[ReisetidOslo-I]]*Vekter!$C$3</f>
        <v>8.2152383256583441</v>
      </c>
      <c r="AE46" s="44">
        <f>Tabell2[[#This Row],[Beftettotal-I]]*Vekter!$E$4</f>
        <v>2.0129405100833537</v>
      </c>
      <c r="AF46" s="44">
        <f>Tabell2[[#This Row],[Befvekst10-I]]*Vekter!$F$3</f>
        <v>11.495059929864004</v>
      </c>
      <c r="AG46" s="44">
        <f>Tabell2[[#This Row],[Kvinneandel-I]]*Vekter!$G$3</f>
        <v>2.7775777523448215</v>
      </c>
      <c r="AH46" s="44">
        <f>Tabell2[[#This Row],[Eldreandel-I]]*Vekter!$H$3</f>
        <v>2.9108400507580816</v>
      </c>
      <c r="AI46" s="44">
        <f>Tabell2[[#This Row],[Sysselsettingsvekst10-I]]*Vekter!$I$3</f>
        <v>3.0232294420503281</v>
      </c>
      <c r="AJ46" s="44">
        <f>Tabell2[[#This Row],[Yrkesaktivandel-I]]*Vekter!$K$3</f>
        <v>2.144468312361441</v>
      </c>
      <c r="AK46" s="44">
        <f>Tabell2[[#This Row],[Inntekt-I]]*Vekter!$M$3</f>
        <v>2.5367047308319743</v>
      </c>
      <c r="AL4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49.116059053952341</v>
      </c>
    </row>
    <row r="47" spans="1:38" s="38" customFormat="1" ht="12.75">
      <c r="A47" s="42" t="s">
        <v>45</v>
      </c>
      <c r="B47" s="38">
        <f>'Rådata-K'!Q47</f>
        <v>4</v>
      </c>
      <c r="C47" s="44">
        <f>'Rådata-K'!P47</f>
        <v>83.563753144200007</v>
      </c>
      <c r="D47" s="41">
        <f>'Rådata-K'!R47</f>
        <v>20.238739714161976</v>
      </c>
      <c r="E47" s="41">
        <f>'Rådata-K'!S47</f>
        <v>2.5370268787712646E-2</v>
      </c>
      <c r="F47" s="41">
        <f>'Rådata-K'!T47</f>
        <v>0.11488564932459543</v>
      </c>
      <c r="G47" s="41">
        <f>'Rådata-K'!U47</f>
        <v>0.15514243680620571</v>
      </c>
      <c r="H47" s="41">
        <f>'Rådata-K'!V47</f>
        <v>-3.7499999999999978E-2</v>
      </c>
      <c r="I47" s="41">
        <f>'Rådata-K'!W47</f>
        <v>0.84218928164196127</v>
      </c>
      <c r="J47" s="41">
        <f>'Rådata-K'!O47</f>
        <v>303900</v>
      </c>
      <c r="K47" s="41">
        <f>Tabell2[[#This Row],[NIBR11]]</f>
        <v>4</v>
      </c>
      <c r="L47" s="41">
        <f>IF(Tabell2[[#This Row],[ReisetidOslo]]&lt;=C$433,C$433,IF(Tabell2[[#This Row],[ReisetidOslo]]&gt;=C$434,C$434,Tabell2[[#This Row],[ReisetidOslo]]))</f>
        <v>83.563753144200007</v>
      </c>
      <c r="M47" s="41">
        <f>IF(Tabell2[[#This Row],[Beftettotal]]&lt;=D$433,D$433,IF(Tabell2[[#This Row],[Beftettotal]]&gt;=D$434,D$434,Tabell2[[#This Row],[Beftettotal]]))</f>
        <v>20.238739714161976</v>
      </c>
      <c r="N47" s="41">
        <f>IF(Tabell2[[#This Row],[Befvekst10]]&lt;=E$433,E$433,IF(Tabell2[[#This Row],[Befvekst10]]&gt;=E$434,E$434,Tabell2[[#This Row],[Befvekst10]]))</f>
        <v>2.5370268787712646E-2</v>
      </c>
      <c r="O47" s="41">
        <f>IF(Tabell2[[#This Row],[Kvinneandel]]&lt;=F$433,F$433,IF(Tabell2[[#This Row],[Kvinneandel]]&gt;=F$434,F$434,Tabell2[[#This Row],[Kvinneandel]]))</f>
        <v>0.11488564932459543</v>
      </c>
      <c r="P47" s="41">
        <f>IF(Tabell2[[#This Row],[Eldreandel]]&lt;=G$433,G$433,IF(Tabell2[[#This Row],[Eldreandel]]&gt;=G$434,G$434,Tabell2[[#This Row],[Eldreandel]]))</f>
        <v>0.15514243680620571</v>
      </c>
      <c r="Q47" s="41">
        <f>IF(Tabell2[[#This Row],[Sysselsettingsvekst10]]&lt;=H$433,H$433,IF(Tabell2[[#This Row],[Sysselsettingsvekst10]]&gt;=H$434,H$434,Tabell2[[#This Row],[Sysselsettingsvekst10]]))</f>
        <v>-3.7499999999999978E-2</v>
      </c>
      <c r="R47" s="41">
        <f>IF(Tabell2[[#This Row],[Yrkesaktivandel]]&lt;=I$433,I$433,IF(Tabell2[[#This Row],[Yrkesaktivandel]]&gt;=I$434,I$434,Tabell2[[#This Row],[Yrkesaktivandel]]))</f>
        <v>0.84218928164196127</v>
      </c>
      <c r="S47" s="41">
        <f>IF(Tabell2[[#This Row],[Inntekt]]&lt;=J$433,J$433,IF(Tabell2[[#This Row],[Inntekt]]&gt;=J$434,J$434,Tabell2[[#This Row],[Inntekt]]))</f>
        <v>303900</v>
      </c>
      <c r="T47" s="44">
        <f>IF(Tabell2[[#This Row],[NIBR11-T]]&lt;=K$436,100,IF(Tabell2[[#This Row],[NIBR11-T]]&gt;=K$435,0,100*(K$435-Tabell2[[#This Row],[NIBR11-T]])/K$438))</f>
        <v>70</v>
      </c>
      <c r="U47" s="44">
        <f>(L$435-Tabell2[[#This Row],[ReisetidOslo-T]])*100/L$438</f>
        <v>86.78871025037229</v>
      </c>
      <c r="V47" s="44">
        <f>100-(M$435-Tabell2[[#This Row],[Beftettotal-T]])*100/M$438</f>
        <v>15.475023289053311</v>
      </c>
      <c r="W47" s="44">
        <f>100-(N$435-Tabell2[[#This Row],[Befvekst10-T]])*100/N$438</f>
        <v>48.526066373891695</v>
      </c>
      <c r="X47" s="44">
        <f>100-(O$435-Tabell2[[#This Row],[Kvinneandel-T]])*100/O$438</f>
        <v>63.397895129727367</v>
      </c>
      <c r="Y47" s="44">
        <f>(P$435-Tabell2[[#This Row],[Eldreandel-T]])*100/P$438</f>
        <v>51.571487157104386</v>
      </c>
      <c r="Z47" s="44">
        <f>100-(Q$435-Tabell2[[#This Row],[Sysselsettingsvekst10-T]])*100/Q$438</f>
        <v>16.073561945488024</v>
      </c>
      <c r="AA47" s="44">
        <f>100-(R$435-Tabell2[[#This Row],[Yrkesaktivandel-T]])*100/R$438</f>
        <v>11.76899862530847</v>
      </c>
      <c r="AB47" s="44">
        <f>100-(S$435-Tabell2[[#This Row],[Inntekt-T]])*100/S$438</f>
        <v>15.986949429037523</v>
      </c>
      <c r="AC47" s="44">
        <f>Tabell2[[#This Row],[NIBR11-I]]*Vekter!$B$3</f>
        <v>14</v>
      </c>
      <c r="AD47" s="44">
        <f>Tabell2[[#This Row],[ReisetidOslo-I]]*Vekter!$C$3</f>
        <v>8.6788710250372301</v>
      </c>
      <c r="AE47" s="44">
        <f>Tabell2[[#This Row],[Beftettotal-I]]*Vekter!$E$4</f>
        <v>1.5475023289053311</v>
      </c>
      <c r="AF47" s="44">
        <f>Tabell2[[#This Row],[Befvekst10-I]]*Vekter!$F$3</f>
        <v>9.7052132747783393</v>
      </c>
      <c r="AG47" s="44">
        <f>Tabell2[[#This Row],[Kvinneandel-I]]*Vekter!$G$3</f>
        <v>3.1698947564863684</v>
      </c>
      <c r="AH47" s="44">
        <f>Tabell2[[#This Row],[Eldreandel-I]]*Vekter!$H$3</f>
        <v>2.5785743578552194</v>
      </c>
      <c r="AI47" s="44">
        <f>Tabell2[[#This Row],[Sysselsettingsvekst10-I]]*Vekter!$I$3</f>
        <v>1.6073561945488024</v>
      </c>
      <c r="AJ47" s="44">
        <f>Tabell2[[#This Row],[Yrkesaktivandel-I]]*Vekter!$K$3</f>
        <v>1.1768998625308471</v>
      </c>
      <c r="AK47" s="44">
        <f>Tabell2[[#This Row],[Inntekt-I]]*Vekter!$M$3</f>
        <v>1.5986949429037525</v>
      </c>
      <c r="AL4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44.063006743045889</v>
      </c>
    </row>
    <row r="48" spans="1:38" s="38" customFormat="1" ht="12.75">
      <c r="A48" s="42" t="s">
        <v>46</v>
      </c>
      <c r="B48" s="38">
        <f>'Rådata-K'!Q48</f>
        <v>4</v>
      </c>
      <c r="C48" s="44">
        <f>'Rådata-K'!P48</f>
        <v>75.839419938399999</v>
      </c>
      <c r="D48" s="41">
        <f>'Rådata-K'!R48</f>
        <v>26.495278069254987</v>
      </c>
      <c r="E48" s="41">
        <f>'Rådata-K'!S48</f>
        <v>6.4337215751525179E-2</v>
      </c>
      <c r="F48" s="41">
        <f>'Rådata-K'!T48</f>
        <v>0.11047420531526837</v>
      </c>
      <c r="G48" s="41">
        <f>'Rådata-K'!U48</f>
        <v>0.15461177696717041</v>
      </c>
      <c r="H48" s="41">
        <f>'Rådata-K'!V48</f>
        <v>0.10435497124075588</v>
      </c>
      <c r="I48" s="41">
        <f>'Rådata-K'!W48</f>
        <v>0.83719052744886979</v>
      </c>
      <c r="J48" s="41">
        <f>'Rådata-K'!O48</f>
        <v>313900</v>
      </c>
      <c r="K48" s="41">
        <f>Tabell2[[#This Row],[NIBR11]]</f>
        <v>4</v>
      </c>
      <c r="L48" s="41">
        <f>IF(Tabell2[[#This Row],[ReisetidOslo]]&lt;=C$433,C$433,IF(Tabell2[[#This Row],[ReisetidOslo]]&gt;=C$434,C$434,Tabell2[[#This Row],[ReisetidOslo]]))</f>
        <v>75.839419938399999</v>
      </c>
      <c r="M48" s="41">
        <f>IF(Tabell2[[#This Row],[Beftettotal]]&lt;=D$433,D$433,IF(Tabell2[[#This Row],[Beftettotal]]&gt;=D$434,D$434,Tabell2[[#This Row],[Beftettotal]]))</f>
        <v>26.495278069254987</v>
      </c>
      <c r="N48" s="41">
        <f>IF(Tabell2[[#This Row],[Befvekst10]]&lt;=E$433,E$433,IF(Tabell2[[#This Row],[Befvekst10]]&gt;=E$434,E$434,Tabell2[[#This Row],[Befvekst10]]))</f>
        <v>6.4337215751525179E-2</v>
      </c>
      <c r="O48" s="41">
        <f>IF(Tabell2[[#This Row],[Kvinneandel]]&lt;=F$433,F$433,IF(Tabell2[[#This Row],[Kvinneandel]]&gt;=F$434,F$434,Tabell2[[#This Row],[Kvinneandel]]))</f>
        <v>0.11047420531526837</v>
      </c>
      <c r="P48" s="41">
        <f>IF(Tabell2[[#This Row],[Eldreandel]]&lt;=G$433,G$433,IF(Tabell2[[#This Row],[Eldreandel]]&gt;=G$434,G$434,Tabell2[[#This Row],[Eldreandel]]))</f>
        <v>0.15461177696717041</v>
      </c>
      <c r="Q48" s="41">
        <f>IF(Tabell2[[#This Row],[Sysselsettingsvekst10]]&lt;=H$433,H$433,IF(Tabell2[[#This Row],[Sysselsettingsvekst10]]&gt;=H$434,H$434,Tabell2[[#This Row],[Sysselsettingsvekst10]]))</f>
        <v>0.10435497124075588</v>
      </c>
      <c r="R48" s="41">
        <f>IF(Tabell2[[#This Row],[Yrkesaktivandel]]&lt;=I$433,I$433,IF(Tabell2[[#This Row],[Yrkesaktivandel]]&gt;=I$434,I$434,Tabell2[[#This Row],[Yrkesaktivandel]]))</f>
        <v>0.83719052744886979</v>
      </c>
      <c r="S48" s="41">
        <f>IF(Tabell2[[#This Row],[Inntekt]]&lt;=J$433,J$433,IF(Tabell2[[#This Row],[Inntekt]]&gt;=J$434,J$434,Tabell2[[#This Row],[Inntekt]]))</f>
        <v>313900</v>
      </c>
      <c r="T48" s="44">
        <f>IF(Tabell2[[#This Row],[NIBR11-T]]&lt;=K$436,100,IF(Tabell2[[#This Row],[NIBR11-T]]&gt;=K$435,0,100*(K$435-Tabell2[[#This Row],[NIBR11-T]])/K$438))</f>
        <v>70</v>
      </c>
      <c r="U48" s="44">
        <f>(L$435-Tabell2[[#This Row],[ReisetidOslo-T]])*100/L$438</f>
        <v>90.217932548740549</v>
      </c>
      <c r="V48" s="44">
        <f>100-(M$435-Tabell2[[#This Row],[Beftettotal-T]])*100/M$438</f>
        <v>20.592914286450934</v>
      </c>
      <c r="W48" s="44">
        <f>100-(N$435-Tabell2[[#This Row],[Befvekst10-T]])*100/N$438</f>
        <v>64.647272060774128</v>
      </c>
      <c r="X48" s="44">
        <f>100-(O$435-Tabell2[[#This Row],[Kvinneandel-T]])*100/O$438</f>
        <v>51.326150124932845</v>
      </c>
      <c r="Y48" s="44">
        <f>(P$435-Tabell2[[#This Row],[Eldreandel-T]])*100/P$438</f>
        <v>52.196283744151117</v>
      </c>
      <c r="Z48" s="44">
        <f>100-(Q$435-Tabell2[[#This Row],[Sysselsettingsvekst10-T]])*100/Q$438</f>
        <v>57.781346259160593</v>
      </c>
      <c r="AA48" s="44">
        <f>100-(R$435-Tabell2[[#This Row],[Yrkesaktivandel-T]])*100/R$438</f>
        <v>8.0360209237001641</v>
      </c>
      <c r="AB48" s="44">
        <f>100-(S$435-Tabell2[[#This Row],[Inntekt-T]])*100/S$438</f>
        <v>29.58129418162045</v>
      </c>
      <c r="AC48" s="44">
        <f>Tabell2[[#This Row],[NIBR11-I]]*Vekter!$B$3</f>
        <v>14</v>
      </c>
      <c r="AD48" s="44">
        <f>Tabell2[[#This Row],[ReisetidOslo-I]]*Vekter!$C$3</f>
        <v>9.0217932548740549</v>
      </c>
      <c r="AE48" s="44">
        <f>Tabell2[[#This Row],[Beftettotal-I]]*Vekter!$E$4</f>
        <v>2.0592914286450936</v>
      </c>
      <c r="AF48" s="44">
        <f>Tabell2[[#This Row],[Befvekst10-I]]*Vekter!$F$3</f>
        <v>12.929454412154826</v>
      </c>
      <c r="AG48" s="44">
        <f>Tabell2[[#This Row],[Kvinneandel-I]]*Vekter!$G$3</f>
        <v>2.5663075062466425</v>
      </c>
      <c r="AH48" s="44">
        <f>Tabell2[[#This Row],[Eldreandel-I]]*Vekter!$H$3</f>
        <v>2.6098141872075562</v>
      </c>
      <c r="AI48" s="44">
        <f>Tabell2[[#This Row],[Sysselsettingsvekst10-I]]*Vekter!$I$3</f>
        <v>5.77813462591606</v>
      </c>
      <c r="AJ48" s="44">
        <f>Tabell2[[#This Row],[Yrkesaktivandel-I]]*Vekter!$K$3</f>
        <v>0.80360209237001645</v>
      </c>
      <c r="AK48" s="44">
        <f>Tabell2[[#This Row],[Inntekt-I]]*Vekter!$M$3</f>
        <v>2.958129418162045</v>
      </c>
      <c r="AL4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52.726526925576295</v>
      </c>
    </row>
    <row r="49" spans="1:38" s="38" customFormat="1" ht="12.75">
      <c r="A49" s="42" t="s">
        <v>47</v>
      </c>
      <c r="B49" s="38">
        <f>'Rådata-K'!Q49</f>
        <v>5</v>
      </c>
      <c r="C49" s="44">
        <f>'Rådata-K'!P49</f>
        <v>67.4462787752</v>
      </c>
      <c r="D49" s="41">
        <f>'Rådata-K'!R49</f>
        <v>10.117290510489235</v>
      </c>
      <c r="E49" s="41">
        <f>'Rådata-K'!S49</f>
        <v>1.5004935834155964E-2</v>
      </c>
      <c r="F49" s="41">
        <f>'Rådata-K'!T49</f>
        <v>9.7257342929391172E-2</v>
      </c>
      <c r="G49" s="41">
        <f>'Rådata-K'!U49</f>
        <v>0.18342734876483174</v>
      </c>
      <c r="H49" s="41">
        <f>'Rådata-K'!V49</f>
        <v>7.950651130911579E-2</v>
      </c>
      <c r="I49" s="41">
        <f>'Rådata-K'!W49</f>
        <v>0.80824250681198906</v>
      </c>
      <c r="J49" s="41">
        <f>'Rådata-K'!O49</f>
        <v>292500</v>
      </c>
      <c r="K49" s="41">
        <f>Tabell2[[#This Row],[NIBR11]]</f>
        <v>5</v>
      </c>
      <c r="L49" s="41">
        <f>IF(Tabell2[[#This Row],[ReisetidOslo]]&lt;=C$433,C$433,IF(Tabell2[[#This Row],[ReisetidOslo]]&gt;=C$434,C$434,Tabell2[[#This Row],[ReisetidOslo]]))</f>
        <v>67.4462787752</v>
      </c>
      <c r="M49" s="41">
        <f>IF(Tabell2[[#This Row],[Beftettotal]]&lt;=D$433,D$433,IF(Tabell2[[#This Row],[Beftettotal]]&gt;=D$434,D$434,Tabell2[[#This Row],[Beftettotal]]))</f>
        <v>10.117290510489235</v>
      </c>
      <c r="N49" s="41">
        <f>IF(Tabell2[[#This Row],[Befvekst10]]&lt;=E$433,E$433,IF(Tabell2[[#This Row],[Befvekst10]]&gt;=E$434,E$434,Tabell2[[#This Row],[Befvekst10]]))</f>
        <v>1.5004935834155964E-2</v>
      </c>
      <c r="O49" s="41">
        <f>IF(Tabell2[[#This Row],[Kvinneandel]]&lt;=F$433,F$433,IF(Tabell2[[#This Row],[Kvinneandel]]&gt;=F$434,F$434,Tabell2[[#This Row],[Kvinneandel]]))</f>
        <v>9.7257342929391172E-2</v>
      </c>
      <c r="P49" s="41">
        <f>IF(Tabell2[[#This Row],[Eldreandel]]&lt;=G$433,G$433,IF(Tabell2[[#This Row],[Eldreandel]]&gt;=G$434,G$434,Tabell2[[#This Row],[Eldreandel]]))</f>
        <v>0.18342734876483174</v>
      </c>
      <c r="Q49" s="41">
        <f>IF(Tabell2[[#This Row],[Sysselsettingsvekst10]]&lt;=H$433,H$433,IF(Tabell2[[#This Row],[Sysselsettingsvekst10]]&gt;=H$434,H$434,Tabell2[[#This Row],[Sysselsettingsvekst10]]))</f>
        <v>7.950651130911579E-2</v>
      </c>
      <c r="R49" s="41">
        <f>IF(Tabell2[[#This Row],[Yrkesaktivandel]]&lt;=I$433,I$433,IF(Tabell2[[#This Row],[Yrkesaktivandel]]&gt;=I$434,I$434,Tabell2[[#This Row],[Yrkesaktivandel]]))</f>
        <v>0.82642965596795781</v>
      </c>
      <c r="S49" s="41">
        <f>IF(Tabell2[[#This Row],[Inntekt]]&lt;=J$433,J$433,IF(Tabell2[[#This Row],[Inntekt]]&gt;=J$434,J$434,Tabell2[[#This Row],[Inntekt]]))</f>
        <v>292500</v>
      </c>
      <c r="T49" s="44">
        <f>IF(Tabell2[[#This Row],[NIBR11-T]]&lt;=K$436,100,IF(Tabell2[[#This Row],[NIBR11-T]]&gt;=K$435,0,100*(K$435-Tabell2[[#This Row],[NIBR11-T]])/K$438))</f>
        <v>60</v>
      </c>
      <c r="U49" s="44">
        <f>(L$435-Tabell2[[#This Row],[ReisetidOslo-T]])*100/L$438</f>
        <v>93.944072535631108</v>
      </c>
      <c r="V49" s="44">
        <f>100-(M$435-Tabell2[[#This Row],[Beftettotal-T]])*100/M$438</f>
        <v>7.1956088876492288</v>
      </c>
      <c r="W49" s="44">
        <f>100-(N$435-Tabell2[[#This Row],[Befvekst10-T]])*100/N$438</f>
        <v>44.237773921509159</v>
      </c>
      <c r="X49" s="44">
        <f>100-(O$435-Tabell2[[#This Row],[Kvinneandel-T]])*100/O$438</f>
        <v>15.158720106908319</v>
      </c>
      <c r="Y49" s="44">
        <f>(P$435-Tabell2[[#This Row],[Eldreandel-T]])*100/P$438</f>
        <v>18.268954806448612</v>
      </c>
      <c r="Z49" s="44">
        <f>100-(Q$435-Tabell2[[#This Row],[Sysselsettingsvekst10-T]])*100/Q$438</f>
        <v>50.475474647535158</v>
      </c>
      <c r="AA49" s="44">
        <f>100-(R$435-Tabell2[[#This Row],[Yrkesaktivandel-T]])*100/R$438</f>
        <v>0</v>
      </c>
      <c r="AB49" s="44">
        <f>100-(S$435-Tabell2[[#This Row],[Inntekt-T]])*100/S$438</f>
        <v>0.48939641109298293</v>
      </c>
      <c r="AC49" s="44">
        <f>Tabell2[[#This Row],[NIBR11-I]]*Vekter!$B$3</f>
        <v>12</v>
      </c>
      <c r="AD49" s="44">
        <f>Tabell2[[#This Row],[ReisetidOslo-I]]*Vekter!$C$3</f>
        <v>9.3944072535631111</v>
      </c>
      <c r="AE49" s="44">
        <f>Tabell2[[#This Row],[Beftettotal-I]]*Vekter!$E$4</f>
        <v>0.71956088876492297</v>
      </c>
      <c r="AF49" s="44">
        <f>Tabell2[[#This Row],[Befvekst10-I]]*Vekter!$F$3</f>
        <v>8.847554784301833</v>
      </c>
      <c r="AG49" s="44">
        <f>Tabell2[[#This Row],[Kvinneandel-I]]*Vekter!$G$3</f>
        <v>0.75793600534541605</v>
      </c>
      <c r="AH49" s="44">
        <f>Tabell2[[#This Row],[Eldreandel-I]]*Vekter!$H$3</f>
        <v>0.91344774032243059</v>
      </c>
      <c r="AI49" s="44">
        <f>Tabell2[[#This Row],[Sysselsettingsvekst10-I]]*Vekter!$I$3</f>
        <v>5.0475474647535163</v>
      </c>
      <c r="AJ49" s="44">
        <f>Tabell2[[#This Row],[Yrkesaktivandel-I]]*Vekter!$K$3</f>
        <v>0</v>
      </c>
      <c r="AK49" s="44">
        <f>Tabell2[[#This Row],[Inntekt-I]]*Vekter!$M$3</f>
        <v>4.8939641109298299E-2</v>
      </c>
      <c r="AL4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37.729393778160528</v>
      </c>
    </row>
    <row r="50" spans="1:38" s="38" customFormat="1" ht="12.75">
      <c r="A50" s="42" t="s">
        <v>48</v>
      </c>
      <c r="B50" s="38">
        <f>'Rådata-K'!Q50</f>
        <v>5</v>
      </c>
      <c r="C50" s="44">
        <f>'Rådata-K'!P50</f>
        <v>55.4003094698</v>
      </c>
      <c r="D50" s="41">
        <f>'Rådata-K'!R50</f>
        <v>15.208809072260712</v>
      </c>
      <c r="E50" s="41">
        <f>'Rådata-K'!S50</f>
        <v>4.7726969737368341E-2</v>
      </c>
      <c r="F50" s="41">
        <f>'Rådata-K'!T50</f>
        <v>0.11133732026975442</v>
      </c>
      <c r="G50" s="41">
        <f>'Rådata-K'!U50</f>
        <v>0.15205496882555034</v>
      </c>
      <c r="H50" s="41">
        <f>'Rådata-K'!V50</f>
        <v>-9.2669958222559856E-2</v>
      </c>
      <c r="I50" s="41">
        <f>'Rådata-K'!W50</f>
        <v>0.8279339197597082</v>
      </c>
      <c r="J50" s="41">
        <f>'Rådata-K'!O50</f>
        <v>311400</v>
      </c>
      <c r="K50" s="41">
        <f>Tabell2[[#This Row],[NIBR11]]</f>
        <v>5</v>
      </c>
      <c r="L50" s="41">
        <f>IF(Tabell2[[#This Row],[ReisetidOslo]]&lt;=C$433,C$433,IF(Tabell2[[#This Row],[ReisetidOslo]]&gt;=C$434,C$434,Tabell2[[#This Row],[ReisetidOslo]]))</f>
        <v>55.4003094698</v>
      </c>
      <c r="M50" s="41">
        <f>IF(Tabell2[[#This Row],[Beftettotal]]&lt;=D$433,D$433,IF(Tabell2[[#This Row],[Beftettotal]]&gt;=D$434,D$434,Tabell2[[#This Row],[Beftettotal]]))</f>
        <v>15.208809072260712</v>
      </c>
      <c r="N50" s="41">
        <f>IF(Tabell2[[#This Row],[Befvekst10]]&lt;=E$433,E$433,IF(Tabell2[[#This Row],[Befvekst10]]&gt;=E$434,E$434,Tabell2[[#This Row],[Befvekst10]]))</f>
        <v>4.7726969737368341E-2</v>
      </c>
      <c r="O50" s="41">
        <f>IF(Tabell2[[#This Row],[Kvinneandel]]&lt;=F$433,F$433,IF(Tabell2[[#This Row],[Kvinneandel]]&gt;=F$434,F$434,Tabell2[[#This Row],[Kvinneandel]]))</f>
        <v>0.11133732026975442</v>
      </c>
      <c r="P50" s="41">
        <f>IF(Tabell2[[#This Row],[Eldreandel]]&lt;=G$433,G$433,IF(Tabell2[[#This Row],[Eldreandel]]&gt;=G$434,G$434,Tabell2[[#This Row],[Eldreandel]]))</f>
        <v>0.15205496882555034</v>
      </c>
      <c r="Q50" s="41">
        <f>IF(Tabell2[[#This Row],[Sysselsettingsvekst10]]&lt;=H$433,H$433,IF(Tabell2[[#This Row],[Sysselsettingsvekst10]]&gt;=H$434,H$434,Tabell2[[#This Row],[Sysselsettingsvekst10]]))</f>
        <v>-9.2168803558721979E-2</v>
      </c>
      <c r="R50" s="41">
        <f>IF(Tabell2[[#This Row],[Yrkesaktivandel]]&lt;=I$433,I$433,IF(Tabell2[[#This Row],[Yrkesaktivandel]]&gt;=I$434,I$434,Tabell2[[#This Row],[Yrkesaktivandel]]))</f>
        <v>0.8279339197597082</v>
      </c>
      <c r="S50" s="41">
        <f>IF(Tabell2[[#This Row],[Inntekt]]&lt;=J$433,J$433,IF(Tabell2[[#This Row],[Inntekt]]&gt;=J$434,J$434,Tabell2[[#This Row],[Inntekt]]))</f>
        <v>311400</v>
      </c>
      <c r="T50" s="44">
        <f>IF(Tabell2[[#This Row],[NIBR11-T]]&lt;=K$436,100,IF(Tabell2[[#This Row],[NIBR11-T]]&gt;=K$435,0,100*(K$435-Tabell2[[#This Row],[NIBR11-T]])/K$438))</f>
        <v>60</v>
      </c>
      <c r="U50" s="44">
        <f>(L$435-Tabell2[[#This Row],[ReisetidOslo-T]])*100/L$438</f>
        <v>99.291887738180861</v>
      </c>
      <c r="V50" s="44">
        <f>100-(M$435-Tabell2[[#This Row],[Beftettotal-T]])*100/M$438</f>
        <v>11.360505757363327</v>
      </c>
      <c r="W50" s="44">
        <f>100-(N$435-Tabell2[[#This Row],[Befvekst10-T]])*100/N$438</f>
        <v>57.775366166976013</v>
      </c>
      <c r="X50" s="44">
        <f>100-(O$435-Tabell2[[#This Row],[Kvinneandel-T]])*100/O$438</f>
        <v>53.688030638059828</v>
      </c>
      <c r="Y50" s="44">
        <f>(P$435-Tabell2[[#This Row],[Eldreandel-T]])*100/P$438</f>
        <v>55.206658532493172</v>
      </c>
      <c r="Z50" s="44">
        <f>100-(Q$435-Tabell2[[#This Row],[Sysselsettingsvekst10-T]])*100/Q$438</f>
        <v>0</v>
      </c>
      <c r="AA50" s="44">
        <f>100-(R$435-Tabell2[[#This Row],[Yrkesaktivandel-T]])*100/R$438</f>
        <v>1.1233565354547181</v>
      </c>
      <c r="AB50" s="44">
        <f>100-(S$435-Tabell2[[#This Row],[Inntekt-T]])*100/S$438</f>
        <v>26.182707993474708</v>
      </c>
      <c r="AC50" s="44">
        <f>Tabell2[[#This Row],[NIBR11-I]]*Vekter!$B$3</f>
        <v>12</v>
      </c>
      <c r="AD50" s="44">
        <f>Tabell2[[#This Row],[ReisetidOslo-I]]*Vekter!$C$3</f>
        <v>9.9291887738180868</v>
      </c>
      <c r="AE50" s="44">
        <f>Tabell2[[#This Row],[Beftettotal-I]]*Vekter!$E$4</f>
        <v>1.1360505757363328</v>
      </c>
      <c r="AF50" s="44">
        <f>Tabell2[[#This Row],[Befvekst10-I]]*Vekter!$F$3</f>
        <v>11.555073233395204</v>
      </c>
      <c r="AG50" s="44">
        <f>Tabell2[[#This Row],[Kvinneandel-I]]*Vekter!$G$3</f>
        <v>2.6844015319029917</v>
      </c>
      <c r="AH50" s="44">
        <f>Tabell2[[#This Row],[Eldreandel-I]]*Vekter!$H$3</f>
        <v>2.7603329266246588</v>
      </c>
      <c r="AI50" s="44">
        <f>Tabell2[[#This Row],[Sysselsettingsvekst10-I]]*Vekter!$I$3</f>
        <v>0</v>
      </c>
      <c r="AJ50" s="44">
        <f>Tabell2[[#This Row],[Yrkesaktivandel-I]]*Vekter!$K$3</f>
        <v>0.11233565354547181</v>
      </c>
      <c r="AK50" s="44">
        <f>Tabell2[[#This Row],[Inntekt-I]]*Vekter!$M$3</f>
        <v>2.6182707993474708</v>
      </c>
      <c r="AL5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42.795653494370214</v>
      </c>
    </row>
    <row r="51" spans="1:38" s="38" customFormat="1" ht="12.75">
      <c r="A51" s="42" t="s">
        <v>49</v>
      </c>
      <c r="B51" s="38">
        <f>'Rådata-K'!Q51</f>
        <v>5</v>
      </c>
      <c r="C51" s="44">
        <f>'Rådata-K'!P51</f>
        <v>78.382385675799995</v>
      </c>
      <c r="D51" s="41">
        <f>'Rådata-K'!R51</f>
        <v>9.8190165367978892</v>
      </c>
      <c r="E51" s="41">
        <f>'Rådata-K'!S51</f>
        <v>-2.1931871208586085E-2</v>
      </c>
      <c r="F51" s="41">
        <f>'Rådata-K'!T51</f>
        <v>9.5419847328244281E-2</v>
      </c>
      <c r="G51" s="41">
        <f>'Rådata-K'!U51</f>
        <v>0.18320610687022901</v>
      </c>
      <c r="H51" s="41">
        <f>'Rådata-K'!V51</f>
        <v>2.6016260162601723E-2</v>
      </c>
      <c r="I51" s="41">
        <f>'Rådata-K'!W51</f>
        <v>0.78106508875739644</v>
      </c>
      <c r="J51" s="41">
        <f>'Rådata-K'!O51</f>
        <v>281200</v>
      </c>
      <c r="K51" s="41">
        <f>Tabell2[[#This Row],[NIBR11]]</f>
        <v>5</v>
      </c>
      <c r="L51" s="41">
        <f>IF(Tabell2[[#This Row],[ReisetidOslo]]&lt;=C$433,C$433,IF(Tabell2[[#This Row],[ReisetidOslo]]&gt;=C$434,C$434,Tabell2[[#This Row],[ReisetidOslo]]))</f>
        <v>78.382385675799995</v>
      </c>
      <c r="M51" s="41">
        <f>IF(Tabell2[[#This Row],[Beftettotal]]&lt;=D$433,D$433,IF(Tabell2[[#This Row],[Beftettotal]]&gt;=D$434,D$434,Tabell2[[#This Row],[Beftettotal]]))</f>
        <v>9.8190165367978892</v>
      </c>
      <c r="N51" s="41">
        <f>IF(Tabell2[[#This Row],[Befvekst10]]&lt;=E$433,E$433,IF(Tabell2[[#This Row],[Befvekst10]]&gt;=E$434,E$434,Tabell2[[#This Row],[Befvekst10]]))</f>
        <v>-2.1931871208586085E-2</v>
      </c>
      <c r="O51" s="41">
        <f>IF(Tabell2[[#This Row],[Kvinneandel]]&lt;=F$433,F$433,IF(Tabell2[[#This Row],[Kvinneandel]]&gt;=F$434,F$434,Tabell2[[#This Row],[Kvinneandel]]))</f>
        <v>9.5419847328244281E-2</v>
      </c>
      <c r="P51" s="41">
        <f>IF(Tabell2[[#This Row],[Eldreandel]]&lt;=G$433,G$433,IF(Tabell2[[#This Row],[Eldreandel]]&gt;=G$434,G$434,Tabell2[[#This Row],[Eldreandel]]))</f>
        <v>0.18320610687022901</v>
      </c>
      <c r="Q51" s="41">
        <f>IF(Tabell2[[#This Row],[Sysselsettingsvekst10]]&lt;=H$433,H$433,IF(Tabell2[[#This Row],[Sysselsettingsvekst10]]&gt;=H$434,H$434,Tabell2[[#This Row],[Sysselsettingsvekst10]]))</f>
        <v>2.6016260162601723E-2</v>
      </c>
      <c r="R51" s="41">
        <f>IF(Tabell2[[#This Row],[Yrkesaktivandel]]&lt;=I$433,I$433,IF(Tabell2[[#This Row],[Yrkesaktivandel]]&gt;=I$434,I$434,Tabell2[[#This Row],[Yrkesaktivandel]]))</f>
        <v>0.82642965596795781</v>
      </c>
      <c r="S51" s="41">
        <f>IF(Tabell2[[#This Row],[Inntekt]]&lt;=J$433,J$433,IF(Tabell2[[#This Row],[Inntekt]]&gt;=J$434,J$434,Tabell2[[#This Row],[Inntekt]]))</f>
        <v>292140</v>
      </c>
      <c r="T51" s="44">
        <f>IF(Tabell2[[#This Row],[NIBR11-T]]&lt;=K$436,100,IF(Tabell2[[#This Row],[NIBR11-T]]&gt;=K$435,0,100*(K$435-Tabell2[[#This Row],[NIBR11-T]])/K$438))</f>
        <v>60</v>
      </c>
      <c r="U51" s="44">
        <f>(L$435-Tabell2[[#This Row],[ReisetidOslo-T]])*100/L$438</f>
        <v>89.088981404565331</v>
      </c>
      <c r="V51" s="44">
        <f>100-(M$435-Tabell2[[#This Row],[Beftettotal-T]])*100/M$438</f>
        <v>6.9516187451656748</v>
      </c>
      <c r="W51" s="44">
        <f>100-(N$435-Tabell2[[#This Row],[Befvekst10-T]])*100/N$438</f>
        <v>28.956467323234378</v>
      </c>
      <c r="X51" s="44">
        <f>100-(O$435-Tabell2[[#This Row],[Kvinneandel-T]])*100/O$438</f>
        <v>10.130484840274917</v>
      </c>
      <c r="Y51" s="44">
        <f>(P$435-Tabell2[[#This Row],[Eldreandel-T]])*100/P$438</f>
        <v>18.529444051142232</v>
      </c>
      <c r="Z51" s="44">
        <f>100-(Q$435-Tabell2[[#This Row],[Sysselsettingsvekst10-T]])*100/Q$438</f>
        <v>34.748427239964172</v>
      </c>
      <c r="AA51" s="44">
        <f>100-(R$435-Tabell2[[#This Row],[Yrkesaktivandel-T]])*100/R$438</f>
        <v>0</v>
      </c>
      <c r="AB51" s="44">
        <f>100-(S$435-Tabell2[[#This Row],[Inntekt-T]])*100/S$438</f>
        <v>0</v>
      </c>
      <c r="AC51" s="44">
        <f>Tabell2[[#This Row],[NIBR11-I]]*Vekter!$B$3</f>
        <v>12</v>
      </c>
      <c r="AD51" s="44">
        <f>Tabell2[[#This Row],[ReisetidOslo-I]]*Vekter!$C$3</f>
        <v>8.9088981404565342</v>
      </c>
      <c r="AE51" s="44">
        <f>Tabell2[[#This Row],[Beftettotal-I]]*Vekter!$E$4</f>
        <v>0.69516187451656752</v>
      </c>
      <c r="AF51" s="44">
        <f>Tabell2[[#This Row],[Befvekst10-I]]*Vekter!$F$3</f>
        <v>5.7912934646468761</v>
      </c>
      <c r="AG51" s="44">
        <f>Tabell2[[#This Row],[Kvinneandel-I]]*Vekter!$G$3</f>
        <v>0.50652424201374591</v>
      </c>
      <c r="AH51" s="44">
        <f>Tabell2[[#This Row],[Eldreandel-I]]*Vekter!$H$3</f>
        <v>0.9264722025571116</v>
      </c>
      <c r="AI51" s="44">
        <f>Tabell2[[#This Row],[Sysselsettingsvekst10-I]]*Vekter!$I$3</f>
        <v>3.4748427239964172</v>
      </c>
      <c r="AJ51" s="44">
        <f>Tabell2[[#This Row],[Yrkesaktivandel-I]]*Vekter!$K$3</f>
        <v>0</v>
      </c>
      <c r="AK51" s="44">
        <f>Tabell2[[#This Row],[Inntekt-I]]*Vekter!$M$3</f>
        <v>0</v>
      </c>
      <c r="AL5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32.303192648187256</v>
      </c>
    </row>
    <row r="52" spans="1:38" s="38" customFormat="1" ht="12.75">
      <c r="A52" s="42" t="s">
        <v>50</v>
      </c>
      <c r="B52" s="38">
        <f>'Rådata-K'!Q52</f>
        <v>6</v>
      </c>
      <c r="C52" s="44">
        <f>'Rådata-K'!P52</f>
        <v>98.638474468799998</v>
      </c>
      <c r="D52" s="41">
        <f>'Rådata-K'!R52</f>
        <v>5.9760147160706172</v>
      </c>
      <c r="E52" s="41">
        <f>'Rådata-K'!S52</f>
        <v>-7.557280118255727E-2</v>
      </c>
      <c r="F52" s="41">
        <f>'Rådata-K'!T52</f>
        <v>8.3749750149910054E-2</v>
      </c>
      <c r="G52" s="41">
        <f>'Rådata-K'!U52</f>
        <v>0.20247851289226465</v>
      </c>
      <c r="H52" s="41">
        <f>'Rådata-K'!V52</f>
        <v>-2.7804878048780513E-2</v>
      </c>
      <c r="I52" s="41">
        <f>'Rådata-K'!W52</f>
        <v>0.83472272562522654</v>
      </c>
      <c r="J52" s="41">
        <f>'Rådata-K'!O52</f>
        <v>289400</v>
      </c>
      <c r="K52" s="41">
        <f>Tabell2[[#This Row],[NIBR11]]</f>
        <v>6</v>
      </c>
      <c r="L52" s="41">
        <f>IF(Tabell2[[#This Row],[ReisetidOslo]]&lt;=C$433,C$433,IF(Tabell2[[#This Row],[ReisetidOslo]]&gt;=C$434,C$434,Tabell2[[#This Row],[ReisetidOslo]]))</f>
        <v>98.638474468799998</v>
      </c>
      <c r="M52" s="41">
        <f>IF(Tabell2[[#This Row],[Beftettotal]]&lt;=D$433,D$433,IF(Tabell2[[#This Row],[Beftettotal]]&gt;=D$434,D$434,Tabell2[[#This Row],[Beftettotal]]))</f>
        <v>5.9760147160706172</v>
      </c>
      <c r="N52" s="41">
        <f>IF(Tabell2[[#This Row],[Befvekst10]]&lt;=E$433,E$433,IF(Tabell2[[#This Row],[Befvekst10]]&gt;=E$434,E$434,Tabell2[[#This Row],[Befvekst10]]))</f>
        <v>-7.557280118255727E-2</v>
      </c>
      <c r="O52" s="41">
        <f>IF(Tabell2[[#This Row],[Kvinneandel]]&lt;=F$433,F$433,IF(Tabell2[[#This Row],[Kvinneandel]]&gt;=F$434,F$434,Tabell2[[#This Row],[Kvinneandel]]))</f>
        <v>9.1717808671657367E-2</v>
      </c>
      <c r="P52" s="41">
        <f>IF(Tabell2[[#This Row],[Eldreandel]]&lt;=G$433,G$433,IF(Tabell2[[#This Row],[Eldreandel]]&gt;=G$434,G$434,Tabell2[[#This Row],[Eldreandel]]))</f>
        <v>0.1989437597342919</v>
      </c>
      <c r="Q52" s="41">
        <f>IF(Tabell2[[#This Row],[Sysselsettingsvekst10]]&lt;=H$433,H$433,IF(Tabell2[[#This Row],[Sysselsettingsvekst10]]&gt;=H$434,H$434,Tabell2[[#This Row],[Sysselsettingsvekst10]]))</f>
        <v>-2.7804878048780513E-2</v>
      </c>
      <c r="R52" s="41">
        <f>IF(Tabell2[[#This Row],[Yrkesaktivandel]]&lt;=I$433,I$433,IF(Tabell2[[#This Row],[Yrkesaktivandel]]&gt;=I$434,I$434,Tabell2[[#This Row],[Yrkesaktivandel]]))</f>
        <v>0.83472272562522654</v>
      </c>
      <c r="S52" s="41">
        <f>IF(Tabell2[[#This Row],[Inntekt]]&lt;=J$433,J$433,IF(Tabell2[[#This Row],[Inntekt]]&gt;=J$434,J$434,Tabell2[[#This Row],[Inntekt]]))</f>
        <v>292140</v>
      </c>
      <c r="T52" s="44">
        <f>IF(Tabell2[[#This Row],[NIBR11-T]]&lt;=K$436,100,IF(Tabell2[[#This Row],[NIBR11-T]]&gt;=K$435,0,100*(K$435-Tabell2[[#This Row],[NIBR11-T]])/K$438))</f>
        <v>50</v>
      </c>
      <c r="U52" s="44">
        <f>(L$435-Tabell2[[#This Row],[ReisetidOslo-T]])*100/L$438</f>
        <v>80.096278796329173</v>
      </c>
      <c r="V52" s="44">
        <f>100-(M$435-Tabell2[[#This Row],[Beftettotal-T]])*100/M$438</f>
        <v>3.8080170751987197</v>
      </c>
      <c r="W52" s="44">
        <f>100-(N$435-Tabell2[[#This Row],[Befvekst10-T]])*100/N$438</f>
        <v>6.7644165539216061</v>
      </c>
      <c r="X52" s="44">
        <f>100-(O$435-Tabell2[[#This Row],[Kvinneandel-T]])*100/O$438</f>
        <v>0</v>
      </c>
      <c r="Y52" s="44">
        <f>(P$435-Tabell2[[#This Row],[Eldreandel-T]])*100/P$438</f>
        <v>0</v>
      </c>
      <c r="Z52" s="44">
        <f>100-(Q$435-Tabell2[[#This Row],[Sysselsettingsvekst10-T]])*100/Q$438</f>
        <v>18.924093384036837</v>
      </c>
      <c r="AA52" s="44">
        <f>100-(R$435-Tabell2[[#This Row],[Yrkesaktivandel-T]])*100/R$438</f>
        <v>6.1931119060132431</v>
      </c>
      <c r="AB52" s="44">
        <f>100-(S$435-Tabell2[[#This Row],[Inntekt-T]])*100/S$438</f>
        <v>0</v>
      </c>
      <c r="AC52" s="44">
        <f>Tabell2[[#This Row],[NIBR11-I]]*Vekter!$B$3</f>
        <v>10</v>
      </c>
      <c r="AD52" s="44">
        <f>Tabell2[[#This Row],[ReisetidOslo-I]]*Vekter!$C$3</f>
        <v>8.0096278796329177</v>
      </c>
      <c r="AE52" s="44">
        <f>Tabell2[[#This Row],[Beftettotal-I]]*Vekter!$E$4</f>
        <v>0.38080170751987197</v>
      </c>
      <c r="AF52" s="44">
        <f>Tabell2[[#This Row],[Befvekst10-I]]*Vekter!$F$3</f>
        <v>1.3528833107843212</v>
      </c>
      <c r="AG52" s="44">
        <f>Tabell2[[#This Row],[Kvinneandel-I]]*Vekter!$G$3</f>
        <v>0</v>
      </c>
      <c r="AH52" s="44">
        <f>Tabell2[[#This Row],[Eldreandel-I]]*Vekter!$H$3</f>
        <v>0</v>
      </c>
      <c r="AI52" s="44">
        <f>Tabell2[[#This Row],[Sysselsettingsvekst10-I]]*Vekter!$I$3</f>
        <v>1.8924093384036837</v>
      </c>
      <c r="AJ52" s="44">
        <f>Tabell2[[#This Row],[Yrkesaktivandel-I]]*Vekter!$K$3</f>
        <v>0.61931119060132434</v>
      </c>
      <c r="AK52" s="44">
        <f>Tabell2[[#This Row],[Inntekt-I]]*Vekter!$M$3</f>
        <v>0</v>
      </c>
      <c r="AL5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22.255033426942116</v>
      </c>
    </row>
    <row r="53" spans="1:38" s="38" customFormat="1" ht="12.75">
      <c r="A53" s="42" t="s">
        <v>51</v>
      </c>
      <c r="B53" s="38">
        <f>'Rådata-K'!Q53</f>
        <v>5</v>
      </c>
      <c r="C53" s="44">
        <f>'Rådata-K'!P53</f>
        <v>114.27435344600001</v>
      </c>
      <c r="D53" s="41">
        <f>'Rådata-K'!R53</f>
        <v>7.3068572636271059</v>
      </c>
      <c r="E53" s="41">
        <f>'Rådata-K'!S53</f>
        <v>-5.2093718843469583E-2</v>
      </c>
      <c r="F53" s="41">
        <f>'Rådata-K'!T53</f>
        <v>9.5450959768603738E-2</v>
      </c>
      <c r="G53" s="41">
        <f>'Rådata-K'!U53</f>
        <v>0.21114909282145675</v>
      </c>
      <c r="H53" s="41">
        <f>'Rådata-K'!V53</f>
        <v>-1.842275371687141E-2</v>
      </c>
      <c r="I53" s="41">
        <f>'Rådata-K'!W53</f>
        <v>0.81190702087286526</v>
      </c>
      <c r="J53" s="41">
        <f>'Rådata-K'!O53</f>
        <v>287600</v>
      </c>
      <c r="K53" s="41">
        <f>Tabell2[[#This Row],[NIBR11]]</f>
        <v>5</v>
      </c>
      <c r="L53" s="41">
        <f>IF(Tabell2[[#This Row],[ReisetidOslo]]&lt;=C$433,C$433,IF(Tabell2[[#This Row],[ReisetidOslo]]&gt;=C$434,C$434,Tabell2[[#This Row],[ReisetidOslo]]))</f>
        <v>114.27435344600001</v>
      </c>
      <c r="M53" s="41">
        <f>IF(Tabell2[[#This Row],[Beftettotal]]&lt;=D$433,D$433,IF(Tabell2[[#This Row],[Beftettotal]]&gt;=D$434,D$434,Tabell2[[#This Row],[Beftettotal]]))</f>
        <v>7.3068572636271059</v>
      </c>
      <c r="N53" s="41">
        <f>IF(Tabell2[[#This Row],[Befvekst10]]&lt;=E$433,E$433,IF(Tabell2[[#This Row],[Befvekst10]]&gt;=E$434,E$434,Tabell2[[#This Row],[Befvekst10]]))</f>
        <v>-5.2093718843469583E-2</v>
      </c>
      <c r="O53" s="41">
        <f>IF(Tabell2[[#This Row],[Kvinneandel]]&lt;=F$433,F$433,IF(Tabell2[[#This Row],[Kvinneandel]]&gt;=F$434,F$434,Tabell2[[#This Row],[Kvinneandel]]))</f>
        <v>9.5450959768603738E-2</v>
      </c>
      <c r="P53" s="41">
        <f>IF(Tabell2[[#This Row],[Eldreandel]]&lt;=G$433,G$433,IF(Tabell2[[#This Row],[Eldreandel]]&gt;=G$434,G$434,Tabell2[[#This Row],[Eldreandel]]))</f>
        <v>0.1989437597342919</v>
      </c>
      <c r="Q53" s="41">
        <f>IF(Tabell2[[#This Row],[Sysselsettingsvekst10]]&lt;=H$433,H$433,IF(Tabell2[[#This Row],[Sysselsettingsvekst10]]&gt;=H$434,H$434,Tabell2[[#This Row],[Sysselsettingsvekst10]]))</f>
        <v>-1.842275371687141E-2</v>
      </c>
      <c r="R53" s="41">
        <f>IF(Tabell2[[#This Row],[Yrkesaktivandel]]&lt;=I$433,I$433,IF(Tabell2[[#This Row],[Yrkesaktivandel]]&gt;=I$434,I$434,Tabell2[[#This Row],[Yrkesaktivandel]]))</f>
        <v>0.82642965596795781</v>
      </c>
      <c r="S53" s="41">
        <f>IF(Tabell2[[#This Row],[Inntekt]]&lt;=J$433,J$433,IF(Tabell2[[#This Row],[Inntekt]]&gt;=J$434,J$434,Tabell2[[#This Row],[Inntekt]]))</f>
        <v>292140</v>
      </c>
      <c r="T53" s="44">
        <f>IF(Tabell2[[#This Row],[NIBR11-T]]&lt;=K$436,100,IF(Tabell2[[#This Row],[NIBR11-T]]&gt;=K$435,0,100*(K$435-Tabell2[[#This Row],[NIBR11-T]])/K$438))</f>
        <v>60</v>
      </c>
      <c r="U53" s="44">
        <f>(L$435-Tabell2[[#This Row],[ReisetidOslo-T]])*100/L$438</f>
        <v>73.154721070292624</v>
      </c>
      <c r="V53" s="44">
        <f>100-(M$435-Tabell2[[#This Row],[Beftettotal-T]])*100/M$438</f>
        <v>4.8966553455209265</v>
      </c>
      <c r="W53" s="44">
        <f>100-(N$435-Tabell2[[#This Row],[Befvekst10-T]])*100/N$438</f>
        <v>16.478062225962404</v>
      </c>
      <c r="X53" s="44">
        <f>100-(O$435-Tabell2[[#This Row],[Kvinneandel-T]])*100/O$438</f>
        <v>10.215622823597869</v>
      </c>
      <c r="Y53" s="44">
        <f>(P$435-Tabell2[[#This Row],[Eldreandel-T]])*100/P$438</f>
        <v>0</v>
      </c>
      <c r="Z53" s="44">
        <f>100-(Q$435-Tabell2[[#This Row],[Sysselsettingsvekst10-T]])*100/Q$438</f>
        <v>21.682598176760663</v>
      </c>
      <c r="AA53" s="44">
        <f>100-(R$435-Tabell2[[#This Row],[Yrkesaktivandel-T]])*100/R$438</f>
        <v>0</v>
      </c>
      <c r="AB53" s="44">
        <f>100-(S$435-Tabell2[[#This Row],[Inntekt-T]])*100/S$438</f>
        <v>0</v>
      </c>
      <c r="AC53" s="44">
        <f>Tabell2[[#This Row],[NIBR11-I]]*Vekter!$B$3</f>
        <v>12</v>
      </c>
      <c r="AD53" s="44">
        <f>Tabell2[[#This Row],[ReisetidOslo-I]]*Vekter!$C$3</f>
        <v>7.3154721070292625</v>
      </c>
      <c r="AE53" s="44">
        <f>Tabell2[[#This Row],[Beftettotal-I]]*Vekter!$E$4</f>
        <v>0.48966553455209266</v>
      </c>
      <c r="AF53" s="44">
        <f>Tabell2[[#This Row],[Befvekst10-I]]*Vekter!$F$3</f>
        <v>3.2956124451924809</v>
      </c>
      <c r="AG53" s="44">
        <f>Tabell2[[#This Row],[Kvinneandel-I]]*Vekter!$G$3</f>
        <v>0.51078114117989348</v>
      </c>
      <c r="AH53" s="44">
        <f>Tabell2[[#This Row],[Eldreandel-I]]*Vekter!$H$3</f>
        <v>0</v>
      </c>
      <c r="AI53" s="44">
        <f>Tabell2[[#This Row],[Sysselsettingsvekst10-I]]*Vekter!$I$3</f>
        <v>2.1682598176760663</v>
      </c>
      <c r="AJ53" s="44">
        <f>Tabell2[[#This Row],[Yrkesaktivandel-I]]*Vekter!$K$3</f>
        <v>0</v>
      </c>
      <c r="AK53" s="44">
        <f>Tabell2[[#This Row],[Inntekt-I]]*Vekter!$M$3</f>
        <v>0</v>
      </c>
      <c r="AL5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25.779791045629796</v>
      </c>
    </row>
    <row r="54" spans="1:38" s="38" customFormat="1" ht="12.75">
      <c r="A54" s="42" t="s">
        <v>52</v>
      </c>
      <c r="B54" s="38">
        <f>'Rådata-K'!Q54</f>
        <v>5</v>
      </c>
      <c r="C54" s="44">
        <f>'Rådata-K'!P54</f>
        <v>121.93083443800001</v>
      </c>
      <c r="D54" s="41">
        <f>'Rådata-K'!R54</f>
        <v>5.4503176043557158</v>
      </c>
      <c r="E54" s="41">
        <f>'Rådata-K'!S54</f>
        <v>-4.3781094527363229E-2</v>
      </c>
      <c r="F54" s="41">
        <f>'Rådata-K'!T54</f>
        <v>9.2872008324661817E-2</v>
      </c>
      <c r="G54" s="41">
        <f>'Rådata-K'!U54</f>
        <v>0.19771071800208118</v>
      </c>
      <c r="H54" s="41">
        <f>'Rådata-K'!V54</f>
        <v>-9.5533498759305169E-2</v>
      </c>
      <c r="I54" s="41">
        <f>'Rådata-K'!W54</f>
        <v>0.82425629290617852</v>
      </c>
      <c r="J54" s="41">
        <f>'Rådata-K'!O54</f>
        <v>289600</v>
      </c>
      <c r="K54" s="41">
        <f>Tabell2[[#This Row],[NIBR11]]</f>
        <v>5</v>
      </c>
      <c r="L54" s="41">
        <f>IF(Tabell2[[#This Row],[ReisetidOslo]]&lt;=C$433,C$433,IF(Tabell2[[#This Row],[ReisetidOslo]]&gt;=C$434,C$434,Tabell2[[#This Row],[ReisetidOslo]]))</f>
        <v>121.93083443800001</v>
      </c>
      <c r="M54" s="41">
        <f>IF(Tabell2[[#This Row],[Beftettotal]]&lt;=D$433,D$433,IF(Tabell2[[#This Row],[Beftettotal]]&gt;=D$434,D$434,Tabell2[[#This Row],[Beftettotal]]))</f>
        <v>5.4503176043557158</v>
      </c>
      <c r="N54" s="41">
        <f>IF(Tabell2[[#This Row],[Befvekst10]]&lt;=E$433,E$433,IF(Tabell2[[#This Row],[Befvekst10]]&gt;=E$434,E$434,Tabell2[[#This Row],[Befvekst10]]))</f>
        <v>-4.3781094527363229E-2</v>
      </c>
      <c r="O54" s="41">
        <f>IF(Tabell2[[#This Row],[Kvinneandel]]&lt;=F$433,F$433,IF(Tabell2[[#This Row],[Kvinneandel]]&gt;=F$434,F$434,Tabell2[[#This Row],[Kvinneandel]]))</f>
        <v>9.2872008324661817E-2</v>
      </c>
      <c r="P54" s="41">
        <f>IF(Tabell2[[#This Row],[Eldreandel]]&lt;=G$433,G$433,IF(Tabell2[[#This Row],[Eldreandel]]&gt;=G$434,G$434,Tabell2[[#This Row],[Eldreandel]]))</f>
        <v>0.19771071800208118</v>
      </c>
      <c r="Q54" s="41">
        <f>IF(Tabell2[[#This Row],[Sysselsettingsvekst10]]&lt;=H$433,H$433,IF(Tabell2[[#This Row],[Sysselsettingsvekst10]]&gt;=H$434,H$434,Tabell2[[#This Row],[Sysselsettingsvekst10]]))</f>
        <v>-9.2168803558721979E-2</v>
      </c>
      <c r="R54" s="41">
        <f>IF(Tabell2[[#This Row],[Yrkesaktivandel]]&lt;=I$433,I$433,IF(Tabell2[[#This Row],[Yrkesaktivandel]]&gt;=I$434,I$434,Tabell2[[#This Row],[Yrkesaktivandel]]))</f>
        <v>0.82642965596795781</v>
      </c>
      <c r="S54" s="41">
        <f>IF(Tabell2[[#This Row],[Inntekt]]&lt;=J$433,J$433,IF(Tabell2[[#This Row],[Inntekt]]&gt;=J$434,J$434,Tabell2[[#This Row],[Inntekt]]))</f>
        <v>292140</v>
      </c>
      <c r="T54" s="44">
        <f>IF(Tabell2[[#This Row],[NIBR11-T]]&lt;=K$436,100,IF(Tabell2[[#This Row],[NIBR11-T]]&gt;=K$435,0,100*(K$435-Tabell2[[#This Row],[NIBR11-T]])/K$438))</f>
        <v>60</v>
      </c>
      <c r="U54" s="44">
        <f>(L$435-Tabell2[[#This Row],[ReisetidOslo-T]])*100/L$438</f>
        <v>69.755621802399276</v>
      </c>
      <c r="V54" s="44">
        <f>100-(M$435-Tabell2[[#This Row],[Beftettotal-T]])*100/M$438</f>
        <v>3.3779932564821564</v>
      </c>
      <c r="W54" s="44">
        <f>100-(N$435-Tabell2[[#This Row],[Befvekst10-T]])*100/N$438</f>
        <v>19.917118576006501</v>
      </c>
      <c r="X54" s="44">
        <f>100-(O$435-Tabell2[[#This Row],[Kvinneandel-T]])*100/O$438</f>
        <v>3.1584224726038173</v>
      </c>
      <c r="Y54" s="44">
        <f>(P$435-Tabell2[[#This Row],[Eldreandel-T]])*100/P$438</f>
        <v>1.4517779739502872</v>
      </c>
      <c r="Z54" s="44">
        <f>100-(Q$435-Tabell2[[#This Row],[Sysselsettingsvekst10-T]])*100/Q$438</f>
        <v>0</v>
      </c>
      <c r="AA54" s="44">
        <f>100-(R$435-Tabell2[[#This Row],[Yrkesaktivandel-T]])*100/R$438</f>
        <v>0</v>
      </c>
      <c r="AB54" s="44">
        <f>100-(S$435-Tabell2[[#This Row],[Inntekt-T]])*100/S$438</f>
        <v>0</v>
      </c>
      <c r="AC54" s="44">
        <f>Tabell2[[#This Row],[NIBR11-I]]*Vekter!$B$3</f>
        <v>12</v>
      </c>
      <c r="AD54" s="44">
        <f>Tabell2[[#This Row],[ReisetidOslo-I]]*Vekter!$C$3</f>
        <v>6.9755621802399279</v>
      </c>
      <c r="AE54" s="44">
        <f>Tabell2[[#This Row],[Beftettotal-I]]*Vekter!$E$4</f>
        <v>0.33779932564821569</v>
      </c>
      <c r="AF54" s="44">
        <f>Tabell2[[#This Row],[Befvekst10-I]]*Vekter!$F$3</f>
        <v>3.9834237152013006</v>
      </c>
      <c r="AG54" s="44">
        <f>Tabell2[[#This Row],[Kvinneandel-I]]*Vekter!$G$3</f>
        <v>0.15792112363019087</v>
      </c>
      <c r="AH54" s="44">
        <f>Tabell2[[#This Row],[Eldreandel-I]]*Vekter!$H$3</f>
        <v>7.2588898697514365E-2</v>
      </c>
      <c r="AI54" s="44">
        <f>Tabell2[[#This Row],[Sysselsettingsvekst10-I]]*Vekter!$I$3</f>
        <v>0</v>
      </c>
      <c r="AJ54" s="44">
        <f>Tabell2[[#This Row],[Yrkesaktivandel-I]]*Vekter!$K$3</f>
        <v>0</v>
      </c>
      <c r="AK54" s="44">
        <f>Tabell2[[#This Row],[Inntekt-I]]*Vekter!$M$3</f>
        <v>0</v>
      </c>
      <c r="AL5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23.52729524341715</v>
      </c>
    </row>
    <row r="55" spans="1:38" s="38" customFormat="1" ht="12.75">
      <c r="A55" s="42" t="s">
        <v>53</v>
      </c>
      <c r="B55" s="38">
        <f>'Rådata-K'!Q55</f>
        <v>5</v>
      </c>
      <c r="C55" s="44">
        <f>'Rådata-K'!P55</f>
        <v>97.186424978100007</v>
      </c>
      <c r="D55" s="41">
        <f>'Rådata-K'!R55</f>
        <v>16.393335936483144</v>
      </c>
      <c r="E55" s="41">
        <f>'Rådata-K'!S55</f>
        <v>8.770982889836465E-2</v>
      </c>
      <c r="F55" s="41">
        <f>'Rådata-K'!T55</f>
        <v>0.12351131401349742</v>
      </c>
      <c r="G55" s="41">
        <f>'Rådata-K'!U55</f>
        <v>0.15288805081381501</v>
      </c>
      <c r="H55" s="41">
        <f>'Rådata-K'!V55</f>
        <v>0.128963105043439</v>
      </c>
      <c r="I55" s="41">
        <f>'Rådata-K'!W55</f>
        <v>0.85263516970834041</v>
      </c>
      <c r="J55" s="41">
        <f>'Rådata-K'!O55</f>
        <v>323100</v>
      </c>
      <c r="K55" s="41">
        <f>Tabell2[[#This Row],[NIBR11]]</f>
        <v>5</v>
      </c>
      <c r="L55" s="41">
        <f>IF(Tabell2[[#This Row],[ReisetidOslo]]&lt;=C$433,C$433,IF(Tabell2[[#This Row],[ReisetidOslo]]&gt;=C$434,C$434,Tabell2[[#This Row],[ReisetidOslo]]))</f>
        <v>97.186424978100007</v>
      </c>
      <c r="M55" s="41">
        <f>IF(Tabell2[[#This Row],[Beftettotal]]&lt;=D$433,D$433,IF(Tabell2[[#This Row],[Beftettotal]]&gt;=D$434,D$434,Tabell2[[#This Row],[Beftettotal]]))</f>
        <v>16.393335936483144</v>
      </c>
      <c r="N55" s="41">
        <f>IF(Tabell2[[#This Row],[Befvekst10]]&lt;=E$433,E$433,IF(Tabell2[[#This Row],[Befvekst10]]&gt;=E$434,E$434,Tabell2[[#This Row],[Befvekst10]]))</f>
        <v>8.770982889836465E-2</v>
      </c>
      <c r="O55" s="41">
        <f>IF(Tabell2[[#This Row],[Kvinneandel]]&lt;=F$433,F$433,IF(Tabell2[[#This Row],[Kvinneandel]]&gt;=F$434,F$434,Tabell2[[#This Row],[Kvinneandel]]))</f>
        <v>0.12351131401349742</v>
      </c>
      <c r="P55" s="41">
        <f>IF(Tabell2[[#This Row],[Eldreandel]]&lt;=G$433,G$433,IF(Tabell2[[#This Row],[Eldreandel]]&gt;=G$434,G$434,Tabell2[[#This Row],[Eldreandel]]))</f>
        <v>0.15288805081381501</v>
      </c>
      <c r="Q55" s="41">
        <f>IF(Tabell2[[#This Row],[Sysselsettingsvekst10]]&lt;=H$433,H$433,IF(Tabell2[[#This Row],[Sysselsettingsvekst10]]&gt;=H$434,H$434,Tabell2[[#This Row],[Sysselsettingsvekst10]]))</f>
        <v>0.128963105043439</v>
      </c>
      <c r="R55" s="41">
        <f>IF(Tabell2[[#This Row],[Yrkesaktivandel]]&lt;=I$433,I$433,IF(Tabell2[[#This Row],[Yrkesaktivandel]]&gt;=I$434,I$434,Tabell2[[#This Row],[Yrkesaktivandel]]))</f>
        <v>0.85263516970834041</v>
      </c>
      <c r="S55" s="41">
        <f>IF(Tabell2[[#This Row],[Inntekt]]&lt;=J$433,J$433,IF(Tabell2[[#This Row],[Inntekt]]&gt;=J$434,J$434,Tabell2[[#This Row],[Inntekt]]))</f>
        <v>323100</v>
      </c>
      <c r="T55" s="44">
        <f>IF(Tabell2[[#This Row],[NIBR11-T]]&lt;=K$436,100,IF(Tabell2[[#This Row],[NIBR11-T]]&gt;=K$435,0,100*(K$435-Tabell2[[#This Row],[NIBR11-T]])/K$438))</f>
        <v>60</v>
      </c>
      <c r="U55" s="44">
        <f>(L$435-Tabell2[[#This Row],[ReisetidOslo-T]])*100/L$438</f>
        <v>80.740917027122194</v>
      </c>
      <c r="V55" s="44">
        <f>100-(M$435-Tabell2[[#This Row],[Beftettotal-T]])*100/M$438</f>
        <v>12.329456801936516</v>
      </c>
      <c r="W55" s="44">
        <f>100-(N$435-Tabell2[[#This Row],[Befvekst10-T]])*100/N$438</f>
        <v>74.316869843994084</v>
      </c>
      <c r="X55" s="44">
        <f>100-(O$435-Tabell2[[#This Row],[Kvinneandel-T]])*100/O$438</f>
        <v>87.001691165930325</v>
      </c>
      <c r="Y55" s="44">
        <f>(P$435-Tabell2[[#This Row],[Eldreandel-T]])*100/P$438</f>
        <v>54.225791421946198</v>
      </c>
      <c r="Z55" s="44">
        <f>100-(Q$435-Tabell2[[#This Row],[Sysselsettingsvekst10-T]])*100/Q$438</f>
        <v>65.016557884295551</v>
      </c>
      <c r="AA55" s="44">
        <f>100-(R$435-Tabell2[[#This Row],[Yrkesaktivandel-T]])*100/R$438</f>
        <v>19.569795727750815</v>
      </c>
      <c r="AB55" s="44">
        <f>100-(S$435-Tabell2[[#This Row],[Inntekt-T]])*100/S$438</f>
        <v>42.088091353996738</v>
      </c>
      <c r="AC55" s="44">
        <f>Tabell2[[#This Row],[NIBR11-I]]*Vekter!$B$3</f>
        <v>12</v>
      </c>
      <c r="AD55" s="44">
        <f>Tabell2[[#This Row],[ReisetidOslo-I]]*Vekter!$C$3</f>
        <v>8.0740917027122201</v>
      </c>
      <c r="AE55" s="44">
        <f>Tabell2[[#This Row],[Beftettotal-I]]*Vekter!$E$4</f>
        <v>1.2329456801936516</v>
      </c>
      <c r="AF55" s="44">
        <f>Tabell2[[#This Row],[Befvekst10-I]]*Vekter!$F$3</f>
        <v>14.863373968798818</v>
      </c>
      <c r="AG55" s="44">
        <f>Tabell2[[#This Row],[Kvinneandel-I]]*Vekter!$G$3</f>
        <v>4.3500845582965164</v>
      </c>
      <c r="AH55" s="44">
        <f>Tabell2[[#This Row],[Eldreandel-I]]*Vekter!$H$3</f>
        <v>2.7112895710973102</v>
      </c>
      <c r="AI55" s="44">
        <f>Tabell2[[#This Row],[Sysselsettingsvekst10-I]]*Vekter!$I$3</f>
        <v>6.5016557884295558</v>
      </c>
      <c r="AJ55" s="44">
        <f>Tabell2[[#This Row],[Yrkesaktivandel-I]]*Vekter!$K$3</f>
        <v>1.9569795727750816</v>
      </c>
      <c r="AK55" s="44">
        <f>Tabell2[[#This Row],[Inntekt-I]]*Vekter!$M$3</f>
        <v>4.2088091353996742</v>
      </c>
      <c r="AL5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55.899229977702831</v>
      </c>
    </row>
    <row r="56" spans="1:38" s="38" customFormat="1" ht="12.75">
      <c r="A56" s="42" t="s">
        <v>54</v>
      </c>
      <c r="B56" s="38">
        <f>'Rådata-K'!Q56</f>
        <v>9</v>
      </c>
      <c r="C56" s="44">
        <f>'Rådata-K'!P56</f>
        <v>150.541190755</v>
      </c>
      <c r="D56" s="41">
        <f>'Rådata-K'!R56</f>
        <v>2.2399076436184862</v>
      </c>
      <c r="E56" s="41">
        <f>'Rådata-K'!S56</f>
        <v>-4.2133635976734252E-2</v>
      </c>
      <c r="F56" s="41">
        <f>'Rådata-K'!T56</f>
        <v>0.1005627962085308</v>
      </c>
      <c r="G56" s="41">
        <f>'Rådata-K'!U56</f>
        <v>0.19801540284360189</v>
      </c>
      <c r="H56" s="41">
        <f>'Rådata-K'!V56</f>
        <v>5.3918044572249801E-3</v>
      </c>
      <c r="I56" s="41">
        <f>'Rådata-K'!W56</f>
        <v>0.80920878539296115</v>
      </c>
      <c r="J56" s="41">
        <f>'Rådata-K'!O56</f>
        <v>288300</v>
      </c>
      <c r="K56" s="41">
        <f>Tabell2[[#This Row],[NIBR11]]</f>
        <v>9</v>
      </c>
      <c r="L56" s="41">
        <f>IF(Tabell2[[#This Row],[ReisetidOslo]]&lt;=C$433,C$433,IF(Tabell2[[#This Row],[ReisetidOslo]]&gt;=C$434,C$434,Tabell2[[#This Row],[ReisetidOslo]]))</f>
        <v>150.541190755</v>
      </c>
      <c r="M56" s="41">
        <f>IF(Tabell2[[#This Row],[Beftettotal]]&lt;=D$433,D$433,IF(Tabell2[[#This Row],[Beftettotal]]&gt;=D$434,D$434,Tabell2[[#This Row],[Beftettotal]]))</f>
        <v>2.2399076436184862</v>
      </c>
      <c r="N56" s="41">
        <f>IF(Tabell2[[#This Row],[Befvekst10]]&lt;=E$433,E$433,IF(Tabell2[[#This Row],[Befvekst10]]&gt;=E$434,E$434,Tabell2[[#This Row],[Befvekst10]]))</f>
        <v>-4.2133635976734252E-2</v>
      </c>
      <c r="O56" s="41">
        <f>IF(Tabell2[[#This Row],[Kvinneandel]]&lt;=F$433,F$433,IF(Tabell2[[#This Row],[Kvinneandel]]&gt;=F$434,F$434,Tabell2[[#This Row],[Kvinneandel]]))</f>
        <v>0.1005627962085308</v>
      </c>
      <c r="P56" s="41">
        <f>IF(Tabell2[[#This Row],[Eldreandel]]&lt;=G$433,G$433,IF(Tabell2[[#This Row],[Eldreandel]]&gt;=G$434,G$434,Tabell2[[#This Row],[Eldreandel]]))</f>
        <v>0.19801540284360189</v>
      </c>
      <c r="Q56" s="41">
        <f>IF(Tabell2[[#This Row],[Sysselsettingsvekst10]]&lt;=H$433,H$433,IF(Tabell2[[#This Row],[Sysselsettingsvekst10]]&gt;=H$434,H$434,Tabell2[[#This Row],[Sysselsettingsvekst10]]))</f>
        <v>5.3918044572249801E-3</v>
      </c>
      <c r="R56" s="41">
        <f>IF(Tabell2[[#This Row],[Yrkesaktivandel]]&lt;=I$433,I$433,IF(Tabell2[[#This Row],[Yrkesaktivandel]]&gt;=I$434,I$434,Tabell2[[#This Row],[Yrkesaktivandel]]))</f>
        <v>0.82642965596795781</v>
      </c>
      <c r="S56" s="41">
        <f>IF(Tabell2[[#This Row],[Inntekt]]&lt;=J$433,J$433,IF(Tabell2[[#This Row],[Inntekt]]&gt;=J$434,J$434,Tabell2[[#This Row],[Inntekt]]))</f>
        <v>292140</v>
      </c>
      <c r="T56" s="44">
        <f>IF(Tabell2[[#This Row],[NIBR11-T]]&lt;=K$436,100,IF(Tabell2[[#This Row],[NIBR11-T]]&gt;=K$435,0,100*(K$435-Tabell2[[#This Row],[NIBR11-T]])/K$438))</f>
        <v>20</v>
      </c>
      <c r="U56" s="44">
        <f>(L$435-Tabell2[[#This Row],[ReisetidOslo-T]])*100/L$438</f>
        <v>57.054037182402801</v>
      </c>
      <c r="V56" s="44">
        <f>100-(M$435-Tabell2[[#This Row],[Beftettotal-T]])*100/M$438</f>
        <v>0.75185603754577812</v>
      </c>
      <c r="W56" s="44">
        <f>100-(N$435-Tabell2[[#This Row],[Befvekst10-T]])*100/N$438</f>
        <v>20.5986966883479</v>
      </c>
      <c r="X56" s="44">
        <f>100-(O$435-Tabell2[[#This Row],[Kvinneandel-T]])*100/O$438</f>
        <v>24.20396448191795</v>
      </c>
      <c r="Y56" s="44">
        <f>(P$435-Tabell2[[#This Row],[Eldreandel-T]])*100/P$438</f>
        <v>1.0930433663849439</v>
      </c>
      <c r="Z56" s="44">
        <f>100-(Q$435-Tabell2[[#This Row],[Sysselsettingsvekst10-T]])*100/Q$438</f>
        <v>28.684485013457248</v>
      </c>
      <c r="AA56" s="44">
        <f>100-(R$435-Tabell2[[#This Row],[Yrkesaktivandel-T]])*100/R$438</f>
        <v>0</v>
      </c>
      <c r="AB56" s="44">
        <f>100-(S$435-Tabell2[[#This Row],[Inntekt-T]])*100/S$438</f>
        <v>0</v>
      </c>
      <c r="AC56" s="44">
        <f>Tabell2[[#This Row],[NIBR11-I]]*Vekter!$B$3</f>
        <v>4</v>
      </c>
      <c r="AD56" s="44">
        <f>Tabell2[[#This Row],[ReisetidOslo-I]]*Vekter!$C$3</f>
        <v>5.7054037182402801</v>
      </c>
      <c r="AE56" s="44">
        <f>Tabell2[[#This Row],[Beftettotal-I]]*Vekter!$E$4</f>
        <v>7.5185603754577821E-2</v>
      </c>
      <c r="AF56" s="44">
        <f>Tabell2[[#This Row],[Befvekst10-I]]*Vekter!$F$3</f>
        <v>4.1197393376695803</v>
      </c>
      <c r="AG56" s="44">
        <f>Tabell2[[#This Row],[Kvinneandel-I]]*Vekter!$G$3</f>
        <v>1.2101982240958975</v>
      </c>
      <c r="AH56" s="44">
        <f>Tabell2[[#This Row],[Eldreandel-I]]*Vekter!$H$3</f>
        <v>5.4652168319247199E-2</v>
      </c>
      <c r="AI56" s="44">
        <f>Tabell2[[#This Row],[Sysselsettingsvekst10-I]]*Vekter!$I$3</f>
        <v>2.8684485013457248</v>
      </c>
      <c r="AJ56" s="44">
        <f>Tabell2[[#This Row],[Yrkesaktivandel-I]]*Vekter!$K$3</f>
        <v>0</v>
      </c>
      <c r="AK56" s="44">
        <f>Tabell2[[#This Row],[Inntekt-I]]*Vekter!$M$3</f>
        <v>0</v>
      </c>
      <c r="AL5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18.033627553425308</v>
      </c>
    </row>
    <row r="57" spans="1:38" s="38" customFormat="1" ht="12.75">
      <c r="A57" s="42" t="s">
        <v>55</v>
      </c>
      <c r="B57" s="38">
        <f>'Rådata-K'!Q57</f>
        <v>5</v>
      </c>
      <c r="C57" s="44">
        <f>'Rådata-K'!P57</f>
        <v>121.702497657</v>
      </c>
      <c r="D57" s="41">
        <f>'Rådata-K'!R57</f>
        <v>3.2367845601570253</v>
      </c>
      <c r="E57" s="41">
        <f>'Rådata-K'!S57</f>
        <v>-1.3869940882219156E-2</v>
      </c>
      <c r="F57" s="41">
        <f>'Rådata-K'!T57</f>
        <v>0.11182845284759051</v>
      </c>
      <c r="G57" s="41">
        <f>'Rådata-K'!U57</f>
        <v>0.17223887479824765</v>
      </c>
      <c r="H57" s="41">
        <f>'Rådata-K'!V57</f>
        <v>7.1554252199413471E-2</v>
      </c>
      <c r="I57" s="41">
        <f>'Rådata-K'!W57</f>
        <v>0.82965046203294501</v>
      </c>
      <c r="J57" s="41">
        <f>'Rådata-K'!O57</f>
        <v>302700</v>
      </c>
      <c r="K57" s="41">
        <f>Tabell2[[#This Row],[NIBR11]]</f>
        <v>5</v>
      </c>
      <c r="L57" s="41">
        <f>IF(Tabell2[[#This Row],[ReisetidOslo]]&lt;=C$433,C$433,IF(Tabell2[[#This Row],[ReisetidOslo]]&gt;=C$434,C$434,Tabell2[[#This Row],[ReisetidOslo]]))</f>
        <v>121.702497657</v>
      </c>
      <c r="M57" s="41">
        <f>IF(Tabell2[[#This Row],[Beftettotal]]&lt;=D$433,D$433,IF(Tabell2[[#This Row],[Beftettotal]]&gt;=D$434,D$434,Tabell2[[#This Row],[Beftettotal]]))</f>
        <v>3.2367845601570253</v>
      </c>
      <c r="N57" s="41">
        <f>IF(Tabell2[[#This Row],[Befvekst10]]&lt;=E$433,E$433,IF(Tabell2[[#This Row],[Befvekst10]]&gt;=E$434,E$434,Tabell2[[#This Row],[Befvekst10]]))</f>
        <v>-1.3869940882219156E-2</v>
      </c>
      <c r="O57" s="41">
        <f>IF(Tabell2[[#This Row],[Kvinneandel]]&lt;=F$433,F$433,IF(Tabell2[[#This Row],[Kvinneandel]]&gt;=F$434,F$434,Tabell2[[#This Row],[Kvinneandel]]))</f>
        <v>0.11182845284759051</v>
      </c>
      <c r="P57" s="41">
        <f>IF(Tabell2[[#This Row],[Eldreandel]]&lt;=G$433,G$433,IF(Tabell2[[#This Row],[Eldreandel]]&gt;=G$434,G$434,Tabell2[[#This Row],[Eldreandel]]))</f>
        <v>0.17223887479824765</v>
      </c>
      <c r="Q57" s="41">
        <f>IF(Tabell2[[#This Row],[Sysselsettingsvekst10]]&lt;=H$433,H$433,IF(Tabell2[[#This Row],[Sysselsettingsvekst10]]&gt;=H$434,H$434,Tabell2[[#This Row],[Sysselsettingsvekst10]]))</f>
        <v>7.1554252199413471E-2</v>
      </c>
      <c r="R57" s="41">
        <f>IF(Tabell2[[#This Row],[Yrkesaktivandel]]&lt;=I$433,I$433,IF(Tabell2[[#This Row],[Yrkesaktivandel]]&gt;=I$434,I$434,Tabell2[[#This Row],[Yrkesaktivandel]]))</f>
        <v>0.82965046203294501</v>
      </c>
      <c r="S57" s="41">
        <f>IF(Tabell2[[#This Row],[Inntekt]]&lt;=J$433,J$433,IF(Tabell2[[#This Row],[Inntekt]]&gt;=J$434,J$434,Tabell2[[#This Row],[Inntekt]]))</f>
        <v>302700</v>
      </c>
      <c r="T57" s="44">
        <f>IF(Tabell2[[#This Row],[NIBR11-T]]&lt;=K$436,100,IF(Tabell2[[#This Row],[NIBR11-T]]&gt;=K$435,0,100*(K$435-Tabell2[[#This Row],[NIBR11-T]])/K$438))</f>
        <v>60</v>
      </c>
      <c r="U57" s="44">
        <f>(L$435-Tabell2[[#This Row],[ReisetidOslo-T]])*100/L$438</f>
        <v>69.856992051465568</v>
      </c>
      <c r="V57" s="44">
        <f>100-(M$435-Tabell2[[#This Row],[Beftettotal-T]])*100/M$438</f>
        <v>1.5673081465403556</v>
      </c>
      <c r="W57" s="44">
        <f>100-(N$435-Tabell2[[#This Row],[Befvekst10-T]])*100/N$438</f>
        <v>32.291807840041457</v>
      </c>
      <c r="X57" s="44">
        <f>100-(O$435-Tabell2[[#This Row],[Kvinneandel-T]])*100/O$438</f>
        <v>55.031995840984187</v>
      </c>
      <c r="Y57" s="44">
        <f>(P$435-Tabell2[[#This Row],[Eldreandel-T]])*100/P$438</f>
        <v>31.44221540459602</v>
      </c>
      <c r="Z57" s="44">
        <f>100-(Q$435-Tabell2[[#This Row],[Sysselsettingsvekst10-T]])*100/Q$438</f>
        <v>48.137374651088855</v>
      </c>
      <c r="AA57" s="44">
        <f>100-(R$435-Tabell2[[#This Row],[Yrkesaktivandel-T]])*100/R$438</f>
        <v>2.4052387369674193</v>
      </c>
      <c r="AB57" s="44">
        <f>100-(S$435-Tabell2[[#This Row],[Inntekt-T]])*100/S$438</f>
        <v>14.355628058727575</v>
      </c>
      <c r="AC57" s="44">
        <f>Tabell2[[#This Row],[NIBR11-I]]*Vekter!$B$3</f>
        <v>12</v>
      </c>
      <c r="AD57" s="44">
        <f>Tabell2[[#This Row],[ReisetidOslo-I]]*Vekter!$C$3</f>
        <v>6.985699205146557</v>
      </c>
      <c r="AE57" s="44">
        <f>Tabell2[[#This Row],[Beftettotal-I]]*Vekter!$E$4</f>
        <v>0.15673081465403557</v>
      </c>
      <c r="AF57" s="44">
        <f>Tabell2[[#This Row],[Befvekst10-I]]*Vekter!$F$3</f>
        <v>6.458361568008292</v>
      </c>
      <c r="AG57" s="44">
        <f>Tabell2[[#This Row],[Kvinneandel-I]]*Vekter!$G$3</f>
        <v>2.7515997920492095</v>
      </c>
      <c r="AH57" s="44">
        <f>Tabell2[[#This Row],[Eldreandel-I]]*Vekter!$H$3</f>
        <v>1.5721107702298012</v>
      </c>
      <c r="AI57" s="44">
        <f>Tabell2[[#This Row],[Sysselsettingsvekst10-I]]*Vekter!$I$3</f>
        <v>4.8137374651088862</v>
      </c>
      <c r="AJ57" s="44">
        <f>Tabell2[[#This Row],[Yrkesaktivandel-I]]*Vekter!$K$3</f>
        <v>0.24052387369674194</v>
      </c>
      <c r="AK57" s="44">
        <f>Tabell2[[#This Row],[Inntekt-I]]*Vekter!$M$3</f>
        <v>1.4355628058727576</v>
      </c>
      <c r="AL5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36.414326294766283</v>
      </c>
    </row>
    <row r="58" spans="1:38" s="38" customFormat="1" ht="12.75">
      <c r="A58" s="42" t="s">
        <v>56</v>
      </c>
      <c r="B58" s="38">
        <f>'Rådata-K'!Q58</f>
        <v>11</v>
      </c>
      <c r="C58" s="44">
        <f>'Rådata-K'!P58</f>
        <v>165.90602107999999</v>
      </c>
      <c r="D58" s="41">
        <f>'Rådata-K'!R58</f>
        <v>1.2365003070473131</v>
      </c>
      <c r="E58" s="41">
        <f>'Rådata-K'!S58</f>
        <v>-8.3190688120506673E-2</v>
      </c>
      <c r="F58" s="41">
        <f>'Rådata-K'!T58</f>
        <v>0.10343539955190441</v>
      </c>
      <c r="G58" s="41">
        <f>'Rådata-K'!U58</f>
        <v>0.19492158327109785</v>
      </c>
      <c r="H58" s="41">
        <f>'Rådata-K'!V58</f>
        <v>-6.5454545454545432E-2</v>
      </c>
      <c r="I58" s="41">
        <f>'Rådata-K'!W58</f>
        <v>0.77684346701164297</v>
      </c>
      <c r="J58" s="41">
        <f>'Rådata-K'!O58</f>
        <v>290700</v>
      </c>
      <c r="K58" s="41">
        <f>Tabell2[[#This Row],[NIBR11]]</f>
        <v>11</v>
      </c>
      <c r="L58" s="41">
        <f>IF(Tabell2[[#This Row],[ReisetidOslo]]&lt;=C$433,C$433,IF(Tabell2[[#This Row],[ReisetidOslo]]&gt;=C$434,C$434,Tabell2[[#This Row],[ReisetidOslo]]))</f>
        <v>165.90602107999999</v>
      </c>
      <c r="M58" s="41">
        <f>IF(Tabell2[[#This Row],[Beftettotal]]&lt;=D$433,D$433,IF(Tabell2[[#This Row],[Beftettotal]]&gt;=D$434,D$434,Tabell2[[#This Row],[Beftettotal]]))</f>
        <v>1.3207758882127238</v>
      </c>
      <c r="N58" s="41">
        <f>IF(Tabell2[[#This Row],[Befvekst10]]&lt;=E$433,E$433,IF(Tabell2[[#This Row],[Befvekst10]]&gt;=E$434,E$434,Tabell2[[#This Row],[Befvekst10]]))</f>
        <v>-8.3190688120506673E-2</v>
      </c>
      <c r="O58" s="41">
        <f>IF(Tabell2[[#This Row],[Kvinneandel]]&lt;=F$433,F$433,IF(Tabell2[[#This Row],[Kvinneandel]]&gt;=F$434,F$434,Tabell2[[#This Row],[Kvinneandel]]))</f>
        <v>0.10343539955190441</v>
      </c>
      <c r="P58" s="41">
        <f>IF(Tabell2[[#This Row],[Eldreandel]]&lt;=G$433,G$433,IF(Tabell2[[#This Row],[Eldreandel]]&gt;=G$434,G$434,Tabell2[[#This Row],[Eldreandel]]))</f>
        <v>0.19492158327109785</v>
      </c>
      <c r="Q58" s="41">
        <f>IF(Tabell2[[#This Row],[Sysselsettingsvekst10]]&lt;=H$433,H$433,IF(Tabell2[[#This Row],[Sysselsettingsvekst10]]&gt;=H$434,H$434,Tabell2[[#This Row],[Sysselsettingsvekst10]]))</f>
        <v>-6.5454545454545432E-2</v>
      </c>
      <c r="R58" s="41">
        <f>IF(Tabell2[[#This Row],[Yrkesaktivandel]]&lt;=I$433,I$433,IF(Tabell2[[#This Row],[Yrkesaktivandel]]&gt;=I$434,I$434,Tabell2[[#This Row],[Yrkesaktivandel]]))</f>
        <v>0.82642965596795781</v>
      </c>
      <c r="S58" s="41">
        <f>IF(Tabell2[[#This Row],[Inntekt]]&lt;=J$433,J$433,IF(Tabell2[[#This Row],[Inntekt]]&gt;=J$434,J$434,Tabell2[[#This Row],[Inntekt]]))</f>
        <v>292140</v>
      </c>
      <c r="T58" s="44">
        <f>IF(Tabell2[[#This Row],[NIBR11-T]]&lt;=K$436,100,IF(Tabell2[[#This Row],[NIBR11-T]]&gt;=K$435,0,100*(K$435-Tabell2[[#This Row],[NIBR11-T]])/K$438))</f>
        <v>0</v>
      </c>
      <c r="U58" s="44">
        <f>(L$435-Tabell2[[#This Row],[ReisetidOslo-T]])*100/L$438</f>
        <v>50.232811665930839</v>
      </c>
      <c r="V58" s="44">
        <f>100-(M$435-Tabell2[[#This Row],[Beftettotal-T]])*100/M$438</f>
        <v>0</v>
      </c>
      <c r="W58" s="44">
        <f>100-(N$435-Tabell2[[#This Row],[Befvekst10-T]])*100/N$438</f>
        <v>3.6127833931264632</v>
      </c>
      <c r="X58" s="44">
        <f>100-(O$435-Tabell2[[#This Row],[Kvinneandel-T]])*100/O$438</f>
        <v>32.064731837869559</v>
      </c>
      <c r="Y58" s="44">
        <f>(P$435-Tabell2[[#This Row],[Eldreandel-T]])*100/P$438</f>
        <v>4.7356930783981444</v>
      </c>
      <c r="Z58" s="44">
        <f>100-(Q$435-Tabell2[[#This Row],[Sysselsettingsvekst10-T]])*100/Q$438</f>
        <v>7.854448140684255</v>
      </c>
      <c r="AA58" s="44">
        <f>100-(R$435-Tabell2[[#This Row],[Yrkesaktivandel-T]])*100/R$438</f>
        <v>0</v>
      </c>
      <c r="AB58" s="44">
        <f>100-(S$435-Tabell2[[#This Row],[Inntekt-T]])*100/S$438</f>
        <v>0</v>
      </c>
      <c r="AC58" s="44">
        <f>Tabell2[[#This Row],[NIBR11-I]]*Vekter!$B$3</f>
        <v>0</v>
      </c>
      <c r="AD58" s="44">
        <f>Tabell2[[#This Row],[ReisetidOslo-I]]*Vekter!$C$3</f>
        <v>5.0232811665930841</v>
      </c>
      <c r="AE58" s="44">
        <f>Tabell2[[#This Row],[Beftettotal-I]]*Vekter!$E$4</f>
        <v>0</v>
      </c>
      <c r="AF58" s="44">
        <f>Tabell2[[#This Row],[Befvekst10-I]]*Vekter!$F$3</f>
        <v>0.72255667862529271</v>
      </c>
      <c r="AG58" s="44">
        <f>Tabell2[[#This Row],[Kvinneandel-I]]*Vekter!$G$3</f>
        <v>1.6032365918934781</v>
      </c>
      <c r="AH58" s="44">
        <f>Tabell2[[#This Row],[Eldreandel-I]]*Vekter!$H$3</f>
        <v>0.23678465391990722</v>
      </c>
      <c r="AI58" s="44">
        <f>Tabell2[[#This Row],[Sysselsettingsvekst10-I]]*Vekter!$I$3</f>
        <v>0.78544481406842559</v>
      </c>
      <c r="AJ58" s="44">
        <f>Tabell2[[#This Row],[Yrkesaktivandel-I]]*Vekter!$K$3</f>
        <v>0</v>
      </c>
      <c r="AK58" s="44">
        <f>Tabell2[[#This Row],[Inntekt-I]]*Vekter!$M$3</f>
        <v>0</v>
      </c>
      <c r="AL5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8.3713039051001878</v>
      </c>
    </row>
    <row r="59" spans="1:38" s="38" customFormat="1" ht="12.75">
      <c r="A59" s="42" t="s">
        <v>57</v>
      </c>
      <c r="B59" s="38">
        <f>'Rådata-K'!Q59</f>
        <v>8</v>
      </c>
      <c r="C59" s="44">
        <f>'Rådata-K'!P59</f>
        <v>196.93811735700001</v>
      </c>
      <c r="D59" s="41">
        <f>'Rådata-K'!R59</f>
        <v>0.61613073671497587</v>
      </c>
      <c r="E59" s="41">
        <f>'Rådata-K'!S59</f>
        <v>-0.11637347767253048</v>
      </c>
      <c r="F59" s="41">
        <f>'Rådata-K'!T59</f>
        <v>8.6778968861664113E-2</v>
      </c>
      <c r="G59" s="41">
        <f>'Rådata-K'!U59</f>
        <v>0.22460438999489535</v>
      </c>
      <c r="H59" s="41">
        <f>'Rådata-K'!V59</f>
        <v>-3.8007863695937116E-2</v>
      </c>
      <c r="I59" s="41">
        <f>'Rådata-K'!W59</f>
        <v>0.91825095057034223</v>
      </c>
      <c r="J59" s="41">
        <f>'Rådata-K'!O59</f>
        <v>281300</v>
      </c>
      <c r="K59" s="41">
        <f>Tabell2[[#This Row],[NIBR11]]</f>
        <v>8</v>
      </c>
      <c r="L59" s="41">
        <f>IF(Tabell2[[#This Row],[ReisetidOslo]]&lt;=C$433,C$433,IF(Tabell2[[#This Row],[ReisetidOslo]]&gt;=C$434,C$434,Tabell2[[#This Row],[ReisetidOslo]]))</f>
        <v>196.93811735700001</v>
      </c>
      <c r="M59" s="41">
        <f>IF(Tabell2[[#This Row],[Beftettotal]]&lt;=D$433,D$433,IF(Tabell2[[#This Row],[Beftettotal]]&gt;=D$434,D$434,Tabell2[[#This Row],[Beftettotal]]))</f>
        <v>1.3207758882127238</v>
      </c>
      <c r="N59" s="41">
        <f>IF(Tabell2[[#This Row],[Befvekst10]]&lt;=E$433,E$433,IF(Tabell2[[#This Row],[Befvekst10]]&gt;=E$434,E$434,Tabell2[[#This Row],[Befvekst10]]))</f>
        <v>-9.1923232174966049E-2</v>
      </c>
      <c r="O59" s="41">
        <f>IF(Tabell2[[#This Row],[Kvinneandel]]&lt;=F$433,F$433,IF(Tabell2[[#This Row],[Kvinneandel]]&gt;=F$434,F$434,Tabell2[[#This Row],[Kvinneandel]]))</f>
        <v>9.1717808671657367E-2</v>
      </c>
      <c r="P59" s="41">
        <f>IF(Tabell2[[#This Row],[Eldreandel]]&lt;=G$433,G$433,IF(Tabell2[[#This Row],[Eldreandel]]&gt;=G$434,G$434,Tabell2[[#This Row],[Eldreandel]]))</f>
        <v>0.1989437597342919</v>
      </c>
      <c r="Q59" s="41">
        <f>IF(Tabell2[[#This Row],[Sysselsettingsvekst10]]&lt;=H$433,H$433,IF(Tabell2[[#This Row],[Sysselsettingsvekst10]]&gt;=H$434,H$434,Tabell2[[#This Row],[Sysselsettingsvekst10]]))</f>
        <v>-3.8007863695937116E-2</v>
      </c>
      <c r="R59" s="41">
        <f>IF(Tabell2[[#This Row],[Yrkesaktivandel]]&lt;=I$433,I$433,IF(Tabell2[[#This Row],[Yrkesaktivandel]]&gt;=I$434,I$434,Tabell2[[#This Row],[Yrkesaktivandel]]))</f>
        <v>0.91825095057034223</v>
      </c>
      <c r="S59" s="41">
        <f>IF(Tabell2[[#This Row],[Inntekt]]&lt;=J$433,J$433,IF(Tabell2[[#This Row],[Inntekt]]&gt;=J$434,J$434,Tabell2[[#This Row],[Inntekt]]))</f>
        <v>292140</v>
      </c>
      <c r="T59" s="44">
        <f>IF(Tabell2[[#This Row],[NIBR11-T]]&lt;=K$436,100,IF(Tabell2[[#This Row],[NIBR11-T]]&gt;=K$435,0,100*(K$435-Tabell2[[#This Row],[NIBR11-T]])/K$438))</f>
        <v>30</v>
      </c>
      <c r="U59" s="44">
        <f>(L$435-Tabell2[[#This Row],[ReisetidOslo-T]])*100/L$438</f>
        <v>36.456094157383447</v>
      </c>
      <c r="V59" s="44">
        <f>100-(M$435-Tabell2[[#This Row],[Beftettotal-T]])*100/M$438</f>
        <v>0</v>
      </c>
      <c r="W59" s="44">
        <f>100-(N$435-Tabell2[[#This Row],[Befvekst10-T]])*100/N$438</f>
        <v>0</v>
      </c>
      <c r="X59" s="44">
        <f>100-(O$435-Tabell2[[#This Row],[Kvinneandel-T]])*100/O$438</f>
        <v>0</v>
      </c>
      <c r="Y59" s="44">
        <f>(P$435-Tabell2[[#This Row],[Eldreandel-T]])*100/P$438</f>
        <v>0</v>
      </c>
      <c r="Z59" s="44">
        <f>100-(Q$435-Tabell2[[#This Row],[Sysselsettingsvekst10-T]])*100/Q$438</f>
        <v>15.924241344978768</v>
      </c>
      <c r="AA59" s="44">
        <f>100-(R$435-Tabell2[[#This Row],[Yrkesaktivandel-T]])*100/R$438</f>
        <v>68.570454165805486</v>
      </c>
      <c r="AB59" s="44">
        <f>100-(S$435-Tabell2[[#This Row],[Inntekt-T]])*100/S$438</f>
        <v>0</v>
      </c>
      <c r="AC59" s="44">
        <f>Tabell2[[#This Row],[NIBR11-I]]*Vekter!$B$3</f>
        <v>6</v>
      </c>
      <c r="AD59" s="44">
        <f>Tabell2[[#This Row],[ReisetidOslo-I]]*Vekter!$C$3</f>
        <v>3.645609415738345</v>
      </c>
      <c r="AE59" s="44">
        <f>Tabell2[[#This Row],[Beftettotal-I]]*Vekter!$E$4</f>
        <v>0</v>
      </c>
      <c r="AF59" s="44">
        <f>Tabell2[[#This Row],[Befvekst10-I]]*Vekter!$F$3</f>
        <v>0</v>
      </c>
      <c r="AG59" s="44">
        <f>Tabell2[[#This Row],[Kvinneandel-I]]*Vekter!$G$3</f>
        <v>0</v>
      </c>
      <c r="AH59" s="44">
        <f>Tabell2[[#This Row],[Eldreandel-I]]*Vekter!$H$3</f>
        <v>0</v>
      </c>
      <c r="AI59" s="44">
        <f>Tabell2[[#This Row],[Sysselsettingsvekst10-I]]*Vekter!$I$3</f>
        <v>1.5924241344978769</v>
      </c>
      <c r="AJ59" s="44">
        <f>Tabell2[[#This Row],[Yrkesaktivandel-I]]*Vekter!$K$3</f>
        <v>6.857045416580549</v>
      </c>
      <c r="AK59" s="44">
        <f>Tabell2[[#This Row],[Inntekt-I]]*Vekter!$M$3</f>
        <v>0</v>
      </c>
      <c r="AL5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18.095078966816772</v>
      </c>
    </row>
    <row r="60" spans="1:38" s="38" customFormat="1" ht="12.75">
      <c r="A60" s="42" t="s">
        <v>58</v>
      </c>
      <c r="B60" s="38">
        <f>'Rådata-K'!Q60</f>
        <v>9</v>
      </c>
      <c r="C60" s="44">
        <f>'Rådata-K'!P60</f>
        <v>191.10905358400001</v>
      </c>
      <c r="D60" s="41">
        <f>'Rådata-K'!R60</f>
        <v>0.63281342474983382</v>
      </c>
      <c r="E60" s="41">
        <f>'Rådata-K'!S60</f>
        <v>-8.3113456464379953E-2</v>
      </c>
      <c r="F60" s="41">
        <f>'Rådata-K'!T60</f>
        <v>8.3453237410071948E-2</v>
      </c>
      <c r="G60" s="41">
        <f>'Rådata-K'!U60</f>
        <v>0.20719424460431654</v>
      </c>
      <c r="H60" s="41">
        <f>'Rådata-K'!V60</f>
        <v>-0.13036809815950923</v>
      </c>
      <c r="I60" s="41">
        <f>'Rådata-K'!W60</f>
        <v>0.92276422764227639</v>
      </c>
      <c r="J60" s="41">
        <f>'Rådata-K'!O60</f>
        <v>272700</v>
      </c>
      <c r="K60" s="41">
        <f>Tabell2[[#This Row],[NIBR11]]</f>
        <v>9</v>
      </c>
      <c r="L60" s="41">
        <f>IF(Tabell2[[#This Row],[ReisetidOslo]]&lt;=C$433,C$433,IF(Tabell2[[#This Row],[ReisetidOslo]]&gt;=C$434,C$434,Tabell2[[#This Row],[ReisetidOslo]]))</f>
        <v>191.10905358400001</v>
      </c>
      <c r="M60" s="41">
        <f>IF(Tabell2[[#This Row],[Beftettotal]]&lt;=D$433,D$433,IF(Tabell2[[#This Row],[Beftettotal]]&gt;=D$434,D$434,Tabell2[[#This Row],[Beftettotal]]))</f>
        <v>1.3207758882127238</v>
      </c>
      <c r="N60" s="41">
        <f>IF(Tabell2[[#This Row],[Befvekst10]]&lt;=E$433,E$433,IF(Tabell2[[#This Row],[Befvekst10]]&gt;=E$434,E$434,Tabell2[[#This Row],[Befvekst10]]))</f>
        <v>-8.3113456464379953E-2</v>
      </c>
      <c r="O60" s="41">
        <f>IF(Tabell2[[#This Row],[Kvinneandel]]&lt;=F$433,F$433,IF(Tabell2[[#This Row],[Kvinneandel]]&gt;=F$434,F$434,Tabell2[[#This Row],[Kvinneandel]]))</f>
        <v>9.1717808671657367E-2</v>
      </c>
      <c r="P60" s="41">
        <f>IF(Tabell2[[#This Row],[Eldreandel]]&lt;=G$433,G$433,IF(Tabell2[[#This Row],[Eldreandel]]&gt;=G$434,G$434,Tabell2[[#This Row],[Eldreandel]]))</f>
        <v>0.1989437597342919</v>
      </c>
      <c r="Q60" s="41">
        <f>IF(Tabell2[[#This Row],[Sysselsettingsvekst10]]&lt;=H$433,H$433,IF(Tabell2[[#This Row],[Sysselsettingsvekst10]]&gt;=H$434,H$434,Tabell2[[#This Row],[Sysselsettingsvekst10]]))</f>
        <v>-9.2168803558721979E-2</v>
      </c>
      <c r="R60" s="41">
        <f>IF(Tabell2[[#This Row],[Yrkesaktivandel]]&lt;=I$433,I$433,IF(Tabell2[[#This Row],[Yrkesaktivandel]]&gt;=I$434,I$434,Tabell2[[#This Row],[Yrkesaktivandel]]))</f>
        <v>0.92276422764227639</v>
      </c>
      <c r="S60" s="41">
        <f>IF(Tabell2[[#This Row],[Inntekt]]&lt;=J$433,J$433,IF(Tabell2[[#This Row],[Inntekt]]&gt;=J$434,J$434,Tabell2[[#This Row],[Inntekt]]))</f>
        <v>292140</v>
      </c>
      <c r="T60" s="44">
        <f>IF(Tabell2[[#This Row],[NIBR11-T]]&lt;=K$436,100,IF(Tabell2[[#This Row],[NIBR11-T]]&gt;=K$435,0,100*(K$435-Tabell2[[#This Row],[NIBR11-T]])/K$438))</f>
        <v>20</v>
      </c>
      <c r="U60" s="44">
        <f>(L$435-Tabell2[[#This Row],[ReisetidOslo-T]])*100/L$438</f>
        <v>39.043910469343274</v>
      </c>
      <c r="V60" s="44">
        <f>100-(M$435-Tabell2[[#This Row],[Beftettotal-T]])*100/M$438</f>
        <v>0</v>
      </c>
      <c r="W60" s="44">
        <f>100-(N$435-Tabell2[[#This Row],[Befvekst10-T]])*100/N$438</f>
        <v>3.6447352782745099</v>
      </c>
      <c r="X60" s="44">
        <f>100-(O$435-Tabell2[[#This Row],[Kvinneandel-T]])*100/O$438</f>
        <v>0</v>
      </c>
      <c r="Y60" s="44">
        <f>(P$435-Tabell2[[#This Row],[Eldreandel-T]])*100/P$438</f>
        <v>0</v>
      </c>
      <c r="Z60" s="44">
        <f>100-(Q$435-Tabell2[[#This Row],[Sysselsettingsvekst10-T]])*100/Q$438</f>
        <v>0</v>
      </c>
      <c r="AA60" s="44">
        <f>100-(R$435-Tabell2[[#This Row],[Yrkesaktivandel-T]])*100/R$438</f>
        <v>71.940886481520266</v>
      </c>
      <c r="AB60" s="44">
        <f>100-(S$435-Tabell2[[#This Row],[Inntekt-T]])*100/S$438</f>
        <v>0</v>
      </c>
      <c r="AC60" s="44">
        <f>Tabell2[[#This Row],[NIBR11-I]]*Vekter!$B$3</f>
        <v>4</v>
      </c>
      <c r="AD60" s="44">
        <f>Tabell2[[#This Row],[ReisetidOslo-I]]*Vekter!$C$3</f>
        <v>3.9043910469343275</v>
      </c>
      <c r="AE60" s="44">
        <f>Tabell2[[#This Row],[Beftettotal-I]]*Vekter!$E$4</f>
        <v>0</v>
      </c>
      <c r="AF60" s="44">
        <f>Tabell2[[#This Row],[Befvekst10-I]]*Vekter!$F$3</f>
        <v>0.72894705565490203</v>
      </c>
      <c r="AG60" s="44">
        <f>Tabell2[[#This Row],[Kvinneandel-I]]*Vekter!$G$3</f>
        <v>0</v>
      </c>
      <c r="AH60" s="44">
        <f>Tabell2[[#This Row],[Eldreandel-I]]*Vekter!$H$3</f>
        <v>0</v>
      </c>
      <c r="AI60" s="44">
        <f>Tabell2[[#This Row],[Sysselsettingsvekst10-I]]*Vekter!$I$3</f>
        <v>0</v>
      </c>
      <c r="AJ60" s="44">
        <f>Tabell2[[#This Row],[Yrkesaktivandel-I]]*Vekter!$K$3</f>
        <v>7.194088648152027</v>
      </c>
      <c r="AK60" s="44">
        <f>Tabell2[[#This Row],[Inntekt-I]]*Vekter!$M$3</f>
        <v>0</v>
      </c>
      <c r="AL6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15.827426750741257</v>
      </c>
    </row>
    <row r="61" spans="1:38" s="38" customFormat="1" ht="12.75">
      <c r="A61" s="42" t="s">
        <v>59</v>
      </c>
      <c r="B61" s="38">
        <f>'Rådata-K'!Q61</f>
        <v>8</v>
      </c>
      <c r="C61" s="44">
        <f>'Rådata-K'!P61</f>
        <v>179.9717179882</v>
      </c>
      <c r="D61" s="41">
        <f>'Rådata-K'!R61</f>
        <v>1.4974167112061287</v>
      </c>
      <c r="E61" s="41">
        <f>'Rådata-K'!S61</f>
        <v>-7.0243362831858391E-2</v>
      </c>
      <c r="F61" s="41">
        <f>'Rådata-K'!T61</f>
        <v>0.10350981558596074</v>
      </c>
      <c r="G61" s="41">
        <f>'Rådata-K'!U61</f>
        <v>0.17132659131469363</v>
      </c>
      <c r="H61" s="41">
        <f>'Rådata-K'!V61</f>
        <v>-7.0721357850070721E-2</v>
      </c>
      <c r="I61" s="41">
        <f>'Rådata-K'!W61</f>
        <v>1.0010799136069115</v>
      </c>
      <c r="J61" s="41">
        <f>'Rådata-K'!O61</f>
        <v>279400</v>
      </c>
      <c r="K61" s="41">
        <f>Tabell2[[#This Row],[NIBR11]]</f>
        <v>8</v>
      </c>
      <c r="L61" s="41">
        <f>IF(Tabell2[[#This Row],[ReisetidOslo]]&lt;=C$433,C$433,IF(Tabell2[[#This Row],[ReisetidOslo]]&gt;=C$434,C$434,Tabell2[[#This Row],[ReisetidOslo]]))</f>
        <v>179.9717179882</v>
      </c>
      <c r="M61" s="41">
        <f>IF(Tabell2[[#This Row],[Beftettotal]]&lt;=D$433,D$433,IF(Tabell2[[#This Row],[Beftettotal]]&gt;=D$434,D$434,Tabell2[[#This Row],[Beftettotal]]))</f>
        <v>1.4974167112061287</v>
      </c>
      <c r="N61" s="41">
        <f>IF(Tabell2[[#This Row],[Befvekst10]]&lt;=E$433,E$433,IF(Tabell2[[#This Row],[Befvekst10]]&gt;=E$434,E$434,Tabell2[[#This Row],[Befvekst10]]))</f>
        <v>-7.0243362831858391E-2</v>
      </c>
      <c r="O61" s="41">
        <f>IF(Tabell2[[#This Row],[Kvinneandel]]&lt;=F$433,F$433,IF(Tabell2[[#This Row],[Kvinneandel]]&gt;=F$434,F$434,Tabell2[[#This Row],[Kvinneandel]]))</f>
        <v>0.10350981558596074</v>
      </c>
      <c r="P61" s="41">
        <f>IF(Tabell2[[#This Row],[Eldreandel]]&lt;=G$433,G$433,IF(Tabell2[[#This Row],[Eldreandel]]&gt;=G$434,G$434,Tabell2[[#This Row],[Eldreandel]]))</f>
        <v>0.17132659131469363</v>
      </c>
      <c r="Q61" s="41">
        <f>IF(Tabell2[[#This Row],[Sysselsettingsvekst10]]&lt;=H$433,H$433,IF(Tabell2[[#This Row],[Sysselsettingsvekst10]]&gt;=H$434,H$434,Tabell2[[#This Row],[Sysselsettingsvekst10]]))</f>
        <v>-7.0721357850070721E-2</v>
      </c>
      <c r="R61" s="41">
        <f>IF(Tabell2[[#This Row],[Yrkesaktivandel]]&lt;=I$433,I$433,IF(Tabell2[[#This Row],[Yrkesaktivandel]]&gt;=I$434,I$434,Tabell2[[#This Row],[Yrkesaktivandel]]))</f>
        <v>0.96033761343949164</v>
      </c>
      <c r="S61" s="41">
        <f>IF(Tabell2[[#This Row],[Inntekt]]&lt;=J$433,J$433,IF(Tabell2[[#This Row],[Inntekt]]&gt;=J$434,J$434,Tabell2[[#This Row],[Inntekt]]))</f>
        <v>292140</v>
      </c>
      <c r="T61" s="44">
        <f>IF(Tabell2[[#This Row],[NIBR11-T]]&lt;=K$436,100,IF(Tabell2[[#This Row],[NIBR11-T]]&gt;=K$435,0,100*(K$435-Tabell2[[#This Row],[NIBR11-T]])/K$438))</f>
        <v>30</v>
      </c>
      <c r="U61" s="44">
        <f>(L$435-Tabell2[[#This Row],[ReisetidOslo-T]])*100/L$438</f>
        <v>43.988337198740467</v>
      </c>
      <c r="V61" s="44">
        <f>100-(M$435-Tabell2[[#This Row],[Beftettotal-T]])*100/M$438</f>
        <v>0.14449339658166593</v>
      </c>
      <c r="W61" s="44">
        <f>100-(N$435-Tabell2[[#This Row],[Befvekst10-T]])*100/N$438</f>
        <v>8.9692844879418061</v>
      </c>
      <c r="X61" s="44">
        <f>100-(O$435-Tabell2[[#This Row],[Kvinneandel-T]])*100/O$438</f>
        <v>32.268368421604237</v>
      </c>
      <c r="Y61" s="44">
        <f>(P$435-Tabell2[[#This Row],[Eldreandel-T]])*100/P$438</f>
        <v>32.516334011309979</v>
      </c>
      <c r="Z61" s="44">
        <f>100-(Q$435-Tabell2[[#This Row],[Sysselsettingsvekst10-T]])*100/Q$438</f>
        <v>6.3059153434773947</v>
      </c>
      <c r="AA61" s="44">
        <f>100-(R$435-Tabell2[[#This Row],[Yrkesaktivandel-T]])*100/R$438</f>
        <v>100</v>
      </c>
      <c r="AB61" s="44">
        <f>100-(S$435-Tabell2[[#This Row],[Inntekt-T]])*100/S$438</f>
        <v>0</v>
      </c>
      <c r="AC61" s="44">
        <f>Tabell2[[#This Row],[NIBR11-I]]*Vekter!$B$3</f>
        <v>6</v>
      </c>
      <c r="AD61" s="44">
        <f>Tabell2[[#This Row],[ReisetidOslo-I]]*Vekter!$C$3</f>
        <v>4.3988337198740473</v>
      </c>
      <c r="AE61" s="44">
        <f>Tabell2[[#This Row],[Beftettotal-I]]*Vekter!$E$4</f>
        <v>1.4449339658166594E-2</v>
      </c>
      <c r="AF61" s="44">
        <f>Tabell2[[#This Row],[Befvekst10-I]]*Vekter!$F$3</f>
        <v>1.7938568975883613</v>
      </c>
      <c r="AG61" s="44">
        <f>Tabell2[[#This Row],[Kvinneandel-I]]*Vekter!$G$3</f>
        <v>1.6134184210802118</v>
      </c>
      <c r="AH61" s="44">
        <f>Tabell2[[#This Row],[Eldreandel-I]]*Vekter!$H$3</f>
        <v>1.6258167005654991</v>
      </c>
      <c r="AI61" s="44">
        <f>Tabell2[[#This Row],[Sysselsettingsvekst10-I]]*Vekter!$I$3</f>
        <v>0.63059153434773951</v>
      </c>
      <c r="AJ61" s="44">
        <f>Tabell2[[#This Row],[Yrkesaktivandel-I]]*Vekter!$K$3</f>
        <v>10</v>
      </c>
      <c r="AK61" s="44">
        <f>Tabell2[[#This Row],[Inntekt-I]]*Vekter!$M$3</f>
        <v>0</v>
      </c>
      <c r="AL6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26.076966613114028</v>
      </c>
    </row>
    <row r="62" spans="1:38" s="38" customFormat="1" ht="12.75">
      <c r="A62" s="42" t="s">
        <v>60</v>
      </c>
      <c r="B62" s="38">
        <f>'Rådata-K'!Q62</f>
        <v>8</v>
      </c>
      <c r="C62" s="44">
        <f>'Rådata-K'!P62</f>
        <v>196.7671357575</v>
      </c>
      <c r="D62" s="41">
        <f>'Rådata-K'!R62</f>
        <v>2.9587875565009307</v>
      </c>
      <c r="E62" s="41">
        <f>'Rådata-K'!S62</f>
        <v>2.5055268975681555E-2</v>
      </c>
      <c r="F62" s="41">
        <f>'Rådata-K'!T62</f>
        <v>0.10999281092739037</v>
      </c>
      <c r="G62" s="41">
        <f>'Rådata-K'!U62</f>
        <v>0.15582314881380302</v>
      </c>
      <c r="H62" s="41">
        <f>'Rådata-K'!V62</f>
        <v>0.11643835616438358</v>
      </c>
      <c r="I62" s="41">
        <f>'Rådata-K'!W62</f>
        <v>0.94820971867007675</v>
      </c>
      <c r="J62" s="41">
        <f>'Rådata-K'!O62</f>
        <v>315000</v>
      </c>
      <c r="K62" s="41">
        <f>Tabell2[[#This Row],[NIBR11]]</f>
        <v>8</v>
      </c>
      <c r="L62" s="41">
        <f>IF(Tabell2[[#This Row],[ReisetidOslo]]&lt;=C$433,C$433,IF(Tabell2[[#This Row],[ReisetidOslo]]&gt;=C$434,C$434,Tabell2[[#This Row],[ReisetidOslo]]))</f>
        <v>196.7671357575</v>
      </c>
      <c r="M62" s="41">
        <f>IF(Tabell2[[#This Row],[Beftettotal]]&lt;=D$433,D$433,IF(Tabell2[[#This Row],[Beftettotal]]&gt;=D$434,D$434,Tabell2[[#This Row],[Beftettotal]]))</f>
        <v>2.9587875565009307</v>
      </c>
      <c r="N62" s="41">
        <f>IF(Tabell2[[#This Row],[Befvekst10]]&lt;=E$433,E$433,IF(Tabell2[[#This Row],[Befvekst10]]&gt;=E$434,E$434,Tabell2[[#This Row],[Befvekst10]]))</f>
        <v>2.5055268975681555E-2</v>
      </c>
      <c r="O62" s="41">
        <f>IF(Tabell2[[#This Row],[Kvinneandel]]&lt;=F$433,F$433,IF(Tabell2[[#This Row],[Kvinneandel]]&gt;=F$434,F$434,Tabell2[[#This Row],[Kvinneandel]]))</f>
        <v>0.10999281092739037</v>
      </c>
      <c r="P62" s="41">
        <f>IF(Tabell2[[#This Row],[Eldreandel]]&lt;=G$433,G$433,IF(Tabell2[[#This Row],[Eldreandel]]&gt;=G$434,G$434,Tabell2[[#This Row],[Eldreandel]]))</f>
        <v>0.15582314881380302</v>
      </c>
      <c r="Q62" s="41">
        <f>IF(Tabell2[[#This Row],[Sysselsettingsvekst10]]&lt;=H$433,H$433,IF(Tabell2[[#This Row],[Sysselsettingsvekst10]]&gt;=H$434,H$434,Tabell2[[#This Row],[Sysselsettingsvekst10]]))</f>
        <v>0.11643835616438358</v>
      </c>
      <c r="R62" s="41">
        <f>IF(Tabell2[[#This Row],[Yrkesaktivandel]]&lt;=I$433,I$433,IF(Tabell2[[#This Row],[Yrkesaktivandel]]&gt;=I$434,I$434,Tabell2[[#This Row],[Yrkesaktivandel]]))</f>
        <v>0.94820971867007675</v>
      </c>
      <c r="S62" s="41">
        <f>IF(Tabell2[[#This Row],[Inntekt]]&lt;=J$433,J$433,IF(Tabell2[[#This Row],[Inntekt]]&gt;=J$434,J$434,Tabell2[[#This Row],[Inntekt]]))</f>
        <v>315000</v>
      </c>
      <c r="T62" s="44">
        <f>IF(Tabell2[[#This Row],[NIBR11-T]]&lt;=K$436,100,IF(Tabell2[[#This Row],[NIBR11-T]]&gt;=K$435,0,100*(K$435-Tabell2[[#This Row],[NIBR11-T]])/K$438))</f>
        <v>30</v>
      </c>
      <c r="U62" s="44">
        <f>(L$435-Tabell2[[#This Row],[ReisetidOslo-T]])*100/L$438</f>
        <v>36.53200153967709</v>
      </c>
      <c r="V62" s="44">
        <f>100-(M$435-Tabell2[[#This Row],[Beftettotal-T]])*100/M$438</f>
        <v>1.3399047036833736</v>
      </c>
      <c r="W62" s="44">
        <f>100-(N$435-Tabell2[[#This Row],[Befvekst10-T]])*100/N$438</f>
        <v>48.395746265267363</v>
      </c>
      <c r="X62" s="44">
        <f>100-(O$435-Tabell2[[#This Row],[Kvinneandel-T]])*100/O$438</f>
        <v>50.008833100186358</v>
      </c>
      <c r="Y62" s="44">
        <f>(P$435-Tabell2[[#This Row],[Eldreandel-T]])*100/P$438</f>
        <v>50.770019799254754</v>
      </c>
      <c r="Z62" s="44">
        <f>100-(Q$435-Tabell2[[#This Row],[Sysselsettingsvekst10-T]])*100/Q$438</f>
        <v>61.334067801209393</v>
      </c>
      <c r="AA62" s="44">
        <f>100-(R$435-Tabell2[[#This Row],[Yrkesaktivandel-T]])*100/R$438</f>
        <v>90.943111224743276</v>
      </c>
      <c r="AB62" s="44">
        <f>100-(S$435-Tabell2[[#This Row],[Inntekt-T]])*100/S$438</f>
        <v>31.076672104404565</v>
      </c>
      <c r="AC62" s="44">
        <f>Tabell2[[#This Row],[NIBR11-I]]*Vekter!$B$3</f>
        <v>6</v>
      </c>
      <c r="AD62" s="44">
        <f>Tabell2[[#This Row],[ReisetidOslo-I]]*Vekter!$C$3</f>
        <v>3.6532001539677093</v>
      </c>
      <c r="AE62" s="44">
        <f>Tabell2[[#This Row],[Beftettotal-I]]*Vekter!$E$4</f>
        <v>0.13399047036833736</v>
      </c>
      <c r="AF62" s="44">
        <f>Tabell2[[#This Row],[Befvekst10-I]]*Vekter!$F$3</f>
        <v>9.679149253053474</v>
      </c>
      <c r="AG62" s="44">
        <f>Tabell2[[#This Row],[Kvinneandel-I]]*Vekter!$G$3</f>
        <v>2.5004416550093183</v>
      </c>
      <c r="AH62" s="44">
        <f>Tabell2[[#This Row],[Eldreandel-I]]*Vekter!$H$3</f>
        <v>2.538500989962738</v>
      </c>
      <c r="AI62" s="44">
        <f>Tabell2[[#This Row],[Sysselsettingsvekst10-I]]*Vekter!$I$3</f>
        <v>6.1334067801209393</v>
      </c>
      <c r="AJ62" s="44">
        <f>Tabell2[[#This Row],[Yrkesaktivandel-I]]*Vekter!$K$3</f>
        <v>9.0943111224743287</v>
      </c>
      <c r="AK62" s="44">
        <f>Tabell2[[#This Row],[Inntekt-I]]*Vekter!$M$3</f>
        <v>3.1076672104404568</v>
      </c>
      <c r="AL6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42.840667635397303</v>
      </c>
    </row>
    <row r="63" spans="1:38" s="38" customFormat="1" ht="12.75">
      <c r="A63" s="42" t="s">
        <v>61</v>
      </c>
      <c r="B63" s="38">
        <f>'Rådata-K'!Q63</f>
        <v>8</v>
      </c>
      <c r="C63" s="44">
        <f>'Rådata-K'!P63</f>
        <v>215.45257689850001</v>
      </c>
      <c r="D63" s="41">
        <f>'Rådata-K'!R63</f>
        <v>2.5802685347343837</v>
      </c>
      <c r="E63" s="41">
        <f>'Rådata-K'!S63</f>
        <v>9.1324200913243114E-3</v>
      </c>
      <c r="F63" s="41">
        <f>'Rådata-K'!T63</f>
        <v>0.10736322501028384</v>
      </c>
      <c r="G63" s="41">
        <f>'Rådata-K'!U63</f>
        <v>0.17359111476758535</v>
      </c>
      <c r="H63" s="41">
        <f>'Rådata-K'!V63</f>
        <v>0.18862275449101795</v>
      </c>
      <c r="I63" s="41">
        <f>'Rådata-K'!W63</f>
        <v>0.99176646706586824</v>
      </c>
      <c r="J63" s="41">
        <f>'Rådata-K'!O63</f>
        <v>306700</v>
      </c>
      <c r="K63" s="41">
        <f>Tabell2[[#This Row],[NIBR11]]</f>
        <v>8</v>
      </c>
      <c r="L63" s="41">
        <f>IF(Tabell2[[#This Row],[ReisetidOslo]]&lt;=C$433,C$433,IF(Tabell2[[#This Row],[ReisetidOslo]]&gt;=C$434,C$434,Tabell2[[#This Row],[ReisetidOslo]]))</f>
        <v>215.45257689850001</v>
      </c>
      <c r="M63" s="41">
        <f>IF(Tabell2[[#This Row],[Beftettotal]]&lt;=D$433,D$433,IF(Tabell2[[#This Row],[Beftettotal]]&gt;=D$434,D$434,Tabell2[[#This Row],[Beftettotal]]))</f>
        <v>2.5802685347343837</v>
      </c>
      <c r="N63" s="41">
        <f>IF(Tabell2[[#This Row],[Befvekst10]]&lt;=E$433,E$433,IF(Tabell2[[#This Row],[Befvekst10]]&gt;=E$434,E$434,Tabell2[[#This Row],[Befvekst10]]))</f>
        <v>9.1324200913243114E-3</v>
      </c>
      <c r="O63" s="41">
        <f>IF(Tabell2[[#This Row],[Kvinneandel]]&lt;=F$433,F$433,IF(Tabell2[[#This Row],[Kvinneandel]]&gt;=F$434,F$434,Tabell2[[#This Row],[Kvinneandel]]))</f>
        <v>0.10736322501028384</v>
      </c>
      <c r="P63" s="41">
        <f>IF(Tabell2[[#This Row],[Eldreandel]]&lt;=G$433,G$433,IF(Tabell2[[#This Row],[Eldreandel]]&gt;=G$434,G$434,Tabell2[[#This Row],[Eldreandel]]))</f>
        <v>0.17359111476758535</v>
      </c>
      <c r="Q63" s="41">
        <f>IF(Tabell2[[#This Row],[Sysselsettingsvekst10]]&lt;=H$433,H$433,IF(Tabell2[[#This Row],[Sysselsettingsvekst10]]&gt;=H$434,H$434,Tabell2[[#This Row],[Sysselsettingsvekst10]]))</f>
        <v>0.18862275449101795</v>
      </c>
      <c r="R63" s="41">
        <f>IF(Tabell2[[#This Row],[Yrkesaktivandel]]&lt;=I$433,I$433,IF(Tabell2[[#This Row],[Yrkesaktivandel]]&gt;=I$434,I$434,Tabell2[[#This Row],[Yrkesaktivandel]]))</f>
        <v>0.96033761343949164</v>
      </c>
      <c r="S63" s="41">
        <f>IF(Tabell2[[#This Row],[Inntekt]]&lt;=J$433,J$433,IF(Tabell2[[#This Row],[Inntekt]]&gt;=J$434,J$434,Tabell2[[#This Row],[Inntekt]]))</f>
        <v>306700</v>
      </c>
      <c r="T63" s="44">
        <f>IF(Tabell2[[#This Row],[NIBR11-T]]&lt;=K$436,100,IF(Tabell2[[#This Row],[NIBR11-T]]&gt;=K$435,0,100*(K$435-Tabell2[[#This Row],[NIBR11-T]])/K$438))</f>
        <v>30</v>
      </c>
      <c r="U63" s="44">
        <f>(L$435-Tabell2[[#This Row],[ReisetidOslo-T]])*100/L$438</f>
        <v>28.236588886135504</v>
      </c>
      <c r="V63" s="44">
        <f>100-(M$435-Tabell2[[#This Row],[Beftettotal-T]])*100/M$438</f>
        <v>1.0302735652015258</v>
      </c>
      <c r="W63" s="44">
        <f>100-(N$435-Tabell2[[#This Row],[Befvekst10-T]])*100/N$438</f>
        <v>41.808226790768757</v>
      </c>
      <c r="X63" s="44">
        <f>100-(O$435-Tabell2[[#This Row],[Kvinneandel-T]])*100/O$438</f>
        <v>42.813073482157975</v>
      </c>
      <c r="Y63" s="44">
        <f>(P$435-Tabell2[[#This Row],[Eldreandel-T]])*100/P$438</f>
        <v>29.85009394455432</v>
      </c>
      <c r="Z63" s="44">
        <f>100-(Q$435-Tabell2[[#This Row],[Sysselsettingsvekst10-T]])*100/Q$438</f>
        <v>82.557513760743831</v>
      </c>
      <c r="AA63" s="44">
        <f>100-(R$435-Tabell2[[#This Row],[Yrkesaktivandel-T]])*100/R$438</f>
        <v>100</v>
      </c>
      <c r="AB63" s="44">
        <f>100-(S$435-Tabell2[[#This Row],[Inntekt-T]])*100/S$438</f>
        <v>19.793365959760735</v>
      </c>
      <c r="AC63" s="44">
        <f>Tabell2[[#This Row],[NIBR11-I]]*Vekter!$B$3</f>
        <v>6</v>
      </c>
      <c r="AD63" s="44">
        <f>Tabell2[[#This Row],[ReisetidOslo-I]]*Vekter!$C$3</f>
        <v>2.8236588886135507</v>
      </c>
      <c r="AE63" s="44">
        <f>Tabell2[[#This Row],[Beftettotal-I]]*Vekter!$E$4</f>
        <v>0.10302735652015259</v>
      </c>
      <c r="AF63" s="44">
        <f>Tabell2[[#This Row],[Befvekst10-I]]*Vekter!$F$3</f>
        <v>8.3616453581537513</v>
      </c>
      <c r="AG63" s="44">
        <f>Tabell2[[#This Row],[Kvinneandel-I]]*Vekter!$G$3</f>
        <v>2.1406536741078988</v>
      </c>
      <c r="AH63" s="44">
        <f>Tabell2[[#This Row],[Eldreandel-I]]*Vekter!$H$3</f>
        <v>1.4925046972277161</v>
      </c>
      <c r="AI63" s="44">
        <f>Tabell2[[#This Row],[Sysselsettingsvekst10-I]]*Vekter!$I$3</f>
        <v>8.2557513760743841</v>
      </c>
      <c r="AJ63" s="44">
        <f>Tabell2[[#This Row],[Yrkesaktivandel-I]]*Vekter!$K$3</f>
        <v>10</v>
      </c>
      <c r="AK63" s="44">
        <f>Tabell2[[#This Row],[Inntekt-I]]*Vekter!$M$3</f>
        <v>1.9793365959760736</v>
      </c>
      <c r="AL6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41.156577946673522</v>
      </c>
    </row>
    <row r="64" spans="1:38" s="38" customFormat="1" ht="12.75">
      <c r="A64" s="42" t="s">
        <v>62</v>
      </c>
      <c r="B64" s="38">
        <f>'Rådata-K'!Q64</f>
        <v>8</v>
      </c>
      <c r="C64" s="44">
        <f>'Rådata-K'!P64</f>
        <v>239.34808878300001</v>
      </c>
      <c r="D64" s="41">
        <f>'Rådata-K'!R64</f>
        <v>1.2851638368523277</v>
      </c>
      <c r="E64" s="41">
        <f>'Rådata-K'!S64</f>
        <v>-6.3890473474044529E-2</v>
      </c>
      <c r="F64" s="41">
        <f>'Rådata-K'!T64</f>
        <v>9.0798293723339432E-2</v>
      </c>
      <c r="G64" s="41">
        <f>'Rådata-K'!U64</f>
        <v>0.19317489335770871</v>
      </c>
      <c r="H64" s="41">
        <f>'Rådata-K'!V64</f>
        <v>-8.333333333333337E-2</v>
      </c>
      <c r="I64" s="41">
        <f>'Rådata-K'!W64</f>
        <v>0.94648829431438131</v>
      </c>
      <c r="J64" s="41">
        <f>'Rådata-K'!O64</f>
        <v>288000</v>
      </c>
      <c r="K64" s="41">
        <f>Tabell2[[#This Row],[NIBR11]]</f>
        <v>8</v>
      </c>
      <c r="L64" s="41">
        <f>IF(Tabell2[[#This Row],[ReisetidOslo]]&lt;=C$433,C$433,IF(Tabell2[[#This Row],[ReisetidOslo]]&gt;=C$434,C$434,Tabell2[[#This Row],[ReisetidOslo]]))</f>
        <v>239.34808878300001</v>
      </c>
      <c r="M64" s="41">
        <f>IF(Tabell2[[#This Row],[Beftettotal]]&lt;=D$433,D$433,IF(Tabell2[[#This Row],[Beftettotal]]&gt;=D$434,D$434,Tabell2[[#This Row],[Beftettotal]]))</f>
        <v>1.3207758882127238</v>
      </c>
      <c r="N64" s="41">
        <f>IF(Tabell2[[#This Row],[Befvekst10]]&lt;=E$433,E$433,IF(Tabell2[[#This Row],[Befvekst10]]&gt;=E$434,E$434,Tabell2[[#This Row],[Befvekst10]]))</f>
        <v>-6.3890473474044529E-2</v>
      </c>
      <c r="O64" s="41">
        <f>IF(Tabell2[[#This Row],[Kvinneandel]]&lt;=F$433,F$433,IF(Tabell2[[#This Row],[Kvinneandel]]&gt;=F$434,F$434,Tabell2[[#This Row],[Kvinneandel]]))</f>
        <v>9.1717808671657367E-2</v>
      </c>
      <c r="P64" s="41">
        <f>IF(Tabell2[[#This Row],[Eldreandel]]&lt;=G$433,G$433,IF(Tabell2[[#This Row],[Eldreandel]]&gt;=G$434,G$434,Tabell2[[#This Row],[Eldreandel]]))</f>
        <v>0.19317489335770871</v>
      </c>
      <c r="Q64" s="41">
        <f>IF(Tabell2[[#This Row],[Sysselsettingsvekst10]]&lt;=H$433,H$433,IF(Tabell2[[#This Row],[Sysselsettingsvekst10]]&gt;=H$434,H$434,Tabell2[[#This Row],[Sysselsettingsvekst10]]))</f>
        <v>-8.333333333333337E-2</v>
      </c>
      <c r="R64" s="41">
        <f>IF(Tabell2[[#This Row],[Yrkesaktivandel]]&lt;=I$433,I$433,IF(Tabell2[[#This Row],[Yrkesaktivandel]]&gt;=I$434,I$434,Tabell2[[#This Row],[Yrkesaktivandel]]))</f>
        <v>0.94648829431438131</v>
      </c>
      <c r="S64" s="41">
        <f>IF(Tabell2[[#This Row],[Inntekt]]&lt;=J$433,J$433,IF(Tabell2[[#This Row],[Inntekt]]&gt;=J$434,J$434,Tabell2[[#This Row],[Inntekt]]))</f>
        <v>292140</v>
      </c>
      <c r="T64" s="44">
        <f>IF(Tabell2[[#This Row],[NIBR11-T]]&lt;=K$436,100,IF(Tabell2[[#This Row],[NIBR11-T]]&gt;=K$435,0,100*(K$435-Tabell2[[#This Row],[NIBR11-T]])/K$438))</f>
        <v>30</v>
      </c>
      <c r="U64" s="44">
        <f>(L$435-Tabell2[[#This Row],[ReisetidOslo-T]])*100/L$438</f>
        <v>17.628162242432197</v>
      </c>
      <c r="V64" s="44">
        <f>100-(M$435-Tabell2[[#This Row],[Beftettotal-T]])*100/M$438</f>
        <v>0</v>
      </c>
      <c r="W64" s="44">
        <f>100-(N$435-Tabell2[[#This Row],[Befvekst10-T]])*100/N$438</f>
        <v>11.597569329924298</v>
      </c>
      <c r="X64" s="44">
        <f>100-(O$435-Tabell2[[#This Row],[Kvinneandel-T]])*100/O$438</f>
        <v>0</v>
      </c>
      <c r="Y64" s="44">
        <f>(P$435-Tabell2[[#This Row],[Eldreandel-T]])*100/P$438</f>
        <v>6.7922381874051405</v>
      </c>
      <c r="Z64" s="44">
        <f>100-(Q$435-Tabell2[[#This Row],[Sysselsettingsvekst10-T]])*100/Q$438</f>
        <v>2.5977791489940074</v>
      </c>
      <c r="AA64" s="44">
        <f>100-(R$435-Tabell2[[#This Row],[Yrkesaktivandel-T]])*100/R$438</f>
        <v>89.657583173834595</v>
      </c>
      <c r="AB64" s="44">
        <f>100-(S$435-Tabell2[[#This Row],[Inntekt-T]])*100/S$438</f>
        <v>0</v>
      </c>
      <c r="AC64" s="44">
        <f>Tabell2[[#This Row],[NIBR11-I]]*Vekter!$B$3</f>
        <v>6</v>
      </c>
      <c r="AD64" s="44">
        <f>Tabell2[[#This Row],[ReisetidOslo-I]]*Vekter!$C$3</f>
        <v>1.7628162242432197</v>
      </c>
      <c r="AE64" s="44">
        <f>Tabell2[[#This Row],[Beftettotal-I]]*Vekter!$E$4</f>
        <v>0</v>
      </c>
      <c r="AF64" s="44">
        <f>Tabell2[[#This Row],[Befvekst10-I]]*Vekter!$F$3</f>
        <v>2.3195138659848595</v>
      </c>
      <c r="AG64" s="44">
        <f>Tabell2[[#This Row],[Kvinneandel-I]]*Vekter!$G$3</f>
        <v>0</v>
      </c>
      <c r="AH64" s="44">
        <f>Tabell2[[#This Row],[Eldreandel-I]]*Vekter!$H$3</f>
        <v>0.33961190937025704</v>
      </c>
      <c r="AI64" s="44">
        <f>Tabell2[[#This Row],[Sysselsettingsvekst10-I]]*Vekter!$I$3</f>
        <v>0.25977791489940077</v>
      </c>
      <c r="AJ64" s="44">
        <f>Tabell2[[#This Row],[Yrkesaktivandel-I]]*Vekter!$K$3</f>
        <v>8.9657583173834592</v>
      </c>
      <c r="AK64" s="44">
        <f>Tabell2[[#This Row],[Inntekt-I]]*Vekter!$M$3</f>
        <v>0</v>
      </c>
      <c r="AL6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19.647478231881195</v>
      </c>
    </row>
    <row r="65" spans="1:38" s="38" customFormat="1" ht="12.75">
      <c r="A65" s="42" t="s">
        <v>63</v>
      </c>
      <c r="B65" s="38">
        <f>'Rådata-K'!Q65</f>
        <v>9</v>
      </c>
      <c r="C65" s="44">
        <f>'Rådata-K'!P65</f>
        <v>165.28662693699999</v>
      </c>
      <c r="D65" s="41">
        <f>'Rådata-K'!R65</f>
        <v>1.9607843137254901</v>
      </c>
      <c r="E65" s="41">
        <f>'Rådata-K'!S65</f>
        <v>-4.9836981835118754E-2</v>
      </c>
      <c r="F65" s="41">
        <f>'Rådata-K'!T65</f>
        <v>9.7058823529411767E-2</v>
      </c>
      <c r="G65" s="41">
        <f>'Rådata-K'!U65</f>
        <v>0.16568627450980392</v>
      </c>
      <c r="H65" s="41">
        <f>'Rådata-K'!V65</f>
        <v>-4.9817739975698716E-2</v>
      </c>
      <c r="I65" s="41">
        <f>'Rådata-K'!W65</f>
        <v>0.97862867319679425</v>
      </c>
      <c r="J65" s="41">
        <f>'Rådata-K'!O65</f>
        <v>289200</v>
      </c>
      <c r="K65" s="41">
        <f>Tabell2[[#This Row],[NIBR11]]</f>
        <v>9</v>
      </c>
      <c r="L65" s="41">
        <f>IF(Tabell2[[#This Row],[ReisetidOslo]]&lt;=C$433,C$433,IF(Tabell2[[#This Row],[ReisetidOslo]]&gt;=C$434,C$434,Tabell2[[#This Row],[ReisetidOslo]]))</f>
        <v>165.28662693699999</v>
      </c>
      <c r="M65" s="41">
        <f>IF(Tabell2[[#This Row],[Beftettotal]]&lt;=D$433,D$433,IF(Tabell2[[#This Row],[Beftettotal]]&gt;=D$434,D$434,Tabell2[[#This Row],[Beftettotal]]))</f>
        <v>1.9607843137254901</v>
      </c>
      <c r="N65" s="41">
        <f>IF(Tabell2[[#This Row],[Befvekst10]]&lt;=E$433,E$433,IF(Tabell2[[#This Row],[Befvekst10]]&gt;=E$434,E$434,Tabell2[[#This Row],[Befvekst10]]))</f>
        <v>-4.9836981835118754E-2</v>
      </c>
      <c r="O65" s="41">
        <f>IF(Tabell2[[#This Row],[Kvinneandel]]&lt;=F$433,F$433,IF(Tabell2[[#This Row],[Kvinneandel]]&gt;=F$434,F$434,Tabell2[[#This Row],[Kvinneandel]]))</f>
        <v>9.7058823529411767E-2</v>
      </c>
      <c r="P65" s="41">
        <f>IF(Tabell2[[#This Row],[Eldreandel]]&lt;=G$433,G$433,IF(Tabell2[[#This Row],[Eldreandel]]&gt;=G$434,G$434,Tabell2[[#This Row],[Eldreandel]]))</f>
        <v>0.16568627450980392</v>
      </c>
      <c r="Q65" s="41">
        <f>IF(Tabell2[[#This Row],[Sysselsettingsvekst10]]&lt;=H$433,H$433,IF(Tabell2[[#This Row],[Sysselsettingsvekst10]]&gt;=H$434,H$434,Tabell2[[#This Row],[Sysselsettingsvekst10]]))</f>
        <v>-4.9817739975698716E-2</v>
      </c>
      <c r="R65" s="41">
        <f>IF(Tabell2[[#This Row],[Yrkesaktivandel]]&lt;=I$433,I$433,IF(Tabell2[[#This Row],[Yrkesaktivandel]]&gt;=I$434,I$434,Tabell2[[#This Row],[Yrkesaktivandel]]))</f>
        <v>0.96033761343949164</v>
      </c>
      <c r="S65" s="41">
        <f>IF(Tabell2[[#This Row],[Inntekt]]&lt;=J$433,J$433,IF(Tabell2[[#This Row],[Inntekt]]&gt;=J$434,J$434,Tabell2[[#This Row],[Inntekt]]))</f>
        <v>292140</v>
      </c>
      <c r="T65" s="44">
        <f>IF(Tabell2[[#This Row],[NIBR11-T]]&lt;=K$436,100,IF(Tabell2[[#This Row],[NIBR11-T]]&gt;=K$435,0,100*(K$435-Tabell2[[#This Row],[NIBR11-T]])/K$438))</f>
        <v>20</v>
      </c>
      <c r="U65" s="44">
        <f>(L$435-Tabell2[[#This Row],[ReisetidOslo-T]])*100/L$438</f>
        <v>50.507792062304652</v>
      </c>
      <c r="V65" s="44">
        <f>100-(M$435-Tabell2[[#This Row],[Beftettotal-T]])*100/M$438</f>
        <v>0.52353125215384466</v>
      </c>
      <c r="W65" s="44">
        <f>100-(N$435-Tabell2[[#This Row],[Befvekst10-T]])*100/N$438</f>
        <v>17.411707900759822</v>
      </c>
      <c r="X65" s="44">
        <f>100-(O$435-Tabell2[[#This Row],[Kvinneandel-T]])*100/O$438</f>
        <v>14.615479487739307</v>
      </c>
      <c r="Y65" s="44">
        <f>(P$435-Tabell2[[#This Row],[Eldreandel-T]])*100/P$438</f>
        <v>39.157218491966908</v>
      </c>
      <c r="Z65" s="44">
        <f>100-(Q$435-Tabell2[[#This Row],[Sysselsettingsvekst10-T]])*100/Q$438</f>
        <v>12.4519360155344</v>
      </c>
      <c r="AA65" s="44">
        <f>100-(R$435-Tabell2[[#This Row],[Yrkesaktivandel-T]])*100/R$438</f>
        <v>100</v>
      </c>
      <c r="AB65" s="44">
        <f>100-(S$435-Tabell2[[#This Row],[Inntekt-T]])*100/S$438</f>
        <v>0</v>
      </c>
      <c r="AC65" s="44">
        <f>Tabell2[[#This Row],[NIBR11-I]]*Vekter!$B$3</f>
        <v>4</v>
      </c>
      <c r="AD65" s="44">
        <f>Tabell2[[#This Row],[ReisetidOslo-I]]*Vekter!$C$3</f>
        <v>5.0507792062304659</v>
      </c>
      <c r="AE65" s="44">
        <f>Tabell2[[#This Row],[Beftettotal-I]]*Vekter!$E$4</f>
        <v>5.2353125215384468E-2</v>
      </c>
      <c r="AF65" s="44">
        <f>Tabell2[[#This Row],[Befvekst10-I]]*Vekter!$F$3</f>
        <v>3.4823415801519646</v>
      </c>
      <c r="AG65" s="44">
        <f>Tabell2[[#This Row],[Kvinneandel-I]]*Vekter!$G$3</f>
        <v>0.73077397438696545</v>
      </c>
      <c r="AH65" s="44">
        <f>Tabell2[[#This Row],[Eldreandel-I]]*Vekter!$H$3</f>
        <v>1.9578609245983456</v>
      </c>
      <c r="AI65" s="44">
        <f>Tabell2[[#This Row],[Sysselsettingsvekst10-I]]*Vekter!$I$3</f>
        <v>1.2451936015534402</v>
      </c>
      <c r="AJ65" s="44">
        <f>Tabell2[[#This Row],[Yrkesaktivandel-I]]*Vekter!$K$3</f>
        <v>10</v>
      </c>
      <c r="AK65" s="44">
        <f>Tabell2[[#This Row],[Inntekt-I]]*Vekter!$M$3</f>
        <v>0</v>
      </c>
      <c r="AL6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26.519302412136565</v>
      </c>
    </row>
    <row r="66" spans="1:38" s="38" customFormat="1" ht="12.75">
      <c r="A66" s="42" t="s">
        <v>64</v>
      </c>
      <c r="B66" s="38">
        <f>'Rådata-K'!Q66</f>
        <v>4</v>
      </c>
      <c r="C66" s="44">
        <f>'Rådata-K'!P66</f>
        <v>128.65623524200001</v>
      </c>
      <c r="D66" s="41">
        <f>'Rådata-K'!R66</f>
        <v>55.973816843382068</v>
      </c>
      <c r="E66" s="41">
        <f>'Rådata-K'!S66</f>
        <v>7.9407969027262437E-2</v>
      </c>
      <c r="F66" s="41">
        <f>'Rådata-K'!T66</f>
        <v>0.12142723706332897</v>
      </c>
      <c r="G66" s="41">
        <f>'Rådata-K'!U66</f>
        <v>0.15662245469830002</v>
      </c>
      <c r="H66" s="41">
        <f>'Rådata-K'!V66</f>
        <v>0.13064448483153912</v>
      </c>
      <c r="I66" s="41">
        <f>'Rådata-K'!W66</f>
        <v>0.88393828820177966</v>
      </c>
      <c r="J66" s="41">
        <f>'Rådata-K'!O66</f>
        <v>336700</v>
      </c>
      <c r="K66" s="41">
        <f>Tabell2[[#This Row],[NIBR11]]</f>
        <v>4</v>
      </c>
      <c r="L66" s="41">
        <f>IF(Tabell2[[#This Row],[ReisetidOslo]]&lt;=C$433,C$433,IF(Tabell2[[#This Row],[ReisetidOslo]]&gt;=C$434,C$434,Tabell2[[#This Row],[ReisetidOslo]]))</f>
        <v>128.65623524200001</v>
      </c>
      <c r="M66" s="41">
        <f>IF(Tabell2[[#This Row],[Beftettotal]]&lt;=D$433,D$433,IF(Tabell2[[#This Row],[Beftettotal]]&gt;=D$434,D$434,Tabell2[[#This Row],[Beftettotal]]))</f>
        <v>55.973816843382068</v>
      </c>
      <c r="N66" s="41">
        <f>IF(Tabell2[[#This Row],[Befvekst10]]&lt;=E$433,E$433,IF(Tabell2[[#This Row],[Befvekst10]]&gt;=E$434,E$434,Tabell2[[#This Row],[Befvekst10]]))</f>
        <v>7.9407969027262437E-2</v>
      </c>
      <c r="O66" s="41">
        <f>IF(Tabell2[[#This Row],[Kvinneandel]]&lt;=F$433,F$433,IF(Tabell2[[#This Row],[Kvinneandel]]&gt;=F$434,F$434,Tabell2[[#This Row],[Kvinneandel]]))</f>
        <v>0.12142723706332897</v>
      </c>
      <c r="P66" s="41">
        <f>IF(Tabell2[[#This Row],[Eldreandel]]&lt;=G$433,G$433,IF(Tabell2[[#This Row],[Eldreandel]]&gt;=G$434,G$434,Tabell2[[#This Row],[Eldreandel]]))</f>
        <v>0.15662245469830002</v>
      </c>
      <c r="Q66" s="41">
        <f>IF(Tabell2[[#This Row],[Sysselsettingsvekst10]]&lt;=H$433,H$433,IF(Tabell2[[#This Row],[Sysselsettingsvekst10]]&gt;=H$434,H$434,Tabell2[[#This Row],[Sysselsettingsvekst10]]))</f>
        <v>0.13064448483153912</v>
      </c>
      <c r="R66" s="41">
        <f>IF(Tabell2[[#This Row],[Yrkesaktivandel]]&lt;=I$433,I$433,IF(Tabell2[[#This Row],[Yrkesaktivandel]]&gt;=I$434,I$434,Tabell2[[#This Row],[Yrkesaktivandel]]))</f>
        <v>0.88393828820177966</v>
      </c>
      <c r="S66" s="41">
        <f>IF(Tabell2[[#This Row],[Inntekt]]&lt;=J$433,J$433,IF(Tabell2[[#This Row],[Inntekt]]&gt;=J$434,J$434,Tabell2[[#This Row],[Inntekt]]))</f>
        <v>336700</v>
      </c>
      <c r="T66" s="44">
        <f>IF(Tabell2[[#This Row],[NIBR11-T]]&lt;=K$436,100,IF(Tabell2[[#This Row],[NIBR11-T]]&gt;=K$435,0,100*(K$435-Tabell2[[#This Row],[NIBR11-T]])/K$438))</f>
        <v>70</v>
      </c>
      <c r="U66" s="44">
        <f>(L$435-Tabell2[[#This Row],[ReisetidOslo-T]])*100/L$438</f>
        <v>66.769876135029151</v>
      </c>
      <c r="V66" s="44">
        <f>100-(M$435-Tabell2[[#This Row],[Beftettotal-T]])*100/M$438</f>
        <v>44.706559827476156</v>
      </c>
      <c r="W66" s="44">
        <f>100-(N$435-Tabell2[[#This Row],[Befvekst10-T]])*100/N$438</f>
        <v>70.882266904995447</v>
      </c>
      <c r="X66" s="44">
        <f>100-(O$435-Tabell2[[#This Row],[Kvinneandel-T]])*100/O$438</f>
        <v>81.298695625329287</v>
      </c>
      <c r="Y66" s="44">
        <f>(P$435-Tabell2[[#This Row],[Eldreandel-T]])*100/P$438</f>
        <v>49.82892052641742</v>
      </c>
      <c r="Z66" s="44">
        <f>100-(Q$435-Tabell2[[#This Row],[Sysselsettingsvekst10-T]])*100/Q$438</f>
        <v>65.510912258612336</v>
      </c>
      <c r="AA66" s="44">
        <f>100-(R$435-Tabell2[[#This Row],[Yrkesaktivandel-T]])*100/R$438</f>
        <v>42.946388937376668</v>
      </c>
      <c r="AB66" s="44">
        <f>100-(S$435-Tabell2[[#This Row],[Inntekt-T]])*100/S$438</f>
        <v>60.576400217509516</v>
      </c>
      <c r="AC66" s="44">
        <f>Tabell2[[#This Row],[NIBR11-I]]*Vekter!$B$3</f>
        <v>14</v>
      </c>
      <c r="AD66" s="44">
        <f>Tabell2[[#This Row],[ReisetidOslo-I]]*Vekter!$C$3</f>
        <v>6.6769876135029156</v>
      </c>
      <c r="AE66" s="44">
        <f>Tabell2[[#This Row],[Beftettotal-I]]*Vekter!$E$4</f>
        <v>4.4706559827476156</v>
      </c>
      <c r="AF66" s="44">
        <f>Tabell2[[#This Row],[Befvekst10-I]]*Vekter!$F$3</f>
        <v>14.17645338099909</v>
      </c>
      <c r="AG66" s="44">
        <f>Tabell2[[#This Row],[Kvinneandel-I]]*Vekter!$G$3</f>
        <v>4.0649347812664649</v>
      </c>
      <c r="AH66" s="44">
        <f>Tabell2[[#This Row],[Eldreandel-I]]*Vekter!$H$3</f>
        <v>2.4914460263208711</v>
      </c>
      <c r="AI66" s="44">
        <f>Tabell2[[#This Row],[Sysselsettingsvekst10-I]]*Vekter!$I$3</f>
        <v>6.5510912258612342</v>
      </c>
      <c r="AJ66" s="44">
        <f>Tabell2[[#This Row],[Yrkesaktivandel-I]]*Vekter!$K$3</f>
        <v>4.2946388937376669</v>
      </c>
      <c r="AK66" s="44">
        <f>Tabell2[[#This Row],[Inntekt-I]]*Vekter!$M$3</f>
        <v>6.0576400217509523</v>
      </c>
      <c r="AL6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62.783847926186823</v>
      </c>
    </row>
    <row r="67" spans="1:38" s="38" customFormat="1" ht="12.75">
      <c r="A67" s="42" t="s">
        <v>65</v>
      </c>
      <c r="B67" s="38">
        <f>'Rådata-K'!Q67</f>
        <v>4</v>
      </c>
      <c r="C67" s="44">
        <f>'Rådata-K'!P67</f>
        <v>104.677432987</v>
      </c>
      <c r="D67" s="41">
        <f>'Rådata-K'!R67</f>
        <v>43.43919672740796</v>
      </c>
      <c r="E67" s="41">
        <f>'Rådata-K'!S67</f>
        <v>7.784298527294875E-2</v>
      </c>
      <c r="F67" s="41">
        <f>'Rådata-K'!T67</f>
        <v>0.12214916786521471</v>
      </c>
      <c r="G67" s="41">
        <f>'Rådata-K'!U67</f>
        <v>0.15358537086500926</v>
      </c>
      <c r="H67" s="41">
        <f>'Rådata-K'!V67</f>
        <v>9.8450876477782279E-2</v>
      </c>
      <c r="I67" s="41">
        <f>'Rådata-K'!W67</f>
        <v>0.84149035108114389</v>
      </c>
      <c r="J67" s="41">
        <f>'Rådata-K'!O67</f>
        <v>324000</v>
      </c>
      <c r="K67" s="41">
        <f>Tabell2[[#This Row],[NIBR11]]</f>
        <v>4</v>
      </c>
      <c r="L67" s="41">
        <f>IF(Tabell2[[#This Row],[ReisetidOslo]]&lt;=C$433,C$433,IF(Tabell2[[#This Row],[ReisetidOslo]]&gt;=C$434,C$434,Tabell2[[#This Row],[ReisetidOslo]]))</f>
        <v>104.677432987</v>
      </c>
      <c r="M67" s="41">
        <f>IF(Tabell2[[#This Row],[Beftettotal]]&lt;=D$433,D$433,IF(Tabell2[[#This Row],[Beftettotal]]&gt;=D$434,D$434,Tabell2[[#This Row],[Beftettotal]]))</f>
        <v>43.43919672740796</v>
      </c>
      <c r="N67" s="41">
        <f>IF(Tabell2[[#This Row],[Befvekst10]]&lt;=E$433,E$433,IF(Tabell2[[#This Row],[Befvekst10]]&gt;=E$434,E$434,Tabell2[[#This Row],[Befvekst10]]))</f>
        <v>7.784298527294875E-2</v>
      </c>
      <c r="O67" s="41">
        <f>IF(Tabell2[[#This Row],[Kvinneandel]]&lt;=F$433,F$433,IF(Tabell2[[#This Row],[Kvinneandel]]&gt;=F$434,F$434,Tabell2[[#This Row],[Kvinneandel]]))</f>
        <v>0.12214916786521471</v>
      </c>
      <c r="P67" s="41">
        <f>IF(Tabell2[[#This Row],[Eldreandel]]&lt;=G$433,G$433,IF(Tabell2[[#This Row],[Eldreandel]]&gt;=G$434,G$434,Tabell2[[#This Row],[Eldreandel]]))</f>
        <v>0.15358537086500926</v>
      </c>
      <c r="Q67" s="41">
        <f>IF(Tabell2[[#This Row],[Sysselsettingsvekst10]]&lt;=H$433,H$433,IF(Tabell2[[#This Row],[Sysselsettingsvekst10]]&gt;=H$434,H$434,Tabell2[[#This Row],[Sysselsettingsvekst10]]))</f>
        <v>9.8450876477782279E-2</v>
      </c>
      <c r="R67" s="41">
        <f>IF(Tabell2[[#This Row],[Yrkesaktivandel]]&lt;=I$433,I$433,IF(Tabell2[[#This Row],[Yrkesaktivandel]]&gt;=I$434,I$434,Tabell2[[#This Row],[Yrkesaktivandel]]))</f>
        <v>0.84149035108114389</v>
      </c>
      <c r="S67" s="41">
        <f>IF(Tabell2[[#This Row],[Inntekt]]&lt;=J$433,J$433,IF(Tabell2[[#This Row],[Inntekt]]&gt;=J$434,J$434,Tabell2[[#This Row],[Inntekt]]))</f>
        <v>324000</v>
      </c>
      <c r="T67" s="44">
        <f>IF(Tabell2[[#This Row],[NIBR11-T]]&lt;=K$436,100,IF(Tabell2[[#This Row],[NIBR11-T]]&gt;=K$435,0,100*(K$435-Tabell2[[#This Row],[NIBR11-T]])/K$438))</f>
        <v>70</v>
      </c>
      <c r="U67" s="44">
        <f>(L$435-Tabell2[[#This Row],[ReisetidOslo-T]])*100/L$438</f>
        <v>77.415279588011416</v>
      </c>
      <c r="V67" s="44">
        <f>100-(M$435-Tabell2[[#This Row],[Beftettotal-T]])*100/M$438</f>
        <v>34.453155179980882</v>
      </c>
      <c r="W67" s="44">
        <f>100-(N$435-Tabell2[[#This Row],[Befvekst10-T]])*100/N$438</f>
        <v>70.234809842902536</v>
      </c>
      <c r="X67" s="44">
        <f>100-(O$435-Tabell2[[#This Row],[Kvinneandel-T]])*100/O$438</f>
        <v>83.274231194418576</v>
      </c>
      <c r="Y67" s="44">
        <f>(P$435-Tabell2[[#This Row],[Eldreandel-T]])*100/P$438</f>
        <v>53.404769825781202</v>
      </c>
      <c r="Z67" s="44">
        <f>100-(Q$435-Tabell2[[#This Row],[Sysselsettingsvekst10-T]])*100/Q$438</f>
        <v>56.04544156165332</v>
      </c>
      <c r="AA67" s="44">
        <f>100-(R$435-Tabell2[[#This Row],[Yrkesaktivandel-T]])*100/R$438</f>
        <v>11.247050136200968</v>
      </c>
      <c r="AB67" s="44">
        <f>100-(S$435-Tabell2[[#This Row],[Inntekt-T]])*100/S$438</f>
        <v>43.311582381729202</v>
      </c>
      <c r="AC67" s="44">
        <f>Tabell2[[#This Row],[NIBR11-I]]*Vekter!$B$3</f>
        <v>14</v>
      </c>
      <c r="AD67" s="44">
        <f>Tabell2[[#This Row],[ReisetidOslo-I]]*Vekter!$C$3</f>
        <v>7.7415279588011421</v>
      </c>
      <c r="AE67" s="44">
        <f>Tabell2[[#This Row],[Beftettotal-I]]*Vekter!$E$4</f>
        <v>3.4453155179980883</v>
      </c>
      <c r="AF67" s="44">
        <f>Tabell2[[#This Row],[Befvekst10-I]]*Vekter!$F$3</f>
        <v>14.046961968580508</v>
      </c>
      <c r="AG67" s="44">
        <f>Tabell2[[#This Row],[Kvinneandel-I]]*Vekter!$G$3</f>
        <v>4.1637115597209293</v>
      </c>
      <c r="AH67" s="44">
        <f>Tabell2[[#This Row],[Eldreandel-I]]*Vekter!$H$3</f>
        <v>2.6702384912890604</v>
      </c>
      <c r="AI67" s="44">
        <f>Tabell2[[#This Row],[Sysselsettingsvekst10-I]]*Vekter!$I$3</f>
        <v>5.604544156165332</v>
      </c>
      <c r="AJ67" s="44">
        <f>Tabell2[[#This Row],[Yrkesaktivandel-I]]*Vekter!$K$3</f>
        <v>1.1247050136200969</v>
      </c>
      <c r="AK67" s="44">
        <f>Tabell2[[#This Row],[Inntekt-I]]*Vekter!$M$3</f>
        <v>4.3311582381729208</v>
      </c>
      <c r="AL6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57.128162904348081</v>
      </c>
    </row>
    <row r="68" spans="1:38" s="38" customFormat="1" ht="12.75">
      <c r="A68" s="42" t="s">
        <v>66</v>
      </c>
      <c r="B68" s="38">
        <f>'Rådata-K'!Q68</f>
        <v>10</v>
      </c>
      <c r="C68" s="44">
        <f>'Rådata-K'!P68</f>
        <v>243.777629612</v>
      </c>
      <c r="D68" s="41">
        <f>'Rådata-K'!R68</f>
        <v>2.0096893117070631</v>
      </c>
      <c r="E68" s="41">
        <f>'Rådata-K'!S68</f>
        <v>-5.3503624439074859E-2</v>
      </c>
      <c r="F68" s="41">
        <f>'Rådata-K'!T68</f>
        <v>9.2997811816192558E-2</v>
      </c>
      <c r="G68" s="41">
        <f>'Rådata-K'!U68</f>
        <v>0.19803063457330417</v>
      </c>
      <c r="H68" s="41">
        <f>'Rådata-K'!V68</f>
        <v>2.165795369678869E-2</v>
      </c>
      <c r="I68" s="41">
        <f>'Rådata-K'!W68</f>
        <v>0.90956408588158755</v>
      </c>
      <c r="J68" s="41">
        <f>'Rådata-K'!O68</f>
        <v>292200</v>
      </c>
      <c r="K68" s="41">
        <f>Tabell2[[#This Row],[NIBR11]]</f>
        <v>10</v>
      </c>
      <c r="L68" s="41">
        <f>IF(Tabell2[[#This Row],[ReisetidOslo]]&lt;=C$433,C$433,IF(Tabell2[[#This Row],[ReisetidOslo]]&gt;=C$434,C$434,Tabell2[[#This Row],[ReisetidOslo]]))</f>
        <v>243.777629612</v>
      </c>
      <c r="M68" s="41">
        <f>IF(Tabell2[[#This Row],[Beftettotal]]&lt;=D$433,D$433,IF(Tabell2[[#This Row],[Beftettotal]]&gt;=D$434,D$434,Tabell2[[#This Row],[Beftettotal]]))</f>
        <v>2.0096893117070631</v>
      </c>
      <c r="N68" s="41">
        <f>IF(Tabell2[[#This Row],[Befvekst10]]&lt;=E$433,E$433,IF(Tabell2[[#This Row],[Befvekst10]]&gt;=E$434,E$434,Tabell2[[#This Row],[Befvekst10]]))</f>
        <v>-5.3503624439074859E-2</v>
      </c>
      <c r="O68" s="41">
        <f>IF(Tabell2[[#This Row],[Kvinneandel]]&lt;=F$433,F$433,IF(Tabell2[[#This Row],[Kvinneandel]]&gt;=F$434,F$434,Tabell2[[#This Row],[Kvinneandel]]))</f>
        <v>9.2997811816192558E-2</v>
      </c>
      <c r="P68" s="41">
        <f>IF(Tabell2[[#This Row],[Eldreandel]]&lt;=G$433,G$433,IF(Tabell2[[#This Row],[Eldreandel]]&gt;=G$434,G$434,Tabell2[[#This Row],[Eldreandel]]))</f>
        <v>0.19803063457330417</v>
      </c>
      <c r="Q68" s="41">
        <f>IF(Tabell2[[#This Row],[Sysselsettingsvekst10]]&lt;=H$433,H$433,IF(Tabell2[[#This Row],[Sysselsettingsvekst10]]&gt;=H$434,H$434,Tabell2[[#This Row],[Sysselsettingsvekst10]]))</f>
        <v>2.165795369678869E-2</v>
      </c>
      <c r="R68" s="41">
        <f>IF(Tabell2[[#This Row],[Yrkesaktivandel]]&lt;=I$433,I$433,IF(Tabell2[[#This Row],[Yrkesaktivandel]]&gt;=I$434,I$434,Tabell2[[#This Row],[Yrkesaktivandel]]))</f>
        <v>0.90956408588158755</v>
      </c>
      <c r="S68" s="41">
        <f>IF(Tabell2[[#This Row],[Inntekt]]&lt;=J$433,J$433,IF(Tabell2[[#This Row],[Inntekt]]&gt;=J$434,J$434,Tabell2[[#This Row],[Inntekt]]))</f>
        <v>292200</v>
      </c>
      <c r="T68" s="44">
        <f>IF(Tabell2[[#This Row],[NIBR11-T]]&lt;=K$436,100,IF(Tabell2[[#This Row],[NIBR11-T]]&gt;=K$435,0,100*(K$435-Tabell2[[#This Row],[NIBR11-T]])/K$438))</f>
        <v>10</v>
      </c>
      <c r="U68" s="44">
        <f>(L$435-Tabell2[[#This Row],[ReisetidOslo-T]])*100/L$438</f>
        <v>15.661664969770051</v>
      </c>
      <c r="V68" s="44">
        <f>100-(M$435-Tabell2[[#This Row],[Beftettotal-T]])*100/M$438</f>
        <v>0.56353587367014768</v>
      </c>
      <c r="W68" s="44">
        <f>100-(N$435-Tabell2[[#This Row],[Befvekst10-T]])*100/N$438</f>
        <v>15.89476330529132</v>
      </c>
      <c r="X68" s="44">
        <f>100-(O$435-Tabell2[[#This Row],[Kvinneandel-T]])*100/O$438</f>
        <v>3.5026788356588696</v>
      </c>
      <c r="Y68" s="44">
        <f>(P$435-Tabell2[[#This Row],[Eldreandel-T]])*100/P$438</f>
        <v>1.0751095940646178</v>
      </c>
      <c r="Z68" s="44">
        <f>100-(Q$435-Tabell2[[#This Row],[Sysselsettingsvekst10-T]])*100/Q$438</f>
        <v>33.467010702643776</v>
      </c>
      <c r="AA68" s="44">
        <f>100-(R$435-Tabell2[[#This Row],[Yrkesaktivandel-T]])*100/R$438</f>
        <v>62.083263372382085</v>
      </c>
      <c r="AB68" s="44">
        <f>100-(S$435-Tabell2[[#This Row],[Inntekt-T]])*100/S$438</f>
        <v>8.1566068515499524E-2</v>
      </c>
      <c r="AC68" s="44">
        <f>Tabell2[[#This Row],[NIBR11-I]]*Vekter!$B$3</f>
        <v>2</v>
      </c>
      <c r="AD68" s="44">
        <f>Tabell2[[#This Row],[ReisetidOslo-I]]*Vekter!$C$3</f>
        <v>1.5661664969770053</v>
      </c>
      <c r="AE68" s="44">
        <f>Tabell2[[#This Row],[Beftettotal-I]]*Vekter!$E$4</f>
        <v>5.6353587367014769E-2</v>
      </c>
      <c r="AF68" s="44">
        <f>Tabell2[[#This Row],[Befvekst10-I]]*Vekter!$F$3</f>
        <v>3.1789526610582644</v>
      </c>
      <c r="AG68" s="44">
        <f>Tabell2[[#This Row],[Kvinneandel-I]]*Vekter!$G$3</f>
        <v>0.1751339417829435</v>
      </c>
      <c r="AH68" s="44">
        <f>Tabell2[[#This Row],[Eldreandel-I]]*Vekter!$H$3</f>
        <v>5.3755479703230892E-2</v>
      </c>
      <c r="AI68" s="44">
        <f>Tabell2[[#This Row],[Sysselsettingsvekst10-I]]*Vekter!$I$3</f>
        <v>3.3467010702643778</v>
      </c>
      <c r="AJ68" s="44">
        <f>Tabell2[[#This Row],[Yrkesaktivandel-I]]*Vekter!$K$3</f>
        <v>6.2083263372382085</v>
      </c>
      <c r="AK68" s="44">
        <f>Tabell2[[#This Row],[Inntekt-I]]*Vekter!$M$3</f>
        <v>8.1566068515499524E-3</v>
      </c>
      <c r="AL6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16.593546181242594</v>
      </c>
    </row>
    <row r="69" spans="1:38" s="38" customFormat="1" ht="12.75">
      <c r="A69" s="42" t="s">
        <v>67</v>
      </c>
      <c r="B69" s="38">
        <f>'Rådata-K'!Q69</f>
        <v>10</v>
      </c>
      <c r="C69" s="44">
        <f>'Rådata-K'!P69</f>
        <v>265.93880031100002</v>
      </c>
      <c r="D69" s="41">
        <f>'Rådata-K'!R69</f>
        <v>0.97145816091241843</v>
      </c>
      <c r="E69" s="41">
        <f>'Rådata-K'!S69</f>
        <v>-8.1337550835969274E-3</v>
      </c>
      <c r="F69" s="41">
        <f>'Rådata-K'!T69</f>
        <v>0.10113895216400912</v>
      </c>
      <c r="G69" s="41">
        <f>'Rådata-K'!U69</f>
        <v>0.17630979498861049</v>
      </c>
      <c r="H69" s="41">
        <f>'Rådata-K'!V69</f>
        <v>-2.2580645161290325E-2</v>
      </c>
      <c r="I69" s="41">
        <f>'Rådata-K'!W69</f>
        <v>0.94719471947194722</v>
      </c>
      <c r="J69" s="41">
        <f>'Rådata-K'!O69</f>
        <v>299400</v>
      </c>
      <c r="K69" s="41">
        <f>Tabell2[[#This Row],[NIBR11]]</f>
        <v>10</v>
      </c>
      <c r="L69" s="41">
        <f>IF(Tabell2[[#This Row],[ReisetidOslo]]&lt;=C$433,C$433,IF(Tabell2[[#This Row],[ReisetidOslo]]&gt;=C$434,C$434,Tabell2[[#This Row],[ReisetidOslo]]))</f>
        <v>265.93880031100002</v>
      </c>
      <c r="M69" s="41">
        <f>IF(Tabell2[[#This Row],[Beftettotal]]&lt;=D$433,D$433,IF(Tabell2[[#This Row],[Beftettotal]]&gt;=D$434,D$434,Tabell2[[#This Row],[Beftettotal]]))</f>
        <v>1.3207758882127238</v>
      </c>
      <c r="N69" s="41">
        <f>IF(Tabell2[[#This Row],[Befvekst10]]&lt;=E$433,E$433,IF(Tabell2[[#This Row],[Befvekst10]]&gt;=E$434,E$434,Tabell2[[#This Row],[Befvekst10]]))</f>
        <v>-8.1337550835969274E-3</v>
      </c>
      <c r="O69" s="41">
        <f>IF(Tabell2[[#This Row],[Kvinneandel]]&lt;=F$433,F$433,IF(Tabell2[[#This Row],[Kvinneandel]]&gt;=F$434,F$434,Tabell2[[#This Row],[Kvinneandel]]))</f>
        <v>0.10113895216400912</v>
      </c>
      <c r="P69" s="41">
        <f>IF(Tabell2[[#This Row],[Eldreandel]]&lt;=G$433,G$433,IF(Tabell2[[#This Row],[Eldreandel]]&gt;=G$434,G$434,Tabell2[[#This Row],[Eldreandel]]))</f>
        <v>0.17630979498861049</v>
      </c>
      <c r="Q69" s="41">
        <f>IF(Tabell2[[#This Row],[Sysselsettingsvekst10]]&lt;=H$433,H$433,IF(Tabell2[[#This Row],[Sysselsettingsvekst10]]&gt;=H$434,H$434,Tabell2[[#This Row],[Sysselsettingsvekst10]]))</f>
        <v>-2.2580645161290325E-2</v>
      </c>
      <c r="R69" s="41">
        <f>IF(Tabell2[[#This Row],[Yrkesaktivandel]]&lt;=I$433,I$433,IF(Tabell2[[#This Row],[Yrkesaktivandel]]&gt;=I$434,I$434,Tabell2[[#This Row],[Yrkesaktivandel]]))</f>
        <v>0.94719471947194722</v>
      </c>
      <c r="S69" s="41">
        <f>IF(Tabell2[[#This Row],[Inntekt]]&lt;=J$433,J$433,IF(Tabell2[[#This Row],[Inntekt]]&gt;=J$434,J$434,Tabell2[[#This Row],[Inntekt]]))</f>
        <v>299400</v>
      </c>
      <c r="T69" s="44">
        <f>IF(Tabell2[[#This Row],[NIBR11-T]]&lt;=K$436,100,IF(Tabell2[[#This Row],[NIBR11-T]]&gt;=K$435,0,100*(K$435-Tabell2[[#This Row],[NIBR11-T]])/K$438))</f>
        <v>10</v>
      </c>
      <c r="U69" s="44">
        <f>(L$435-Tabell2[[#This Row],[ReisetidOslo-T]])*100/L$438</f>
        <v>5.8232001218407934</v>
      </c>
      <c r="V69" s="44">
        <f>100-(M$435-Tabell2[[#This Row],[Beftettotal-T]])*100/M$438</f>
        <v>0</v>
      </c>
      <c r="W69" s="44">
        <f>100-(N$435-Tabell2[[#This Row],[Befvekst10-T]])*100/N$438</f>
        <v>34.664953244623476</v>
      </c>
      <c r="X69" s="44">
        <f>100-(O$435-Tabell2[[#This Row],[Kvinneandel-T]])*100/O$438</f>
        <v>25.780592851862735</v>
      </c>
      <c r="Y69" s="44">
        <f>(P$435-Tabell2[[#This Row],[Eldreandel-T]])*100/P$438</f>
        <v>26.649131673778502</v>
      </c>
      <c r="Z69" s="44">
        <f>100-(Q$435-Tabell2[[#This Row],[Sysselsettingsvekst10-T]])*100/Q$438</f>
        <v>20.4601070786576</v>
      </c>
      <c r="AA69" s="44">
        <f>100-(R$435-Tabell2[[#This Row],[Yrkesaktivandel-T]])*100/R$438</f>
        <v>90.1851284899642</v>
      </c>
      <c r="AB69" s="44">
        <f>100-(S$435-Tabell2[[#This Row],[Inntekt-T]])*100/S$438</f>
        <v>9.8694942903752008</v>
      </c>
      <c r="AC69" s="44">
        <f>Tabell2[[#This Row],[NIBR11-I]]*Vekter!$B$3</f>
        <v>2</v>
      </c>
      <c r="AD69" s="44">
        <f>Tabell2[[#This Row],[ReisetidOslo-I]]*Vekter!$C$3</f>
        <v>0.58232001218407936</v>
      </c>
      <c r="AE69" s="44">
        <f>Tabell2[[#This Row],[Beftettotal-I]]*Vekter!$E$4</f>
        <v>0</v>
      </c>
      <c r="AF69" s="44">
        <f>Tabell2[[#This Row],[Befvekst10-I]]*Vekter!$F$3</f>
        <v>6.9329906489246955</v>
      </c>
      <c r="AG69" s="44">
        <f>Tabell2[[#This Row],[Kvinneandel-I]]*Vekter!$G$3</f>
        <v>1.2890296425931369</v>
      </c>
      <c r="AH69" s="44">
        <f>Tabell2[[#This Row],[Eldreandel-I]]*Vekter!$H$3</f>
        <v>1.3324565836889253</v>
      </c>
      <c r="AI69" s="44">
        <f>Tabell2[[#This Row],[Sysselsettingsvekst10-I]]*Vekter!$I$3</f>
        <v>2.0460107078657601</v>
      </c>
      <c r="AJ69" s="44">
        <f>Tabell2[[#This Row],[Yrkesaktivandel-I]]*Vekter!$K$3</f>
        <v>9.018512848996421</v>
      </c>
      <c r="AK69" s="44">
        <f>Tabell2[[#This Row],[Inntekt-I]]*Vekter!$M$3</f>
        <v>0.98694942903752014</v>
      </c>
      <c r="AL6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24.188269873290537</v>
      </c>
    </row>
    <row r="70" spans="1:38" s="38" customFormat="1" ht="12.75">
      <c r="A70" s="42" t="s">
        <v>68</v>
      </c>
      <c r="B70" s="38">
        <f>'Rådata-K'!Q70</f>
        <v>10</v>
      </c>
      <c r="C70" s="44">
        <f>'Rådata-K'!P70</f>
        <v>267.83299999999997</v>
      </c>
      <c r="D70" s="41">
        <f>'Rådata-K'!R70</f>
        <v>1.1115233217539615</v>
      </c>
      <c r="E70" s="41">
        <f>'Rådata-K'!S70</f>
        <v>-3.4323984930933471E-2</v>
      </c>
      <c r="F70" s="41">
        <f>'Rådata-K'!T70</f>
        <v>9.6662332032943221E-2</v>
      </c>
      <c r="G70" s="41">
        <f>'Rådata-K'!U70</f>
        <v>0.19072388383181621</v>
      </c>
      <c r="H70" s="41">
        <f>'Rådata-K'!V70</f>
        <v>8.8888888888889461E-3</v>
      </c>
      <c r="I70" s="41">
        <f>'Rådata-K'!W70</f>
        <v>0.95510835913312697</v>
      </c>
      <c r="J70" s="41">
        <f>'Rådata-K'!O70</f>
        <v>293100</v>
      </c>
      <c r="K70" s="41">
        <f>Tabell2[[#This Row],[NIBR11]]</f>
        <v>10</v>
      </c>
      <c r="L70" s="41">
        <f>IF(Tabell2[[#This Row],[ReisetidOslo]]&lt;=C$433,C$433,IF(Tabell2[[#This Row],[ReisetidOslo]]&gt;=C$434,C$434,Tabell2[[#This Row],[ReisetidOslo]]))</f>
        <v>267.83299999999997</v>
      </c>
      <c r="M70" s="41">
        <f>IF(Tabell2[[#This Row],[Beftettotal]]&lt;=D$433,D$433,IF(Tabell2[[#This Row],[Beftettotal]]&gt;=D$434,D$434,Tabell2[[#This Row],[Beftettotal]]))</f>
        <v>1.3207758882127238</v>
      </c>
      <c r="N70" s="41">
        <f>IF(Tabell2[[#This Row],[Befvekst10]]&lt;=E$433,E$433,IF(Tabell2[[#This Row],[Befvekst10]]&gt;=E$434,E$434,Tabell2[[#This Row],[Befvekst10]]))</f>
        <v>-3.4323984930933471E-2</v>
      </c>
      <c r="O70" s="41">
        <f>IF(Tabell2[[#This Row],[Kvinneandel]]&lt;=F$433,F$433,IF(Tabell2[[#This Row],[Kvinneandel]]&gt;=F$434,F$434,Tabell2[[#This Row],[Kvinneandel]]))</f>
        <v>9.6662332032943221E-2</v>
      </c>
      <c r="P70" s="41">
        <f>IF(Tabell2[[#This Row],[Eldreandel]]&lt;=G$433,G$433,IF(Tabell2[[#This Row],[Eldreandel]]&gt;=G$434,G$434,Tabell2[[#This Row],[Eldreandel]]))</f>
        <v>0.19072388383181621</v>
      </c>
      <c r="Q70" s="41">
        <f>IF(Tabell2[[#This Row],[Sysselsettingsvekst10]]&lt;=H$433,H$433,IF(Tabell2[[#This Row],[Sysselsettingsvekst10]]&gt;=H$434,H$434,Tabell2[[#This Row],[Sysselsettingsvekst10]]))</f>
        <v>8.8888888888889461E-3</v>
      </c>
      <c r="R70" s="41">
        <f>IF(Tabell2[[#This Row],[Yrkesaktivandel]]&lt;=I$433,I$433,IF(Tabell2[[#This Row],[Yrkesaktivandel]]&gt;=I$434,I$434,Tabell2[[#This Row],[Yrkesaktivandel]]))</f>
        <v>0.95510835913312697</v>
      </c>
      <c r="S70" s="41">
        <f>IF(Tabell2[[#This Row],[Inntekt]]&lt;=J$433,J$433,IF(Tabell2[[#This Row],[Inntekt]]&gt;=J$434,J$434,Tabell2[[#This Row],[Inntekt]]))</f>
        <v>293100</v>
      </c>
      <c r="T70" s="44">
        <f>IF(Tabell2[[#This Row],[NIBR11-T]]&lt;=K$436,100,IF(Tabell2[[#This Row],[NIBR11-T]]&gt;=K$435,0,100*(K$435-Tabell2[[#This Row],[NIBR11-T]])/K$438))</f>
        <v>10</v>
      </c>
      <c r="U70" s="44">
        <f>(L$435-Tabell2[[#This Row],[ReisetidOslo-T]])*100/L$438</f>
        <v>4.9822690488255299</v>
      </c>
      <c r="V70" s="44">
        <f>100-(M$435-Tabell2[[#This Row],[Beftettotal-T]])*100/M$438</f>
        <v>0</v>
      </c>
      <c r="W70" s="44">
        <f>100-(N$435-Tabell2[[#This Row],[Befvekst10-T]])*100/N$438</f>
        <v>23.829665513517895</v>
      </c>
      <c r="X70" s="44">
        <f>100-(O$435-Tabell2[[#This Row],[Kvinneandel-T]])*100/O$438</f>
        <v>13.530495924122064</v>
      </c>
      <c r="Y70" s="44">
        <f>(P$435-Tabell2[[#This Row],[Eldreandel-T]])*100/P$438</f>
        <v>9.6780461456267446</v>
      </c>
      <c r="Z70" s="44">
        <f>100-(Q$435-Tabell2[[#This Row],[Sysselsettingsvekst10-T]])*100/Q$438</f>
        <v>29.712687563757697</v>
      </c>
      <c r="AA70" s="44">
        <f>100-(R$435-Tabell2[[#This Row],[Yrkesaktivandel-T]])*100/R$438</f>
        <v>96.094889052821003</v>
      </c>
      <c r="AB70" s="44">
        <f>100-(S$435-Tabell2[[#This Row],[Inntekt-T]])*100/S$438</f>
        <v>1.305057096247964</v>
      </c>
      <c r="AC70" s="44">
        <f>Tabell2[[#This Row],[NIBR11-I]]*Vekter!$B$3</f>
        <v>2</v>
      </c>
      <c r="AD70" s="44">
        <f>Tabell2[[#This Row],[ReisetidOslo-I]]*Vekter!$C$3</f>
        <v>0.498226904882553</v>
      </c>
      <c r="AE70" s="44">
        <f>Tabell2[[#This Row],[Beftettotal-I]]*Vekter!$E$4</f>
        <v>0</v>
      </c>
      <c r="AF70" s="44">
        <f>Tabell2[[#This Row],[Befvekst10-I]]*Vekter!$F$3</f>
        <v>4.7659331027035794</v>
      </c>
      <c r="AG70" s="44">
        <f>Tabell2[[#This Row],[Kvinneandel-I]]*Vekter!$G$3</f>
        <v>0.67652479620610328</v>
      </c>
      <c r="AH70" s="44">
        <f>Tabell2[[#This Row],[Eldreandel-I]]*Vekter!$H$3</f>
        <v>0.48390230728133726</v>
      </c>
      <c r="AI70" s="44">
        <f>Tabell2[[#This Row],[Sysselsettingsvekst10-I]]*Vekter!$I$3</f>
        <v>2.9712687563757698</v>
      </c>
      <c r="AJ70" s="44">
        <f>Tabell2[[#This Row],[Yrkesaktivandel-I]]*Vekter!$K$3</f>
        <v>9.6094889052821006</v>
      </c>
      <c r="AK70" s="44">
        <f>Tabell2[[#This Row],[Inntekt-I]]*Vekter!$M$3</f>
        <v>0.13050570962479641</v>
      </c>
      <c r="AL7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21.13585048235624</v>
      </c>
    </row>
    <row r="71" spans="1:38" s="38" customFormat="1" ht="12.75">
      <c r="A71" s="42" t="s">
        <v>69</v>
      </c>
      <c r="B71" s="38">
        <f>'Rådata-K'!Q71</f>
        <v>10</v>
      </c>
      <c r="C71" s="44">
        <f>'Rådata-K'!P71</f>
        <v>252.39537541000001</v>
      </c>
      <c r="D71" s="41">
        <f>'Rådata-K'!R71</f>
        <v>1.2100215385865811</v>
      </c>
      <c r="E71" s="41">
        <f>'Rådata-K'!S71</f>
        <v>-5.4386661373560963E-2</v>
      </c>
      <c r="F71" s="41">
        <f>'Rådata-K'!T71</f>
        <v>0.10747271200671704</v>
      </c>
      <c r="G71" s="41">
        <f>'Rådata-K'!U71</f>
        <v>0.17842149454240133</v>
      </c>
      <c r="H71" s="41">
        <f>'Rådata-K'!V71</f>
        <v>-5.9429477020602195E-2</v>
      </c>
      <c r="I71" s="41">
        <f>'Rådata-K'!W71</f>
        <v>0.93510324483775809</v>
      </c>
      <c r="J71" s="41">
        <f>'Rådata-K'!O71</f>
        <v>293000</v>
      </c>
      <c r="K71" s="41">
        <f>Tabell2[[#This Row],[NIBR11]]</f>
        <v>10</v>
      </c>
      <c r="L71" s="41">
        <f>IF(Tabell2[[#This Row],[ReisetidOslo]]&lt;=C$433,C$433,IF(Tabell2[[#This Row],[ReisetidOslo]]&gt;=C$434,C$434,Tabell2[[#This Row],[ReisetidOslo]]))</f>
        <v>252.39537541000001</v>
      </c>
      <c r="M71" s="41">
        <f>IF(Tabell2[[#This Row],[Beftettotal]]&lt;=D$433,D$433,IF(Tabell2[[#This Row],[Beftettotal]]&gt;=D$434,D$434,Tabell2[[#This Row],[Beftettotal]]))</f>
        <v>1.3207758882127238</v>
      </c>
      <c r="N71" s="41">
        <f>IF(Tabell2[[#This Row],[Befvekst10]]&lt;=E$433,E$433,IF(Tabell2[[#This Row],[Befvekst10]]&gt;=E$434,E$434,Tabell2[[#This Row],[Befvekst10]]))</f>
        <v>-5.4386661373560963E-2</v>
      </c>
      <c r="O71" s="41">
        <f>IF(Tabell2[[#This Row],[Kvinneandel]]&lt;=F$433,F$433,IF(Tabell2[[#This Row],[Kvinneandel]]&gt;=F$434,F$434,Tabell2[[#This Row],[Kvinneandel]]))</f>
        <v>0.10747271200671704</v>
      </c>
      <c r="P71" s="41">
        <f>IF(Tabell2[[#This Row],[Eldreandel]]&lt;=G$433,G$433,IF(Tabell2[[#This Row],[Eldreandel]]&gt;=G$434,G$434,Tabell2[[#This Row],[Eldreandel]]))</f>
        <v>0.17842149454240133</v>
      </c>
      <c r="Q71" s="41">
        <f>IF(Tabell2[[#This Row],[Sysselsettingsvekst10]]&lt;=H$433,H$433,IF(Tabell2[[#This Row],[Sysselsettingsvekst10]]&gt;=H$434,H$434,Tabell2[[#This Row],[Sysselsettingsvekst10]]))</f>
        <v>-5.9429477020602195E-2</v>
      </c>
      <c r="R71" s="41">
        <f>IF(Tabell2[[#This Row],[Yrkesaktivandel]]&lt;=I$433,I$433,IF(Tabell2[[#This Row],[Yrkesaktivandel]]&gt;=I$434,I$434,Tabell2[[#This Row],[Yrkesaktivandel]]))</f>
        <v>0.93510324483775809</v>
      </c>
      <c r="S71" s="41">
        <f>IF(Tabell2[[#This Row],[Inntekt]]&lt;=J$433,J$433,IF(Tabell2[[#This Row],[Inntekt]]&gt;=J$434,J$434,Tabell2[[#This Row],[Inntekt]]))</f>
        <v>293000</v>
      </c>
      <c r="T71" s="44">
        <f>IF(Tabell2[[#This Row],[NIBR11-T]]&lt;=K$436,100,IF(Tabell2[[#This Row],[NIBR11-T]]&gt;=K$435,0,100*(K$435-Tabell2[[#This Row],[NIBR11-T]])/K$438))</f>
        <v>10</v>
      </c>
      <c r="U71" s="44">
        <f>(L$435-Tabell2[[#This Row],[ReisetidOslo-T]])*100/L$438</f>
        <v>11.835811622327579</v>
      </c>
      <c r="V71" s="44">
        <f>100-(M$435-Tabell2[[#This Row],[Beftettotal-T]])*100/M$438</f>
        <v>0</v>
      </c>
      <c r="W71" s="44">
        <f>100-(N$435-Tabell2[[#This Row],[Befvekst10-T]])*100/N$438</f>
        <v>15.529437788175898</v>
      </c>
      <c r="X71" s="44">
        <f>100-(O$435-Tabell2[[#This Row],[Kvinneandel-T]])*100/O$438</f>
        <v>43.112680390800151</v>
      </c>
      <c r="Y71" s="44">
        <f>(P$435-Tabell2[[#This Row],[Eldreandel-T]])*100/P$438</f>
        <v>24.162825801310056</v>
      </c>
      <c r="Z71" s="44">
        <f>100-(Q$435-Tabell2[[#This Row],[Sysselsettingsvekst10-T]])*100/Q$438</f>
        <v>9.625921163589652</v>
      </c>
      <c r="AA71" s="44">
        <f>100-(R$435-Tabell2[[#This Row],[Yrkesaktivandel-T]])*100/R$438</f>
        <v>81.155437601908091</v>
      </c>
      <c r="AB71" s="44">
        <f>100-(S$435-Tabell2[[#This Row],[Inntekt-T]])*100/S$438</f>
        <v>1.1691136487221314</v>
      </c>
      <c r="AC71" s="44">
        <f>Tabell2[[#This Row],[NIBR11-I]]*Vekter!$B$3</f>
        <v>2</v>
      </c>
      <c r="AD71" s="44">
        <f>Tabell2[[#This Row],[ReisetidOslo-I]]*Vekter!$C$3</f>
        <v>1.1835811622327579</v>
      </c>
      <c r="AE71" s="44">
        <f>Tabell2[[#This Row],[Beftettotal-I]]*Vekter!$E$4</f>
        <v>0</v>
      </c>
      <c r="AF71" s="44">
        <f>Tabell2[[#This Row],[Befvekst10-I]]*Vekter!$F$3</f>
        <v>3.1058875576351799</v>
      </c>
      <c r="AG71" s="44">
        <f>Tabell2[[#This Row],[Kvinneandel-I]]*Vekter!$G$3</f>
        <v>2.1556340195400074</v>
      </c>
      <c r="AH71" s="44">
        <f>Tabell2[[#This Row],[Eldreandel-I]]*Vekter!$H$3</f>
        <v>1.2081412900655029</v>
      </c>
      <c r="AI71" s="44">
        <f>Tabell2[[#This Row],[Sysselsettingsvekst10-I]]*Vekter!$I$3</f>
        <v>0.96259211635896524</v>
      </c>
      <c r="AJ71" s="44">
        <f>Tabell2[[#This Row],[Yrkesaktivandel-I]]*Vekter!$K$3</f>
        <v>8.1155437601908087</v>
      </c>
      <c r="AK71" s="44">
        <f>Tabell2[[#This Row],[Inntekt-I]]*Vekter!$M$3</f>
        <v>0.11691136487221315</v>
      </c>
      <c r="AL7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18.848291270895434</v>
      </c>
    </row>
    <row r="72" spans="1:38" s="38" customFormat="1" ht="12.75">
      <c r="A72" s="42" t="s">
        <v>70</v>
      </c>
      <c r="B72" s="38">
        <f>'Rådata-K'!Q72</f>
        <v>10</v>
      </c>
      <c r="C72" s="44">
        <f>'Rådata-K'!P72</f>
        <v>240.018348116</v>
      </c>
      <c r="D72" s="41">
        <f>'Rådata-K'!R72</f>
        <v>2.8112570582176075</v>
      </c>
      <c r="E72" s="41">
        <f>'Rådata-K'!S72</f>
        <v>-1.9407290847102021E-2</v>
      </c>
      <c r="F72" s="41">
        <f>'Rådata-K'!T72</f>
        <v>0.10082909868948917</v>
      </c>
      <c r="G72" s="41">
        <f>'Rådata-K'!U72</f>
        <v>0.18775073549077292</v>
      </c>
      <c r="H72" s="41">
        <f>'Rådata-K'!V72</f>
        <v>7.1332436069986516E-2</v>
      </c>
      <c r="I72" s="41">
        <f>'Rådata-K'!W72</f>
        <v>0.90688651794374397</v>
      </c>
      <c r="J72" s="41">
        <f>'Rådata-K'!O72</f>
        <v>287800</v>
      </c>
      <c r="K72" s="41">
        <f>Tabell2[[#This Row],[NIBR11]]</f>
        <v>10</v>
      </c>
      <c r="L72" s="41">
        <f>IF(Tabell2[[#This Row],[ReisetidOslo]]&lt;=C$433,C$433,IF(Tabell2[[#This Row],[ReisetidOslo]]&gt;=C$434,C$434,Tabell2[[#This Row],[ReisetidOslo]]))</f>
        <v>240.018348116</v>
      </c>
      <c r="M72" s="41">
        <f>IF(Tabell2[[#This Row],[Beftettotal]]&lt;=D$433,D$433,IF(Tabell2[[#This Row],[Beftettotal]]&gt;=D$434,D$434,Tabell2[[#This Row],[Beftettotal]]))</f>
        <v>2.8112570582176075</v>
      </c>
      <c r="N72" s="41">
        <f>IF(Tabell2[[#This Row],[Befvekst10]]&lt;=E$433,E$433,IF(Tabell2[[#This Row],[Befvekst10]]&gt;=E$434,E$434,Tabell2[[#This Row],[Befvekst10]]))</f>
        <v>-1.9407290847102021E-2</v>
      </c>
      <c r="O72" s="41">
        <f>IF(Tabell2[[#This Row],[Kvinneandel]]&lt;=F$433,F$433,IF(Tabell2[[#This Row],[Kvinneandel]]&gt;=F$434,F$434,Tabell2[[#This Row],[Kvinneandel]]))</f>
        <v>0.10082909868948917</v>
      </c>
      <c r="P72" s="41">
        <f>IF(Tabell2[[#This Row],[Eldreandel]]&lt;=G$433,G$433,IF(Tabell2[[#This Row],[Eldreandel]]&gt;=G$434,G$434,Tabell2[[#This Row],[Eldreandel]]))</f>
        <v>0.18775073549077292</v>
      </c>
      <c r="Q72" s="41">
        <f>IF(Tabell2[[#This Row],[Sysselsettingsvekst10]]&lt;=H$433,H$433,IF(Tabell2[[#This Row],[Sysselsettingsvekst10]]&gt;=H$434,H$434,Tabell2[[#This Row],[Sysselsettingsvekst10]]))</f>
        <v>7.1332436069986516E-2</v>
      </c>
      <c r="R72" s="41">
        <f>IF(Tabell2[[#This Row],[Yrkesaktivandel]]&lt;=I$433,I$433,IF(Tabell2[[#This Row],[Yrkesaktivandel]]&gt;=I$434,I$434,Tabell2[[#This Row],[Yrkesaktivandel]]))</f>
        <v>0.90688651794374397</v>
      </c>
      <c r="S72" s="41">
        <f>IF(Tabell2[[#This Row],[Inntekt]]&lt;=J$433,J$433,IF(Tabell2[[#This Row],[Inntekt]]&gt;=J$434,J$434,Tabell2[[#This Row],[Inntekt]]))</f>
        <v>292140</v>
      </c>
      <c r="T72" s="44">
        <f>IF(Tabell2[[#This Row],[NIBR11-T]]&lt;=K$436,100,IF(Tabell2[[#This Row],[NIBR11-T]]&gt;=K$435,0,100*(K$435-Tabell2[[#This Row],[NIBR11-T]])/K$438))</f>
        <v>10</v>
      </c>
      <c r="U72" s="44">
        <f>(L$435-Tabell2[[#This Row],[ReisetidOslo-T]])*100/L$438</f>
        <v>17.330600214853281</v>
      </c>
      <c r="V72" s="44">
        <f>100-(M$435-Tabell2[[#This Row],[Beftettotal-T]])*100/M$438</f>
        <v>1.2192237510298582</v>
      </c>
      <c r="W72" s="44">
        <f>100-(N$435-Tabell2[[#This Row],[Befvekst10-T]])*100/N$438</f>
        <v>30.000923778043244</v>
      </c>
      <c r="X72" s="44">
        <f>100-(O$435-Tabell2[[#This Row],[Kvinneandel-T]])*100/O$438</f>
        <v>24.932690866629315</v>
      </c>
      <c r="Y72" s="44">
        <f>(P$435-Tabell2[[#This Row],[Eldreandel-T]])*100/P$438</f>
        <v>13.178618074424865</v>
      </c>
      <c r="Z72" s="44">
        <f>100-(Q$435-Tabell2[[#This Row],[Sysselsettingsvekst10-T]])*100/Q$438</f>
        <v>48.072156920596129</v>
      </c>
      <c r="AA72" s="44">
        <f>100-(R$435-Tabell2[[#This Row],[Yrkesaktivandel-T]])*100/R$438</f>
        <v>60.083704878322628</v>
      </c>
      <c r="AB72" s="44">
        <f>100-(S$435-Tabell2[[#This Row],[Inntekt-T]])*100/S$438</f>
        <v>0</v>
      </c>
      <c r="AC72" s="44">
        <f>Tabell2[[#This Row],[NIBR11-I]]*Vekter!$B$3</f>
        <v>2</v>
      </c>
      <c r="AD72" s="44">
        <f>Tabell2[[#This Row],[ReisetidOslo-I]]*Vekter!$C$3</f>
        <v>1.7330600214853282</v>
      </c>
      <c r="AE72" s="44">
        <f>Tabell2[[#This Row],[Beftettotal-I]]*Vekter!$E$4</f>
        <v>0.12192237510298583</v>
      </c>
      <c r="AF72" s="44">
        <f>Tabell2[[#This Row],[Befvekst10-I]]*Vekter!$F$3</f>
        <v>6.0001847556086494</v>
      </c>
      <c r="AG72" s="44">
        <f>Tabell2[[#This Row],[Kvinneandel-I]]*Vekter!$G$3</f>
        <v>1.2466345433314658</v>
      </c>
      <c r="AH72" s="44">
        <f>Tabell2[[#This Row],[Eldreandel-I]]*Vekter!$H$3</f>
        <v>0.6589309037212433</v>
      </c>
      <c r="AI72" s="44">
        <f>Tabell2[[#This Row],[Sysselsettingsvekst10-I]]*Vekter!$I$3</f>
        <v>4.8072156920596134</v>
      </c>
      <c r="AJ72" s="44">
        <f>Tabell2[[#This Row],[Yrkesaktivandel-I]]*Vekter!$K$3</f>
        <v>6.0083704878322628</v>
      </c>
      <c r="AK72" s="44">
        <f>Tabell2[[#This Row],[Inntekt-I]]*Vekter!$M$3</f>
        <v>0</v>
      </c>
      <c r="AL7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22.576318779141548</v>
      </c>
    </row>
    <row r="73" spans="1:38" s="38" customFormat="1" ht="12.75">
      <c r="A73" s="42" t="s">
        <v>71</v>
      </c>
      <c r="B73" s="38">
        <f>'Rådata-K'!Q73</f>
        <v>8</v>
      </c>
      <c r="C73" s="44">
        <f>'Rådata-K'!P73</f>
        <v>193.56002031400001</v>
      </c>
      <c r="D73" s="41">
        <f>'Rådata-K'!R73</f>
        <v>5.1072701947420525</v>
      </c>
      <c r="E73" s="41">
        <f>'Rådata-K'!S73</f>
        <v>-9.5141012572205197E-3</v>
      </c>
      <c r="F73" s="41">
        <f>'Rådata-K'!T73</f>
        <v>9.8113207547169817E-2</v>
      </c>
      <c r="G73" s="41">
        <f>'Rådata-K'!U73</f>
        <v>0.17101200686106346</v>
      </c>
      <c r="H73" s="41">
        <f>'Rådata-K'!V73</f>
        <v>8.7109375000000044E-2</v>
      </c>
      <c r="I73" s="41">
        <f>'Rådata-K'!W73</f>
        <v>0.90961480133454653</v>
      </c>
      <c r="J73" s="41">
        <f>'Rådata-K'!O73</f>
        <v>315300</v>
      </c>
      <c r="K73" s="41">
        <f>Tabell2[[#This Row],[NIBR11]]</f>
        <v>8</v>
      </c>
      <c r="L73" s="41">
        <f>IF(Tabell2[[#This Row],[ReisetidOslo]]&lt;=C$433,C$433,IF(Tabell2[[#This Row],[ReisetidOslo]]&gt;=C$434,C$434,Tabell2[[#This Row],[ReisetidOslo]]))</f>
        <v>193.56002031400001</v>
      </c>
      <c r="M73" s="41">
        <f>IF(Tabell2[[#This Row],[Beftettotal]]&lt;=D$433,D$433,IF(Tabell2[[#This Row],[Beftettotal]]&gt;=D$434,D$434,Tabell2[[#This Row],[Beftettotal]]))</f>
        <v>5.1072701947420525</v>
      </c>
      <c r="N73" s="41">
        <f>IF(Tabell2[[#This Row],[Befvekst10]]&lt;=E$433,E$433,IF(Tabell2[[#This Row],[Befvekst10]]&gt;=E$434,E$434,Tabell2[[#This Row],[Befvekst10]]))</f>
        <v>-9.5141012572205197E-3</v>
      </c>
      <c r="O73" s="41">
        <f>IF(Tabell2[[#This Row],[Kvinneandel]]&lt;=F$433,F$433,IF(Tabell2[[#This Row],[Kvinneandel]]&gt;=F$434,F$434,Tabell2[[#This Row],[Kvinneandel]]))</f>
        <v>9.8113207547169817E-2</v>
      </c>
      <c r="P73" s="41">
        <f>IF(Tabell2[[#This Row],[Eldreandel]]&lt;=G$433,G$433,IF(Tabell2[[#This Row],[Eldreandel]]&gt;=G$434,G$434,Tabell2[[#This Row],[Eldreandel]]))</f>
        <v>0.17101200686106346</v>
      </c>
      <c r="Q73" s="41">
        <f>IF(Tabell2[[#This Row],[Sysselsettingsvekst10]]&lt;=H$433,H$433,IF(Tabell2[[#This Row],[Sysselsettingsvekst10]]&gt;=H$434,H$434,Tabell2[[#This Row],[Sysselsettingsvekst10]]))</f>
        <v>8.7109375000000044E-2</v>
      </c>
      <c r="R73" s="41">
        <f>IF(Tabell2[[#This Row],[Yrkesaktivandel]]&lt;=I$433,I$433,IF(Tabell2[[#This Row],[Yrkesaktivandel]]&gt;=I$434,I$434,Tabell2[[#This Row],[Yrkesaktivandel]]))</f>
        <v>0.90961480133454653</v>
      </c>
      <c r="S73" s="41">
        <f>IF(Tabell2[[#This Row],[Inntekt]]&lt;=J$433,J$433,IF(Tabell2[[#This Row],[Inntekt]]&gt;=J$434,J$434,Tabell2[[#This Row],[Inntekt]]))</f>
        <v>315300</v>
      </c>
      <c r="T73" s="44">
        <f>IF(Tabell2[[#This Row],[NIBR11-T]]&lt;=K$436,100,IF(Tabell2[[#This Row],[NIBR11-T]]&gt;=K$435,0,100*(K$435-Tabell2[[#This Row],[NIBR11-T]])/K$438))</f>
        <v>30</v>
      </c>
      <c r="U73" s="44">
        <f>(L$435-Tabell2[[#This Row],[ReisetidOslo-T]])*100/L$438</f>
        <v>37.955802338952978</v>
      </c>
      <c r="V73" s="44">
        <f>100-(M$435-Tabell2[[#This Row],[Beftettotal-T]])*100/M$438</f>
        <v>3.0973781383932391</v>
      </c>
      <c r="W73" s="44">
        <f>100-(N$435-Tabell2[[#This Row],[Befvekst10-T]])*100/N$438</f>
        <v>34.093883496594387</v>
      </c>
      <c r="X73" s="44">
        <f>100-(O$435-Tabell2[[#This Row],[Kvinneandel-T]])*100/O$438</f>
        <v>17.500760355544671</v>
      </c>
      <c r="Y73" s="44">
        <f>(P$435-Tabell2[[#This Row],[Eldreandel-T]])*100/P$438</f>
        <v>32.886724379127166</v>
      </c>
      <c r="Z73" s="44">
        <f>100-(Q$435-Tabell2[[#This Row],[Sysselsettingsvekst10-T]])*100/Q$438</f>
        <v>52.710846423456033</v>
      </c>
      <c r="AA73" s="44">
        <f>100-(R$435-Tabell2[[#This Row],[Yrkesaktivandel-T]])*100/R$438</f>
        <v>62.121136739967248</v>
      </c>
      <c r="AB73" s="44">
        <f>100-(S$435-Tabell2[[#This Row],[Inntekt-T]])*100/S$438</f>
        <v>31.484502446982049</v>
      </c>
      <c r="AC73" s="44">
        <f>Tabell2[[#This Row],[NIBR11-I]]*Vekter!$B$3</f>
        <v>6</v>
      </c>
      <c r="AD73" s="44">
        <f>Tabell2[[#This Row],[ReisetidOslo-I]]*Vekter!$C$3</f>
        <v>3.795580233895298</v>
      </c>
      <c r="AE73" s="44">
        <f>Tabell2[[#This Row],[Beftettotal-I]]*Vekter!$E$4</f>
        <v>0.30973781383932392</v>
      </c>
      <c r="AF73" s="44">
        <f>Tabell2[[#This Row],[Befvekst10-I]]*Vekter!$F$3</f>
        <v>6.8187766993188781</v>
      </c>
      <c r="AG73" s="44">
        <f>Tabell2[[#This Row],[Kvinneandel-I]]*Vekter!$G$3</f>
        <v>0.87503801777723356</v>
      </c>
      <c r="AH73" s="44">
        <f>Tabell2[[#This Row],[Eldreandel-I]]*Vekter!$H$3</f>
        <v>1.6443362189563584</v>
      </c>
      <c r="AI73" s="44">
        <f>Tabell2[[#This Row],[Sysselsettingsvekst10-I]]*Vekter!$I$3</f>
        <v>5.2710846423456035</v>
      </c>
      <c r="AJ73" s="44">
        <f>Tabell2[[#This Row],[Yrkesaktivandel-I]]*Vekter!$K$3</f>
        <v>6.2121136739967255</v>
      </c>
      <c r="AK73" s="44">
        <f>Tabell2[[#This Row],[Inntekt-I]]*Vekter!$M$3</f>
        <v>3.1484502446982052</v>
      </c>
      <c r="AL7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34.07511754482762</v>
      </c>
    </row>
    <row r="74" spans="1:38" s="38" customFormat="1" ht="12.75">
      <c r="A74" s="42" t="s">
        <v>72</v>
      </c>
      <c r="B74" s="38">
        <f>'Rådata-K'!Q74</f>
        <v>10</v>
      </c>
      <c r="C74" s="44">
        <f>'Rådata-K'!P74</f>
        <v>218.890768568</v>
      </c>
      <c r="D74" s="41">
        <f>'Rådata-K'!R74</f>
        <v>6.6216529820645142</v>
      </c>
      <c r="E74" s="41">
        <f>'Rådata-K'!S74</f>
        <v>-2.7588445309964293E-2</v>
      </c>
      <c r="F74" s="41">
        <f>'Rådata-K'!T74</f>
        <v>0.10096795727636849</v>
      </c>
      <c r="G74" s="41">
        <f>'Rådata-K'!U74</f>
        <v>0.18257676902536715</v>
      </c>
      <c r="H74" s="41">
        <f>'Rådata-K'!V74</f>
        <v>-1.651254953764858E-2</v>
      </c>
      <c r="I74" s="41">
        <f>'Rådata-K'!W74</f>
        <v>0.85705777248362125</v>
      </c>
      <c r="J74" s="41">
        <f>'Rådata-K'!O74</f>
        <v>284000</v>
      </c>
      <c r="K74" s="41">
        <f>Tabell2[[#This Row],[NIBR11]]</f>
        <v>10</v>
      </c>
      <c r="L74" s="41">
        <f>IF(Tabell2[[#This Row],[ReisetidOslo]]&lt;=C$433,C$433,IF(Tabell2[[#This Row],[ReisetidOslo]]&gt;=C$434,C$434,Tabell2[[#This Row],[ReisetidOslo]]))</f>
        <v>218.890768568</v>
      </c>
      <c r="M74" s="41">
        <f>IF(Tabell2[[#This Row],[Beftettotal]]&lt;=D$433,D$433,IF(Tabell2[[#This Row],[Beftettotal]]&gt;=D$434,D$434,Tabell2[[#This Row],[Beftettotal]]))</f>
        <v>6.6216529820645142</v>
      </c>
      <c r="N74" s="41">
        <f>IF(Tabell2[[#This Row],[Befvekst10]]&lt;=E$433,E$433,IF(Tabell2[[#This Row],[Befvekst10]]&gt;=E$434,E$434,Tabell2[[#This Row],[Befvekst10]]))</f>
        <v>-2.7588445309964293E-2</v>
      </c>
      <c r="O74" s="41">
        <f>IF(Tabell2[[#This Row],[Kvinneandel]]&lt;=F$433,F$433,IF(Tabell2[[#This Row],[Kvinneandel]]&gt;=F$434,F$434,Tabell2[[#This Row],[Kvinneandel]]))</f>
        <v>0.10096795727636849</v>
      </c>
      <c r="P74" s="41">
        <f>IF(Tabell2[[#This Row],[Eldreandel]]&lt;=G$433,G$433,IF(Tabell2[[#This Row],[Eldreandel]]&gt;=G$434,G$434,Tabell2[[#This Row],[Eldreandel]]))</f>
        <v>0.18257676902536715</v>
      </c>
      <c r="Q74" s="41">
        <f>IF(Tabell2[[#This Row],[Sysselsettingsvekst10]]&lt;=H$433,H$433,IF(Tabell2[[#This Row],[Sysselsettingsvekst10]]&gt;=H$434,H$434,Tabell2[[#This Row],[Sysselsettingsvekst10]]))</f>
        <v>-1.651254953764858E-2</v>
      </c>
      <c r="R74" s="41">
        <f>IF(Tabell2[[#This Row],[Yrkesaktivandel]]&lt;=I$433,I$433,IF(Tabell2[[#This Row],[Yrkesaktivandel]]&gt;=I$434,I$434,Tabell2[[#This Row],[Yrkesaktivandel]]))</f>
        <v>0.85705777248362125</v>
      </c>
      <c r="S74" s="41">
        <f>IF(Tabell2[[#This Row],[Inntekt]]&lt;=J$433,J$433,IF(Tabell2[[#This Row],[Inntekt]]&gt;=J$434,J$434,Tabell2[[#This Row],[Inntekt]]))</f>
        <v>292140</v>
      </c>
      <c r="T74" s="44">
        <f>IF(Tabell2[[#This Row],[NIBR11-T]]&lt;=K$436,100,IF(Tabell2[[#This Row],[NIBR11-T]]&gt;=K$435,0,100*(K$435-Tabell2[[#This Row],[NIBR11-T]])/K$438))</f>
        <v>10</v>
      </c>
      <c r="U74" s="44">
        <f>(L$435-Tabell2[[#This Row],[ReisetidOslo-T]])*100/L$438</f>
        <v>26.710201659564252</v>
      </c>
      <c r="V74" s="44">
        <f>100-(M$435-Tabell2[[#This Row],[Beftettotal-T]])*100/M$438</f>
        <v>4.3361535752196545</v>
      </c>
      <c r="W74" s="44">
        <f>100-(N$435-Tabell2[[#This Row],[Befvekst10-T]])*100/N$438</f>
        <v>26.61625846221952</v>
      </c>
      <c r="X74" s="44">
        <f>100-(O$435-Tabell2[[#This Row],[Kvinneandel-T]])*100/O$438</f>
        <v>25.312671990494721</v>
      </c>
      <c r="Y74" s="44">
        <f>(P$435-Tabell2[[#This Row],[Eldreandel-T]])*100/P$438</f>
        <v>19.270423693174042</v>
      </c>
      <c r="Z74" s="44">
        <f>100-(Q$435-Tabell2[[#This Row],[Sysselsettingsvekst10-T]])*100/Q$438</f>
        <v>22.244230830204188</v>
      </c>
      <c r="AA74" s="44">
        <f>100-(R$435-Tabell2[[#This Row],[Yrkesaktivandel-T]])*100/R$438</f>
        <v>22.872514146274213</v>
      </c>
      <c r="AB74" s="44">
        <f>100-(S$435-Tabell2[[#This Row],[Inntekt-T]])*100/S$438</f>
        <v>0</v>
      </c>
      <c r="AC74" s="44">
        <f>Tabell2[[#This Row],[NIBR11-I]]*Vekter!$B$3</f>
        <v>2</v>
      </c>
      <c r="AD74" s="44">
        <f>Tabell2[[#This Row],[ReisetidOslo-I]]*Vekter!$C$3</f>
        <v>2.6710201659564254</v>
      </c>
      <c r="AE74" s="44">
        <f>Tabell2[[#This Row],[Beftettotal-I]]*Vekter!$E$4</f>
        <v>0.43361535752196545</v>
      </c>
      <c r="AF74" s="44">
        <f>Tabell2[[#This Row],[Befvekst10-I]]*Vekter!$F$3</f>
        <v>5.3232516924439039</v>
      </c>
      <c r="AG74" s="44">
        <f>Tabell2[[#This Row],[Kvinneandel-I]]*Vekter!$G$3</f>
        <v>1.2656335995247361</v>
      </c>
      <c r="AH74" s="44">
        <f>Tabell2[[#This Row],[Eldreandel-I]]*Vekter!$H$3</f>
        <v>0.96352118465870218</v>
      </c>
      <c r="AI74" s="44">
        <f>Tabell2[[#This Row],[Sysselsettingsvekst10-I]]*Vekter!$I$3</f>
        <v>2.2244230830204188</v>
      </c>
      <c r="AJ74" s="44">
        <f>Tabell2[[#This Row],[Yrkesaktivandel-I]]*Vekter!$K$3</f>
        <v>2.2872514146274212</v>
      </c>
      <c r="AK74" s="44">
        <f>Tabell2[[#This Row],[Inntekt-I]]*Vekter!$M$3</f>
        <v>0</v>
      </c>
      <c r="AL7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17.168716497753575</v>
      </c>
    </row>
    <row r="75" spans="1:38" s="38" customFormat="1" ht="12.75">
      <c r="A75" s="42" t="s">
        <v>73</v>
      </c>
      <c r="B75" s="38">
        <f>'Rådata-K'!Q75</f>
        <v>5</v>
      </c>
      <c r="C75" s="44">
        <f>'Rådata-K'!P75</f>
        <v>181.96299401799999</v>
      </c>
      <c r="D75" s="41">
        <f>'Rådata-K'!R75</f>
        <v>4.3225762985919287</v>
      </c>
      <c r="E75" s="41">
        <f>'Rådata-K'!S75</f>
        <v>-3.4607282575985554E-2</v>
      </c>
      <c r="F75" s="41">
        <f>'Rådata-K'!T75</f>
        <v>0.10692019950124688</v>
      </c>
      <c r="G75" s="41">
        <f>'Rådata-K'!U75</f>
        <v>0.18298004987531172</v>
      </c>
      <c r="H75" s="41">
        <f>'Rådata-K'!V75</f>
        <v>-0.12201154163231653</v>
      </c>
      <c r="I75" s="41">
        <f>'Rådata-K'!W75</f>
        <v>0.89373601789709167</v>
      </c>
      <c r="J75" s="41">
        <f>'Rådata-K'!O75</f>
        <v>293200</v>
      </c>
      <c r="K75" s="41">
        <f>Tabell2[[#This Row],[NIBR11]]</f>
        <v>5</v>
      </c>
      <c r="L75" s="41">
        <f>IF(Tabell2[[#This Row],[ReisetidOslo]]&lt;=C$433,C$433,IF(Tabell2[[#This Row],[ReisetidOslo]]&gt;=C$434,C$434,Tabell2[[#This Row],[ReisetidOslo]]))</f>
        <v>181.96299401799999</v>
      </c>
      <c r="M75" s="41">
        <f>IF(Tabell2[[#This Row],[Beftettotal]]&lt;=D$433,D$433,IF(Tabell2[[#This Row],[Beftettotal]]&gt;=D$434,D$434,Tabell2[[#This Row],[Beftettotal]]))</f>
        <v>4.3225762985919287</v>
      </c>
      <c r="N75" s="41">
        <f>IF(Tabell2[[#This Row],[Befvekst10]]&lt;=E$433,E$433,IF(Tabell2[[#This Row],[Befvekst10]]&gt;=E$434,E$434,Tabell2[[#This Row],[Befvekst10]]))</f>
        <v>-3.4607282575985554E-2</v>
      </c>
      <c r="O75" s="41">
        <f>IF(Tabell2[[#This Row],[Kvinneandel]]&lt;=F$433,F$433,IF(Tabell2[[#This Row],[Kvinneandel]]&gt;=F$434,F$434,Tabell2[[#This Row],[Kvinneandel]]))</f>
        <v>0.10692019950124688</v>
      </c>
      <c r="P75" s="41">
        <f>IF(Tabell2[[#This Row],[Eldreandel]]&lt;=G$433,G$433,IF(Tabell2[[#This Row],[Eldreandel]]&gt;=G$434,G$434,Tabell2[[#This Row],[Eldreandel]]))</f>
        <v>0.18298004987531172</v>
      </c>
      <c r="Q75" s="41">
        <f>IF(Tabell2[[#This Row],[Sysselsettingsvekst10]]&lt;=H$433,H$433,IF(Tabell2[[#This Row],[Sysselsettingsvekst10]]&gt;=H$434,H$434,Tabell2[[#This Row],[Sysselsettingsvekst10]]))</f>
        <v>-9.2168803558721979E-2</v>
      </c>
      <c r="R75" s="41">
        <f>IF(Tabell2[[#This Row],[Yrkesaktivandel]]&lt;=I$433,I$433,IF(Tabell2[[#This Row],[Yrkesaktivandel]]&gt;=I$434,I$434,Tabell2[[#This Row],[Yrkesaktivandel]]))</f>
        <v>0.89373601789709167</v>
      </c>
      <c r="S75" s="41">
        <f>IF(Tabell2[[#This Row],[Inntekt]]&lt;=J$433,J$433,IF(Tabell2[[#This Row],[Inntekt]]&gt;=J$434,J$434,Tabell2[[#This Row],[Inntekt]]))</f>
        <v>293200</v>
      </c>
      <c r="T75" s="44">
        <f>IF(Tabell2[[#This Row],[NIBR11-T]]&lt;=K$436,100,IF(Tabell2[[#This Row],[NIBR11-T]]&gt;=K$435,0,100*(K$435-Tabell2[[#This Row],[NIBR11-T]])/K$438))</f>
        <v>60</v>
      </c>
      <c r="U75" s="44">
        <f>(L$435-Tabell2[[#This Row],[ReisetidOslo-T]])*100/L$438</f>
        <v>43.104309026772306</v>
      </c>
      <c r="V75" s="44">
        <f>100-(M$435-Tabell2[[#This Row],[Beftettotal-T]])*100/M$438</f>
        <v>2.4554931855821422</v>
      </c>
      <c r="W75" s="44">
        <f>100-(N$435-Tabell2[[#This Row],[Befvekst10-T]])*100/N$438</f>
        <v>23.712461063019504</v>
      </c>
      <c r="X75" s="44">
        <f>100-(O$435-Tabell2[[#This Row],[Kvinneandel-T]])*100/O$438</f>
        <v>41.600751402492911</v>
      </c>
      <c r="Y75" s="44">
        <f>(P$435-Tabell2[[#This Row],[Eldreandel-T]])*100/P$438</f>
        <v>18.79560257400902</v>
      </c>
      <c r="Z75" s="44">
        <f>100-(Q$435-Tabell2[[#This Row],[Sysselsettingsvekst10-T]])*100/Q$438</f>
        <v>0</v>
      </c>
      <c r="AA75" s="44">
        <f>100-(R$435-Tabell2[[#This Row],[Yrkesaktivandel-T]])*100/R$438</f>
        <v>50.263153288288976</v>
      </c>
      <c r="AB75" s="44">
        <f>100-(S$435-Tabell2[[#This Row],[Inntekt-T]])*100/S$438</f>
        <v>1.4410005437737965</v>
      </c>
      <c r="AC75" s="44">
        <f>Tabell2[[#This Row],[NIBR11-I]]*Vekter!$B$3</f>
        <v>12</v>
      </c>
      <c r="AD75" s="44">
        <f>Tabell2[[#This Row],[ReisetidOslo-I]]*Vekter!$C$3</f>
        <v>4.3104309026772309</v>
      </c>
      <c r="AE75" s="44">
        <f>Tabell2[[#This Row],[Beftettotal-I]]*Vekter!$E$4</f>
        <v>0.24554931855821424</v>
      </c>
      <c r="AF75" s="44">
        <f>Tabell2[[#This Row],[Befvekst10-I]]*Vekter!$F$3</f>
        <v>4.7424922126039011</v>
      </c>
      <c r="AG75" s="44">
        <f>Tabell2[[#This Row],[Kvinneandel-I]]*Vekter!$G$3</f>
        <v>2.0800375701246456</v>
      </c>
      <c r="AH75" s="44">
        <f>Tabell2[[#This Row],[Eldreandel-I]]*Vekter!$H$3</f>
        <v>0.93978012870045102</v>
      </c>
      <c r="AI75" s="44">
        <f>Tabell2[[#This Row],[Sysselsettingsvekst10-I]]*Vekter!$I$3</f>
        <v>0</v>
      </c>
      <c r="AJ75" s="44">
        <f>Tabell2[[#This Row],[Yrkesaktivandel-I]]*Vekter!$K$3</f>
        <v>5.0263153288288978</v>
      </c>
      <c r="AK75" s="44">
        <f>Tabell2[[#This Row],[Inntekt-I]]*Vekter!$M$3</f>
        <v>0.14410005437737966</v>
      </c>
      <c r="AL7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29.488705515870723</v>
      </c>
    </row>
    <row r="76" spans="1:38" s="38" customFormat="1" ht="12.75">
      <c r="A76" s="42" t="s">
        <v>74</v>
      </c>
      <c r="B76" s="38">
        <f>'Rådata-K'!Q76</f>
        <v>5</v>
      </c>
      <c r="C76" s="44">
        <f>'Rådata-K'!P76</f>
        <v>172.36893550299999</v>
      </c>
      <c r="D76" s="41">
        <f>'Rådata-K'!R76</f>
        <v>3.6559070833700718</v>
      </c>
      <c r="E76" s="41">
        <f>'Rådata-K'!S76</f>
        <v>-2.7919863597613004E-2</v>
      </c>
      <c r="F76" s="41">
        <f>'Rådata-K'!T76</f>
        <v>0.10414382810787108</v>
      </c>
      <c r="G76" s="41">
        <f>'Rådata-K'!U76</f>
        <v>0.18570488927866696</v>
      </c>
      <c r="H76" s="41">
        <f>'Rådata-K'!V76</f>
        <v>-4.4964028776978138E-3</v>
      </c>
      <c r="I76" s="41">
        <f>'Rådata-K'!W76</f>
        <v>0.90042784908595874</v>
      </c>
      <c r="J76" s="41">
        <f>'Rådata-K'!O76</f>
        <v>294500</v>
      </c>
      <c r="K76" s="41">
        <f>Tabell2[[#This Row],[NIBR11]]</f>
        <v>5</v>
      </c>
      <c r="L76" s="41">
        <f>IF(Tabell2[[#This Row],[ReisetidOslo]]&lt;=C$433,C$433,IF(Tabell2[[#This Row],[ReisetidOslo]]&gt;=C$434,C$434,Tabell2[[#This Row],[ReisetidOslo]]))</f>
        <v>172.36893550299999</v>
      </c>
      <c r="M76" s="41">
        <f>IF(Tabell2[[#This Row],[Beftettotal]]&lt;=D$433,D$433,IF(Tabell2[[#This Row],[Beftettotal]]&gt;=D$434,D$434,Tabell2[[#This Row],[Beftettotal]]))</f>
        <v>3.6559070833700718</v>
      </c>
      <c r="N76" s="41">
        <f>IF(Tabell2[[#This Row],[Befvekst10]]&lt;=E$433,E$433,IF(Tabell2[[#This Row],[Befvekst10]]&gt;=E$434,E$434,Tabell2[[#This Row],[Befvekst10]]))</f>
        <v>-2.7919863597613004E-2</v>
      </c>
      <c r="O76" s="41">
        <f>IF(Tabell2[[#This Row],[Kvinneandel]]&lt;=F$433,F$433,IF(Tabell2[[#This Row],[Kvinneandel]]&gt;=F$434,F$434,Tabell2[[#This Row],[Kvinneandel]]))</f>
        <v>0.10414382810787108</v>
      </c>
      <c r="P76" s="41">
        <f>IF(Tabell2[[#This Row],[Eldreandel]]&lt;=G$433,G$433,IF(Tabell2[[#This Row],[Eldreandel]]&gt;=G$434,G$434,Tabell2[[#This Row],[Eldreandel]]))</f>
        <v>0.18570488927866696</v>
      </c>
      <c r="Q76" s="41">
        <f>IF(Tabell2[[#This Row],[Sysselsettingsvekst10]]&lt;=H$433,H$433,IF(Tabell2[[#This Row],[Sysselsettingsvekst10]]&gt;=H$434,H$434,Tabell2[[#This Row],[Sysselsettingsvekst10]]))</f>
        <v>-4.4964028776978138E-3</v>
      </c>
      <c r="R76" s="41">
        <f>IF(Tabell2[[#This Row],[Yrkesaktivandel]]&lt;=I$433,I$433,IF(Tabell2[[#This Row],[Yrkesaktivandel]]&gt;=I$434,I$434,Tabell2[[#This Row],[Yrkesaktivandel]]))</f>
        <v>0.90042784908595874</v>
      </c>
      <c r="S76" s="41">
        <f>IF(Tabell2[[#This Row],[Inntekt]]&lt;=J$433,J$433,IF(Tabell2[[#This Row],[Inntekt]]&gt;=J$434,J$434,Tabell2[[#This Row],[Inntekt]]))</f>
        <v>294500</v>
      </c>
      <c r="T76" s="44">
        <f>IF(Tabell2[[#This Row],[NIBR11-T]]&lt;=K$436,100,IF(Tabell2[[#This Row],[NIBR11-T]]&gt;=K$435,0,100*(K$435-Tabell2[[#This Row],[NIBR11-T]])/K$438))</f>
        <v>60</v>
      </c>
      <c r="U76" s="44">
        <f>(L$435-Tabell2[[#This Row],[ReisetidOslo-T]])*100/L$438</f>
        <v>47.363596982758459</v>
      </c>
      <c r="V76" s="44">
        <f>100-(M$435-Tabell2[[#This Row],[Beftettotal-T]])*100/M$438</f>
        <v>1.9101532258185046</v>
      </c>
      <c r="W76" s="44">
        <f>100-(N$435-Tabell2[[#This Row],[Befvekst10-T]])*100/N$438</f>
        <v>26.479145785967489</v>
      </c>
      <c r="X76" s="44">
        <f>100-(O$435-Tabell2[[#This Row],[Kvinneandel-T]])*100/O$438</f>
        <v>34.003319035998615</v>
      </c>
      <c r="Y76" s="44">
        <f>(P$435-Tabell2[[#This Row],[Eldreandel-T]])*100/P$438</f>
        <v>15.587388508739306</v>
      </c>
      <c r="Z76" s="44">
        <f>100-(Q$435-Tabell2[[#This Row],[Sysselsettingsvekst10-T]])*100/Q$438</f>
        <v>25.77718317435648</v>
      </c>
      <c r="AA76" s="44">
        <f>100-(R$435-Tabell2[[#This Row],[Yrkesaktivandel-T]])*100/R$438</f>
        <v>55.260489753741091</v>
      </c>
      <c r="AB76" s="44">
        <f>100-(S$435-Tabell2[[#This Row],[Inntekt-T]])*100/S$438</f>
        <v>3.2082653616095769</v>
      </c>
      <c r="AC76" s="44">
        <f>Tabell2[[#This Row],[NIBR11-I]]*Vekter!$B$3</f>
        <v>12</v>
      </c>
      <c r="AD76" s="44">
        <f>Tabell2[[#This Row],[ReisetidOslo-I]]*Vekter!$C$3</f>
        <v>4.7363596982758462</v>
      </c>
      <c r="AE76" s="44">
        <f>Tabell2[[#This Row],[Beftettotal-I]]*Vekter!$E$4</f>
        <v>0.19101532258185047</v>
      </c>
      <c r="AF76" s="44">
        <f>Tabell2[[#This Row],[Befvekst10-I]]*Vekter!$F$3</f>
        <v>5.2958291571934986</v>
      </c>
      <c r="AG76" s="44">
        <f>Tabell2[[#This Row],[Kvinneandel-I]]*Vekter!$G$3</f>
        <v>1.7001659517999308</v>
      </c>
      <c r="AH76" s="44">
        <f>Tabell2[[#This Row],[Eldreandel-I]]*Vekter!$H$3</f>
        <v>0.7793694254369653</v>
      </c>
      <c r="AI76" s="44">
        <f>Tabell2[[#This Row],[Sysselsettingsvekst10-I]]*Vekter!$I$3</f>
        <v>2.5777183174356484</v>
      </c>
      <c r="AJ76" s="44">
        <f>Tabell2[[#This Row],[Yrkesaktivandel-I]]*Vekter!$K$3</f>
        <v>5.5260489753741098</v>
      </c>
      <c r="AK76" s="44">
        <f>Tabell2[[#This Row],[Inntekt-I]]*Vekter!$M$3</f>
        <v>0.32082653616095769</v>
      </c>
      <c r="AL7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33.127333384258812</v>
      </c>
    </row>
    <row r="77" spans="1:38" s="38" customFormat="1" ht="12.75">
      <c r="A77" s="42" t="s">
        <v>75</v>
      </c>
      <c r="B77" s="38">
        <f>'Rådata-K'!Q77</f>
        <v>4</v>
      </c>
      <c r="C77" s="44">
        <f>'Rådata-K'!P77</f>
        <v>150.45563992300001</v>
      </c>
      <c r="D77" s="41">
        <f>'Rådata-K'!R77</f>
        <v>7.9621815908735742</v>
      </c>
      <c r="E77" s="41">
        <f>'Rådata-K'!S77</f>
        <v>3.4727863525588987E-2</v>
      </c>
      <c r="F77" s="41">
        <f>'Rådata-K'!T77</f>
        <v>0.10618253189401373</v>
      </c>
      <c r="G77" s="41">
        <f>'Rådata-K'!U77</f>
        <v>0.1521099116781158</v>
      </c>
      <c r="H77" s="41">
        <f>'Rådata-K'!V77</f>
        <v>6.5730337078651724E-2</v>
      </c>
      <c r="I77" s="41">
        <f>'Rådata-K'!W77</f>
        <v>0.9028571428571428</v>
      </c>
      <c r="J77" s="41">
        <f>'Rådata-K'!O77</f>
        <v>309700</v>
      </c>
      <c r="K77" s="41">
        <f>Tabell2[[#This Row],[NIBR11]]</f>
        <v>4</v>
      </c>
      <c r="L77" s="41">
        <f>IF(Tabell2[[#This Row],[ReisetidOslo]]&lt;=C$433,C$433,IF(Tabell2[[#This Row],[ReisetidOslo]]&gt;=C$434,C$434,Tabell2[[#This Row],[ReisetidOslo]]))</f>
        <v>150.45563992300001</v>
      </c>
      <c r="M77" s="41">
        <f>IF(Tabell2[[#This Row],[Beftettotal]]&lt;=D$433,D$433,IF(Tabell2[[#This Row],[Beftettotal]]&gt;=D$434,D$434,Tabell2[[#This Row],[Beftettotal]]))</f>
        <v>7.9621815908735742</v>
      </c>
      <c r="N77" s="41">
        <f>IF(Tabell2[[#This Row],[Befvekst10]]&lt;=E$433,E$433,IF(Tabell2[[#This Row],[Befvekst10]]&gt;=E$434,E$434,Tabell2[[#This Row],[Befvekst10]]))</f>
        <v>3.4727863525588987E-2</v>
      </c>
      <c r="O77" s="41">
        <f>IF(Tabell2[[#This Row],[Kvinneandel]]&lt;=F$433,F$433,IF(Tabell2[[#This Row],[Kvinneandel]]&gt;=F$434,F$434,Tabell2[[#This Row],[Kvinneandel]]))</f>
        <v>0.10618253189401373</v>
      </c>
      <c r="P77" s="41">
        <f>IF(Tabell2[[#This Row],[Eldreandel]]&lt;=G$433,G$433,IF(Tabell2[[#This Row],[Eldreandel]]&gt;=G$434,G$434,Tabell2[[#This Row],[Eldreandel]]))</f>
        <v>0.1521099116781158</v>
      </c>
      <c r="Q77" s="41">
        <f>IF(Tabell2[[#This Row],[Sysselsettingsvekst10]]&lt;=H$433,H$433,IF(Tabell2[[#This Row],[Sysselsettingsvekst10]]&gt;=H$434,H$434,Tabell2[[#This Row],[Sysselsettingsvekst10]]))</f>
        <v>6.5730337078651724E-2</v>
      </c>
      <c r="R77" s="41">
        <f>IF(Tabell2[[#This Row],[Yrkesaktivandel]]&lt;=I$433,I$433,IF(Tabell2[[#This Row],[Yrkesaktivandel]]&gt;=I$434,I$434,Tabell2[[#This Row],[Yrkesaktivandel]]))</f>
        <v>0.9028571428571428</v>
      </c>
      <c r="S77" s="41">
        <f>IF(Tabell2[[#This Row],[Inntekt]]&lt;=J$433,J$433,IF(Tabell2[[#This Row],[Inntekt]]&gt;=J$434,J$434,Tabell2[[#This Row],[Inntekt]]))</f>
        <v>309700</v>
      </c>
      <c r="T77" s="44">
        <f>IF(Tabell2[[#This Row],[NIBR11-T]]&lt;=K$436,100,IF(Tabell2[[#This Row],[NIBR11-T]]&gt;=K$435,0,100*(K$435-Tabell2[[#This Row],[NIBR11-T]])/K$438))</f>
        <v>70</v>
      </c>
      <c r="U77" s="44">
        <f>(L$435-Tabell2[[#This Row],[ReisetidOslo-T]])*100/L$438</f>
        <v>57.092017524902538</v>
      </c>
      <c r="V77" s="44">
        <f>100-(M$435-Tabell2[[#This Row],[Beftettotal-T]])*100/M$438</f>
        <v>5.4327151096331647</v>
      </c>
      <c r="W77" s="44">
        <f>100-(N$435-Tabell2[[#This Row],[Befvekst10-T]])*100/N$438</f>
        <v>52.397442533894385</v>
      </c>
      <c r="X77" s="44">
        <f>100-(O$435-Tabell2[[#This Row],[Kvinneandel-T]])*100/O$438</f>
        <v>39.582152677452328</v>
      </c>
      <c r="Y77" s="44">
        <f>(P$435-Tabell2[[#This Row],[Eldreandel-T]])*100/P$438</f>
        <v>55.141969056786998</v>
      </c>
      <c r="Z77" s="44">
        <f>100-(Q$435-Tabell2[[#This Row],[Sysselsettingsvekst10-T]])*100/Q$438</f>
        <v>46.425044137795716</v>
      </c>
      <c r="AA77" s="44">
        <f>100-(R$435-Tabell2[[#This Row],[Yrkesaktivandel-T]])*100/R$438</f>
        <v>57.074641666035383</v>
      </c>
      <c r="AB77" s="44">
        <f>100-(S$435-Tabell2[[#This Row],[Inntekt-T]])*100/S$438</f>
        <v>23.871669385535611</v>
      </c>
      <c r="AC77" s="44">
        <f>Tabell2[[#This Row],[NIBR11-I]]*Vekter!$B$3</f>
        <v>14</v>
      </c>
      <c r="AD77" s="44">
        <f>Tabell2[[#This Row],[ReisetidOslo-I]]*Vekter!$C$3</f>
        <v>5.7092017524902543</v>
      </c>
      <c r="AE77" s="44">
        <f>Tabell2[[#This Row],[Beftettotal-I]]*Vekter!$E$4</f>
        <v>0.5432715109633165</v>
      </c>
      <c r="AF77" s="44">
        <f>Tabell2[[#This Row],[Befvekst10-I]]*Vekter!$F$3</f>
        <v>10.479488506778878</v>
      </c>
      <c r="AG77" s="44">
        <f>Tabell2[[#This Row],[Kvinneandel-I]]*Vekter!$G$3</f>
        <v>1.9791076338726166</v>
      </c>
      <c r="AH77" s="44">
        <f>Tabell2[[#This Row],[Eldreandel-I]]*Vekter!$H$3</f>
        <v>2.7570984528393501</v>
      </c>
      <c r="AI77" s="44">
        <f>Tabell2[[#This Row],[Sysselsettingsvekst10-I]]*Vekter!$I$3</f>
        <v>4.6425044137795721</v>
      </c>
      <c r="AJ77" s="44">
        <f>Tabell2[[#This Row],[Yrkesaktivandel-I]]*Vekter!$K$3</f>
        <v>5.7074641666035388</v>
      </c>
      <c r="AK77" s="44">
        <f>Tabell2[[#This Row],[Inntekt-I]]*Vekter!$M$3</f>
        <v>2.3871669385535612</v>
      </c>
      <c r="AL7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48.205303375881087</v>
      </c>
    </row>
    <row r="78" spans="1:38" s="38" customFormat="1" ht="12.75">
      <c r="A78" s="42" t="s">
        <v>76</v>
      </c>
      <c r="B78" s="38">
        <f>'Rådata-K'!Q78</f>
        <v>4</v>
      </c>
      <c r="C78" s="44">
        <f>'Rådata-K'!P78</f>
        <v>144.21835527600001</v>
      </c>
      <c r="D78" s="41">
        <f>'Rådata-K'!R78</f>
        <v>5.1714295308774636</v>
      </c>
      <c r="E78" s="41">
        <f>'Rådata-K'!S78</f>
        <v>-5.1679586563307955E-3</v>
      </c>
      <c r="F78" s="41">
        <f>'Rådata-K'!T78</f>
        <v>0.10227272727272728</v>
      </c>
      <c r="G78" s="41">
        <f>'Rådata-K'!U78</f>
        <v>0.17727272727272728</v>
      </c>
      <c r="H78" s="41">
        <f>'Rådata-K'!V78</f>
        <v>3.4482758620689724E-2</v>
      </c>
      <c r="I78" s="41">
        <f>'Rådata-K'!W78</f>
        <v>0.92821709950393927</v>
      </c>
      <c r="J78" s="41">
        <f>'Rådata-K'!O78</f>
        <v>305000</v>
      </c>
      <c r="K78" s="41">
        <f>Tabell2[[#This Row],[NIBR11]]</f>
        <v>4</v>
      </c>
      <c r="L78" s="41">
        <f>IF(Tabell2[[#This Row],[ReisetidOslo]]&lt;=C$433,C$433,IF(Tabell2[[#This Row],[ReisetidOslo]]&gt;=C$434,C$434,Tabell2[[#This Row],[ReisetidOslo]]))</f>
        <v>144.21835527600001</v>
      </c>
      <c r="M78" s="41">
        <f>IF(Tabell2[[#This Row],[Beftettotal]]&lt;=D$433,D$433,IF(Tabell2[[#This Row],[Beftettotal]]&gt;=D$434,D$434,Tabell2[[#This Row],[Beftettotal]]))</f>
        <v>5.1714295308774636</v>
      </c>
      <c r="N78" s="41">
        <f>IF(Tabell2[[#This Row],[Befvekst10]]&lt;=E$433,E$433,IF(Tabell2[[#This Row],[Befvekst10]]&gt;=E$434,E$434,Tabell2[[#This Row],[Befvekst10]]))</f>
        <v>-5.1679586563307955E-3</v>
      </c>
      <c r="O78" s="41">
        <f>IF(Tabell2[[#This Row],[Kvinneandel]]&lt;=F$433,F$433,IF(Tabell2[[#This Row],[Kvinneandel]]&gt;=F$434,F$434,Tabell2[[#This Row],[Kvinneandel]]))</f>
        <v>0.10227272727272728</v>
      </c>
      <c r="P78" s="41">
        <f>IF(Tabell2[[#This Row],[Eldreandel]]&lt;=G$433,G$433,IF(Tabell2[[#This Row],[Eldreandel]]&gt;=G$434,G$434,Tabell2[[#This Row],[Eldreandel]]))</f>
        <v>0.17727272727272728</v>
      </c>
      <c r="Q78" s="41">
        <f>IF(Tabell2[[#This Row],[Sysselsettingsvekst10]]&lt;=H$433,H$433,IF(Tabell2[[#This Row],[Sysselsettingsvekst10]]&gt;=H$434,H$434,Tabell2[[#This Row],[Sysselsettingsvekst10]]))</f>
        <v>3.4482758620689724E-2</v>
      </c>
      <c r="R78" s="41">
        <f>IF(Tabell2[[#This Row],[Yrkesaktivandel]]&lt;=I$433,I$433,IF(Tabell2[[#This Row],[Yrkesaktivandel]]&gt;=I$434,I$434,Tabell2[[#This Row],[Yrkesaktivandel]]))</f>
        <v>0.92821709950393927</v>
      </c>
      <c r="S78" s="41">
        <f>IF(Tabell2[[#This Row],[Inntekt]]&lt;=J$433,J$433,IF(Tabell2[[#This Row],[Inntekt]]&gt;=J$434,J$434,Tabell2[[#This Row],[Inntekt]]))</f>
        <v>305000</v>
      </c>
      <c r="T78" s="44">
        <f>IF(Tabell2[[#This Row],[NIBR11-T]]&lt;=K$436,100,IF(Tabell2[[#This Row],[NIBR11-T]]&gt;=K$435,0,100*(K$435-Tabell2[[#This Row],[NIBR11-T]])/K$438))</f>
        <v>70</v>
      </c>
      <c r="U78" s="44">
        <f>(L$435-Tabell2[[#This Row],[ReisetidOslo-T]])*100/L$438</f>
        <v>59.861063735480542</v>
      </c>
      <c r="V78" s="44">
        <f>100-(M$435-Tabell2[[#This Row],[Beftettotal-T]])*100/M$438</f>
        <v>3.1498609124401753</v>
      </c>
      <c r="W78" s="44">
        <f>100-(N$435-Tabell2[[#This Row],[Befvekst10-T]])*100/N$438</f>
        <v>35.891947350006689</v>
      </c>
      <c r="X78" s="44">
        <f>100-(O$435-Tabell2[[#This Row],[Kvinneandel-T]])*100/O$438</f>
        <v>28.883124353178715</v>
      </c>
      <c r="Y78" s="44">
        <f>(P$435-Tabell2[[#This Row],[Eldreandel-T]])*100/P$438</f>
        <v>25.515379389514795</v>
      </c>
      <c r="Z78" s="44">
        <f>100-(Q$435-Tabell2[[#This Row],[Sysselsettingsvekst10-T]])*100/Q$438</f>
        <v>37.237722387630619</v>
      </c>
      <c r="AA78" s="44">
        <f>100-(R$435-Tabell2[[#This Row],[Yrkesaktivandel-T]])*100/R$438</f>
        <v>76.012990906548211</v>
      </c>
      <c r="AB78" s="44">
        <f>100-(S$435-Tabell2[[#This Row],[Inntekt-T]])*100/S$438</f>
        <v>17.482327351821638</v>
      </c>
      <c r="AC78" s="44">
        <f>Tabell2[[#This Row],[NIBR11-I]]*Vekter!$B$3</f>
        <v>14</v>
      </c>
      <c r="AD78" s="44">
        <f>Tabell2[[#This Row],[ReisetidOslo-I]]*Vekter!$C$3</f>
        <v>5.9861063735480542</v>
      </c>
      <c r="AE78" s="44">
        <f>Tabell2[[#This Row],[Beftettotal-I]]*Vekter!$E$4</f>
        <v>0.31498609124401755</v>
      </c>
      <c r="AF78" s="44">
        <f>Tabell2[[#This Row],[Befvekst10-I]]*Vekter!$F$3</f>
        <v>7.1783894700013384</v>
      </c>
      <c r="AG78" s="44">
        <f>Tabell2[[#This Row],[Kvinneandel-I]]*Vekter!$G$3</f>
        <v>1.4441562176589358</v>
      </c>
      <c r="AH78" s="44">
        <f>Tabell2[[#This Row],[Eldreandel-I]]*Vekter!$H$3</f>
        <v>1.2757689694757399</v>
      </c>
      <c r="AI78" s="44">
        <f>Tabell2[[#This Row],[Sysselsettingsvekst10-I]]*Vekter!$I$3</f>
        <v>3.7237722387630621</v>
      </c>
      <c r="AJ78" s="44">
        <f>Tabell2[[#This Row],[Yrkesaktivandel-I]]*Vekter!$K$3</f>
        <v>7.6012990906548215</v>
      </c>
      <c r="AK78" s="44">
        <f>Tabell2[[#This Row],[Inntekt-I]]*Vekter!$M$3</f>
        <v>1.7482327351821638</v>
      </c>
      <c r="AL7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43.272711186528127</v>
      </c>
    </row>
    <row r="79" spans="1:38" s="38" customFormat="1" ht="12.75">
      <c r="A79" s="42" t="s">
        <v>77</v>
      </c>
      <c r="B79" s="38">
        <f>'Rådata-K'!Q79</f>
        <v>4</v>
      </c>
      <c r="C79" s="44">
        <f>'Rådata-K'!P79</f>
        <v>90.802721918100005</v>
      </c>
      <c r="D79" s="41">
        <f>'Rådata-K'!R79</f>
        <v>26.213626748671274</v>
      </c>
      <c r="E79" s="41">
        <f>'Rådata-K'!S79</f>
        <v>4.0940213171454687E-2</v>
      </c>
      <c r="F79" s="41">
        <f>'Rådata-K'!T79</f>
        <v>0.10646233132162473</v>
      </c>
      <c r="G79" s="41">
        <f>'Rådata-K'!U79</f>
        <v>0.168101986844782</v>
      </c>
      <c r="H79" s="41">
        <f>'Rådata-K'!V79</f>
        <v>0.14177054722163529</v>
      </c>
      <c r="I79" s="41">
        <f>'Rådata-K'!W79</f>
        <v>0.87656804733727811</v>
      </c>
      <c r="J79" s="41">
        <f>'Rådata-K'!O79</f>
        <v>317700</v>
      </c>
      <c r="K79" s="41">
        <f>Tabell2[[#This Row],[NIBR11]]</f>
        <v>4</v>
      </c>
      <c r="L79" s="41">
        <f>IF(Tabell2[[#This Row],[ReisetidOslo]]&lt;=C$433,C$433,IF(Tabell2[[#This Row],[ReisetidOslo]]&gt;=C$434,C$434,Tabell2[[#This Row],[ReisetidOslo]]))</f>
        <v>90.802721918100005</v>
      </c>
      <c r="M79" s="41">
        <f>IF(Tabell2[[#This Row],[Beftettotal]]&lt;=D$433,D$433,IF(Tabell2[[#This Row],[Beftettotal]]&gt;=D$434,D$434,Tabell2[[#This Row],[Beftettotal]]))</f>
        <v>26.213626748671274</v>
      </c>
      <c r="N79" s="41">
        <f>IF(Tabell2[[#This Row],[Befvekst10]]&lt;=E$433,E$433,IF(Tabell2[[#This Row],[Befvekst10]]&gt;=E$434,E$434,Tabell2[[#This Row],[Befvekst10]]))</f>
        <v>4.0940213171454687E-2</v>
      </c>
      <c r="O79" s="41">
        <f>IF(Tabell2[[#This Row],[Kvinneandel]]&lt;=F$433,F$433,IF(Tabell2[[#This Row],[Kvinneandel]]&gt;=F$434,F$434,Tabell2[[#This Row],[Kvinneandel]]))</f>
        <v>0.10646233132162473</v>
      </c>
      <c r="P79" s="41">
        <f>IF(Tabell2[[#This Row],[Eldreandel]]&lt;=G$433,G$433,IF(Tabell2[[#This Row],[Eldreandel]]&gt;=G$434,G$434,Tabell2[[#This Row],[Eldreandel]]))</f>
        <v>0.168101986844782</v>
      </c>
      <c r="Q79" s="41">
        <f>IF(Tabell2[[#This Row],[Sysselsettingsvekst10]]&lt;=H$433,H$433,IF(Tabell2[[#This Row],[Sysselsettingsvekst10]]&gt;=H$434,H$434,Tabell2[[#This Row],[Sysselsettingsvekst10]]))</f>
        <v>0.14177054722163529</v>
      </c>
      <c r="R79" s="41">
        <f>IF(Tabell2[[#This Row],[Yrkesaktivandel]]&lt;=I$433,I$433,IF(Tabell2[[#This Row],[Yrkesaktivandel]]&gt;=I$434,I$434,Tabell2[[#This Row],[Yrkesaktivandel]]))</f>
        <v>0.87656804733727811</v>
      </c>
      <c r="S79" s="41">
        <f>IF(Tabell2[[#This Row],[Inntekt]]&lt;=J$433,J$433,IF(Tabell2[[#This Row],[Inntekt]]&gt;=J$434,J$434,Tabell2[[#This Row],[Inntekt]]))</f>
        <v>317700</v>
      </c>
      <c r="T79" s="44">
        <f>IF(Tabell2[[#This Row],[NIBR11-T]]&lt;=K$436,100,IF(Tabell2[[#This Row],[NIBR11-T]]&gt;=K$435,0,100*(K$435-Tabell2[[#This Row],[NIBR11-T]])/K$438))</f>
        <v>70</v>
      </c>
      <c r="U79" s="44">
        <f>(L$435-Tabell2[[#This Row],[ReisetidOslo-T]])*100/L$438</f>
        <v>83.5749657788094</v>
      </c>
      <c r="V79" s="44">
        <f>100-(M$435-Tabell2[[#This Row],[Beftettotal-T]])*100/M$438</f>
        <v>20.362521587451951</v>
      </c>
      <c r="W79" s="44">
        <f>100-(N$435-Tabell2[[#This Row],[Befvekst10-T]])*100/N$438</f>
        <v>54.967584006174448</v>
      </c>
      <c r="X79" s="44">
        <f>100-(O$435-Tabell2[[#This Row],[Kvinneandel-T]])*100/O$438</f>
        <v>40.347812931887404</v>
      </c>
      <c r="Y79" s="44">
        <f>(P$435-Tabell2[[#This Row],[Eldreandel-T]])*100/P$438</f>
        <v>36.31296929284747</v>
      </c>
      <c r="Z79" s="44">
        <f>100-(Q$435-Tabell2[[#This Row],[Sysselsettingsvekst10-T]])*100/Q$438</f>
        <v>68.782164625503455</v>
      </c>
      <c r="AA79" s="44">
        <f>100-(R$435-Tabell2[[#This Row],[Yrkesaktivandel-T]])*100/R$438</f>
        <v>37.442428602481471</v>
      </c>
      <c r="AB79" s="44">
        <f>100-(S$435-Tabell2[[#This Row],[Inntekt-T]])*100/S$438</f>
        <v>34.747145187601959</v>
      </c>
      <c r="AC79" s="44">
        <f>Tabell2[[#This Row],[NIBR11-I]]*Vekter!$B$3</f>
        <v>14</v>
      </c>
      <c r="AD79" s="44">
        <f>Tabell2[[#This Row],[ReisetidOslo-I]]*Vekter!$C$3</f>
        <v>8.3574965778809407</v>
      </c>
      <c r="AE79" s="44">
        <f>Tabell2[[#This Row],[Beftettotal-I]]*Vekter!$E$4</f>
        <v>2.0362521587451954</v>
      </c>
      <c r="AF79" s="44">
        <f>Tabell2[[#This Row],[Befvekst10-I]]*Vekter!$F$3</f>
        <v>10.99351680123489</v>
      </c>
      <c r="AG79" s="44">
        <f>Tabell2[[#This Row],[Kvinneandel-I]]*Vekter!$G$3</f>
        <v>2.0173906465943703</v>
      </c>
      <c r="AH79" s="44">
        <f>Tabell2[[#This Row],[Eldreandel-I]]*Vekter!$H$3</f>
        <v>1.8156484646423736</v>
      </c>
      <c r="AI79" s="44">
        <f>Tabell2[[#This Row],[Sysselsettingsvekst10-I]]*Vekter!$I$3</f>
        <v>6.8782164625503457</v>
      </c>
      <c r="AJ79" s="44">
        <f>Tabell2[[#This Row],[Yrkesaktivandel-I]]*Vekter!$K$3</f>
        <v>3.7442428602481472</v>
      </c>
      <c r="AK79" s="44">
        <f>Tabell2[[#This Row],[Inntekt-I]]*Vekter!$M$3</f>
        <v>3.4747145187601962</v>
      </c>
      <c r="AL7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53.317478490656462</v>
      </c>
    </row>
    <row r="80" spans="1:38" s="38" customFormat="1" ht="12.75">
      <c r="A80" s="42" t="s">
        <v>78</v>
      </c>
      <c r="B80" s="38">
        <f>'Rådata-K'!Q80</f>
        <v>4</v>
      </c>
      <c r="C80" s="44">
        <f>'Rådata-K'!P80</f>
        <v>97.644881709299995</v>
      </c>
      <c r="D80" s="41">
        <f>'Rådata-K'!R80</f>
        <v>51.811478037832636</v>
      </c>
      <c r="E80" s="41">
        <f>'Rådata-K'!S80</f>
        <v>-1.8300554332143726E-2</v>
      </c>
      <c r="F80" s="41">
        <f>'Rådata-K'!T80</f>
        <v>0.1099164603960396</v>
      </c>
      <c r="G80" s="41">
        <f>'Rådata-K'!U80</f>
        <v>0.15609529702970298</v>
      </c>
      <c r="H80" s="41">
        <f>'Rådata-K'!V80</f>
        <v>-6.8181818181818232E-2</v>
      </c>
      <c r="I80" s="41">
        <f>'Rådata-K'!W80</f>
        <v>0.84518884292005869</v>
      </c>
      <c r="J80" s="41">
        <f>'Rådata-K'!O80</f>
        <v>313900</v>
      </c>
      <c r="K80" s="41">
        <f>Tabell2[[#This Row],[NIBR11]]</f>
        <v>4</v>
      </c>
      <c r="L80" s="41">
        <f>IF(Tabell2[[#This Row],[ReisetidOslo]]&lt;=C$433,C$433,IF(Tabell2[[#This Row],[ReisetidOslo]]&gt;=C$434,C$434,Tabell2[[#This Row],[ReisetidOslo]]))</f>
        <v>97.644881709299995</v>
      </c>
      <c r="M80" s="41">
        <f>IF(Tabell2[[#This Row],[Beftettotal]]&lt;=D$433,D$433,IF(Tabell2[[#This Row],[Beftettotal]]&gt;=D$434,D$434,Tabell2[[#This Row],[Beftettotal]]))</f>
        <v>51.811478037832636</v>
      </c>
      <c r="N80" s="41">
        <f>IF(Tabell2[[#This Row],[Befvekst10]]&lt;=E$433,E$433,IF(Tabell2[[#This Row],[Befvekst10]]&gt;=E$434,E$434,Tabell2[[#This Row],[Befvekst10]]))</f>
        <v>-1.8300554332143726E-2</v>
      </c>
      <c r="O80" s="41">
        <f>IF(Tabell2[[#This Row],[Kvinneandel]]&lt;=F$433,F$433,IF(Tabell2[[#This Row],[Kvinneandel]]&gt;=F$434,F$434,Tabell2[[#This Row],[Kvinneandel]]))</f>
        <v>0.1099164603960396</v>
      </c>
      <c r="P80" s="41">
        <f>IF(Tabell2[[#This Row],[Eldreandel]]&lt;=G$433,G$433,IF(Tabell2[[#This Row],[Eldreandel]]&gt;=G$434,G$434,Tabell2[[#This Row],[Eldreandel]]))</f>
        <v>0.15609529702970298</v>
      </c>
      <c r="Q80" s="41">
        <f>IF(Tabell2[[#This Row],[Sysselsettingsvekst10]]&lt;=H$433,H$433,IF(Tabell2[[#This Row],[Sysselsettingsvekst10]]&gt;=H$434,H$434,Tabell2[[#This Row],[Sysselsettingsvekst10]]))</f>
        <v>-6.8181818181818232E-2</v>
      </c>
      <c r="R80" s="41">
        <f>IF(Tabell2[[#This Row],[Yrkesaktivandel]]&lt;=I$433,I$433,IF(Tabell2[[#This Row],[Yrkesaktivandel]]&gt;=I$434,I$434,Tabell2[[#This Row],[Yrkesaktivandel]]))</f>
        <v>0.84518884292005869</v>
      </c>
      <c r="S80" s="41">
        <f>IF(Tabell2[[#This Row],[Inntekt]]&lt;=J$433,J$433,IF(Tabell2[[#This Row],[Inntekt]]&gt;=J$434,J$434,Tabell2[[#This Row],[Inntekt]]))</f>
        <v>313900</v>
      </c>
      <c r="T80" s="44">
        <f>IF(Tabell2[[#This Row],[NIBR11-T]]&lt;=K$436,100,IF(Tabell2[[#This Row],[NIBR11-T]]&gt;=K$435,0,100*(K$435-Tabell2[[#This Row],[NIBR11-T]])/K$438))</f>
        <v>70</v>
      </c>
      <c r="U80" s="44">
        <f>(L$435-Tabell2[[#This Row],[ReisetidOslo-T]])*100/L$438</f>
        <v>80.537384889967939</v>
      </c>
      <c r="V80" s="44">
        <f>100-(M$435-Tabell2[[#This Row],[Beftettotal-T]])*100/M$438</f>
        <v>41.30173832842798</v>
      </c>
      <c r="W80" s="44">
        <f>100-(N$435-Tabell2[[#This Row],[Befvekst10-T]])*100/N$438</f>
        <v>30.458797139674459</v>
      </c>
      <c r="X80" s="44">
        <f>100-(O$435-Tabell2[[#This Row],[Kvinneandel-T]])*100/O$438</f>
        <v>49.799902839822998</v>
      </c>
      <c r="Y80" s="44">
        <f>(P$435-Tabell2[[#This Row],[Eldreandel-T]])*100/P$438</f>
        <v>50.449593673218402</v>
      </c>
      <c r="Z80" s="44">
        <f>100-(Q$435-Tabell2[[#This Row],[Sysselsettingsvekst10-T]])*100/Q$438</f>
        <v>7.0525833792399624</v>
      </c>
      <c r="AA80" s="44">
        <f>100-(R$435-Tabell2[[#This Row],[Yrkesaktivandel-T]])*100/R$438</f>
        <v>14.009015824237864</v>
      </c>
      <c r="AB80" s="44">
        <f>100-(S$435-Tabell2[[#This Row],[Inntekt-T]])*100/S$438</f>
        <v>29.58129418162045</v>
      </c>
      <c r="AC80" s="44">
        <f>Tabell2[[#This Row],[NIBR11-I]]*Vekter!$B$3</f>
        <v>14</v>
      </c>
      <c r="AD80" s="44">
        <f>Tabell2[[#This Row],[ReisetidOslo-I]]*Vekter!$C$3</f>
        <v>8.0537384889967942</v>
      </c>
      <c r="AE80" s="44">
        <f>Tabell2[[#This Row],[Beftettotal-I]]*Vekter!$E$4</f>
        <v>4.1301738328427984</v>
      </c>
      <c r="AF80" s="44">
        <f>Tabell2[[#This Row],[Befvekst10-I]]*Vekter!$F$3</f>
        <v>6.0917594279348926</v>
      </c>
      <c r="AG80" s="44">
        <f>Tabell2[[#This Row],[Kvinneandel-I]]*Vekter!$G$3</f>
        <v>2.4899951419911499</v>
      </c>
      <c r="AH80" s="44">
        <f>Tabell2[[#This Row],[Eldreandel-I]]*Vekter!$H$3</f>
        <v>2.5224796836609205</v>
      </c>
      <c r="AI80" s="44">
        <f>Tabell2[[#This Row],[Sysselsettingsvekst10-I]]*Vekter!$I$3</f>
        <v>0.70525833792399628</v>
      </c>
      <c r="AJ80" s="44">
        <f>Tabell2[[#This Row],[Yrkesaktivandel-I]]*Vekter!$K$3</f>
        <v>1.4009015824237865</v>
      </c>
      <c r="AK80" s="44">
        <f>Tabell2[[#This Row],[Inntekt-I]]*Vekter!$M$3</f>
        <v>2.958129418162045</v>
      </c>
      <c r="AL8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42.352435913936382</v>
      </c>
    </row>
    <row r="81" spans="1:38" s="38" customFormat="1" ht="12.75">
      <c r="A81" s="42" t="s">
        <v>79</v>
      </c>
      <c r="B81" s="38">
        <f>'Rådata-K'!Q81</f>
        <v>5</v>
      </c>
      <c r="C81" s="44">
        <f>'Rådata-K'!P81</f>
        <v>60.733118964900001</v>
      </c>
      <c r="D81" s="41">
        <f>'Rådata-K'!R81</f>
        <v>28.721424774056352</v>
      </c>
      <c r="E81" s="41">
        <f>'Rådata-K'!S81</f>
        <v>4.1111289545527452E-2</v>
      </c>
      <c r="F81" s="41">
        <f>'Rådata-K'!T81</f>
        <v>0.11414468610211322</v>
      </c>
      <c r="G81" s="41">
        <f>'Rådata-K'!U81</f>
        <v>0.14345210550670986</v>
      </c>
      <c r="H81" s="41">
        <f>'Rådata-K'!V81</f>
        <v>-9.1365920511654597E-4</v>
      </c>
      <c r="I81" s="41">
        <f>'Rådata-K'!W81</f>
        <v>0.87087326943556975</v>
      </c>
      <c r="J81" s="41">
        <f>'Rådata-K'!O81</f>
        <v>327200</v>
      </c>
      <c r="K81" s="41">
        <f>Tabell2[[#This Row],[NIBR11]]</f>
        <v>5</v>
      </c>
      <c r="L81" s="41">
        <f>IF(Tabell2[[#This Row],[ReisetidOslo]]&lt;=C$433,C$433,IF(Tabell2[[#This Row],[ReisetidOslo]]&gt;=C$434,C$434,Tabell2[[#This Row],[ReisetidOslo]]))</f>
        <v>60.733118964900001</v>
      </c>
      <c r="M81" s="41">
        <f>IF(Tabell2[[#This Row],[Beftettotal]]&lt;=D$433,D$433,IF(Tabell2[[#This Row],[Beftettotal]]&gt;=D$434,D$434,Tabell2[[#This Row],[Beftettotal]]))</f>
        <v>28.721424774056352</v>
      </c>
      <c r="N81" s="41">
        <f>IF(Tabell2[[#This Row],[Befvekst10]]&lt;=E$433,E$433,IF(Tabell2[[#This Row],[Befvekst10]]&gt;=E$434,E$434,Tabell2[[#This Row],[Befvekst10]]))</f>
        <v>4.1111289545527452E-2</v>
      </c>
      <c r="O81" s="41">
        <f>IF(Tabell2[[#This Row],[Kvinneandel]]&lt;=F$433,F$433,IF(Tabell2[[#This Row],[Kvinneandel]]&gt;=F$434,F$434,Tabell2[[#This Row],[Kvinneandel]]))</f>
        <v>0.11414468610211322</v>
      </c>
      <c r="P81" s="41">
        <f>IF(Tabell2[[#This Row],[Eldreandel]]&lt;=G$433,G$433,IF(Tabell2[[#This Row],[Eldreandel]]&gt;=G$434,G$434,Tabell2[[#This Row],[Eldreandel]]))</f>
        <v>0.14345210550670986</v>
      </c>
      <c r="Q81" s="41">
        <f>IF(Tabell2[[#This Row],[Sysselsettingsvekst10]]&lt;=H$433,H$433,IF(Tabell2[[#This Row],[Sysselsettingsvekst10]]&gt;=H$434,H$434,Tabell2[[#This Row],[Sysselsettingsvekst10]]))</f>
        <v>-9.1365920511654597E-4</v>
      </c>
      <c r="R81" s="41">
        <f>IF(Tabell2[[#This Row],[Yrkesaktivandel]]&lt;=I$433,I$433,IF(Tabell2[[#This Row],[Yrkesaktivandel]]&gt;=I$434,I$434,Tabell2[[#This Row],[Yrkesaktivandel]]))</f>
        <v>0.87087326943556975</v>
      </c>
      <c r="S81" s="41">
        <f>IF(Tabell2[[#This Row],[Inntekt]]&lt;=J$433,J$433,IF(Tabell2[[#This Row],[Inntekt]]&gt;=J$434,J$434,Tabell2[[#This Row],[Inntekt]]))</f>
        <v>327200</v>
      </c>
      <c r="T81" s="44">
        <f>IF(Tabell2[[#This Row],[NIBR11-T]]&lt;=K$436,100,IF(Tabell2[[#This Row],[NIBR11-T]]&gt;=K$435,0,100*(K$435-Tabell2[[#This Row],[NIBR11-T]])/K$438))</f>
        <v>60</v>
      </c>
      <c r="U81" s="44">
        <f>(L$435-Tabell2[[#This Row],[ReisetidOslo-T]])*100/L$438</f>
        <v>96.924383806603274</v>
      </c>
      <c r="V81" s="44">
        <f>100-(M$435-Tabell2[[#This Row],[Beftettotal-T]])*100/M$438</f>
        <v>22.413917456696808</v>
      </c>
      <c r="W81" s="44">
        <f>100-(N$435-Tabell2[[#This Row],[Befvekst10-T]])*100/N$438</f>
        <v>55.038360847304808</v>
      </c>
      <c r="X81" s="44">
        <f>100-(O$435-Tabell2[[#This Row],[Kvinneandel-T]])*100/O$438</f>
        <v>61.370278081698565</v>
      </c>
      <c r="Y81" s="44">
        <f>(P$435-Tabell2[[#This Row],[Eldreandel-T]])*100/P$438</f>
        <v>65.3356323968287</v>
      </c>
      <c r="Z81" s="44">
        <f>100-(Q$435-Tabell2[[#This Row],[Sysselsettingsvekst10-T]])*100/Q$438</f>
        <v>26.830571004477605</v>
      </c>
      <c r="AA81" s="44">
        <f>100-(R$435-Tabell2[[#This Row],[Yrkesaktivandel-T]])*100/R$438</f>
        <v>33.189673195530432</v>
      </c>
      <c r="AB81" s="44">
        <f>100-(S$435-Tabell2[[#This Row],[Inntekt-T]])*100/S$438</f>
        <v>47.661772702555737</v>
      </c>
      <c r="AC81" s="44">
        <f>Tabell2[[#This Row],[NIBR11-I]]*Vekter!$B$3</f>
        <v>12</v>
      </c>
      <c r="AD81" s="44">
        <f>Tabell2[[#This Row],[ReisetidOslo-I]]*Vekter!$C$3</f>
        <v>9.6924383806603274</v>
      </c>
      <c r="AE81" s="44">
        <f>Tabell2[[#This Row],[Beftettotal-I]]*Vekter!$E$4</f>
        <v>2.2413917456696808</v>
      </c>
      <c r="AF81" s="44">
        <f>Tabell2[[#This Row],[Befvekst10-I]]*Vekter!$F$3</f>
        <v>11.007672169460962</v>
      </c>
      <c r="AG81" s="44">
        <f>Tabell2[[#This Row],[Kvinneandel-I]]*Vekter!$G$3</f>
        <v>3.0685139040849285</v>
      </c>
      <c r="AH81" s="44">
        <f>Tabell2[[#This Row],[Eldreandel-I]]*Vekter!$H$3</f>
        <v>3.266781619841435</v>
      </c>
      <c r="AI81" s="44">
        <f>Tabell2[[#This Row],[Sysselsettingsvekst10-I]]*Vekter!$I$3</f>
        <v>2.6830571004477606</v>
      </c>
      <c r="AJ81" s="44">
        <f>Tabell2[[#This Row],[Yrkesaktivandel-I]]*Vekter!$K$3</f>
        <v>3.3189673195530434</v>
      </c>
      <c r="AK81" s="44">
        <f>Tabell2[[#This Row],[Inntekt-I]]*Vekter!$M$3</f>
        <v>4.7661772702555742</v>
      </c>
      <c r="AL8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52.044999509973714</v>
      </c>
    </row>
    <row r="82" spans="1:38" s="38" customFormat="1" ht="12.75">
      <c r="A82" s="42" t="s">
        <v>80</v>
      </c>
      <c r="B82" s="38">
        <f>'Rådata-K'!Q82</f>
        <v>1</v>
      </c>
      <c r="C82" s="44">
        <f>'Rådata-K'!P82</f>
        <v>50.809693954799997</v>
      </c>
      <c r="D82" s="41">
        <f>'Rådata-K'!R82</f>
        <v>30.071271929824558</v>
      </c>
      <c r="E82" s="41">
        <f>'Rådata-K'!S82</f>
        <v>3.7965700768775923E-2</v>
      </c>
      <c r="F82" s="41">
        <f>'Rådata-K'!T82</f>
        <v>0.11246581586144029</v>
      </c>
      <c r="G82" s="41">
        <f>'Rådata-K'!U82</f>
        <v>0.12648131267092069</v>
      </c>
      <c r="H82" s="41">
        <f>'Rådata-K'!V82</f>
        <v>0</v>
      </c>
      <c r="I82" s="41">
        <f>'Rådata-K'!W82</f>
        <v>0.87495248954770044</v>
      </c>
      <c r="J82" s="41">
        <f>'Rådata-K'!O82</f>
        <v>346800</v>
      </c>
      <c r="K82" s="41">
        <f>Tabell2[[#This Row],[NIBR11]]</f>
        <v>1</v>
      </c>
      <c r="L82" s="41">
        <f>IF(Tabell2[[#This Row],[ReisetidOslo]]&lt;=C$433,C$433,IF(Tabell2[[#This Row],[ReisetidOslo]]&gt;=C$434,C$434,Tabell2[[#This Row],[ReisetidOslo]]))</f>
        <v>53.805284539509998</v>
      </c>
      <c r="M82" s="41">
        <f>IF(Tabell2[[#This Row],[Beftettotal]]&lt;=D$433,D$433,IF(Tabell2[[#This Row],[Beftettotal]]&gt;=D$434,D$434,Tabell2[[#This Row],[Beftettotal]]))</f>
        <v>30.071271929824558</v>
      </c>
      <c r="N82" s="41">
        <f>IF(Tabell2[[#This Row],[Befvekst10]]&lt;=E$433,E$433,IF(Tabell2[[#This Row],[Befvekst10]]&gt;=E$434,E$434,Tabell2[[#This Row],[Befvekst10]]))</f>
        <v>3.7965700768775923E-2</v>
      </c>
      <c r="O82" s="41">
        <f>IF(Tabell2[[#This Row],[Kvinneandel]]&lt;=F$433,F$433,IF(Tabell2[[#This Row],[Kvinneandel]]&gt;=F$434,F$434,Tabell2[[#This Row],[Kvinneandel]]))</f>
        <v>0.11246581586144029</v>
      </c>
      <c r="P82" s="41">
        <f>IF(Tabell2[[#This Row],[Eldreandel]]&lt;=G$433,G$433,IF(Tabell2[[#This Row],[Eldreandel]]&gt;=G$434,G$434,Tabell2[[#This Row],[Eldreandel]]))</f>
        <v>0.12648131267092069</v>
      </c>
      <c r="Q82" s="41">
        <f>IF(Tabell2[[#This Row],[Sysselsettingsvekst10]]&lt;=H$433,H$433,IF(Tabell2[[#This Row],[Sysselsettingsvekst10]]&gt;=H$434,H$434,Tabell2[[#This Row],[Sysselsettingsvekst10]]))</f>
        <v>0</v>
      </c>
      <c r="R82" s="41">
        <f>IF(Tabell2[[#This Row],[Yrkesaktivandel]]&lt;=I$433,I$433,IF(Tabell2[[#This Row],[Yrkesaktivandel]]&gt;=I$434,I$434,Tabell2[[#This Row],[Yrkesaktivandel]]))</f>
        <v>0.87495248954770044</v>
      </c>
      <c r="S82" s="41">
        <f>IF(Tabell2[[#This Row],[Inntekt]]&lt;=J$433,J$433,IF(Tabell2[[#This Row],[Inntekt]]&gt;=J$434,J$434,Tabell2[[#This Row],[Inntekt]]))</f>
        <v>346800</v>
      </c>
      <c r="T82" s="44">
        <f>IF(Tabell2[[#This Row],[NIBR11-T]]&lt;=K$436,100,IF(Tabell2[[#This Row],[NIBR11-T]]&gt;=K$435,0,100*(K$435-Tabell2[[#This Row],[NIBR11-T]])/K$438))</f>
        <v>100</v>
      </c>
      <c r="U82" s="44">
        <f>(L$435-Tabell2[[#This Row],[ReisetidOslo-T]])*100/L$438</f>
        <v>100</v>
      </c>
      <c r="V82" s="44">
        <f>100-(M$435-Tabell2[[#This Row],[Beftettotal-T]])*100/M$438</f>
        <v>23.518101626005915</v>
      </c>
      <c r="W82" s="44">
        <f>100-(N$435-Tabell2[[#This Row],[Befvekst10-T]])*100/N$438</f>
        <v>53.736983972091728</v>
      </c>
      <c r="X82" s="44">
        <f>100-(O$435-Tabell2[[#This Row],[Kvinneandel-T]])*100/O$438</f>
        <v>56.776114946296289</v>
      </c>
      <c r="Y82" s="44">
        <f>(P$435-Tabell2[[#This Row],[Eldreandel-T]])*100/P$438</f>
        <v>85.316970088699662</v>
      </c>
      <c r="Z82" s="44">
        <f>100-(Q$435-Tabell2[[#This Row],[Sysselsettingsvekst10-T]])*100/Q$438</f>
        <v>27.099202415346724</v>
      </c>
      <c r="AA82" s="44">
        <f>100-(R$435-Tabell2[[#This Row],[Yrkesaktivandel-T]])*100/R$438</f>
        <v>36.235959756206142</v>
      </c>
      <c r="AB82" s="44">
        <f>100-(S$435-Tabell2[[#This Row],[Inntekt-T]])*100/S$438</f>
        <v>74.306688417618275</v>
      </c>
      <c r="AC82" s="44">
        <f>Tabell2[[#This Row],[NIBR11-I]]*Vekter!$B$3</f>
        <v>20</v>
      </c>
      <c r="AD82" s="44">
        <f>Tabell2[[#This Row],[ReisetidOslo-I]]*Vekter!$C$3</f>
        <v>10</v>
      </c>
      <c r="AE82" s="44">
        <f>Tabell2[[#This Row],[Beftettotal-I]]*Vekter!$E$4</f>
        <v>2.3518101626005916</v>
      </c>
      <c r="AF82" s="44">
        <f>Tabell2[[#This Row],[Befvekst10-I]]*Vekter!$F$3</f>
        <v>10.747396794418346</v>
      </c>
      <c r="AG82" s="44">
        <f>Tabell2[[#This Row],[Kvinneandel-I]]*Vekter!$G$3</f>
        <v>2.8388057473148147</v>
      </c>
      <c r="AH82" s="44">
        <f>Tabell2[[#This Row],[Eldreandel-I]]*Vekter!$H$3</f>
        <v>4.2658485044349836</v>
      </c>
      <c r="AI82" s="44">
        <f>Tabell2[[#This Row],[Sysselsettingsvekst10-I]]*Vekter!$I$3</f>
        <v>2.7099202415346726</v>
      </c>
      <c r="AJ82" s="44">
        <f>Tabell2[[#This Row],[Yrkesaktivandel-I]]*Vekter!$K$3</f>
        <v>3.6235959756206144</v>
      </c>
      <c r="AK82" s="44">
        <f>Tabell2[[#This Row],[Inntekt-I]]*Vekter!$M$3</f>
        <v>7.4306688417618281</v>
      </c>
      <c r="AL8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63.968046267685857</v>
      </c>
    </row>
    <row r="83" spans="1:38" s="38" customFormat="1" ht="12.75">
      <c r="A83" s="42" t="s">
        <v>81</v>
      </c>
      <c r="B83" s="38">
        <f>'Rådata-K'!Q83</f>
        <v>1</v>
      </c>
      <c r="C83" s="44">
        <f>'Rådata-K'!P83</f>
        <v>62.294768634500002</v>
      </c>
      <c r="D83" s="41">
        <f>'Rådata-K'!R83</f>
        <v>17.832551377783652</v>
      </c>
      <c r="E83" s="41">
        <f>'Rådata-K'!S83</f>
        <v>3.4897990489338948E-2</v>
      </c>
      <c r="F83" s="41">
        <f>'Rådata-K'!T83</f>
        <v>0.11035351663825688</v>
      </c>
      <c r="G83" s="41">
        <f>'Rådata-K'!U83</f>
        <v>0.1584525309419699</v>
      </c>
      <c r="H83" s="41">
        <f>'Rådata-K'!V83</f>
        <v>0.1778926001107215</v>
      </c>
      <c r="I83" s="41">
        <f>'Rådata-K'!W83</f>
        <v>0.8727366123025555</v>
      </c>
      <c r="J83" s="41">
        <f>'Rådata-K'!O83</f>
        <v>324600</v>
      </c>
      <c r="K83" s="41">
        <f>Tabell2[[#This Row],[NIBR11]]</f>
        <v>1</v>
      </c>
      <c r="L83" s="41">
        <f>IF(Tabell2[[#This Row],[ReisetidOslo]]&lt;=C$433,C$433,IF(Tabell2[[#This Row],[ReisetidOslo]]&gt;=C$434,C$434,Tabell2[[#This Row],[ReisetidOslo]]))</f>
        <v>62.294768634500002</v>
      </c>
      <c r="M83" s="41">
        <f>IF(Tabell2[[#This Row],[Beftettotal]]&lt;=D$433,D$433,IF(Tabell2[[#This Row],[Beftettotal]]&gt;=D$434,D$434,Tabell2[[#This Row],[Beftettotal]]))</f>
        <v>17.832551377783652</v>
      </c>
      <c r="N83" s="41">
        <f>IF(Tabell2[[#This Row],[Befvekst10]]&lt;=E$433,E$433,IF(Tabell2[[#This Row],[Befvekst10]]&gt;=E$434,E$434,Tabell2[[#This Row],[Befvekst10]]))</f>
        <v>3.4897990489338948E-2</v>
      </c>
      <c r="O83" s="41">
        <f>IF(Tabell2[[#This Row],[Kvinneandel]]&lt;=F$433,F$433,IF(Tabell2[[#This Row],[Kvinneandel]]&gt;=F$434,F$434,Tabell2[[#This Row],[Kvinneandel]]))</f>
        <v>0.11035351663825688</v>
      </c>
      <c r="P83" s="41">
        <f>IF(Tabell2[[#This Row],[Eldreandel]]&lt;=G$433,G$433,IF(Tabell2[[#This Row],[Eldreandel]]&gt;=G$434,G$434,Tabell2[[#This Row],[Eldreandel]]))</f>
        <v>0.1584525309419699</v>
      </c>
      <c r="Q83" s="41">
        <f>IF(Tabell2[[#This Row],[Sysselsettingsvekst10]]&lt;=H$433,H$433,IF(Tabell2[[#This Row],[Sysselsettingsvekst10]]&gt;=H$434,H$434,Tabell2[[#This Row],[Sysselsettingsvekst10]]))</f>
        <v>0.1778926001107215</v>
      </c>
      <c r="R83" s="41">
        <f>IF(Tabell2[[#This Row],[Yrkesaktivandel]]&lt;=I$433,I$433,IF(Tabell2[[#This Row],[Yrkesaktivandel]]&gt;=I$434,I$434,Tabell2[[#This Row],[Yrkesaktivandel]]))</f>
        <v>0.8727366123025555</v>
      </c>
      <c r="S83" s="41">
        <f>IF(Tabell2[[#This Row],[Inntekt]]&lt;=J$433,J$433,IF(Tabell2[[#This Row],[Inntekt]]&gt;=J$434,J$434,Tabell2[[#This Row],[Inntekt]]))</f>
        <v>324600</v>
      </c>
      <c r="T83" s="44">
        <f>IF(Tabell2[[#This Row],[NIBR11-T]]&lt;=K$436,100,IF(Tabell2[[#This Row],[NIBR11-T]]&gt;=K$435,0,100*(K$435-Tabell2[[#This Row],[NIBR11-T]])/K$438))</f>
        <v>100</v>
      </c>
      <c r="U83" s="44">
        <f>(L$435-Tabell2[[#This Row],[ReisetidOslo-T]])*100/L$438</f>
        <v>96.231088511520625</v>
      </c>
      <c r="V83" s="44">
        <f>100-(M$435-Tabell2[[#This Row],[Beftettotal-T]])*100/M$438</f>
        <v>13.506744837636276</v>
      </c>
      <c r="W83" s="44">
        <f>100-(N$435-Tabell2[[#This Row],[Befvekst10-T]])*100/N$438</f>
        <v>52.467826589849423</v>
      </c>
      <c r="X83" s="44">
        <f>100-(O$435-Tabell2[[#This Row],[Kvinneandel-T]])*100/O$438</f>
        <v>50.995890252934366</v>
      </c>
      <c r="Y83" s="44">
        <f>(P$435-Tabell2[[#This Row],[Eldreandel-T]])*100/P$438</f>
        <v>47.674196714721205</v>
      </c>
      <c r="Z83" s="44">
        <f>100-(Q$435-Tabell2[[#This Row],[Sysselsettingsvekst10-T]])*100/Q$438</f>
        <v>79.40266511052441</v>
      </c>
      <c r="AA83" s="44">
        <f>100-(R$435-Tabell2[[#This Row],[Yrkesaktivandel-T]])*100/R$438</f>
        <v>34.581183380712559</v>
      </c>
      <c r="AB83" s="44">
        <f>100-(S$435-Tabell2[[#This Row],[Inntekt-T]])*100/S$438</f>
        <v>44.127243066884176</v>
      </c>
      <c r="AC83" s="44">
        <f>Tabell2[[#This Row],[NIBR11-I]]*Vekter!$B$3</f>
        <v>20</v>
      </c>
      <c r="AD83" s="44">
        <f>Tabell2[[#This Row],[ReisetidOslo-I]]*Vekter!$C$3</f>
        <v>9.6231088511520628</v>
      </c>
      <c r="AE83" s="44">
        <f>Tabell2[[#This Row],[Beftettotal-I]]*Vekter!$E$4</f>
        <v>1.3506744837636278</v>
      </c>
      <c r="AF83" s="44">
        <f>Tabell2[[#This Row],[Befvekst10-I]]*Vekter!$F$3</f>
        <v>10.493565317969885</v>
      </c>
      <c r="AG83" s="44">
        <f>Tabell2[[#This Row],[Kvinneandel-I]]*Vekter!$G$3</f>
        <v>2.5497945126467183</v>
      </c>
      <c r="AH83" s="44">
        <f>Tabell2[[#This Row],[Eldreandel-I]]*Vekter!$H$3</f>
        <v>2.3837098357360604</v>
      </c>
      <c r="AI83" s="44">
        <f>Tabell2[[#This Row],[Sysselsettingsvekst10-I]]*Vekter!$I$3</f>
        <v>7.9402665110524415</v>
      </c>
      <c r="AJ83" s="44">
        <f>Tabell2[[#This Row],[Yrkesaktivandel-I]]*Vekter!$K$3</f>
        <v>3.4581183380712561</v>
      </c>
      <c r="AK83" s="44">
        <f>Tabell2[[#This Row],[Inntekt-I]]*Vekter!$M$3</f>
        <v>4.4127243066884176</v>
      </c>
      <c r="AL8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62.211962157080478</v>
      </c>
    </row>
    <row r="84" spans="1:38" s="38" customFormat="1" ht="12.75">
      <c r="A84" s="42" t="s">
        <v>82</v>
      </c>
      <c r="B84" s="38">
        <f>'Rådata-K'!Q84</f>
        <v>4</v>
      </c>
      <c r="C84" s="44">
        <f>'Rådata-K'!P84</f>
        <v>100.843245534</v>
      </c>
      <c r="D84" s="41">
        <f>'Rådata-K'!R84</f>
        <v>7.9095502224174856</v>
      </c>
      <c r="E84" s="41">
        <f>'Rådata-K'!S84</f>
        <v>-5.4954068241469867E-2</v>
      </c>
      <c r="F84" s="41">
        <f>'Rådata-K'!T84</f>
        <v>9.9461898975872251E-2</v>
      </c>
      <c r="G84" s="41">
        <f>'Rådata-K'!U84</f>
        <v>0.16663773650407915</v>
      </c>
      <c r="H84" s="41">
        <f>'Rådata-K'!V84</f>
        <v>-6.4699792960662528E-2</v>
      </c>
      <c r="I84" s="41">
        <f>'Rådata-K'!W84</f>
        <v>0.79957932692307687</v>
      </c>
      <c r="J84" s="41">
        <f>'Rådata-K'!O84</f>
        <v>287700</v>
      </c>
      <c r="K84" s="41">
        <f>Tabell2[[#This Row],[NIBR11]]</f>
        <v>4</v>
      </c>
      <c r="L84" s="41">
        <f>IF(Tabell2[[#This Row],[ReisetidOslo]]&lt;=C$433,C$433,IF(Tabell2[[#This Row],[ReisetidOslo]]&gt;=C$434,C$434,Tabell2[[#This Row],[ReisetidOslo]]))</f>
        <v>100.843245534</v>
      </c>
      <c r="M84" s="41">
        <f>IF(Tabell2[[#This Row],[Beftettotal]]&lt;=D$433,D$433,IF(Tabell2[[#This Row],[Beftettotal]]&gt;=D$434,D$434,Tabell2[[#This Row],[Beftettotal]]))</f>
        <v>7.9095502224174856</v>
      </c>
      <c r="N84" s="41">
        <f>IF(Tabell2[[#This Row],[Befvekst10]]&lt;=E$433,E$433,IF(Tabell2[[#This Row],[Befvekst10]]&gt;=E$434,E$434,Tabell2[[#This Row],[Befvekst10]]))</f>
        <v>-5.4954068241469867E-2</v>
      </c>
      <c r="O84" s="41">
        <f>IF(Tabell2[[#This Row],[Kvinneandel]]&lt;=F$433,F$433,IF(Tabell2[[#This Row],[Kvinneandel]]&gt;=F$434,F$434,Tabell2[[#This Row],[Kvinneandel]]))</f>
        <v>9.9461898975872251E-2</v>
      </c>
      <c r="P84" s="41">
        <f>IF(Tabell2[[#This Row],[Eldreandel]]&lt;=G$433,G$433,IF(Tabell2[[#This Row],[Eldreandel]]&gt;=G$434,G$434,Tabell2[[#This Row],[Eldreandel]]))</f>
        <v>0.16663773650407915</v>
      </c>
      <c r="Q84" s="41">
        <f>IF(Tabell2[[#This Row],[Sysselsettingsvekst10]]&lt;=H$433,H$433,IF(Tabell2[[#This Row],[Sysselsettingsvekst10]]&gt;=H$434,H$434,Tabell2[[#This Row],[Sysselsettingsvekst10]]))</f>
        <v>-6.4699792960662528E-2</v>
      </c>
      <c r="R84" s="41">
        <f>IF(Tabell2[[#This Row],[Yrkesaktivandel]]&lt;=I$433,I$433,IF(Tabell2[[#This Row],[Yrkesaktivandel]]&gt;=I$434,I$434,Tabell2[[#This Row],[Yrkesaktivandel]]))</f>
        <v>0.82642965596795781</v>
      </c>
      <c r="S84" s="41">
        <f>IF(Tabell2[[#This Row],[Inntekt]]&lt;=J$433,J$433,IF(Tabell2[[#This Row],[Inntekt]]&gt;=J$434,J$434,Tabell2[[#This Row],[Inntekt]]))</f>
        <v>292140</v>
      </c>
      <c r="T84" s="44">
        <f>IF(Tabell2[[#This Row],[NIBR11-T]]&lt;=K$436,100,IF(Tabell2[[#This Row],[NIBR11-T]]&gt;=K$435,0,100*(K$435-Tabell2[[#This Row],[NIBR11-T]])/K$438))</f>
        <v>70</v>
      </c>
      <c r="U84" s="44">
        <f>(L$435-Tabell2[[#This Row],[ReisetidOslo-T]])*100/L$438</f>
        <v>79.117469377037949</v>
      </c>
      <c r="V84" s="44">
        <f>100-(M$435-Tabell2[[#This Row],[Beftettotal-T]])*100/M$438</f>
        <v>5.3896622916826686</v>
      </c>
      <c r="W84" s="44">
        <f>100-(N$435-Tabell2[[#This Row],[Befvekst10-T]])*100/N$438</f>
        <v>15.294693125367075</v>
      </c>
      <c r="X84" s="44">
        <f>100-(O$435-Tabell2[[#This Row],[Kvinneandel-T]])*100/O$438</f>
        <v>21.191402010074356</v>
      </c>
      <c r="Y84" s="44">
        <f>(P$435-Tabell2[[#This Row],[Eldreandel-T]])*100/P$438</f>
        <v>38.03697127708714</v>
      </c>
      <c r="Z84" s="44">
        <f>100-(Q$435-Tabell2[[#This Row],[Sysselsettingsvekst10-T]])*100/Q$438</f>
        <v>8.0763582644517697</v>
      </c>
      <c r="AA84" s="44">
        <f>100-(R$435-Tabell2[[#This Row],[Yrkesaktivandel-T]])*100/R$438</f>
        <v>0</v>
      </c>
      <c r="AB84" s="44">
        <f>100-(S$435-Tabell2[[#This Row],[Inntekt-T]])*100/S$438</f>
        <v>0</v>
      </c>
      <c r="AC84" s="44">
        <f>Tabell2[[#This Row],[NIBR11-I]]*Vekter!$B$3</f>
        <v>14</v>
      </c>
      <c r="AD84" s="44">
        <f>Tabell2[[#This Row],[ReisetidOslo-I]]*Vekter!$C$3</f>
        <v>7.9117469377037954</v>
      </c>
      <c r="AE84" s="44">
        <f>Tabell2[[#This Row],[Beftettotal-I]]*Vekter!$E$4</f>
        <v>0.53896622916826686</v>
      </c>
      <c r="AF84" s="44">
        <f>Tabell2[[#This Row],[Befvekst10-I]]*Vekter!$F$3</f>
        <v>3.0589386250734152</v>
      </c>
      <c r="AG84" s="44">
        <f>Tabell2[[#This Row],[Kvinneandel-I]]*Vekter!$G$3</f>
        <v>1.0595701005037179</v>
      </c>
      <c r="AH84" s="44">
        <f>Tabell2[[#This Row],[Eldreandel-I]]*Vekter!$H$3</f>
        <v>1.9018485638543572</v>
      </c>
      <c r="AI84" s="44">
        <f>Tabell2[[#This Row],[Sysselsettingsvekst10-I]]*Vekter!$I$3</f>
        <v>0.80763582644517706</v>
      </c>
      <c r="AJ84" s="44">
        <f>Tabell2[[#This Row],[Yrkesaktivandel-I]]*Vekter!$K$3</f>
        <v>0</v>
      </c>
      <c r="AK84" s="44">
        <f>Tabell2[[#This Row],[Inntekt-I]]*Vekter!$M$3</f>
        <v>0</v>
      </c>
      <c r="AL8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29.278706282748733</v>
      </c>
    </row>
    <row r="85" spans="1:38" s="38" customFormat="1" ht="12.75">
      <c r="A85" s="42" t="s">
        <v>83</v>
      </c>
      <c r="B85" s="38">
        <f>'Rådata-K'!Q85</f>
        <v>4</v>
      </c>
      <c r="C85" s="44">
        <f>'Rådata-K'!P85</f>
        <v>124.109365427</v>
      </c>
      <c r="D85" s="41">
        <f>'Rådata-K'!R85</f>
        <v>7.0846112780144672</v>
      </c>
      <c r="E85" s="41">
        <f>'Rådata-K'!S85</f>
        <v>-1.7991874637260596E-2</v>
      </c>
      <c r="F85" s="41">
        <f>'Rådata-K'!T85</f>
        <v>9.7813238770685582E-2</v>
      </c>
      <c r="G85" s="41">
        <f>'Rådata-K'!U85</f>
        <v>0.18085106382978725</v>
      </c>
      <c r="H85" s="41">
        <f>'Rådata-K'!V85</f>
        <v>9.4467444486262764E-2</v>
      </c>
      <c r="I85" s="41">
        <f>'Rådata-K'!W85</f>
        <v>0.84973821989528797</v>
      </c>
      <c r="J85" s="41">
        <f>'Rådata-K'!O85</f>
        <v>289700</v>
      </c>
      <c r="K85" s="41">
        <f>Tabell2[[#This Row],[NIBR11]]</f>
        <v>4</v>
      </c>
      <c r="L85" s="41">
        <f>IF(Tabell2[[#This Row],[ReisetidOslo]]&lt;=C$433,C$433,IF(Tabell2[[#This Row],[ReisetidOslo]]&gt;=C$434,C$434,Tabell2[[#This Row],[ReisetidOslo]]))</f>
        <v>124.109365427</v>
      </c>
      <c r="M85" s="41">
        <f>IF(Tabell2[[#This Row],[Beftettotal]]&lt;=D$433,D$433,IF(Tabell2[[#This Row],[Beftettotal]]&gt;=D$434,D$434,Tabell2[[#This Row],[Beftettotal]]))</f>
        <v>7.0846112780144672</v>
      </c>
      <c r="N85" s="41">
        <f>IF(Tabell2[[#This Row],[Befvekst10]]&lt;=E$433,E$433,IF(Tabell2[[#This Row],[Befvekst10]]&gt;=E$434,E$434,Tabell2[[#This Row],[Befvekst10]]))</f>
        <v>-1.7991874637260596E-2</v>
      </c>
      <c r="O85" s="41">
        <f>IF(Tabell2[[#This Row],[Kvinneandel]]&lt;=F$433,F$433,IF(Tabell2[[#This Row],[Kvinneandel]]&gt;=F$434,F$434,Tabell2[[#This Row],[Kvinneandel]]))</f>
        <v>9.7813238770685582E-2</v>
      </c>
      <c r="P85" s="41">
        <f>IF(Tabell2[[#This Row],[Eldreandel]]&lt;=G$433,G$433,IF(Tabell2[[#This Row],[Eldreandel]]&gt;=G$434,G$434,Tabell2[[#This Row],[Eldreandel]]))</f>
        <v>0.18085106382978725</v>
      </c>
      <c r="Q85" s="41">
        <f>IF(Tabell2[[#This Row],[Sysselsettingsvekst10]]&lt;=H$433,H$433,IF(Tabell2[[#This Row],[Sysselsettingsvekst10]]&gt;=H$434,H$434,Tabell2[[#This Row],[Sysselsettingsvekst10]]))</f>
        <v>9.4467444486262764E-2</v>
      </c>
      <c r="R85" s="41">
        <f>IF(Tabell2[[#This Row],[Yrkesaktivandel]]&lt;=I$433,I$433,IF(Tabell2[[#This Row],[Yrkesaktivandel]]&gt;=I$434,I$434,Tabell2[[#This Row],[Yrkesaktivandel]]))</f>
        <v>0.84973821989528797</v>
      </c>
      <c r="S85" s="41">
        <f>IF(Tabell2[[#This Row],[Inntekt]]&lt;=J$433,J$433,IF(Tabell2[[#This Row],[Inntekt]]&gt;=J$434,J$434,Tabell2[[#This Row],[Inntekt]]))</f>
        <v>292140</v>
      </c>
      <c r="T85" s="44">
        <f>IF(Tabell2[[#This Row],[NIBR11-T]]&lt;=K$436,100,IF(Tabell2[[#This Row],[NIBR11-T]]&gt;=K$435,0,100*(K$435-Tabell2[[#This Row],[NIBR11-T]])/K$438))</f>
        <v>70</v>
      </c>
      <c r="U85" s="44">
        <f>(L$435-Tabell2[[#This Row],[ReisetidOslo-T]])*100/L$438</f>
        <v>68.788461680467265</v>
      </c>
      <c r="V85" s="44">
        <f>100-(M$435-Tabell2[[#This Row],[Beftettotal-T]])*100/M$438</f>
        <v>4.7148566152296212</v>
      </c>
      <c r="W85" s="44">
        <f>100-(N$435-Tabell2[[#This Row],[Befvekst10-T]])*100/N$438</f>
        <v>30.586502521807589</v>
      </c>
      <c r="X85" s="44">
        <f>100-(O$435-Tabell2[[#This Row],[Kvinneandel-T]])*100/O$438</f>
        <v>16.679907462147014</v>
      </c>
      <c r="Y85" s="44">
        <f>(P$435-Tabell2[[#This Row],[Eldreandel-T]])*100/P$438</f>
        <v>21.302261486678923</v>
      </c>
      <c r="Z85" s="44">
        <f>100-(Q$435-Tabell2[[#This Row],[Sysselsettingsvekst10-T]])*100/Q$438</f>
        <v>54.874244522329917</v>
      </c>
      <c r="AA85" s="44">
        <f>100-(R$435-Tabell2[[#This Row],[Yrkesaktivandel-T]])*100/R$438</f>
        <v>17.406406883836681</v>
      </c>
      <c r="AB85" s="44">
        <f>100-(S$435-Tabell2[[#This Row],[Inntekt-T]])*100/S$438</f>
        <v>0</v>
      </c>
      <c r="AC85" s="44">
        <f>Tabell2[[#This Row],[NIBR11-I]]*Vekter!$B$3</f>
        <v>14</v>
      </c>
      <c r="AD85" s="44">
        <f>Tabell2[[#This Row],[ReisetidOslo-I]]*Vekter!$C$3</f>
        <v>6.878846168046727</v>
      </c>
      <c r="AE85" s="44">
        <f>Tabell2[[#This Row],[Beftettotal-I]]*Vekter!$E$4</f>
        <v>0.47148566152296212</v>
      </c>
      <c r="AF85" s="44">
        <f>Tabell2[[#This Row],[Befvekst10-I]]*Vekter!$F$3</f>
        <v>6.1173005043615181</v>
      </c>
      <c r="AG85" s="44">
        <f>Tabell2[[#This Row],[Kvinneandel-I]]*Vekter!$G$3</f>
        <v>0.83399537310735072</v>
      </c>
      <c r="AH85" s="44">
        <f>Tabell2[[#This Row],[Eldreandel-I]]*Vekter!$H$3</f>
        <v>1.0651130743339461</v>
      </c>
      <c r="AI85" s="44">
        <f>Tabell2[[#This Row],[Sysselsettingsvekst10-I]]*Vekter!$I$3</f>
        <v>5.4874244522329922</v>
      </c>
      <c r="AJ85" s="44">
        <f>Tabell2[[#This Row],[Yrkesaktivandel-I]]*Vekter!$K$3</f>
        <v>1.7406406883836683</v>
      </c>
      <c r="AK85" s="44">
        <f>Tabell2[[#This Row],[Inntekt-I]]*Vekter!$M$3</f>
        <v>0</v>
      </c>
      <c r="AL8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36.594805921989163</v>
      </c>
    </row>
    <row r="86" spans="1:38" s="38" customFormat="1" ht="12.75">
      <c r="A86" s="42" t="s">
        <v>84</v>
      </c>
      <c r="B86" s="38">
        <f>'Rådata-K'!Q86</f>
        <v>10</v>
      </c>
      <c r="C86" s="44">
        <f>'Rådata-K'!P86</f>
        <v>125.56281269900001</v>
      </c>
      <c r="D86" s="41">
        <f>'Rådata-K'!R86</f>
        <v>2.8439266746616414</v>
      </c>
      <c r="E86" s="41">
        <f>'Rådata-K'!S86</f>
        <v>-5.9069212410501226E-2</v>
      </c>
      <c r="F86" s="41">
        <f>'Rådata-K'!T86</f>
        <v>9.4800253646163596E-2</v>
      </c>
      <c r="G86" s="41">
        <f>'Rådata-K'!U86</f>
        <v>0.19055168040583387</v>
      </c>
      <c r="H86" s="41">
        <f>'Rådata-K'!V86</f>
        <v>4.6004842615012143E-2</v>
      </c>
      <c r="I86" s="41">
        <f>'Rådata-K'!W86</f>
        <v>0.92690058479532167</v>
      </c>
      <c r="J86" s="41">
        <f>'Rådata-K'!O86</f>
        <v>292700</v>
      </c>
      <c r="K86" s="41">
        <f>Tabell2[[#This Row],[NIBR11]]</f>
        <v>10</v>
      </c>
      <c r="L86" s="41">
        <f>IF(Tabell2[[#This Row],[ReisetidOslo]]&lt;=C$433,C$433,IF(Tabell2[[#This Row],[ReisetidOslo]]&gt;=C$434,C$434,Tabell2[[#This Row],[ReisetidOslo]]))</f>
        <v>125.56281269900001</v>
      </c>
      <c r="M86" s="41">
        <f>IF(Tabell2[[#This Row],[Beftettotal]]&lt;=D$433,D$433,IF(Tabell2[[#This Row],[Beftettotal]]&gt;=D$434,D$434,Tabell2[[#This Row],[Beftettotal]]))</f>
        <v>2.8439266746616414</v>
      </c>
      <c r="N86" s="41">
        <f>IF(Tabell2[[#This Row],[Befvekst10]]&lt;=E$433,E$433,IF(Tabell2[[#This Row],[Befvekst10]]&gt;=E$434,E$434,Tabell2[[#This Row],[Befvekst10]]))</f>
        <v>-5.9069212410501226E-2</v>
      </c>
      <c r="O86" s="41">
        <f>IF(Tabell2[[#This Row],[Kvinneandel]]&lt;=F$433,F$433,IF(Tabell2[[#This Row],[Kvinneandel]]&gt;=F$434,F$434,Tabell2[[#This Row],[Kvinneandel]]))</f>
        <v>9.4800253646163596E-2</v>
      </c>
      <c r="P86" s="41">
        <f>IF(Tabell2[[#This Row],[Eldreandel]]&lt;=G$433,G$433,IF(Tabell2[[#This Row],[Eldreandel]]&gt;=G$434,G$434,Tabell2[[#This Row],[Eldreandel]]))</f>
        <v>0.19055168040583387</v>
      </c>
      <c r="Q86" s="41">
        <f>IF(Tabell2[[#This Row],[Sysselsettingsvekst10]]&lt;=H$433,H$433,IF(Tabell2[[#This Row],[Sysselsettingsvekst10]]&gt;=H$434,H$434,Tabell2[[#This Row],[Sysselsettingsvekst10]]))</f>
        <v>4.6004842615012143E-2</v>
      </c>
      <c r="R86" s="41">
        <f>IF(Tabell2[[#This Row],[Yrkesaktivandel]]&lt;=I$433,I$433,IF(Tabell2[[#This Row],[Yrkesaktivandel]]&gt;=I$434,I$434,Tabell2[[#This Row],[Yrkesaktivandel]]))</f>
        <v>0.92690058479532167</v>
      </c>
      <c r="S86" s="41">
        <f>IF(Tabell2[[#This Row],[Inntekt]]&lt;=J$433,J$433,IF(Tabell2[[#This Row],[Inntekt]]&gt;=J$434,J$434,Tabell2[[#This Row],[Inntekt]]))</f>
        <v>292700</v>
      </c>
      <c r="T86" s="44">
        <f>IF(Tabell2[[#This Row],[NIBR11-T]]&lt;=K$436,100,IF(Tabell2[[#This Row],[NIBR11-T]]&gt;=K$435,0,100*(K$435-Tabell2[[#This Row],[NIBR11-T]])/K$438))</f>
        <v>10</v>
      </c>
      <c r="U86" s="44">
        <f>(L$435-Tabell2[[#This Row],[ReisetidOslo-T]])*100/L$438</f>
        <v>68.143202903838827</v>
      </c>
      <c r="V86" s="44">
        <f>100-(M$435-Tabell2[[#This Row],[Beftettotal-T]])*100/M$438</f>
        <v>1.2459477198442244</v>
      </c>
      <c r="W86" s="44">
        <f>100-(N$435-Tabell2[[#This Row],[Befvekst10-T]])*100/N$438</f>
        <v>13.592196759877154</v>
      </c>
      <c r="X86" s="44">
        <f>100-(O$435-Tabell2[[#This Row],[Kvinneandel-T]])*100/O$438</f>
        <v>8.4349908204379176</v>
      </c>
      <c r="Y86" s="44">
        <f>(P$435-Tabell2[[#This Row],[Eldreandel-T]])*100/P$438</f>
        <v>9.8807977105974736</v>
      </c>
      <c r="Z86" s="44">
        <f>100-(Q$435-Tabell2[[#This Row],[Sysselsettingsvekst10-T]])*100/Q$438</f>
        <v>40.625411869894947</v>
      </c>
      <c r="AA86" s="44">
        <f>100-(R$435-Tabell2[[#This Row],[Yrkesaktivandel-T]])*100/R$438</f>
        <v>75.029841933569912</v>
      </c>
      <c r="AB86" s="44">
        <f>100-(S$435-Tabell2[[#This Row],[Inntekt-T]])*100/S$438</f>
        <v>0.76128330614464801</v>
      </c>
      <c r="AC86" s="44">
        <f>Tabell2[[#This Row],[NIBR11-I]]*Vekter!$B$3</f>
        <v>2</v>
      </c>
      <c r="AD86" s="44">
        <f>Tabell2[[#This Row],[ReisetidOslo-I]]*Vekter!$C$3</f>
        <v>6.8143202903838827</v>
      </c>
      <c r="AE86" s="44">
        <f>Tabell2[[#This Row],[Beftettotal-I]]*Vekter!$E$4</f>
        <v>0.12459477198442244</v>
      </c>
      <c r="AF86" s="44">
        <f>Tabell2[[#This Row],[Befvekst10-I]]*Vekter!$F$3</f>
        <v>2.7184393519754311</v>
      </c>
      <c r="AG86" s="44">
        <f>Tabell2[[#This Row],[Kvinneandel-I]]*Vekter!$G$3</f>
        <v>0.42174954102189588</v>
      </c>
      <c r="AH86" s="44">
        <f>Tabell2[[#This Row],[Eldreandel-I]]*Vekter!$H$3</f>
        <v>0.49403988552987371</v>
      </c>
      <c r="AI86" s="44">
        <f>Tabell2[[#This Row],[Sysselsettingsvekst10-I]]*Vekter!$I$3</f>
        <v>4.0625411869894945</v>
      </c>
      <c r="AJ86" s="44">
        <f>Tabell2[[#This Row],[Yrkesaktivandel-I]]*Vekter!$K$3</f>
        <v>7.5029841933569914</v>
      </c>
      <c r="AK86" s="44">
        <f>Tabell2[[#This Row],[Inntekt-I]]*Vekter!$M$3</f>
        <v>7.6128330614464806E-2</v>
      </c>
      <c r="AL8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24.214797551856456</v>
      </c>
    </row>
    <row r="87" spans="1:38" s="38" customFormat="1" ht="12.75">
      <c r="A87" s="42" t="s">
        <v>85</v>
      </c>
      <c r="B87" s="38">
        <f>'Rådata-K'!Q87</f>
        <v>5</v>
      </c>
      <c r="C87" s="44">
        <f>'Rådata-K'!P87</f>
        <v>136.953239018</v>
      </c>
      <c r="D87" s="41">
        <f>'Rådata-K'!R87</f>
        <v>3.0666027791087687</v>
      </c>
      <c r="E87" s="41">
        <f>'Rådata-K'!S87</f>
        <v>-1.6072676450034962E-2</v>
      </c>
      <c r="F87" s="41">
        <f>'Rådata-K'!T87</f>
        <v>8.6647727272727279E-2</v>
      </c>
      <c r="G87" s="41">
        <f>'Rådata-K'!U87</f>
        <v>0.20738636363636365</v>
      </c>
      <c r="H87" s="41">
        <f>'Rådata-K'!V87</f>
        <v>-7.3684210526315796E-2</v>
      </c>
      <c r="I87" s="41">
        <f>'Rådata-K'!W87</f>
        <v>0.86928104575163401</v>
      </c>
      <c r="J87" s="41">
        <f>'Rådata-K'!O87</f>
        <v>270200</v>
      </c>
      <c r="K87" s="41">
        <f>Tabell2[[#This Row],[NIBR11]]</f>
        <v>5</v>
      </c>
      <c r="L87" s="41">
        <f>IF(Tabell2[[#This Row],[ReisetidOslo]]&lt;=C$433,C$433,IF(Tabell2[[#This Row],[ReisetidOslo]]&gt;=C$434,C$434,Tabell2[[#This Row],[ReisetidOslo]]))</f>
        <v>136.953239018</v>
      </c>
      <c r="M87" s="41">
        <f>IF(Tabell2[[#This Row],[Beftettotal]]&lt;=D$433,D$433,IF(Tabell2[[#This Row],[Beftettotal]]&gt;=D$434,D$434,Tabell2[[#This Row],[Beftettotal]]))</f>
        <v>3.0666027791087687</v>
      </c>
      <c r="N87" s="41">
        <f>IF(Tabell2[[#This Row],[Befvekst10]]&lt;=E$433,E$433,IF(Tabell2[[#This Row],[Befvekst10]]&gt;=E$434,E$434,Tabell2[[#This Row],[Befvekst10]]))</f>
        <v>-1.6072676450034962E-2</v>
      </c>
      <c r="O87" s="41">
        <f>IF(Tabell2[[#This Row],[Kvinneandel]]&lt;=F$433,F$433,IF(Tabell2[[#This Row],[Kvinneandel]]&gt;=F$434,F$434,Tabell2[[#This Row],[Kvinneandel]]))</f>
        <v>9.1717808671657367E-2</v>
      </c>
      <c r="P87" s="41">
        <f>IF(Tabell2[[#This Row],[Eldreandel]]&lt;=G$433,G$433,IF(Tabell2[[#This Row],[Eldreandel]]&gt;=G$434,G$434,Tabell2[[#This Row],[Eldreandel]]))</f>
        <v>0.1989437597342919</v>
      </c>
      <c r="Q87" s="41">
        <f>IF(Tabell2[[#This Row],[Sysselsettingsvekst10]]&lt;=H$433,H$433,IF(Tabell2[[#This Row],[Sysselsettingsvekst10]]&gt;=H$434,H$434,Tabell2[[#This Row],[Sysselsettingsvekst10]]))</f>
        <v>-7.3684210526315796E-2</v>
      </c>
      <c r="R87" s="41">
        <f>IF(Tabell2[[#This Row],[Yrkesaktivandel]]&lt;=I$433,I$433,IF(Tabell2[[#This Row],[Yrkesaktivandel]]&gt;=I$434,I$434,Tabell2[[#This Row],[Yrkesaktivandel]]))</f>
        <v>0.86928104575163401</v>
      </c>
      <c r="S87" s="41">
        <f>IF(Tabell2[[#This Row],[Inntekt]]&lt;=J$433,J$433,IF(Tabell2[[#This Row],[Inntekt]]&gt;=J$434,J$434,Tabell2[[#This Row],[Inntekt]]))</f>
        <v>292140</v>
      </c>
      <c r="T87" s="44">
        <f>IF(Tabell2[[#This Row],[NIBR11-T]]&lt;=K$436,100,IF(Tabell2[[#This Row],[NIBR11-T]]&gt;=K$435,0,100*(K$435-Tabell2[[#This Row],[NIBR11-T]])/K$438))</f>
        <v>60</v>
      </c>
      <c r="U87" s="44">
        <f>(L$435-Tabell2[[#This Row],[ReisetidOslo-T]])*100/L$438</f>
        <v>63.086416398085035</v>
      </c>
      <c r="V87" s="44">
        <f>100-(M$435-Tabell2[[#This Row],[Beftettotal-T]])*100/M$438</f>
        <v>1.4280982902723309</v>
      </c>
      <c r="W87" s="44">
        <f>100-(N$435-Tabell2[[#This Row],[Befvekst10-T]])*100/N$438</f>
        <v>31.380503364595938</v>
      </c>
      <c r="X87" s="44">
        <f>100-(O$435-Tabell2[[#This Row],[Kvinneandel-T]])*100/O$438</f>
        <v>0</v>
      </c>
      <c r="Y87" s="44">
        <f>(P$435-Tabell2[[#This Row],[Eldreandel-T]])*100/P$438</f>
        <v>0</v>
      </c>
      <c r="Z87" s="44">
        <f>100-(Q$435-Tabell2[[#This Row],[Sysselsettingsvekst10-T]])*100/Q$438</f>
        <v>5.4347860535190762</v>
      </c>
      <c r="AA87" s="44">
        <f>100-(R$435-Tabell2[[#This Row],[Yrkesaktivandel-T]])*100/R$438</f>
        <v>32.000629830221669</v>
      </c>
      <c r="AB87" s="44">
        <f>100-(S$435-Tabell2[[#This Row],[Inntekt-T]])*100/S$438</f>
        <v>0</v>
      </c>
      <c r="AC87" s="44">
        <f>Tabell2[[#This Row],[NIBR11-I]]*Vekter!$B$3</f>
        <v>12</v>
      </c>
      <c r="AD87" s="44">
        <f>Tabell2[[#This Row],[ReisetidOslo-I]]*Vekter!$C$3</f>
        <v>6.3086416398085037</v>
      </c>
      <c r="AE87" s="44">
        <f>Tabell2[[#This Row],[Beftettotal-I]]*Vekter!$E$4</f>
        <v>0.1428098290272331</v>
      </c>
      <c r="AF87" s="44">
        <f>Tabell2[[#This Row],[Befvekst10-I]]*Vekter!$F$3</f>
        <v>6.2761006729191884</v>
      </c>
      <c r="AG87" s="44">
        <f>Tabell2[[#This Row],[Kvinneandel-I]]*Vekter!$G$3</f>
        <v>0</v>
      </c>
      <c r="AH87" s="44">
        <f>Tabell2[[#This Row],[Eldreandel-I]]*Vekter!$H$3</f>
        <v>0</v>
      </c>
      <c r="AI87" s="44">
        <f>Tabell2[[#This Row],[Sysselsettingsvekst10-I]]*Vekter!$I$3</f>
        <v>0.54347860535190762</v>
      </c>
      <c r="AJ87" s="44">
        <f>Tabell2[[#This Row],[Yrkesaktivandel-I]]*Vekter!$K$3</f>
        <v>3.2000629830221672</v>
      </c>
      <c r="AK87" s="44">
        <f>Tabell2[[#This Row],[Inntekt-I]]*Vekter!$M$3</f>
        <v>0</v>
      </c>
      <c r="AL8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28.471093730128999</v>
      </c>
    </row>
    <row r="88" spans="1:38" s="38" customFormat="1" ht="12.75">
      <c r="A88" s="42" t="s">
        <v>86</v>
      </c>
      <c r="B88" s="38">
        <f>'Rådata-K'!Q88</f>
        <v>10</v>
      </c>
      <c r="C88" s="44">
        <f>'Rådata-K'!P88</f>
        <v>138.63652492040001</v>
      </c>
      <c r="D88" s="41">
        <f>'Rådata-K'!R88</f>
        <v>7.0908529320919564</v>
      </c>
      <c r="E88" s="41">
        <f>'Rådata-K'!S88</f>
        <v>-1.6824717038849801E-2</v>
      </c>
      <c r="F88" s="41">
        <f>'Rådata-K'!T88</f>
        <v>0.11092097075295582</v>
      </c>
      <c r="G88" s="41">
        <f>'Rådata-K'!U88</f>
        <v>0.15868077162414437</v>
      </c>
      <c r="H88" s="41">
        <f>'Rådata-K'!V88</f>
        <v>1.911314984709489E-2</v>
      </c>
      <c r="I88" s="41">
        <f>'Rådata-K'!W88</f>
        <v>0.90720553044403085</v>
      </c>
      <c r="J88" s="41">
        <f>'Rådata-K'!O88</f>
        <v>312800</v>
      </c>
      <c r="K88" s="41">
        <f>Tabell2[[#This Row],[NIBR11]]</f>
        <v>10</v>
      </c>
      <c r="L88" s="41">
        <f>IF(Tabell2[[#This Row],[ReisetidOslo]]&lt;=C$433,C$433,IF(Tabell2[[#This Row],[ReisetidOslo]]&gt;=C$434,C$434,Tabell2[[#This Row],[ReisetidOslo]]))</f>
        <v>138.63652492040001</v>
      </c>
      <c r="M88" s="41">
        <f>IF(Tabell2[[#This Row],[Beftettotal]]&lt;=D$433,D$433,IF(Tabell2[[#This Row],[Beftettotal]]&gt;=D$434,D$434,Tabell2[[#This Row],[Beftettotal]]))</f>
        <v>7.0908529320919564</v>
      </c>
      <c r="N88" s="41">
        <f>IF(Tabell2[[#This Row],[Befvekst10]]&lt;=E$433,E$433,IF(Tabell2[[#This Row],[Befvekst10]]&gt;=E$434,E$434,Tabell2[[#This Row],[Befvekst10]]))</f>
        <v>-1.6824717038849801E-2</v>
      </c>
      <c r="O88" s="41">
        <f>IF(Tabell2[[#This Row],[Kvinneandel]]&lt;=F$433,F$433,IF(Tabell2[[#This Row],[Kvinneandel]]&gt;=F$434,F$434,Tabell2[[#This Row],[Kvinneandel]]))</f>
        <v>0.11092097075295582</v>
      </c>
      <c r="P88" s="41">
        <f>IF(Tabell2[[#This Row],[Eldreandel]]&lt;=G$433,G$433,IF(Tabell2[[#This Row],[Eldreandel]]&gt;=G$434,G$434,Tabell2[[#This Row],[Eldreandel]]))</f>
        <v>0.15868077162414437</v>
      </c>
      <c r="Q88" s="41">
        <f>IF(Tabell2[[#This Row],[Sysselsettingsvekst10]]&lt;=H$433,H$433,IF(Tabell2[[#This Row],[Sysselsettingsvekst10]]&gt;=H$434,H$434,Tabell2[[#This Row],[Sysselsettingsvekst10]]))</f>
        <v>1.911314984709489E-2</v>
      </c>
      <c r="R88" s="41">
        <f>IF(Tabell2[[#This Row],[Yrkesaktivandel]]&lt;=I$433,I$433,IF(Tabell2[[#This Row],[Yrkesaktivandel]]&gt;=I$434,I$434,Tabell2[[#This Row],[Yrkesaktivandel]]))</f>
        <v>0.90720553044403085</v>
      </c>
      <c r="S88" s="41">
        <f>IF(Tabell2[[#This Row],[Inntekt]]&lt;=J$433,J$433,IF(Tabell2[[#This Row],[Inntekt]]&gt;=J$434,J$434,Tabell2[[#This Row],[Inntekt]]))</f>
        <v>312800</v>
      </c>
      <c r="T88" s="44">
        <f>IF(Tabell2[[#This Row],[NIBR11-T]]&lt;=K$436,100,IF(Tabell2[[#This Row],[NIBR11-T]]&gt;=K$435,0,100*(K$435-Tabell2[[#This Row],[NIBR11-T]])/K$438))</f>
        <v>10</v>
      </c>
      <c r="U88" s="44">
        <f>(L$435-Tabell2[[#This Row],[ReisetidOslo-T]])*100/L$438</f>
        <v>62.339120625460325</v>
      </c>
      <c r="V88" s="44">
        <f>100-(M$435-Tabell2[[#This Row],[Beftettotal-T]])*100/M$438</f>
        <v>4.7199623307865437</v>
      </c>
      <c r="W88" s="44">
        <f>100-(N$435-Tabell2[[#This Row],[Befvekst10-T]])*100/N$438</f>
        <v>31.069372984573434</v>
      </c>
      <c r="X88" s="44">
        <f>100-(O$435-Tabell2[[#This Row],[Kvinneandel-T]])*100/O$438</f>
        <v>52.548706373933257</v>
      </c>
      <c r="Y88" s="44">
        <f>(P$435-Tabell2[[#This Row],[Eldreandel-T]])*100/P$438</f>
        <v>47.40546712797299</v>
      </c>
      <c r="Z88" s="44">
        <f>100-(Q$435-Tabell2[[#This Row],[Sysselsettingsvekst10-T]])*100/Q$438</f>
        <v>32.718794907629487</v>
      </c>
      <c r="AA88" s="44">
        <f>100-(R$435-Tabell2[[#This Row],[Yrkesaktivandel-T]])*100/R$438</f>
        <v>60.321937546724492</v>
      </c>
      <c r="AB88" s="44">
        <f>100-(S$435-Tabell2[[#This Row],[Inntekt-T]])*100/S$438</f>
        <v>28.08591625883632</v>
      </c>
      <c r="AC88" s="44">
        <f>Tabell2[[#This Row],[NIBR11-I]]*Vekter!$B$3</f>
        <v>2</v>
      </c>
      <c r="AD88" s="44">
        <f>Tabell2[[#This Row],[ReisetidOslo-I]]*Vekter!$C$3</f>
        <v>6.2339120625460325</v>
      </c>
      <c r="AE88" s="44">
        <f>Tabell2[[#This Row],[Beftettotal-I]]*Vekter!$E$4</f>
        <v>0.4719962330786544</v>
      </c>
      <c r="AF88" s="44">
        <f>Tabell2[[#This Row],[Befvekst10-I]]*Vekter!$F$3</f>
        <v>6.2138745969146871</v>
      </c>
      <c r="AG88" s="44">
        <f>Tabell2[[#This Row],[Kvinneandel-I]]*Vekter!$G$3</f>
        <v>2.627435318696663</v>
      </c>
      <c r="AH88" s="44">
        <f>Tabell2[[#This Row],[Eldreandel-I]]*Vekter!$H$3</f>
        <v>2.3702733563986498</v>
      </c>
      <c r="AI88" s="44">
        <f>Tabell2[[#This Row],[Sysselsettingsvekst10-I]]*Vekter!$I$3</f>
        <v>3.2718794907629487</v>
      </c>
      <c r="AJ88" s="44">
        <f>Tabell2[[#This Row],[Yrkesaktivandel-I]]*Vekter!$K$3</f>
        <v>6.0321937546724493</v>
      </c>
      <c r="AK88" s="44">
        <f>Tabell2[[#This Row],[Inntekt-I]]*Vekter!$M$3</f>
        <v>2.8085916258836323</v>
      </c>
      <c r="AL8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32.030156438953711</v>
      </c>
    </row>
    <row r="89" spans="1:38" s="38" customFormat="1" ht="12.75">
      <c r="A89" s="42" t="s">
        <v>87</v>
      </c>
      <c r="B89" s="38">
        <f>'Rådata-K'!Q89</f>
        <v>10</v>
      </c>
      <c r="C89" s="44">
        <f>'Rådata-K'!P89</f>
        <v>157.99251420979999</v>
      </c>
      <c r="D89" s="41">
        <f>'Rådata-K'!R89</f>
        <v>4.8181327576902317</v>
      </c>
      <c r="E89" s="41">
        <f>'Rådata-K'!S89</f>
        <v>-1.6306743058616124E-2</v>
      </c>
      <c r="F89" s="41">
        <f>'Rådata-K'!T89</f>
        <v>9.4534050179211473E-2</v>
      </c>
      <c r="G89" s="41">
        <f>'Rådata-K'!U89</f>
        <v>0.1724910394265233</v>
      </c>
      <c r="H89" s="41">
        <f>'Rådata-K'!V89</f>
        <v>2.2105263157894628E-2</v>
      </c>
      <c r="I89" s="41">
        <f>'Rådata-K'!W89</f>
        <v>0.92912172573189522</v>
      </c>
      <c r="J89" s="41">
        <f>'Rådata-K'!O89</f>
        <v>308400</v>
      </c>
      <c r="K89" s="41">
        <f>Tabell2[[#This Row],[NIBR11]]</f>
        <v>10</v>
      </c>
      <c r="L89" s="41">
        <f>IF(Tabell2[[#This Row],[ReisetidOslo]]&lt;=C$433,C$433,IF(Tabell2[[#This Row],[ReisetidOslo]]&gt;=C$434,C$434,Tabell2[[#This Row],[ReisetidOslo]]))</f>
        <v>157.99251420979999</v>
      </c>
      <c r="M89" s="41">
        <f>IF(Tabell2[[#This Row],[Beftettotal]]&lt;=D$433,D$433,IF(Tabell2[[#This Row],[Beftettotal]]&gt;=D$434,D$434,Tabell2[[#This Row],[Beftettotal]]))</f>
        <v>4.8181327576902317</v>
      </c>
      <c r="N89" s="41">
        <f>IF(Tabell2[[#This Row],[Befvekst10]]&lt;=E$433,E$433,IF(Tabell2[[#This Row],[Befvekst10]]&gt;=E$434,E$434,Tabell2[[#This Row],[Befvekst10]]))</f>
        <v>-1.6306743058616124E-2</v>
      </c>
      <c r="O89" s="41">
        <f>IF(Tabell2[[#This Row],[Kvinneandel]]&lt;=F$433,F$433,IF(Tabell2[[#This Row],[Kvinneandel]]&gt;=F$434,F$434,Tabell2[[#This Row],[Kvinneandel]]))</f>
        <v>9.4534050179211473E-2</v>
      </c>
      <c r="P89" s="41">
        <f>IF(Tabell2[[#This Row],[Eldreandel]]&lt;=G$433,G$433,IF(Tabell2[[#This Row],[Eldreandel]]&gt;=G$434,G$434,Tabell2[[#This Row],[Eldreandel]]))</f>
        <v>0.1724910394265233</v>
      </c>
      <c r="Q89" s="41">
        <f>IF(Tabell2[[#This Row],[Sysselsettingsvekst10]]&lt;=H$433,H$433,IF(Tabell2[[#This Row],[Sysselsettingsvekst10]]&gt;=H$434,H$434,Tabell2[[#This Row],[Sysselsettingsvekst10]]))</f>
        <v>2.2105263157894628E-2</v>
      </c>
      <c r="R89" s="41">
        <f>IF(Tabell2[[#This Row],[Yrkesaktivandel]]&lt;=I$433,I$433,IF(Tabell2[[#This Row],[Yrkesaktivandel]]&gt;=I$434,I$434,Tabell2[[#This Row],[Yrkesaktivandel]]))</f>
        <v>0.92912172573189522</v>
      </c>
      <c r="S89" s="41">
        <f>IF(Tabell2[[#This Row],[Inntekt]]&lt;=J$433,J$433,IF(Tabell2[[#This Row],[Inntekt]]&gt;=J$434,J$434,Tabell2[[#This Row],[Inntekt]]))</f>
        <v>308400</v>
      </c>
      <c r="T89" s="44">
        <f>IF(Tabell2[[#This Row],[NIBR11-T]]&lt;=K$436,100,IF(Tabell2[[#This Row],[NIBR11-T]]&gt;=K$435,0,100*(K$435-Tabell2[[#This Row],[NIBR11-T]])/K$438))</f>
        <v>10</v>
      </c>
      <c r="U89" s="44">
        <f>(L$435-Tabell2[[#This Row],[ReisetidOslo-T]])*100/L$438</f>
        <v>53.746017724572063</v>
      </c>
      <c r="V89" s="44">
        <f>100-(M$435-Tabell2[[#This Row],[Beftettotal-T]])*100/M$438</f>
        <v>2.8608617451238558</v>
      </c>
      <c r="W89" s="44">
        <f>100-(N$435-Tabell2[[#This Row],[Befvekst10-T]])*100/N$438</f>
        <v>31.283666526316765</v>
      </c>
      <c r="X89" s="44">
        <f>100-(O$435-Tabell2[[#This Row],[Kvinneandel-T]])*100/O$438</f>
        <v>7.7065353837047468</v>
      </c>
      <c r="Y89" s="44">
        <f>(P$435-Tabell2[[#This Row],[Eldreandel-T]])*100/P$438</f>
        <v>31.145317867735205</v>
      </c>
      <c r="Z89" s="44">
        <f>100-(Q$435-Tabell2[[#This Row],[Sysselsettingsvekst10-T]])*100/Q$438</f>
        <v>33.598527323894984</v>
      </c>
      <c r="AA89" s="44">
        <f>100-(R$435-Tabell2[[#This Row],[Yrkesaktivandel-T]])*100/R$438</f>
        <v>76.68854913702026</v>
      </c>
      <c r="AB89" s="44">
        <f>100-(S$435-Tabell2[[#This Row],[Inntekt-T]])*100/S$438</f>
        <v>22.104404567699831</v>
      </c>
      <c r="AC89" s="44">
        <f>Tabell2[[#This Row],[NIBR11-I]]*Vekter!$B$3</f>
        <v>2</v>
      </c>
      <c r="AD89" s="44">
        <f>Tabell2[[#This Row],[ReisetidOslo-I]]*Vekter!$C$3</f>
        <v>5.3746017724572068</v>
      </c>
      <c r="AE89" s="44">
        <f>Tabell2[[#This Row],[Beftettotal-I]]*Vekter!$E$4</f>
        <v>0.2860861745123856</v>
      </c>
      <c r="AF89" s="44">
        <f>Tabell2[[#This Row],[Befvekst10-I]]*Vekter!$F$3</f>
        <v>6.2567333052633529</v>
      </c>
      <c r="AG89" s="44">
        <f>Tabell2[[#This Row],[Kvinneandel-I]]*Vekter!$G$3</f>
        <v>0.38532676918523734</v>
      </c>
      <c r="AH89" s="44">
        <f>Tabell2[[#This Row],[Eldreandel-I]]*Vekter!$H$3</f>
        <v>1.5572658933867602</v>
      </c>
      <c r="AI89" s="44">
        <f>Tabell2[[#This Row],[Sysselsettingsvekst10-I]]*Vekter!$I$3</f>
        <v>3.3598527323894984</v>
      </c>
      <c r="AJ89" s="44">
        <f>Tabell2[[#This Row],[Yrkesaktivandel-I]]*Vekter!$K$3</f>
        <v>7.6688549137020265</v>
      </c>
      <c r="AK89" s="44">
        <f>Tabell2[[#This Row],[Inntekt-I]]*Vekter!$M$3</f>
        <v>2.2104404567699834</v>
      </c>
      <c r="AL8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29.099162017666451</v>
      </c>
    </row>
    <row r="90" spans="1:38" s="38" customFormat="1" ht="12.75">
      <c r="A90" s="42" t="s">
        <v>88</v>
      </c>
      <c r="B90" s="38">
        <f>'Rådata-K'!Q90</f>
        <v>10</v>
      </c>
      <c r="C90" s="44">
        <f>'Rådata-K'!P90</f>
        <v>153.43543214070002</v>
      </c>
      <c r="D90" s="41">
        <f>'Rådata-K'!R90</f>
        <v>3.2956079327172669</v>
      </c>
      <c r="E90" s="41">
        <f>'Rådata-K'!S90</f>
        <v>3.6916040509637371E-2</v>
      </c>
      <c r="F90" s="41">
        <f>'Rådata-K'!T90</f>
        <v>0.11405166981726528</v>
      </c>
      <c r="G90" s="41">
        <f>'Rådata-K'!U90</f>
        <v>0.15973534971644612</v>
      </c>
      <c r="H90" s="41">
        <f>'Rådata-K'!V90</f>
        <v>-4.8184357541899425E-2</v>
      </c>
      <c r="I90" s="41">
        <f>'Rådata-K'!W90</f>
        <v>0.9786652078774617</v>
      </c>
      <c r="J90" s="41">
        <f>'Rådata-K'!O90</f>
        <v>320500</v>
      </c>
      <c r="K90" s="41">
        <f>Tabell2[[#This Row],[NIBR11]]</f>
        <v>10</v>
      </c>
      <c r="L90" s="41">
        <f>IF(Tabell2[[#This Row],[ReisetidOslo]]&lt;=C$433,C$433,IF(Tabell2[[#This Row],[ReisetidOslo]]&gt;=C$434,C$434,Tabell2[[#This Row],[ReisetidOslo]]))</f>
        <v>153.43543214070002</v>
      </c>
      <c r="M90" s="41">
        <f>IF(Tabell2[[#This Row],[Beftettotal]]&lt;=D$433,D$433,IF(Tabell2[[#This Row],[Beftettotal]]&gt;=D$434,D$434,Tabell2[[#This Row],[Beftettotal]]))</f>
        <v>3.2956079327172669</v>
      </c>
      <c r="N90" s="41">
        <f>IF(Tabell2[[#This Row],[Befvekst10]]&lt;=E$433,E$433,IF(Tabell2[[#This Row],[Befvekst10]]&gt;=E$434,E$434,Tabell2[[#This Row],[Befvekst10]]))</f>
        <v>3.6916040509637371E-2</v>
      </c>
      <c r="O90" s="41">
        <f>IF(Tabell2[[#This Row],[Kvinneandel]]&lt;=F$433,F$433,IF(Tabell2[[#This Row],[Kvinneandel]]&gt;=F$434,F$434,Tabell2[[#This Row],[Kvinneandel]]))</f>
        <v>0.11405166981726528</v>
      </c>
      <c r="P90" s="41">
        <f>IF(Tabell2[[#This Row],[Eldreandel]]&lt;=G$433,G$433,IF(Tabell2[[#This Row],[Eldreandel]]&gt;=G$434,G$434,Tabell2[[#This Row],[Eldreandel]]))</f>
        <v>0.15973534971644612</v>
      </c>
      <c r="Q90" s="41">
        <f>IF(Tabell2[[#This Row],[Sysselsettingsvekst10]]&lt;=H$433,H$433,IF(Tabell2[[#This Row],[Sysselsettingsvekst10]]&gt;=H$434,H$434,Tabell2[[#This Row],[Sysselsettingsvekst10]]))</f>
        <v>-4.8184357541899425E-2</v>
      </c>
      <c r="R90" s="41">
        <f>IF(Tabell2[[#This Row],[Yrkesaktivandel]]&lt;=I$433,I$433,IF(Tabell2[[#This Row],[Yrkesaktivandel]]&gt;=I$434,I$434,Tabell2[[#This Row],[Yrkesaktivandel]]))</f>
        <v>0.96033761343949164</v>
      </c>
      <c r="S90" s="41">
        <f>IF(Tabell2[[#This Row],[Inntekt]]&lt;=J$433,J$433,IF(Tabell2[[#This Row],[Inntekt]]&gt;=J$434,J$434,Tabell2[[#This Row],[Inntekt]]))</f>
        <v>320500</v>
      </c>
      <c r="T90" s="44">
        <f>IF(Tabell2[[#This Row],[NIBR11-T]]&lt;=K$436,100,IF(Tabell2[[#This Row],[NIBR11-T]]&gt;=K$435,0,100*(K$435-Tabell2[[#This Row],[NIBR11-T]])/K$438))</f>
        <v>10</v>
      </c>
      <c r="U90" s="44">
        <f>(L$435-Tabell2[[#This Row],[ReisetidOslo-T]])*100/L$438</f>
        <v>55.769137006262</v>
      </c>
      <c r="V90" s="44">
        <f>100-(M$435-Tabell2[[#This Row],[Beftettotal-T]])*100/M$438</f>
        <v>1.6154260660313469</v>
      </c>
      <c r="W90" s="44">
        <f>100-(N$435-Tabell2[[#This Row],[Befvekst10-T]])*100/N$438</f>
        <v>53.302723906641035</v>
      </c>
      <c r="X90" s="44">
        <f>100-(O$435-Tabell2[[#This Row],[Kvinneandel-T]])*100/O$438</f>
        <v>61.115742634891674</v>
      </c>
      <c r="Y90" s="44">
        <f>(P$435-Tabell2[[#This Row],[Eldreandel-T]])*100/P$438</f>
        <v>46.163811467649772</v>
      </c>
      <c r="Z90" s="44">
        <f>100-(Q$435-Tabell2[[#This Row],[Sysselsettingsvekst10-T]])*100/Q$438</f>
        <v>12.932178347930503</v>
      </c>
      <c r="AA90" s="44">
        <f>100-(R$435-Tabell2[[#This Row],[Yrkesaktivandel-T]])*100/R$438</f>
        <v>100</v>
      </c>
      <c r="AB90" s="44">
        <f>100-(S$435-Tabell2[[#This Row],[Inntekt-T]])*100/S$438</f>
        <v>38.553561718325177</v>
      </c>
      <c r="AC90" s="44">
        <f>Tabell2[[#This Row],[NIBR11-I]]*Vekter!$B$3</f>
        <v>2</v>
      </c>
      <c r="AD90" s="44">
        <f>Tabell2[[#This Row],[ReisetidOslo-I]]*Vekter!$C$3</f>
        <v>5.5769137006262</v>
      </c>
      <c r="AE90" s="44">
        <f>Tabell2[[#This Row],[Beftettotal-I]]*Vekter!$E$4</f>
        <v>0.16154260660313469</v>
      </c>
      <c r="AF90" s="44">
        <f>Tabell2[[#This Row],[Befvekst10-I]]*Vekter!$F$3</f>
        <v>10.660544781328207</v>
      </c>
      <c r="AG90" s="44">
        <f>Tabell2[[#This Row],[Kvinneandel-I]]*Vekter!$G$3</f>
        <v>3.0557871317445837</v>
      </c>
      <c r="AH90" s="44">
        <f>Tabell2[[#This Row],[Eldreandel-I]]*Vekter!$H$3</f>
        <v>2.3081905733824888</v>
      </c>
      <c r="AI90" s="44">
        <f>Tabell2[[#This Row],[Sysselsettingsvekst10-I]]*Vekter!$I$3</f>
        <v>1.2932178347930503</v>
      </c>
      <c r="AJ90" s="44">
        <f>Tabell2[[#This Row],[Yrkesaktivandel-I]]*Vekter!$K$3</f>
        <v>10</v>
      </c>
      <c r="AK90" s="44">
        <f>Tabell2[[#This Row],[Inntekt-I]]*Vekter!$M$3</f>
        <v>3.855356171832518</v>
      </c>
      <c r="AL9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38.911552800310183</v>
      </c>
    </row>
    <row r="91" spans="1:38" s="38" customFormat="1" ht="12.75">
      <c r="A91" s="42" t="s">
        <v>89</v>
      </c>
      <c r="B91" s="38">
        <f>'Rådata-K'!Q91</f>
        <v>10</v>
      </c>
      <c r="C91" s="44">
        <f>'Rådata-K'!P91</f>
        <v>181.49229088929999</v>
      </c>
      <c r="D91" s="41">
        <f>'Rådata-K'!R91</f>
        <v>1.0740974459463948</v>
      </c>
      <c r="E91" s="41">
        <f>'Rådata-K'!S91</f>
        <v>-1.4625228519195566E-2</v>
      </c>
      <c r="F91" s="41">
        <f>'Rådata-K'!T91</f>
        <v>0.1038961038961039</v>
      </c>
      <c r="G91" s="41">
        <f>'Rådata-K'!U91</f>
        <v>0.17192331478045764</v>
      </c>
      <c r="H91" s="41">
        <f>'Rådata-K'!V91</f>
        <v>0.10344827586206895</v>
      </c>
      <c r="I91" s="41">
        <f>'Rådata-K'!W91</f>
        <v>0.94438386041439482</v>
      </c>
      <c r="J91" s="41">
        <f>'Rådata-K'!O91</f>
        <v>281300</v>
      </c>
      <c r="K91" s="41">
        <f>Tabell2[[#This Row],[NIBR11]]</f>
        <v>10</v>
      </c>
      <c r="L91" s="41">
        <f>IF(Tabell2[[#This Row],[ReisetidOslo]]&lt;=C$433,C$433,IF(Tabell2[[#This Row],[ReisetidOslo]]&gt;=C$434,C$434,Tabell2[[#This Row],[ReisetidOslo]]))</f>
        <v>181.49229088929999</v>
      </c>
      <c r="M91" s="41">
        <f>IF(Tabell2[[#This Row],[Beftettotal]]&lt;=D$433,D$433,IF(Tabell2[[#This Row],[Beftettotal]]&gt;=D$434,D$434,Tabell2[[#This Row],[Beftettotal]]))</f>
        <v>1.3207758882127238</v>
      </c>
      <c r="N91" s="41">
        <f>IF(Tabell2[[#This Row],[Befvekst10]]&lt;=E$433,E$433,IF(Tabell2[[#This Row],[Befvekst10]]&gt;=E$434,E$434,Tabell2[[#This Row],[Befvekst10]]))</f>
        <v>-1.4625228519195566E-2</v>
      </c>
      <c r="O91" s="41">
        <f>IF(Tabell2[[#This Row],[Kvinneandel]]&lt;=F$433,F$433,IF(Tabell2[[#This Row],[Kvinneandel]]&gt;=F$434,F$434,Tabell2[[#This Row],[Kvinneandel]]))</f>
        <v>0.1038961038961039</v>
      </c>
      <c r="P91" s="41">
        <f>IF(Tabell2[[#This Row],[Eldreandel]]&lt;=G$433,G$433,IF(Tabell2[[#This Row],[Eldreandel]]&gt;=G$434,G$434,Tabell2[[#This Row],[Eldreandel]]))</f>
        <v>0.17192331478045764</v>
      </c>
      <c r="Q91" s="41">
        <f>IF(Tabell2[[#This Row],[Sysselsettingsvekst10]]&lt;=H$433,H$433,IF(Tabell2[[#This Row],[Sysselsettingsvekst10]]&gt;=H$434,H$434,Tabell2[[#This Row],[Sysselsettingsvekst10]]))</f>
        <v>0.10344827586206895</v>
      </c>
      <c r="R91" s="41">
        <f>IF(Tabell2[[#This Row],[Yrkesaktivandel]]&lt;=I$433,I$433,IF(Tabell2[[#This Row],[Yrkesaktivandel]]&gt;=I$434,I$434,Tabell2[[#This Row],[Yrkesaktivandel]]))</f>
        <v>0.94438386041439482</v>
      </c>
      <c r="S91" s="41">
        <f>IF(Tabell2[[#This Row],[Inntekt]]&lt;=J$433,J$433,IF(Tabell2[[#This Row],[Inntekt]]&gt;=J$434,J$434,Tabell2[[#This Row],[Inntekt]]))</f>
        <v>292140</v>
      </c>
      <c r="T91" s="44">
        <f>IF(Tabell2[[#This Row],[NIBR11-T]]&lt;=K$436,100,IF(Tabell2[[#This Row],[NIBR11-T]]&gt;=K$435,0,100*(K$435-Tabell2[[#This Row],[NIBR11-T]])/K$438))</f>
        <v>10</v>
      </c>
      <c r="U91" s="44">
        <f>(L$435-Tabell2[[#This Row],[ReisetidOslo-T]])*100/L$438</f>
        <v>43.313277959344731</v>
      </c>
      <c r="V91" s="44">
        <f>100-(M$435-Tabell2[[#This Row],[Beftettotal-T]])*100/M$438</f>
        <v>0</v>
      </c>
      <c r="W91" s="44">
        <f>100-(N$435-Tabell2[[#This Row],[Befvekst10-T]])*100/N$438</f>
        <v>31.979334107886771</v>
      </c>
      <c r="X91" s="44">
        <f>100-(O$435-Tabell2[[#This Row],[Kvinneandel-T]])*100/O$438</f>
        <v>33.325431362564601</v>
      </c>
      <c r="Y91" s="44">
        <f>(P$435-Tabell2[[#This Row],[Eldreandel-T]])*100/P$438</f>
        <v>31.813754397413014</v>
      </c>
      <c r="Z91" s="44">
        <f>100-(Q$435-Tabell2[[#This Row],[Sysselsettingsvekst10-T]])*100/Q$438</f>
        <v>57.514762332198337</v>
      </c>
      <c r="AA91" s="44">
        <f>100-(R$435-Tabell2[[#This Row],[Yrkesaktivandel-T]])*100/R$438</f>
        <v>88.086030639001962</v>
      </c>
      <c r="AB91" s="44">
        <f>100-(S$435-Tabell2[[#This Row],[Inntekt-T]])*100/S$438</f>
        <v>0</v>
      </c>
      <c r="AC91" s="44">
        <f>Tabell2[[#This Row],[NIBR11-I]]*Vekter!$B$3</f>
        <v>2</v>
      </c>
      <c r="AD91" s="44">
        <f>Tabell2[[#This Row],[ReisetidOslo-I]]*Vekter!$C$3</f>
        <v>4.3313277959344729</v>
      </c>
      <c r="AE91" s="44">
        <f>Tabell2[[#This Row],[Beftettotal-I]]*Vekter!$E$4</f>
        <v>0</v>
      </c>
      <c r="AF91" s="44">
        <f>Tabell2[[#This Row],[Befvekst10-I]]*Vekter!$F$3</f>
        <v>6.3958668215773544</v>
      </c>
      <c r="AG91" s="44">
        <f>Tabell2[[#This Row],[Kvinneandel-I]]*Vekter!$G$3</f>
        <v>1.6662715681282301</v>
      </c>
      <c r="AH91" s="44">
        <f>Tabell2[[#This Row],[Eldreandel-I]]*Vekter!$H$3</f>
        <v>1.5906877198706508</v>
      </c>
      <c r="AI91" s="44">
        <f>Tabell2[[#This Row],[Sysselsettingsvekst10-I]]*Vekter!$I$3</f>
        <v>5.7514762332198339</v>
      </c>
      <c r="AJ91" s="44">
        <f>Tabell2[[#This Row],[Yrkesaktivandel-I]]*Vekter!$K$3</f>
        <v>8.8086030639001969</v>
      </c>
      <c r="AK91" s="44">
        <f>Tabell2[[#This Row],[Inntekt-I]]*Vekter!$M$3</f>
        <v>0</v>
      </c>
      <c r="AL9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30.544233202630739</v>
      </c>
    </row>
    <row r="92" spans="1:38" s="38" customFormat="1" ht="12.75">
      <c r="A92" s="42" t="s">
        <v>90</v>
      </c>
      <c r="B92" s="38">
        <f>'Rådata-K'!Q92</f>
        <v>2</v>
      </c>
      <c r="C92" s="44">
        <f>'Rådata-K'!P92</f>
        <v>31.152421353600001</v>
      </c>
      <c r="D92" s="41">
        <f>'Rådata-K'!R92</f>
        <v>469.59145100319859</v>
      </c>
      <c r="E92" s="41">
        <f>'Rådata-K'!S92</f>
        <v>0.15636747699688525</v>
      </c>
      <c r="F92" s="41">
        <f>'Rådata-K'!T92</f>
        <v>0.13890737959967181</v>
      </c>
      <c r="G92" s="41">
        <f>'Rådata-K'!U92</f>
        <v>0.13746768425778286</v>
      </c>
      <c r="H92" s="41">
        <f>'Rådata-K'!V92</f>
        <v>0.12202767311528362</v>
      </c>
      <c r="I92" s="41">
        <f>'Rådata-K'!W92</f>
        <v>0.82846903521889337</v>
      </c>
      <c r="J92" s="41">
        <f>'Rådata-K'!O92</f>
        <v>354800</v>
      </c>
      <c r="K92" s="41">
        <f>Tabell2[[#This Row],[NIBR11]]</f>
        <v>2</v>
      </c>
      <c r="L92" s="41">
        <f>IF(Tabell2[[#This Row],[ReisetidOslo]]&lt;=C$433,C$433,IF(Tabell2[[#This Row],[ReisetidOslo]]&gt;=C$434,C$434,Tabell2[[#This Row],[ReisetidOslo]]))</f>
        <v>53.805284539509998</v>
      </c>
      <c r="M92" s="41">
        <f>IF(Tabell2[[#This Row],[Beftettotal]]&lt;=D$433,D$433,IF(Tabell2[[#This Row],[Beftettotal]]&gt;=D$434,D$434,Tabell2[[#This Row],[Beftettotal]]))</f>
        <v>123.5691465212405</v>
      </c>
      <c r="N92" s="41">
        <f>IF(Tabell2[[#This Row],[Befvekst10]]&lt;=E$433,E$433,IF(Tabell2[[#This Row],[Befvekst10]]&gt;=E$434,E$434,Tabell2[[#This Row],[Befvekst10]]))</f>
        <v>0.149789129298837</v>
      </c>
      <c r="O92" s="41">
        <f>IF(Tabell2[[#This Row],[Kvinneandel]]&lt;=F$433,F$433,IF(Tabell2[[#This Row],[Kvinneandel]]&gt;=F$434,F$434,Tabell2[[#This Row],[Kvinneandel]]))</f>
        <v>0.12826135732659469</v>
      </c>
      <c r="P92" s="41">
        <f>IF(Tabell2[[#This Row],[Eldreandel]]&lt;=G$433,G$433,IF(Tabell2[[#This Row],[Eldreandel]]&gt;=G$434,G$434,Tabell2[[#This Row],[Eldreandel]]))</f>
        <v>0.13746768425778286</v>
      </c>
      <c r="Q92" s="41">
        <f>IF(Tabell2[[#This Row],[Sysselsettingsvekst10]]&lt;=H$433,H$433,IF(Tabell2[[#This Row],[Sysselsettingsvekst10]]&gt;=H$434,H$434,Tabell2[[#This Row],[Sysselsettingsvekst10]]))</f>
        <v>0.12202767311528362</v>
      </c>
      <c r="R92" s="41">
        <f>IF(Tabell2[[#This Row],[Yrkesaktivandel]]&lt;=I$433,I$433,IF(Tabell2[[#This Row],[Yrkesaktivandel]]&gt;=I$434,I$434,Tabell2[[#This Row],[Yrkesaktivandel]]))</f>
        <v>0.82846903521889337</v>
      </c>
      <c r="S92" s="41">
        <f>IF(Tabell2[[#This Row],[Inntekt]]&lt;=J$433,J$433,IF(Tabell2[[#This Row],[Inntekt]]&gt;=J$434,J$434,Tabell2[[#This Row],[Inntekt]]))</f>
        <v>354800</v>
      </c>
      <c r="T92" s="44">
        <f>IF(Tabell2[[#This Row],[NIBR11-T]]&lt;=K$436,100,IF(Tabell2[[#This Row],[NIBR11-T]]&gt;=K$435,0,100*(K$435-Tabell2[[#This Row],[NIBR11-T]])/K$438))</f>
        <v>90</v>
      </c>
      <c r="U92" s="44">
        <f>(L$435-Tabell2[[#This Row],[ReisetidOslo-T]])*100/L$438</f>
        <v>100</v>
      </c>
      <c r="V92" s="44">
        <f>100-(M$435-Tabell2[[#This Row],[Beftettotal-T]])*100/M$438</f>
        <v>100</v>
      </c>
      <c r="W92" s="44">
        <f>100-(N$435-Tabell2[[#This Row],[Befvekst10-T]])*100/N$438</f>
        <v>100</v>
      </c>
      <c r="X92" s="44">
        <f>100-(O$435-Tabell2[[#This Row],[Kvinneandel-T]])*100/O$438</f>
        <v>100</v>
      </c>
      <c r="Y92" s="44">
        <f>(P$435-Tabell2[[#This Row],[Eldreandel-T]])*100/P$438</f>
        <v>72.381663953648314</v>
      </c>
      <c r="Z92" s="44">
        <f>100-(Q$435-Tabell2[[#This Row],[Sysselsettingsvekst10-T]])*100/Q$438</f>
        <v>62.977422445815009</v>
      </c>
      <c r="AA92" s="44">
        <f>100-(R$435-Tabell2[[#This Row],[Yrkesaktivandel-T]])*100/R$438</f>
        <v>1.522970919311561</v>
      </c>
      <c r="AB92" s="44">
        <f>100-(S$435-Tabell2[[#This Row],[Inntekt-T]])*100/S$438</f>
        <v>85.182164219684608</v>
      </c>
      <c r="AC92" s="44">
        <f>Tabell2[[#This Row],[NIBR11-I]]*Vekter!$B$3</f>
        <v>18</v>
      </c>
      <c r="AD92" s="44">
        <f>Tabell2[[#This Row],[ReisetidOslo-I]]*Vekter!$C$3</f>
        <v>10</v>
      </c>
      <c r="AE92" s="44">
        <f>Tabell2[[#This Row],[Beftettotal-I]]*Vekter!$E$4</f>
        <v>10</v>
      </c>
      <c r="AF92" s="44">
        <f>Tabell2[[#This Row],[Befvekst10-I]]*Vekter!$F$3</f>
        <v>20</v>
      </c>
      <c r="AG92" s="44">
        <f>Tabell2[[#This Row],[Kvinneandel-I]]*Vekter!$G$3</f>
        <v>5</v>
      </c>
      <c r="AH92" s="44">
        <f>Tabell2[[#This Row],[Eldreandel-I]]*Vekter!$H$3</f>
        <v>3.619083197682416</v>
      </c>
      <c r="AI92" s="44">
        <f>Tabell2[[#This Row],[Sysselsettingsvekst10-I]]*Vekter!$I$3</f>
        <v>6.2977422445815012</v>
      </c>
      <c r="AJ92" s="44">
        <f>Tabell2[[#This Row],[Yrkesaktivandel-I]]*Vekter!$K$3</f>
        <v>0.15229709193115612</v>
      </c>
      <c r="AK92" s="44">
        <f>Tabell2[[#This Row],[Inntekt-I]]*Vekter!$M$3</f>
        <v>8.5182164219684608</v>
      </c>
      <c r="AL9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81.587338956163535</v>
      </c>
    </row>
    <row r="93" spans="1:38" s="38" customFormat="1" ht="12.75">
      <c r="A93" s="42" t="s">
        <v>91</v>
      </c>
      <c r="B93" s="38">
        <f>'Rådata-K'!Q93</f>
        <v>5</v>
      </c>
      <c r="C93" s="44">
        <f>'Rådata-K'!P93</f>
        <v>61.9301193895</v>
      </c>
      <c r="D93" s="41">
        <f>'Rådata-K'!R93</f>
        <v>32.126240401467683</v>
      </c>
      <c r="E93" s="41">
        <f>'Rådata-K'!S93</f>
        <v>0.12455311824160309</v>
      </c>
      <c r="F93" s="41">
        <f>'Rådata-K'!T93</f>
        <v>0.12359197770713136</v>
      </c>
      <c r="G93" s="41">
        <f>'Rådata-K'!U93</f>
        <v>0.13650457239295105</v>
      </c>
      <c r="H93" s="41">
        <f>'Rådata-K'!V93</f>
        <v>0.24734123366757821</v>
      </c>
      <c r="I93" s="41">
        <f>'Rådata-K'!W93</f>
        <v>0.89569265062610637</v>
      </c>
      <c r="J93" s="41">
        <f>'Rådata-K'!O93</f>
        <v>390900</v>
      </c>
      <c r="K93" s="41">
        <f>Tabell2[[#This Row],[NIBR11]]</f>
        <v>5</v>
      </c>
      <c r="L93" s="41">
        <f>IF(Tabell2[[#This Row],[ReisetidOslo]]&lt;=C$433,C$433,IF(Tabell2[[#This Row],[ReisetidOslo]]&gt;=C$434,C$434,Tabell2[[#This Row],[ReisetidOslo]]))</f>
        <v>61.9301193895</v>
      </c>
      <c r="M93" s="41">
        <f>IF(Tabell2[[#This Row],[Beftettotal]]&lt;=D$433,D$433,IF(Tabell2[[#This Row],[Beftettotal]]&gt;=D$434,D$434,Tabell2[[#This Row],[Beftettotal]]))</f>
        <v>32.126240401467683</v>
      </c>
      <c r="N93" s="41">
        <f>IF(Tabell2[[#This Row],[Befvekst10]]&lt;=E$433,E$433,IF(Tabell2[[#This Row],[Befvekst10]]&gt;=E$434,E$434,Tabell2[[#This Row],[Befvekst10]]))</f>
        <v>0.12455311824160309</v>
      </c>
      <c r="O93" s="41">
        <f>IF(Tabell2[[#This Row],[Kvinneandel]]&lt;=F$433,F$433,IF(Tabell2[[#This Row],[Kvinneandel]]&gt;=F$434,F$434,Tabell2[[#This Row],[Kvinneandel]]))</f>
        <v>0.12359197770713136</v>
      </c>
      <c r="P93" s="41">
        <f>IF(Tabell2[[#This Row],[Eldreandel]]&lt;=G$433,G$433,IF(Tabell2[[#This Row],[Eldreandel]]&gt;=G$434,G$434,Tabell2[[#This Row],[Eldreandel]]))</f>
        <v>0.13650457239295105</v>
      </c>
      <c r="Q93" s="41">
        <f>IF(Tabell2[[#This Row],[Sysselsettingsvekst10]]&lt;=H$433,H$433,IF(Tabell2[[#This Row],[Sysselsettingsvekst10]]&gt;=H$434,H$434,Tabell2[[#This Row],[Sysselsettingsvekst10]]))</f>
        <v>0.24734123366757821</v>
      </c>
      <c r="R93" s="41">
        <f>IF(Tabell2[[#This Row],[Yrkesaktivandel]]&lt;=I$433,I$433,IF(Tabell2[[#This Row],[Yrkesaktivandel]]&gt;=I$434,I$434,Tabell2[[#This Row],[Yrkesaktivandel]]))</f>
        <v>0.89569265062610637</v>
      </c>
      <c r="S93" s="41">
        <f>IF(Tabell2[[#This Row],[Inntekt]]&lt;=J$433,J$433,IF(Tabell2[[#This Row],[Inntekt]]&gt;=J$434,J$434,Tabell2[[#This Row],[Inntekt]]))</f>
        <v>365700</v>
      </c>
      <c r="T93" s="44">
        <f>IF(Tabell2[[#This Row],[NIBR11-T]]&lt;=K$436,100,IF(Tabell2[[#This Row],[NIBR11-T]]&gt;=K$435,0,100*(K$435-Tabell2[[#This Row],[NIBR11-T]])/K$438))</f>
        <v>60</v>
      </c>
      <c r="U93" s="44">
        <f>(L$435-Tabell2[[#This Row],[ReisetidOslo-T]])*100/L$438</f>
        <v>96.392974759656369</v>
      </c>
      <c r="V93" s="44">
        <f>100-(M$435-Tabell2[[#This Row],[Beftettotal-T]])*100/M$438</f>
        <v>25.199079835369403</v>
      </c>
      <c r="W93" s="44">
        <f>100-(N$435-Tabell2[[#This Row],[Befvekst10-T]])*100/N$438</f>
        <v>89.559486778681361</v>
      </c>
      <c r="X93" s="44">
        <f>100-(O$435-Tabell2[[#This Row],[Kvinneandel-T]])*100/O$438</f>
        <v>87.222424227176248</v>
      </c>
      <c r="Y93" s="44">
        <f>(P$435-Tabell2[[#This Row],[Eldreandel-T]])*100/P$438</f>
        <v>73.515627675465026</v>
      </c>
      <c r="Z93" s="44">
        <f>100-(Q$435-Tabell2[[#This Row],[Sysselsettingsvekst10-T]])*100/Q$438</f>
        <v>99.821749503080866</v>
      </c>
      <c r="AA93" s="44">
        <f>100-(R$435-Tabell2[[#This Row],[Yrkesaktivandel-T]])*100/R$438</f>
        <v>51.724330626783313</v>
      </c>
      <c r="AB93" s="44">
        <f>100-(S$435-Tabell2[[#This Row],[Inntekt-T]])*100/S$438</f>
        <v>100</v>
      </c>
      <c r="AC93" s="44">
        <f>Tabell2[[#This Row],[NIBR11-I]]*Vekter!$B$3</f>
        <v>12</v>
      </c>
      <c r="AD93" s="44">
        <f>Tabell2[[#This Row],[ReisetidOslo-I]]*Vekter!$C$3</f>
        <v>9.6392974759656376</v>
      </c>
      <c r="AE93" s="44">
        <f>Tabell2[[#This Row],[Beftettotal-I]]*Vekter!$E$4</f>
        <v>2.5199079835369407</v>
      </c>
      <c r="AF93" s="44">
        <f>Tabell2[[#This Row],[Befvekst10-I]]*Vekter!$F$3</f>
        <v>17.911897355736272</v>
      </c>
      <c r="AG93" s="44">
        <f>Tabell2[[#This Row],[Kvinneandel-I]]*Vekter!$G$3</f>
        <v>4.3611212113588129</v>
      </c>
      <c r="AH93" s="44">
        <f>Tabell2[[#This Row],[Eldreandel-I]]*Vekter!$H$3</f>
        <v>3.6757813837732516</v>
      </c>
      <c r="AI93" s="44">
        <f>Tabell2[[#This Row],[Sysselsettingsvekst10-I]]*Vekter!$I$3</f>
        <v>9.982174950308087</v>
      </c>
      <c r="AJ93" s="44">
        <f>Tabell2[[#This Row],[Yrkesaktivandel-I]]*Vekter!$K$3</f>
        <v>5.1724330626783317</v>
      </c>
      <c r="AK93" s="44">
        <f>Tabell2[[#This Row],[Inntekt-I]]*Vekter!$M$3</f>
        <v>10</v>
      </c>
      <c r="AL9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75.262613423357337</v>
      </c>
    </row>
    <row r="94" spans="1:38" s="38" customFormat="1" ht="12.75">
      <c r="A94" s="42" t="s">
        <v>92</v>
      </c>
      <c r="B94" s="38">
        <f>'Rådata-K'!Q94</f>
        <v>5</v>
      </c>
      <c r="C94" s="44">
        <f>'Rådata-K'!P94</f>
        <v>49.114770830099999</v>
      </c>
      <c r="D94" s="41">
        <f>'Rådata-K'!R94</f>
        <v>18.800198059276312</v>
      </c>
      <c r="E94" s="41">
        <f>'Rådata-K'!S94</f>
        <v>4.7434795070220748E-2</v>
      </c>
      <c r="F94" s="41">
        <f>'Rådata-K'!T94</f>
        <v>0.11841565193596935</v>
      </c>
      <c r="G94" s="41">
        <f>'Rådata-K'!U94</f>
        <v>0.15255164865234641</v>
      </c>
      <c r="H94" s="41">
        <f>'Rådata-K'!V94</f>
        <v>5.7132103876552431E-2</v>
      </c>
      <c r="I94" s="41">
        <f>'Rådata-K'!W94</f>
        <v>0.84795220862772125</v>
      </c>
      <c r="J94" s="41">
        <f>'Rådata-K'!O94</f>
        <v>326500</v>
      </c>
      <c r="K94" s="41">
        <f>Tabell2[[#This Row],[NIBR11]]</f>
        <v>5</v>
      </c>
      <c r="L94" s="41">
        <f>IF(Tabell2[[#This Row],[ReisetidOslo]]&lt;=C$433,C$433,IF(Tabell2[[#This Row],[ReisetidOslo]]&gt;=C$434,C$434,Tabell2[[#This Row],[ReisetidOslo]]))</f>
        <v>53.805284539509998</v>
      </c>
      <c r="M94" s="41">
        <f>IF(Tabell2[[#This Row],[Beftettotal]]&lt;=D$433,D$433,IF(Tabell2[[#This Row],[Beftettotal]]&gt;=D$434,D$434,Tabell2[[#This Row],[Beftettotal]]))</f>
        <v>18.800198059276312</v>
      </c>
      <c r="N94" s="41">
        <f>IF(Tabell2[[#This Row],[Befvekst10]]&lt;=E$433,E$433,IF(Tabell2[[#This Row],[Befvekst10]]&gt;=E$434,E$434,Tabell2[[#This Row],[Befvekst10]]))</f>
        <v>4.7434795070220748E-2</v>
      </c>
      <c r="O94" s="41">
        <f>IF(Tabell2[[#This Row],[Kvinneandel]]&lt;=F$433,F$433,IF(Tabell2[[#This Row],[Kvinneandel]]&gt;=F$434,F$434,Tabell2[[#This Row],[Kvinneandel]]))</f>
        <v>0.11841565193596935</v>
      </c>
      <c r="P94" s="41">
        <f>IF(Tabell2[[#This Row],[Eldreandel]]&lt;=G$433,G$433,IF(Tabell2[[#This Row],[Eldreandel]]&gt;=G$434,G$434,Tabell2[[#This Row],[Eldreandel]]))</f>
        <v>0.15255164865234641</v>
      </c>
      <c r="Q94" s="41">
        <f>IF(Tabell2[[#This Row],[Sysselsettingsvekst10]]&lt;=H$433,H$433,IF(Tabell2[[#This Row],[Sysselsettingsvekst10]]&gt;=H$434,H$434,Tabell2[[#This Row],[Sysselsettingsvekst10]]))</f>
        <v>5.7132103876552431E-2</v>
      </c>
      <c r="R94" s="41">
        <f>IF(Tabell2[[#This Row],[Yrkesaktivandel]]&lt;=I$433,I$433,IF(Tabell2[[#This Row],[Yrkesaktivandel]]&gt;=I$434,I$434,Tabell2[[#This Row],[Yrkesaktivandel]]))</f>
        <v>0.84795220862772125</v>
      </c>
      <c r="S94" s="41">
        <f>IF(Tabell2[[#This Row],[Inntekt]]&lt;=J$433,J$433,IF(Tabell2[[#This Row],[Inntekt]]&gt;=J$434,J$434,Tabell2[[#This Row],[Inntekt]]))</f>
        <v>326500</v>
      </c>
      <c r="T94" s="44">
        <f>IF(Tabell2[[#This Row],[NIBR11-T]]&lt;=K$436,100,IF(Tabell2[[#This Row],[NIBR11-T]]&gt;=K$435,0,100*(K$435-Tabell2[[#This Row],[NIBR11-T]])/K$438))</f>
        <v>60</v>
      </c>
      <c r="U94" s="44">
        <f>(L$435-Tabell2[[#This Row],[ReisetidOslo-T]])*100/L$438</f>
        <v>100</v>
      </c>
      <c r="V94" s="44">
        <f>100-(M$435-Tabell2[[#This Row],[Beftettotal-T]])*100/M$438</f>
        <v>14.298286415231104</v>
      </c>
      <c r="W94" s="44">
        <f>100-(N$435-Tabell2[[#This Row],[Befvekst10-T]])*100/N$438</f>
        <v>57.654489160369444</v>
      </c>
      <c r="X94" s="44">
        <f>100-(O$435-Tabell2[[#This Row],[Kvinneandel-T]])*100/O$438</f>
        <v>73.057610021420018</v>
      </c>
      <c r="Y94" s="44">
        <f>(P$435-Tabell2[[#This Row],[Eldreandel-T]])*100/P$438</f>
        <v>54.621869864103836</v>
      </c>
      <c r="Z94" s="44">
        <f>100-(Q$435-Tabell2[[#This Row],[Sysselsettingsvekst10-T]])*100/Q$438</f>
        <v>43.897016725466408</v>
      </c>
      <c r="AA94" s="44">
        <f>100-(R$435-Tabell2[[#This Row],[Yrkesaktivandel-T]])*100/R$438</f>
        <v>16.072646514930753</v>
      </c>
      <c r="AB94" s="44">
        <f>100-(S$435-Tabell2[[#This Row],[Inntekt-T]])*100/S$438</f>
        <v>46.710168569874931</v>
      </c>
      <c r="AC94" s="44">
        <f>Tabell2[[#This Row],[NIBR11-I]]*Vekter!$B$3</f>
        <v>12</v>
      </c>
      <c r="AD94" s="44">
        <f>Tabell2[[#This Row],[ReisetidOslo-I]]*Vekter!$C$3</f>
        <v>10</v>
      </c>
      <c r="AE94" s="44">
        <f>Tabell2[[#This Row],[Beftettotal-I]]*Vekter!$E$4</f>
        <v>1.4298286415231105</v>
      </c>
      <c r="AF94" s="44">
        <f>Tabell2[[#This Row],[Befvekst10-I]]*Vekter!$F$3</f>
        <v>11.53089783207389</v>
      </c>
      <c r="AG94" s="44">
        <f>Tabell2[[#This Row],[Kvinneandel-I]]*Vekter!$G$3</f>
        <v>3.6528805010710013</v>
      </c>
      <c r="AH94" s="44">
        <f>Tabell2[[#This Row],[Eldreandel-I]]*Vekter!$H$3</f>
        <v>2.7310934932051918</v>
      </c>
      <c r="AI94" s="44">
        <f>Tabell2[[#This Row],[Sysselsettingsvekst10-I]]*Vekter!$I$3</f>
        <v>4.3897016725466411</v>
      </c>
      <c r="AJ94" s="44">
        <f>Tabell2[[#This Row],[Yrkesaktivandel-I]]*Vekter!$K$3</f>
        <v>1.6072646514930753</v>
      </c>
      <c r="AK94" s="44">
        <f>Tabell2[[#This Row],[Inntekt-I]]*Vekter!$M$3</f>
        <v>4.6710168569874932</v>
      </c>
      <c r="AL9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52.012683648900406</v>
      </c>
    </row>
    <row r="95" spans="1:38" s="38" customFormat="1" ht="12.75">
      <c r="A95" s="42" t="s">
        <v>93</v>
      </c>
      <c r="B95" s="38">
        <f>'Rådata-K'!Q95</f>
        <v>5</v>
      </c>
      <c r="C95" s="44">
        <f>'Rådata-K'!P95</f>
        <v>39.190288194200001</v>
      </c>
      <c r="D95" s="41">
        <f>'Rådata-K'!R95</f>
        <v>32.807472755578623</v>
      </c>
      <c r="E95" s="41">
        <f>'Rådata-K'!S95</f>
        <v>0.23548954465507133</v>
      </c>
      <c r="F95" s="41">
        <f>'Rådata-K'!T95</f>
        <v>0.11641885479278709</v>
      </c>
      <c r="G95" s="41">
        <f>'Rådata-K'!U95</f>
        <v>0.12780765580512496</v>
      </c>
      <c r="H95" s="41">
        <f>'Rådata-K'!V95</f>
        <v>0.21795629060838739</v>
      </c>
      <c r="I95" s="41">
        <f>'Rådata-K'!W95</f>
        <v>0.86675461741424797</v>
      </c>
      <c r="J95" s="41">
        <f>'Rådata-K'!O95</f>
        <v>396600</v>
      </c>
      <c r="K95" s="41">
        <f>Tabell2[[#This Row],[NIBR11]]</f>
        <v>5</v>
      </c>
      <c r="L95" s="41">
        <f>IF(Tabell2[[#This Row],[ReisetidOslo]]&lt;=C$433,C$433,IF(Tabell2[[#This Row],[ReisetidOslo]]&gt;=C$434,C$434,Tabell2[[#This Row],[ReisetidOslo]]))</f>
        <v>53.805284539509998</v>
      </c>
      <c r="M95" s="41">
        <f>IF(Tabell2[[#This Row],[Beftettotal]]&lt;=D$433,D$433,IF(Tabell2[[#This Row],[Beftettotal]]&gt;=D$434,D$434,Tabell2[[#This Row],[Beftettotal]]))</f>
        <v>32.807472755578623</v>
      </c>
      <c r="N95" s="41">
        <f>IF(Tabell2[[#This Row],[Befvekst10]]&lt;=E$433,E$433,IF(Tabell2[[#This Row],[Befvekst10]]&gt;=E$434,E$434,Tabell2[[#This Row],[Befvekst10]]))</f>
        <v>0.149789129298837</v>
      </c>
      <c r="O95" s="41">
        <f>IF(Tabell2[[#This Row],[Kvinneandel]]&lt;=F$433,F$433,IF(Tabell2[[#This Row],[Kvinneandel]]&gt;=F$434,F$434,Tabell2[[#This Row],[Kvinneandel]]))</f>
        <v>0.11641885479278709</v>
      </c>
      <c r="P95" s="41">
        <f>IF(Tabell2[[#This Row],[Eldreandel]]&lt;=G$433,G$433,IF(Tabell2[[#This Row],[Eldreandel]]&gt;=G$434,G$434,Tabell2[[#This Row],[Eldreandel]]))</f>
        <v>0.12780765580512496</v>
      </c>
      <c r="Q95" s="41">
        <f>IF(Tabell2[[#This Row],[Sysselsettingsvekst10]]&lt;=H$433,H$433,IF(Tabell2[[#This Row],[Sysselsettingsvekst10]]&gt;=H$434,H$434,Tabell2[[#This Row],[Sysselsettingsvekst10]]))</f>
        <v>0.21795629060838739</v>
      </c>
      <c r="R95" s="41">
        <f>IF(Tabell2[[#This Row],[Yrkesaktivandel]]&lt;=I$433,I$433,IF(Tabell2[[#This Row],[Yrkesaktivandel]]&gt;=I$434,I$434,Tabell2[[#This Row],[Yrkesaktivandel]]))</f>
        <v>0.86675461741424797</v>
      </c>
      <c r="S95" s="41">
        <f>IF(Tabell2[[#This Row],[Inntekt]]&lt;=J$433,J$433,IF(Tabell2[[#This Row],[Inntekt]]&gt;=J$434,J$434,Tabell2[[#This Row],[Inntekt]]))</f>
        <v>365700</v>
      </c>
      <c r="T95" s="44">
        <f>IF(Tabell2[[#This Row],[NIBR11-T]]&lt;=K$436,100,IF(Tabell2[[#This Row],[NIBR11-T]]&gt;=K$435,0,100*(K$435-Tabell2[[#This Row],[NIBR11-T]])/K$438))</f>
        <v>60</v>
      </c>
      <c r="U95" s="44">
        <f>(L$435-Tabell2[[#This Row],[ReisetidOslo-T]])*100/L$438</f>
        <v>100</v>
      </c>
      <c r="V95" s="44">
        <f>100-(M$435-Tabell2[[#This Row],[Beftettotal-T]])*100/M$438</f>
        <v>25.756332541956311</v>
      </c>
      <c r="W95" s="44">
        <f>100-(N$435-Tabell2[[#This Row],[Befvekst10-T]])*100/N$438</f>
        <v>100</v>
      </c>
      <c r="X95" s="44">
        <f>100-(O$435-Tabell2[[#This Row],[Kvinneandel-T]])*100/O$438</f>
        <v>67.593452279004154</v>
      </c>
      <c r="Y95" s="44">
        <f>(P$435-Tabell2[[#This Row],[Eldreandel-T]])*100/P$438</f>
        <v>83.755339449738557</v>
      </c>
      <c r="Z95" s="44">
        <f>100-(Q$435-Tabell2[[#This Row],[Sysselsettingsvekst10-T]])*100/Q$438</f>
        <v>91.182074372469984</v>
      </c>
      <c r="AA95" s="44">
        <f>100-(R$435-Tabell2[[#This Row],[Yrkesaktivandel-T]])*100/R$438</f>
        <v>30.113939610244927</v>
      </c>
      <c r="AB95" s="44">
        <f>100-(S$435-Tabell2[[#This Row],[Inntekt-T]])*100/S$438</f>
        <v>100</v>
      </c>
      <c r="AC95" s="44">
        <f>Tabell2[[#This Row],[NIBR11-I]]*Vekter!$B$3</f>
        <v>12</v>
      </c>
      <c r="AD95" s="44">
        <f>Tabell2[[#This Row],[ReisetidOslo-I]]*Vekter!$C$3</f>
        <v>10</v>
      </c>
      <c r="AE95" s="44">
        <f>Tabell2[[#This Row],[Beftettotal-I]]*Vekter!$E$4</f>
        <v>2.5756332541956315</v>
      </c>
      <c r="AF95" s="44">
        <f>Tabell2[[#This Row],[Befvekst10-I]]*Vekter!$F$3</f>
        <v>20</v>
      </c>
      <c r="AG95" s="44">
        <f>Tabell2[[#This Row],[Kvinneandel-I]]*Vekter!$G$3</f>
        <v>3.3796726139502078</v>
      </c>
      <c r="AH95" s="44">
        <f>Tabell2[[#This Row],[Eldreandel-I]]*Vekter!$H$3</f>
        <v>4.1877669724869282</v>
      </c>
      <c r="AI95" s="44">
        <f>Tabell2[[#This Row],[Sysselsettingsvekst10-I]]*Vekter!$I$3</f>
        <v>9.1182074372469994</v>
      </c>
      <c r="AJ95" s="44">
        <f>Tabell2[[#This Row],[Yrkesaktivandel-I]]*Vekter!$K$3</f>
        <v>3.0113939610244929</v>
      </c>
      <c r="AK95" s="44">
        <f>Tabell2[[#This Row],[Inntekt-I]]*Vekter!$M$3</f>
        <v>10</v>
      </c>
      <c r="AL9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74.272674238904258</v>
      </c>
    </row>
    <row r="96" spans="1:38" s="38" customFormat="1" ht="12.75">
      <c r="A96" s="42" t="s">
        <v>94</v>
      </c>
      <c r="B96" s="38">
        <f>'Rådata-K'!Q96</f>
        <v>8</v>
      </c>
      <c r="C96" s="44">
        <f>'Rådata-K'!P96</f>
        <v>115.459022456</v>
      </c>
      <c r="D96" s="41">
        <f>'Rådata-K'!R96</f>
        <v>1.4678951179000865</v>
      </c>
      <c r="E96" s="41">
        <f>'Rådata-K'!S96</f>
        <v>-2.9107981220657275E-2</v>
      </c>
      <c r="F96" s="41">
        <f>'Rådata-K'!T96</f>
        <v>9.4777562862669251E-2</v>
      </c>
      <c r="G96" s="41">
        <f>'Rådata-K'!U96</f>
        <v>0.21566731141199227</v>
      </c>
      <c r="H96" s="41">
        <f>'Rådata-K'!V96</f>
        <v>0.31805157593123212</v>
      </c>
      <c r="I96" s="41">
        <f>'Rådata-K'!W96</f>
        <v>0.94542253521126762</v>
      </c>
      <c r="J96" s="41">
        <f>'Rådata-K'!O96</f>
        <v>324800</v>
      </c>
      <c r="K96" s="41">
        <f>Tabell2[[#This Row],[NIBR11]]</f>
        <v>8</v>
      </c>
      <c r="L96" s="41">
        <f>IF(Tabell2[[#This Row],[ReisetidOslo]]&lt;=C$433,C$433,IF(Tabell2[[#This Row],[ReisetidOslo]]&gt;=C$434,C$434,Tabell2[[#This Row],[ReisetidOslo]]))</f>
        <v>115.459022456</v>
      </c>
      <c r="M96" s="41">
        <f>IF(Tabell2[[#This Row],[Beftettotal]]&lt;=D$433,D$433,IF(Tabell2[[#This Row],[Beftettotal]]&gt;=D$434,D$434,Tabell2[[#This Row],[Beftettotal]]))</f>
        <v>1.4678951179000865</v>
      </c>
      <c r="N96" s="41">
        <f>IF(Tabell2[[#This Row],[Befvekst10]]&lt;=E$433,E$433,IF(Tabell2[[#This Row],[Befvekst10]]&gt;=E$434,E$434,Tabell2[[#This Row],[Befvekst10]]))</f>
        <v>-2.9107981220657275E-2</v>
      </c>
      <c r="O96" s="41">
        <f>IF(Tabell2[[#This Row],[Kvinneandel]]&lt;=F$433,F$433,IF(Tabell2[[#This Row],[Kvinneandel]]&gt;=F$434,F$434,Tabell2[[#This Row],[Kvinneandel]]))</f>
        <v>9.4777562862669251E-2</v>
      </c>
      <c r="P96" s="41">
        <f>IF(Tabell2[[#This Row],[Eldreandel]]&lt;=G$433,G$433,IF(Tabell2[[#This Row],[Eldreandel]]&gt;=G$434,G$434,Tabell2[[#This Row],[Eldreandel]]))</f>
        <v>0.1989437597342919</v>
      </c>
      <c r="Q96" s="41">
        <f>IF(Tabell2[[#This Row],[Sysselsettingsvekst10]]&lt;=H$433,H$433,IF(Tabell2[[#This Row],[Sysselsettingsvekst10]]&gt;=H$434,H$434,Tabell2[[#This Row],[Sysselsettingsvekst10]]))</f>
        <v>0.24794749265568336</v>
      </c>
      <c r="R96" s="41">
        <f>IF(Tabell2[[#This Row],[Yrkesaktivandel]]&lt;=I$433,I$433,IF(Tabell2[[#This Row],[Yrkesaktivandel]]&gt;=I$434,I$434,Tabell2[[#This Row],[Yrkesaktivandel]]))</f>
        <v>0.94542253521126762</v>
      </c>
      <c r="S96" s="41">
        <f>IF(Tabell2[[#This Row],[Inntekt]]&lt;=J$433,J$433,IF(Tabell2[[#This Row],[Inntekt]]&gt;=J$434,J$434,Tabell2[[#This Row],[Inntekt]]))</f>
        <v>324800</v>
      </c>
      <c r="T96" s="44">
        <f>IF(Tabell2[[#This Row],[NIBR11-T]]&lt;=K$436,100,IF(Tabell2[[#This Row],[NIBR11-T]]&gt;=K$435,0,100*(K$435-Tabell2[[#This Row],[NIBR11-T]])/K$438))</f>
        <v>30</v>
      </c>
      <c r="U96" s="44">
        <f>(L$435-Tabell2[[#This Row],[ReisetidOslo-T]])*100/L$438</f>
        <v>72.628786562155739</v>
      </c>
      <c r="V96" s="44">
        <f>100-(M$435-Tabell2[[#This Row],[Beftettotal-T]])*100/M$438</f>
        <v>0.12034453214022278</v>
      </c>
      <c r="W96" s="44">
        <f>100-(N$435-Tabell2[[#This Row],[Befvekst10-T]])*100/N$438</f>
        <v>25.987603849179536</v>
      </c>
      <c r="X96" s="44">
        <f>100-(O$435-Tabell2[[#This Row],[Kvinneandel-T]])*100/O$438</f>
        <v>8.3728983736736495</v>
      </c>
      <c r="Y96" s="44">
        <f>(P$435-Tabell2[[#This Row],[Eldreandel-T]])*100/P$438</f>
        <v>0</v>
      </c>
      <c r="Z96" s="44">
        <f>100-(Q$435-Tabell2[[#This Row],[Sysselsettingsvekst10-T]])*100/Q$438</f>
        <v>100</v>
      </c>
      <c r="AA96" s="44">
        <f>100-(R$435-Tabell2[[#This Row],[Yrkesaktivandel-T]])*100/R$438</f>
        <v>88.861693875515442</v>
      </c>
      <c r="AB96" s="44">
        <f>100-(S$435-Tabell2[[#This Row],[Inntekt-T]])*100/S$438</f>
        <v>44.399129961935834</v>
      </c>
      <c r="AC96" s="44">
        <f>Tabell2[[#This Row],[NIBR11-I]]*Vekter!$B$3</f>
        <v>6</v>
      </c>
      <c r="AD96" s="44">
        <f>Tabell2[[#This Row],[ReisetidOslo-I]]*Vekter!$C$3</f>
        <v>7.262878656215574</v>
      </c>
      <c r="AE96" s="44">
        <f>Tabell2[[#This Row],[Beftettotal-I]]*Vekter!$E$4</f>
        <v>1.203445321402228E-2</v>
      </c>
      <c r="AF96" s="44">
        <f>Tabell2[[#This Row],[Befvekst10-I]]*Vekter!$F$3</f>
        <v>5.1975207698359078</v>
      </c>
      <c r="AG96" s="44">
        <f>Tabell2[[#This Row],[Kvinneandel-I]]*Vekter!$G$3</f>
        <v>0.41864491868368248</v>
      </c>
      <c r="AH96" s="44">
        <f>Tabell2[[#This Row],[Eldreandel-I]]*Vekter!$H$3</f>
        <v>0</v>
      </c>
      <c r="AI96" s="44">
        <f>Tabell2[[#This Row],[Sysselsettingsvekst10-I]]*Vekter!$I$3</f>
        <v>10</v>
      </c>
      <c r="AJ96" s="44">
        <f>Tabell2[[#This Row],[Yrkesaktivandel-I]]*Vekter!$K$3</f>
        <v>8.8861693875515453</v>
      </c>
      <c r="AK96" s="44">
        <f>Tabell2[[#This Row],[Inntekt-I]]*Vekter!$M$3</f>
        <v>4.4399129961935833</v>
      </c>
      <c r="AL9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42.217161181694316</v>
      </c>
    </row>
    <row r="97" spans="1:38" s="38" customFormat="1" ht="12.75">
      <c r="A97" s="42" t="s">
        <v>95</v>
      </c>
      <c r="B97" s="38">
        <f>'Rådata-K'!Q97</f>
        <v>8</v>
      </c>
      <c r="C97" s="44">
        <f>'Rådata-K'!P97</f>
        <v>140.750035207</v>
      </c>
      <c r="D97" s="41">
        <f>'Rådata-K'!R97</f>
        <v>4.2634653624316075</v>
      </c>
      <c r="E97" s="41">
        <f>'Rådata-K'!S97</f>
        <v>-7.7608508192009706E-3</v>
      </c>
      <c r="F97" s="41">
        <f>'Rådata-K'!T97</f>
        <v>0.10515643105446118</v>
      </c>
      <c r="G97" s="41">
        <f>'Rådata-K'!U97</f>
        <v>0.17526071842410196</v>
      </c>
      <c r="H97" s="41">
        <f>'Rådata-K'!V97</f>
        <v>2.0661157024792765E-3</v>
      </c>
      <c r="I97" s="41">
        <f>'Rådata-K'!W97</f>
        <v>0.9342770475227502</v>
      </c>
      <c r="J97" s="41">
        <f>'Rådata-K'!O97</f>
        <v>313000</v>
      </c>
      <c r="K97" s="41">
        <f>Tabell2[[#This Row],[NIBR11]]</f>
        <v>8</v>
      </c>
      <c r="L97" s="41">
        <f>IF(Tabell2[[#This Row],[ReisetidOslo]]&lt;=C$433,C$433,IF(Tabell2[[#This Row],[ReisetidOslo]]&gt;=C$434,C$434,Tabell2[[#This Row],[ReisetidOslo]]))</f>
        <v>140.750035207</v>
      </c>
      <c r="M97" s="41">
        <f>IF(Tabell2[[#This Row],[Beftettotal]]&lt;=D$433,D$433,IF(Tabell2[[#This Row],[Beftettotal]]&gt;=D$434,D$434,Tabell2[[#This Row],[Beftettotal]]))</f>
        <v>4.2634653624316075</v>
      </c>
      <c r="N97" s="41">
        <f>IF(Tabell2[[#This Row],[Befvekst10]]&lt;=E$433,E$433,IF(Tabell2[[#This Row],[Befvekst10]]&gt;=E$434,E$434,Tabell2[[#This Row],[Befvekst10]]))</f>
        <v>-7.7608508192009706E-3</v>
      </c>
      <c r="O97" s="41">
        <f>IF(Tabell2[[#This Row],[Kvinneandel]]&lt;=F$433,F$433,IF(Tabell2[[#This Row],[Kvinneandel]]&gt;=F$434,F$434,Tabell2[[#This Row],[Kvinneandel]]))</f>
        <v>0.10515643105446118</v>
      </c>
      <c r="P97" s="41">
        <f>IF(Tabell2[[#This Row],[Eldreandel]]&lt;=G$433,G$433,IF(Tabell2[[#This Row],[Eldreandel]]&gt;=G$434,G$434,Tabell2[[#This Row],[Eldreandel]]))</f>
        <v>0.17526071842410196</v>
      </c>
      <c r="Q97" s="41">
        <f>IF(Tabell2[[#This Row],[Sysselsettingsvekst10]]&lt;=H$433,H$433,IF(Tabell2[[#This Row],[Sysselsettingsvekst10]]&gt;=H$434,H$434,Tabell2[[#This Row],[Sysselsettingsvekst10]]))</f>
        <v>2.0661157024792765E-3</v>
      </c>
      <c r="R97" s="41">
        <f>IF(Tabell2[[#This Row],[Yrkesaktivandel]]&lt;=I$433,I$433,IF(Tabell2[[#This Row],[Yrkesaktivandel]]&gt;=I$434,I$434,Tabell2[[#This Row],[Yrkesaktivandel]]))</f>
        <v>0.9342770475227502</v>
      </c>
      <c r="S97" s="41">
        <f>IF(Tabell2[[#This Row],[Inntekt]]&lt;=J$433,J$433,IF(Tabell2[[#This Row],[Inntekt]]&gt;=J$434,J$434,Tabell2[[#This Row],[Inntekt]]))</f>
        <v>313000</v>
      </c>
      <c r="T97" s="44">
        <f>IF(Tabell2[[#This Row],[NIBR11-T]]&lt;=K$436,100,IF(Tabell2[[#This Row],[NIBR11-T]]&gt;=K$435,0,100*(K$435-Tabell2[[#This Row],[NIBR11-T]])/K$438))</f>
        <v>30</v>
      </c>
      <c r="U97" s="44">
        <f>(L$435-Tabell2[[#This Row],[ReisetidOslo-T]])*100/L$438</f>
        <v>61.40082648284136</v>
      </c>
      <c r="V97" s="44">
        <f>100-(M$435-Tabell2[[#This Row],[Beftettotal-T]])*100/M$438</f>
        <v>2.4071400371072542</v>
      </c>
      <c r="W97" s="44">
        <f>100-(N$435-Tabell2[[#This Row],[Befvekst10-T]])*100/N$438</f>
        <v>34.819229286660473</v>
      </c>
      <c r="X97" s="44">
        <f>100-(O$435-Tabell2[[#This Row],[Kvinneandel-T]])*100/O$438</f>
        <v>36.774267627093607</v>
      </c>
      <c r="Y97" s="44">
        <f>(P$435-Tabell2[[#This Row],[Eldreandel-T]])*100/P$438</f>
        <v>27.884309859199917</v>
      </c>
      <c r="Z97" s="44">
        <f>100-(Q$435-Tabell2[[#This Row],[Sysselsettingsvekst10-T]])*100/Q$438</f>
        <v>27.70667571947115</v>
      </c>
      <c r="AA97" s="44">
        <f>100-(R$435-Tabell2[[#This Row],[Yrkesaktivandel-T]])*100/R$438</f>
        <v>80.538448641275551</v>
      </c>
      <c r="AB97" s="44">
        <f>100-(S$435-Tabell2[[#This Row],[Inntekt-T]])*100/S$438</f>
        <v>28.357803153887986</v>
      </c>
      <c r="AC97" s="44">
        <f>Tabell2[[#This Row],[NIBR11-I]]*Vekter!$B$3</f>
        <v>6</v>
      </c>
      <c r="AD97" s="44">
        <f>Tabell2[[#This Row],[ReisetidOslo-I]]*Vekter!$C$3</f>
        <v>6.1400826482841362</v>
      </c>
      <c r="AE97" s="44">
        <f>Tabell2[[#This Row],[Beftettotal-I]]*Vekter!$E$4</f>
        <v>0.24071400371072543</v>
      </c>
      <c r="AF97" s="44">
        <f>Tabell2[[#This Row],[Befvekst10-I]]*Vekter!$F$3</f>
        <v>6.9638458573320952</v>
      </c>
      <c r="AG97" s="44">
        <f>Tabell2[[#This Row],[Kvinneandel-I]]*Vekter!$G$3</f>
        <v>1.8387133813546805</v>
      </c>
      <c r="AH97" s="44">
        <f>Tabell2[[#This Row],[Eldreandel-I]]*Vekter!$H$3</f>
        <v>1.3942154929599959</v>
      </c>
      <c r="AI97" s="44">
        <f>Tabell2[[#This Row],[Sysselsettingsvekst10-I]]*Vekter!$I$3</f>
        <v>2.770667571947115</v>
      </c>
      <c r="AJ97" s="44">
        <f>Tabell2[[#This Row],[Yrkesaktivandel-I]]*Vekter!$K$3</f>
        <v>8.0538448641275551</v>
      </c>
      <c r="AK97" s="44">
        <f>Tabell2[[#This Row],[Inntekt-I]]*Vekter!$M$3</f>
        <v>2.8357803153887988</v>
      </c>
      <c r="AL9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36.237864135105099</v>
      </c>
    </row>
    <row r="98" spans="1:38" s="38" customFormat="1" ht="12.75">
      <c r="A98" s="42" t="s">
        <v>96</v>
      </c>
      <c r="B98" s="38">
        <f>'Rådata-K'!Q98</f>
        <v>8</v>
      </c>
      <c r="C98" s="44">
        <f>'Rådata-K'!P98</f>
        <v>157.46708989199999</v>
      </c>
      <c r="D98" s="41">
        <f>'Rådata-K'!R98</f>
        <v>8.6029784596893837</v>
      </c>
      <c r="E98" s="41">
        <f>'Rådata-K'!S98</f>
        <v>3.7599093997735089E-2</v>
      </c>
      <c r="F98" s="41">
        <f>'Rådata-K'!T98</f>
        <v>0.114603798297315</v>
      </c>
      <c r="G98" s="41">
        <f>'Rådata-K'!U98</f>
        <v>0.16350141890416939</v>
      </c>
      <c r="H98" s="41">
        <f>'Rådata-K'!V98</f>
        <v>4.1712403951701393E-2</v>
      </c>
      <c r="I98" s="41">
        <f>'Rådata-K'!W98</f>
        <v>0.92629179331306988</v>
      </c>
      <c r="J98" s="41">
        <f>'Rådata-K'!O98</f>
        <v>328500</v>
      </c>
      <c r="K98" s="41">
        <f>Tabell2[[#This Row],[NIBR11]]</f>
        <v>8</v>
      </c>
      <c r="L98" s="41">
        <f>IF(Tabell2[[#This Row],[ReisetidOslo]]&lt;=C$433,C$433,IF(Tabell2[[#This Row],[ReisetidOslo]]&gt;=C$434,C$434,Tabell2[[#This Row],[ReisetidOslo]]))</f>
        <v>157.46708989199999</v>
      </c>
      <c r="M98" s="41">
        <f>IF(Tabell2[[#This Row],[Beftettotal]]&lt;=D$433,D$433,IF(Tabell2[[#This Row],[Beftettotal]]&gt;=D$434,D$434,Tabell2[[#This Row],[Beftettotal]]))</f>
        <v>8.6029784596893837</v>
      </c>
      <c r="N98" s="41">
        <f>IF(Tabell2[[#This Row],[Befvekst10]]&lt;=E$433,E$433,IF(Tabell2[[#This Row],[Befvekst10]]&gt;=E$434,E$434,Tabell2[[#This Row],[Befvekst10]]))</f>
        <v>3.7599093997735089E-2</v>
      </c>
      <c r="O98" s="41">
        <f>IF(Tabell2[[#This Row],[Kvinneandel]]&lt;=F$433,F$433,IF(Tabell2[[#This Row],[Kvinneandel]]&gt;=F$434,F$434,Tabell2[[#This Row],[Kvinneandel]]))</f>
        <v>0.114603798297315</v>
      </c>
      <c r="P98" s="41">
        <f>IF(Tabell2[[#This Row],[Eldreandel]]&lt;=G$433,G$433,IF(Tabell2[[#This Row],[Eldreandel]]&gt;=G$434,G$434,Tabell2[[#This Row],[Eldreandel]]))</f>
        <v>0.16350141890416939</v>
      </c>
      <c r="Q98" s="41">
        <f>IF(Tabell2[[#This Row],[Sysselsettingsvekst10]]&lt;=H$433,H$433,IF(Tabell2[[#This Row],[Sysselsettingsvekst10]]&gt;=H$434,H$434,Tabell2[[#This Row],[Sysselsettingsvekst10]]))</f>
        <v>4.1712403951701393E-2</v>
      </c>
      <c r="R98" s="41">
        <f>IF(Tabell2[[#This Row],[Yrkesaktivandel]]&lt;=I$433,I$433,IF(Tabell2[[#This Row],[Yrkesaktivandel]]&gt;=I$434,I$434,Tabell2[[#This Row],[Yrkesaktivandel]]))</f>
        <v>0.92629179331306988</v>
      </c>
      <c r="S98" s="41">
        <f>IF(Tabell2[[#This Row],[Inntekt]]&lt;=J$433,J$433,IF(Tabell2[[#This Row],[Inntekt]]&gt;=J$434,J$434,Tabell2[[#This Row],[Inntekt]]))</f>
        <v>328500</v>
      </c>
      <c r="T98" s="44">
        <f>IF(Tabell2[[#This Row],[NIBR11-T]]&lt;=K$436,100,IF(Tabell2[[#This Row],[NIBR11-T]]&gt;=K$435,0,100*(K$435-Tabell2[[#This Row],[NIBR11-T]])/K$438))</f>
        <v>30</v>
      </c>
      <c r="U98" s="44">
        <f>(L$435-Tabell2[[#This Row],[ReisetidOslo-T]])*100/L$438</f>
        <v>53.979280161432222</v>
      </c>
      <c r="V98" s="44">
        <f>100-(M$435-Tabell2[[#This Row],[Beftettotal-T]])*100/M$438</f>
        <v>5.9568913137802042</v>
      </c>
      <c r="W98" s="44">
        <f>100-(N$435-Tabell2[[#This Row],[Befvekst10-T]])*100/N$438</f>
        <v>53.585313296746243</v>
      </c>
      <c r="X98" s="44">
        <f>100-(O$435-Tabell2[[#This Row],[Kvinneandel-T]])*100/O$438</f>
        <v>62.626620752567646</v>
      </c>
      <c r="Y98" s="44">
        <f>(P$435-Tabell2[[#This Row],[Eldreandel-T]])*100/P$438</f>
        <v>41.729657981776441</v>
      </c>
      <c r="Z98" s="44">
        <f>100-(Q$435-Tabell2[[#This Row],[Sysselsettingsvekst10-T]])*100/Q$438</f>
        <v>39.363361591479347</v>
      </c>
      <c r="AA98" s="44">
        <f>100-(R$435-Tabell2[[#This Row],[Yrkesaktivandel-T]])*100/R$438</f>
        <v>74.575207650628812</v>
      </c>
      <c r="AB98" s="44">
        <f>100-(S$435-Tabell2[[#This Row],[Inntekt-T]])*100/S$438</f>
        <v>49.429037520391518</v>
      </c>
      <c r="AC98" s="44">
        <f>Tabell2[[#This Row],[NIBR11-I]]*Vekter!$B$3</f>
        <v>6</v>
      </c>
      <c r="AD98" s="44">
        <f>Tabell2[[#This Row],[ReisetidOslo-I]]*Vekter!$C$3</f>
        <v>5.3979280161432222</v>
      </c>
      <c r="AE98" s="44">
        <f>Tabell2[[#This Row],[Beftettotal-I]]*Vekter!$E$4</f>
        <v>0.59568913137802049</v>
      </c>
      <c r="AF98" s="44">
        <f>Tabell2[[#This Row],[Befvekst10-I]]*Vekter!$F$3</f>
        <v>10.717062659349249</v>
      </c>
      <c r="AG98" s="44">
        <f>Tabell2[[#This Row],[Kvinneandel-I]]*Vekter!$G$3</f>
        <v>3.1313310376283825</v>
      </c>
      <c r="AH98" s="44">
        <f>Tabell2[[#This Row],[Eldreandel-I]]*Vekter!$H$3</f>
        <v>2.0864828990888222</v>
      </c>
      <c r="AI98" s="44">
        <f>Tabell2[[#This Row],[Sysselsettingsvekst10-I]]*Vekter!$I$3</f>
        <v>3.9363361591479347</v>
      </c>
      <c r="AJ98" s="44">
        <f>Tabell2[[#This Row],[Yrkesaktivandel-I]]*Vekter!$K$3</f>
        <v>7.4575207650628812</v>
      </c>
      <c r="AK98" s="44">
        <f>Tabell2[[#This Row],[Inntekt-I]]*Vekter!$M$3</f>
        <v>4.9429037520391521</v>
      </c>
      <c r="AL9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44.26525441983766</v>
      </c>
    </row>
    <row r="99" spans="1:38" s="38" customFormat="1" ht="12.75">
      <c r="A99" s="42" t="s">
        <v>97</v>
      </c>
      <c r="B99" s="38">
        <f>'Rådata-K'!Q99</f>
        <v>8</v>
      </c>
      <c r="C99" s="44">
        <f>'Rådata-K'!P99</f>
        <v>182.42166606500001</v>
      </c>
      <c r="D99" s="41">
        <f>'Rådata-K'!R99</f>
        <v>2.9567109907901372</v>
      </c>
      <c r="E99" s="41">
        <f>'Rådata-K'!S99</f>
        <v>0.15981259760541389</v>
      </c>
      <c r="F99" s="41">
        <f>'Rådata-K'!T99</f>
        <v>0.14003590664272891</v>
      </c>
      <c r="G99" s="41">
        <f>'Rådata-K'!U99</f>
        <v>0.12028725314183124</v>
      </c>
      <c r="H99" s="41">
        <f>'Rådata-K'!V99</f>
        <v>9.4129554655870473E-2</v>
      </c>
      <c r="I99" s="41">
        <f>'Rådata-K'!W99</f>
        <v>0.92798199549887472</v>
      </c>
      <c r="J99" s="41">
        <f>'Rådata-K'!O99</f>
        <v>349100</v>
      </c>
      <c r="K99" s="41">
        <f>Tabell2[[#This Row],[NIBR11]]</f>
        <v>8</v>
      </c>
      <c r="L99" s="41">
        <f>IF(Tabell2[[#This Row],[ReisetidOslo]]&lt;=C$433,C$433,IF(Tabell2[[#This Row],[ReisetidOslo]]&gt;=C$434,C$434,Tabell2[[#This Row],[ReisetidOslo]]))</f>
        <v>182.42166606500001</v>
      </c>
      <c r="M99" s="41">
        <f>IF(Tabell2[[#This Row],[Beftettotal]]&lt;=D$433,D$433,IF(Tabell2[[#This Row],[Beftettotal]]&gt;=D$434,D$434,Tabell2[[#This Row],[Beftettotal]]))</f>
        <v>2.9567109907901372</v>
      </c>
      <c r="N99" s="41">
        <f>IF(Tabell2[[#This Row],[Befvekst10]]&lt;=E$433,E$433,IF(Tabell2[[#This Row],[Befvekst10]]&gt;=E$434,E$434,Tabell2[[#This Row],[Befvekst10]]))</f>
        <v>0.149789129298837</v>
      </c>
      <c r="O99" s="41">
        <f>IF(Tabell2[[#This Row],[Kvinneandel]]&lt;=F$433,F$433,IF(Tabell2[[#This Row],[Kvinneandel]]&gt;=F$434,F$434,Tabell2[[#This Row],[Kvinneandel]]))</f>
        <v>0.12826135732659469</v>
      </c>
      <c r="P99" s="41">
        <f>IF(Tabell2[[#This Row],[Eldreandel]]&lt;=G$433,G$433,IF(Tabell2[[#This Row],[Eldreandel]]&gt;=G$434,G$434,Tabell2[[#This Row],[Eldreandel]]))</f>
        <v>0.12028725314183124</v>
      </c>
      <c r="Q99" s="41">
        <f>IF(Tabell2[[#This Row],[Sysselsettingsvekst10]]&lt;=H$433,H$433,IF(Tabell2[[#This Row],[Sysselsettingsvekst10]]&gt;=H$434,H$434,Tabell2[[#This Row],[Sysselsettingsvekst10]]))</f>
        <v>9.4129554655870473E-2</v>
      </c>
      <c r="R99" s="41">
        <f>IF(Tabell2[[#This Row],[Yrkesaktivandel]]&lt;=I$433,I$433,IF(Tabell2[[#This Row],[Yrkesaktivandel]]&gt;=I$434,I$434,Tabell2[[#This Row],[Yrkesaktivandel]]))</f>
        <v>0.92798199549887472</v>
      </c>
      <c r="S99" s="41">
        <f>IF(Tabell2[[#This Row],[Inntekt]]&lt;=J$433,J$433,IF(Tabell2[[#This Row],[Inntekt]]&gt;=J$434,J$434,Tabell2[[#This Row],[Inntekt]]))</f>
        <v>349100</v>
      </c>
      <c r="T99" s="44">
        <f>IF(Tabell2[[#This Row],[NIBR11-T]]&lt;=K$436,100,IF(Tabell2[[#This Row],[NIBR11-T]]&gt;=K$435,0,100*(K$435-Tabell2[[#This Row],[NIBR11-T]])/K$438))</f>
        <v>30</v>
      </c>
      <c r="U99" s="44">
        <f>(L$435-Tabell2[[#This Row],[ReisetidOslo-T]])*100/L$438</f>
        <v>42.9006813000412</v>
      </c>
      <c r="V99" s="44">
        <f>100-(M$435-Tabell2[[#This Row],[Beftettotal-T]])*100/M$438</f>
        <v>1.3382060587852465</v>
      </c>
      <c r="W99" s="44">
        <f>100-(N$435-Tabell2[[#This Row],[Befvekst10-T]])*100/N$438</f>
        <v>100</v>
      </c>
      <c r="X99" s="44">
        <f>100-(O$435-Tabell2[[#This Row],[Kvinneandel-T]])*100/O$438</f>
        <v>100</v>
      </c>
      <c r="Y99" s="44">
        <f>(P$435-Tabell2[[#This Row],[Eldreandel-T]])*100/P$438</f>
        <v>92.609828845026129</v>
      </c>
      <c r="Z99" s="44">
        <f>100-(Q$435-Tabell2[[#This Row],[Sysselsettingsvekst10-T]])*100/Q$438</f>
        <v>54.77489914130787</v>
      </c>
      <c r="AA99" s="44">
        <f>100-(R$435-Tabell2[[#This Row],[Yrkesaktivandel-T]])*100/R$438</f>
        <v>75.837419559255778</v>
      </c>
      <c r="AB99" s="44">
        <f>100-(S$435-Tabell2[[#This Row],[Inntekt-T]])*100/S$438</f>
        <v>77.433387710712339</v>
      </c>
      <c r="AC99" s="44">
        <f>Tabell2[[#This Row],[NIBR11-I]]*Vekter!$B$3</f>
        <v>6</v>
      </c>
      <c r="AD99" s="44">
        <f>Tabell2[[#This Row],[ReisetidOslo-I]]*Vekter!$C$3</f>
        <v>4.2900681300041201</v>
      </c>
      <c r="AE99" s="44">
        <f>Tabell2[[#This Row],[Beftettotal-I]]*Vekter!$E$4</f>
        <v>0.13382060587852465</v>
      </c>
      <c r="AF99" s="44">
        <f>Tabell2[[#This Row],[Befvekst10-I]]*Vekter!$F$3</f>
        <v>20</v>
      </c>
      <c r="AG99" s="44">
        <f>Tabell2[[#This Row],[Kvinneandel-I]]*Vekter!$G$3</f>
        <v>5</v>
      </c>
      <c r="AH99" s="44">
        <f>Tabell2[[#This Row],[Eldreandel-I]]*Vekter!$H$3</f>
        <v>4.6304914422513068</v>
      </c>
      <c r="AI99" s="44">
        <f>Tabell2[[#This Row],[Sysselsettingsvekst10-I]]*Vekter!$I$3</f>
        <v>5.4774899141307873</v>
      </c>
      <c r="AJ99" s="44">
        <f>Tabell2[[#This Row],[Yrkesaktivandel-I]]*Vekter!$K$3</f>
        <v>7.5837419559255785</v>
      </c>
      <c r="AK99" s="44">
        <f>Tabell2[[#This Row],[Inntekt-I]]*Vekter!$M$3</f>
        <v>7.743338771071234</v>
      </c>
      <c r="AL9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60.858950819261551</v>
      </c>
    </row>
    <row r="100" spans="1:38" s="38" customFormat="1" ht="12.75">
      <c r="A100" s="42" t="s">
        <v>98</v>
      </c>
      <c r="B100" s="38">
        <f>'Rådata-K'!Q100</f>
        <v>8</v>
      </c>
      <c r="C100" s="44">
        <f>'Rådata-K'!P100</f>
        <v>175.17831171200001</v>
      </c>
      <c r="D100" s="41">
        <f>'Rådata-K'!R100</f>
        <v>4.035134007983455</v>
      </c>
      <c r="E100" s="41">
        <f>'Rådata-K'!S100</f>
        <v>2.3255813953488857E-3</v>
      </c>
      <c r="F100" s="41">
        <f>'Rådata-K'!T100</f>
        <v>0.10166631512339169</v>
      </c>
      <c r="G100" s="41">
        <f>'Rådata-K'!U100</f>
        <v>0.16325669689938832</v>
      </c>
      <c r="H100" s="41">
        <f>'Rådata-K'!V100</f>
        <v>3.5549979088247641E-2</v>
      </c>
      <c r="I100" s="41">
        <f>'Rådata-K'!W100</f>
        <v>0.9471498678746697</v>
      </c>
      <c r="J100" s="41">
        <f>'Rådata-K'!O100</f>
        <v>324000</v>
      </c>
      <c r="K100" s="41">
        <f>Tabell2[[#This Row],[NIBR11]]</f>
        <v>8</v>
      </c>
      <c r="L100" s="41">
        <f>IF(Tabell2[[#This Row],[ReisetidOslo]]&lt;=C$433,C$433,IF(Tabell2[[#This Row],[ReisetidOslo]]&gt;=C$434,C$434,Tabell2[[#This Row],[ReisetidOslo]]))</f>
        <v>175.17831171200001</v>
      </c>
      <c r="M100" s="41">
        <f>IF(Tabell2[[#This Row],[Beftettotal]]&lt;=D$433,D$433,IF(Tabell2[[#This Row],[Beftettotal]]&gt;=D$434,D$434,Tabell2[[#This Row],[Beftettotal]]))</f>
        <v>4.035134007983455</v>
      </c>
      <c r="N100" s="41">
        <f>IF(Tabell2[[#This Row],[Befvekst10]]&lt;=E$433,E$433,IF(Tabell2[[#This Row],[Befvekst10]]&gt;=E$434,E$434,Tabell2[[#This Row],[Befvekst10]]))</f>
        <v>2.3255813953488857E-3</v>
      </c>
      <c r="O100" s="41">
        <f>IF(Tabell2[[#This Row],[Kvinneandel]]&lt;=F$433,F$433,IF(Tabell2[[#This Row],[Kvinneandel]]&gt;=F$434,F$434,Tabell2[[#This Row],[Kvinneandel]]))</f>
        <v>0.10166631512339169</v>
      </c>
      <c r="P100" s="41">
        <f>IF(Tabell2[[#This Row],[Eldreandel]]&lt;=G$433,G$433,IF(Tabell2[[#This Row],[Eldreandel]]&gt;=G$434,G$434,Tabell2[[#This Row],[Eldreandel]]))</f>
        <v>0.16325669689938832</v>
      </c>
      <c r="Q100" s="41">
        <f>IF(Tabell2[[#This Row],[Sysselsettingsvekst10]]&lt;=H$433,H$433,IF(Tabell2[[#This Row],[Sysselsettingsvekst10]]&gt;=H$434,H$434,Tabell2[[#This Row],[Sysselsettingsvekst10]]))</f>
        <v>3.5549979088247641E-2</v>
      </c>
      <c r="R100" s="41">
        <f>IF(Tabell2[[#This Row],[Yrkesaktivandel]]&lt;=I$433,I$433,IF(Tabell2[[#This Row],[Yrkesaktivandel]]&gt;=I$434,I$434,Tabell2[[#This Row],[Yrkesaktivandel]]))</f>
        <v>0.9471498678746697</v>
      </c>
      <c r="S100" s="41">
        <f>IF(Tabell2[[#This Row],[Inntekt]]&lt;=J$433,J$433,IF(Tabell2[[#This Row],[Inntekt]]&gt;=J$434,J$434,Tabell2[[#This Row],[Inntekt]]))</f>
        <v>324000</v>
      </c>
      <c r="T100" s="44">
        <f>IF(Tabell2[[#This Row],[NIBR11-T]]&lt;=K$436,100,IF(Tabell2[[#This Row],[NIBR11-T]]&gt;=K$435,0,100*(K$435-Tabell2[[#This Row],[NIBR11-T]])/K$438))</f>
        <v>30</v>
      </c>
      <c r="U100" s="44">
        <f>(L$435-Tabell2[[#This Row],[ReisetidOslo-T]])*100/L$438</f>
        <v>46.116372752041137</v>
      </c>
      <c r="V100" s="44">
        <f>100-(M$435-Tabell2[[#This Row],[Beftettotal-T]])*100/M$438</f>
        <v>2.2203634336516842</v>
      </c>
      <c r="W100" s="44">
        <f>100-(N$435-Tabell2[[#This Row],[Befvekst10-T]])*100/N$438</f>
        <v>38.992136353990183</v>
      </c>
      <c r="X100" s="44">
        <f>100-(O$435-Tabell2[[#This Row],[Kvinneandel-T]])*100/O$438</f>
        <v>27.223701085171442</v>
      </c>
      <c r="Y100" s="44">
        <f>(P$435-Tabell2[[#This Row],[Eldreandel-T]])*100/P$438</f>
        <v>42.017792606096997</v>
      </c>
      <c r="Z100" s="44">
        <f>100-(Q$435-Tabell2[[#This Row],[Sysselsettingsvekst10-T]])*100/Q$438</f>
        <v>37.551503432360434</v>
      </c>
      <c r="AA100" s="44">
        <f>100-(R$435-Tabell2[[#This Row],[Yrkesaktivandel-T]])*100/R$438</f>
        <v>90.151634141962475</v>
      </c>
      <c r="AB100" s="44">
        <f>100-(S$435-Tabell2[[#This Row],[Inntekt-T]])*100/S$438</f>
        <v>43.311582381729202</v>
      </c>
      <c r="AC100" s="44">
        <f>Tabell2[[#This Row],[NIBR11-I]]*Vekter!$B$3</f>
        <v>6</v>
      </c>
      <c r="AD100" s="44">
        <f>Tabell2[[#This Row],[ReisetidOslo-I]]*Vekter!$C$3</f>
        <v>4.6116372752041137</v>
      </c>
      <c r="AE100" s="44">
        <f>Tabell2[[#This Row],[Beftettotal-I]]*Vekter!$E$4</f>
        <v>0.22203634336516842</v>
      </c>
      <c r="AF100" s="44">
        <f>Tabell2[[#This Row],[Befvekst10-I]]*Vekter!$F$3</f>
        <v>7.7984272707980367</v>
      </c>
      <c r="AG100" s="44">
        <f>Tabell2[[#This Row],[Kvinneandel-I]]*Vekter!$G$3</f>
        <v>1.3611850542585722</v>
      </c>
      <c r="AH100" s="44">
        <f>Tabell2[[#This Row],[Eldreandel-I]]*Vekter!$H$3</f>
        <v>2.1008896303048501</v>
      </c>
      <c r="AI100" s="44">
        <f>Tabell2[[#This Row],[Sysselsettingsvekst10-I]]*Vekter!$I$3</f>
        <v>3.7551503432360436</v>
      </c>
      <c r="AJ100" s="44">
        <f>Tabell2[[#This Row],[Yrkesaktivandel-I]]*Vekter!$K$3</f>
        <v>9.0151634141962482</v>
      </c>
      <c r="AK100" s="44">
        <f>Tabell2[[#This Row],[Inntekt-I]]*Vekter!$M$3</f>
        <v>4.3311582381729208</v>
      </c>
      <c r="AL10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39.19564756953595</v>
      </c>
    </row>
    <row r="101" spans="1:38" s="38" customFormat="1" ht="12.75">
      <c r="A101" s="42" t="s">
        <v>99</v>
      </c>
      <c r="B101" s="38">
        <f>'Rådata-K'!Q101</f>
        <v>8</v>
      </c>
      <c r="C101" s="44">
        <f>'Rådata-K'!P101</f>
        <v>189.84361056099999</v>
      </c>
      <c r="D101" s="41">
        <f>'Rådata-K'!R101</f>
        <v>2.4031747572292046</v>
      </c>
      <c r="E101" s="41">
        <f>'Rådata-K'!S101</f>
        <v>-2.6430755788553917E-2</v>
      </c>
      <c r="F101" s="41">
        <f>'Rådata-K'!T101</f>
        <v>0.11599730760601301</v>
      </c>
      <c r="G101" s="41">
        <f>'Rådata-K'!U101</f>
        <v>0.16288983621269912</v>
      </c>
      <c r="H101" s="41">
        <f>'Rådata-K'!V101</f>
        <v>-1.0766580534022352E-2</v>
      </c>
      <c r="I101" s="41">
        <f>'Rådata-K'!W101</f>
        <v>0.9580657347941065</v>
      </c>
      <c r="J101" s="41">
        <f>'Rådata-K'!O101</f>
        <v>335800</v>
      </c>
      <c r="K101" s="41">
        <f>Tabell2[[#This Row],[NIBR11]]</f>
        <v>8</v>
      </c>
      <c r="L101" s="41">
        <f>IF(Tabell2[[#This Row],[ReisetidOslo]]&lt;=C$433,C$433,IF(Tabell2[[#This Row],[ReisetidOslo]]&gt;=C$434,C$434,Tabell2[[#This Row],[ReisetidOslo]]))</f>
        <v>189.84361056099999</v>
      </c>
      <c r="M101" s="41">
        <f>IF(Tabell2[[#This Row],[Beftettotal]]&lt;=D$433,D$433,IF(Tabell2[[#This Row],[Beftettotal]]&gt;=D$434,D$434,Tabell2[[#This Row],[Beftettotal]]))</f>
        <v>2.4031747572292046</v>
      </c>
      <c r="N101" s="41">
        <f>IF(Tabell2[[#This Row],[Befvekst10]]&lt;=E$433,E$433,IF(Tabell2[[#This Row],[Befvekst10]]&gt;=E$434,E$434,Tabell2[[#This Row],[Befvekst10]]))</f>
        <v>-2.6430755788553917E-2</v>
      </c>
      <c r="O101" s="41">
        <f>IF(Tabell2[[#This Row],[Kvinneandel]]&lt;=F$433,F$433,IF(Tabell2[[#This Row],[Kvinneandel]]&gt;=F$434,F$434,Tabell2[[#This Row],[Kvinneandel]]))</f>
        <v>0.11599730760601301</v>
      </c>
      <c r="P101" s="41">
        <f>IF(Tabell2[[#This Row],[Eldreandel]]&lt;=G$433,G$433,IF(Tabell2[[#This Row],[Eldreandel]]&gt;=G$434,G$434,Tabell2[[#This Row],[Eldreandel]]))</f>
        <v>0.16288983621269912</v>
      </c>
      <c r="Q101" s="41">
        <f>IF(Tabell2[[#This Row],[Sysselsettingsvekst10]]&lt;=H$433,H$433,IF(Tabell2[[#This Row],[Sysselsettingsvekst10]]&gt;=H$434,H$434,Tabell2[[#This Row],[Sysselsettingsvekst10]]))</f>
        <v>-1.0766580534022352E-2</v>
      </c>
      <c r="R101" s="41">
        <f>IF(Tabell2[[#This Row],[Yrkesaktivandel]]&lt;=I$433,I$433,IF(Tabell2[[#This Row],[Yrkesaktivandel]]&gt;=I$434,I$434,Tabell2[[#This Row],[Yrkesaktivandel]]))</f>
        <v>0.9580657347941065</v>
      </c>
      <c r="S101" s="41">
        <f>IF(Tabell2[[#This Row],[Inntekt]]&lt;=J$433,J$433,IF(Tabell2[[#This Row],[Inntekt]]&gt;=J$434,J$434,Tabell2[[#This Row],[Inntekt]]))</f>
        <v>335800</v>
      </c>
      <c r="T101" s="44">
        <f>IF(Tabell2[[#This Row],[NIBR11-T]]&lt;=K$436,100,IF(Tabell2[[#This Row],[NIBR11-T]]&gt;=K$435,0,100*(K$435-Tabell2[[#This Row],[NIBR11-T]])/K$438))</f>
        <v>30</v>
      </c>
      <c r="U101" s="44">
        <f>(L$435-Tabell2[[#This Row],[ReisetidOslo-T]])*100/L$438</f>
        <v>39.605704648357687</v>
      </c>
      <c r="V101" s="44">
        <f>100-(M$435-Tabell2[[#This Row],[Beftettotal-T]])*100/M$438</f>
        <v>0.88540964874346173</v>
      </c>
      <c r="W101" s="44">
        <f>100-(N$435-Tabell2[[#This Row],[Befvekst10-T]])*100/N$438</f>
        <v>27.095211840669648</v>
      </c>
      <c r="X101" s="44">
        <f>100-(O$435-Tabell2[[#This Row],[Kvinneandel-T]])*100/O$438</f>
        <v>66.439904793086626</v>
      </c>
      <c r="Y101" s="44">
        <f>(P$435-Tabell2[[#This Row],[Eldreandel-T]])*100/P$438</f>
        <v>42.449732783408564</v>
      </c>
      <c r="Z101" s="44">
        <f>100-(Q$435-Tabell2[[#This Row],[Sysselsettingsvekst10-T]])*100/Q$438</f>
        <v>23.933643853802451</v>
      </c>
      <c r="AA101" s="44">
        <f>100-(R$435-Tabell2[[#This Row],[Yrkesaktivandel-T]])*100/R$438</f>
        <v>98.303402808703069</v>
      </c>
      <c r="AB101" s="44">
        <f>100-(S$435-Tabell2[[#This Row],[Inntekt-T]])*100/S$438</f>
        <v>59.352909189777051</v>
      </c>
      <c r="AC101" s="44">
        <f>Tabell2[[#This Row],[NIBR11-I]]*Vekter!$B$3</f>
        <v>6</v>
      </c>
      <c r="AD101" s="44">
        <f>Tabell2[[#This Row],[ReisetidOslo-I]]*Vekter!$C$3</f>
        <v>3.9605704648357687</v>
      </c>
      <c r="AE101" s="44">
        <f>Tabell2[[#This Row],[Beftettotal-I]]*Vekter!$E$4</f>
        <v>8.8540964874346179E-2</v>
      </c>
      <c r="AF101" s="44">
        <f>Tabell2[[#This Row],[Befvekst10-I]]*Vekter!$F$3</f>
        <v>5.4190423681339297</v>
      </c>
      <c r="AG101" s="44">
        <f>Tabell2[[#This Row],[Kvinneandel-I]]*Vekter!$G$3</f>
        <v>3.3219952396543313</v>
      </c>
      <c r="AH101" s="44">
        <f>Tabell2[[#This Row],[Eldreandel-I]]*Vekter!$H$3</f>
        <v>2.1224866391704285</v>
      </c>
      <c r="AI101" s="44">
        <f>Tabell2[[#This Row],[Sysselsettingsvekst10-I]]*Vekter!$I$3</f>
        <v>2.3933643853802451</v>
      </c>
      <c r="AJ101" s="44">
        <f>Tabell2[[#This Row],[Yrkesaktivandel-I]]*Vekter!$K$3</f>
        <v>9.830340280870308</v>
      </c>
      <c r="AK101" s="44">
        <f>Tabell2[[#This Row],[Inntekt-I]]*Vekter!$M$3</f>
        <v>5.9352909189777057</v>
      </c>
      <c r="AL10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39.07163126189706</v>
      </c>
    </row>
    <row r="102" spans="1:38" s="38" customFormat="1" ht="12.75">
      <c r="A102" s="42" t="s">
        <v>100</v>
      </c>
      <c r="B102" s="38">
        <f>'Rådata-K'!Q102</f>
        <v>2</v>
      </c>
      <c r="C102" s="44">
        <f>'Rådata-K'!P102</f>
        <v>83.177573943799999</v>
      </c>
      <c r="D102" s="41">
        <f>'Rådata-K'!R102</f>
        <v>4.1968918068598695</v>
      </c>
      <c r="E102" s="41">
        <f>'Rådata-K'!S102</f>
        <v>-2.5395033860045046E-3</v>
      </c>
      <c r="F102" s="41">
        <f>'Rådata-K'!T102</f>
        <v>0.1041018387553041</v>
      </c>
      <c r="G102" s="41">
        <f>'Rådata-K'!U102</f>
        <v>0.17878359264497878</v>
      </c>
      <c r="H102" s="41">
        <f>'Rådata-K'!V102</f>
        <v>0.14569536423841067</v>
      </c>
      <c r="I102" s="41">
        <f>'Rådata-K'!W102</f>
        <v>0.97398699349674833</v>
      </c>
      <c r="J102" s="41">
        <f>'Rådata-K'!O102</f>
        <v>325100</v>
      </c>
      <c r="K102" s="41">
        <f>Tabell2[[#This Row],[NIBR11]]</f>
        <v>2</v>
      </c>
      <c r="L102" s="41">
        <f>IF(Tabell2[[#This Row],[ReisetidOslo]]&lt;=C$433,C$433,IF(Tabell2[[#This Row],[ReisetidOslo]]&gt;=C$434,C$434,Tabell2[[#This Row],[ReisetidOslo]]))</f>
        <v>83.177573943799999</v>
      </c>
      <c r="M102" s="41">
        <f>IF(Tabell2[[#This Row],[Beftettotal]]&lt;=D$433,D$433,IF(Tabell2[[#This Row],[Beftettotal]]&gt;=D$434,D$434,Tabell2[[#This Row],[Beftettotal]]))</f>
        <v>4.1968918068598695</v>
      </c>
      <c r="N102" s="41">
        <f>IF(Tabell2[[#This Row],[Befvekst10]]&lt;=E$433,E$433,IF(Tabell2[[#This Row],[Befvekst10]]&gt;=E$434,E$434,Tabell2[[#This Row],[Befvekst10]]))</f>
        <v>-2.5395033860045046E-3</v>
      </c>
      <c r="O102" s="41">
        <f>IF(Tabell2[[#This Row],[Kvinneandel]]&lt;=F$433,F$433,IF(Tabell2[[#This Row],[Kvinneandel]]&gt;=F$434,F$434,Tabell2[[#This Row],[Kvinneandel]]))</f>
        <v>0.1041018387553041</v>
      </c>
      <c r="P102" s="41">
        <f>IF(Tabell2[[#This Row],[Eldreandel]]&lt;=G$433,G$433,IF(Tabell2[[#This Row],[Eldreandel]]&gt;=G$434,G$434,Tabell2[[#This Row],[Eldreandel]]))</f>
        <v>0.17878359264497878</v>
      </c>
      <c r="Q102" s="41">
        <f>IF(Tabell2[[#This Row],[Sysselsettingsvekst10]]&lt;=H$433,H$433,IF(Tabell2[[#This Row],[Sysselsettingsvekst10]]&gt;=H$434,H$434,Tabell2[[#This Row],[Sysselsettingsvekst10]]))</f>
        <v>0.14569536423841067</v>
      </c>
      <c r="R102" s="41">
        <f>IF(Tabell2[[#This Row],[Yrkesaktivandel]]&lt;=I$433,I$433,IF(Tabell2[[#This Row],[Yrkesaktivandel]]&gt;=I$434,I$434,Tabell2[[#This Row],[Yrkesaktivandel]]))</f>
        <v>0.96033761343949164</v>
      </c>
      <c r="S102" s="41">
        <f>IF(Tabell2[[#This Row],[Inntekt]]&lt;=J$433,J$433,IF(Tabell2[[#This Row],[Inntekt]]&gt;=J$434,J$434,Tabell2[[#This Row],[Inntekt]]))</f>
        <v>325100</v>
      </c>
      <c r="T102" s="44">
        <f>IF(Tabell2[[#This Row],[NIBR11-T]]&lt;=K$436,100,IF(Tabell2[[#This Row],[NIBR11-T]]&gt;=K$435,0,100*(K$435-Tabell2[[#This Row],[NIBR11-T]])/K$438))</f>
        <v>90</v>
      </c>
      <c r="U102" s="44">
        <f>(L$435-Tabell2[[#This Row],[ReisetidOslo-T]])*100/L$438</f>
        <v>86.960154734950393</v>
      </c>
      <c r="V102" s="44">
        <f>100-(M$435-Tabell2[[#This Row],[Beftettotal-T]])*100/M$438</f>
        <v>2.3526824151144154</v>
      </c>
      <c r="W102" s="44">
        <f>100-(N$435-Tabell2[[#This Row],[Befvekst10-T]])*100/N$438</f>
        <v>36.97937839999507</v>
      </c>
      <c r="X102" s="44">
        <f>100-(O$435-Tabell2[[#This Row],[Kvinneandel-T]])*100/O$438</f>
        <v>33.888416805338224</v>
      </c>
      <c r="Y102" s="44">
        <f>(P$435-Tabell2[[#This Row],[Eldreandel-T]])*100/P$438</f>
        <v>23.736493069822831</v>
      </c>
      <c r="Z102" s="44">
        <f>100-(Q$435-Tabell2[[#This Row],[Sysselsettingsvekst10-T]])*100/Q$438</f>
        <v>69.936127861155427</v>
      </c>
      <c r="AA102" s="44">
        <f>100-(R$435-Tabell2[[#This Row],[Yrkesaktivandel-T]])*100/R$438</f>
        <v>100</v>
      </c>
      <c r="AB102" s="44">
        <f>100-(S$435-Tabell2[[#This Row],[Inntekt-T]])*100/S$438</f>
        <v>44.806960304513325</v>
      </c>
      <c r="AC102" s="44">
        <f>Tabell2[[#This Row],[NIBR11-I]]*Vekter!$B$3</f>
        <v>18</v>
      </c>
      <c r="AD102" s="44">
        <f>Tabell2[[#This Row],[ReisetidOslo-I]]*Vekter!$C$3</f>
        <v>8.6960154734950397</v>
      </c>
      <c r="AE102" s="44">
        <f>Tabell2[[#This Row],[Beftettotal-I]]*Vekter!$E$4</f>
        <v>0.23526824151144154</v>
      </c>
      <c r="AF102" s="44">
        <f>Tabell2[[#This Row],[Befvekst10-I]]*Vekter!$F$3</f>
        <v>7.3958756799990146</v>
      </c>
      <c r="AG102" s="44">
        <f>Tabell2[[#This Row],[Kvinneandel-I]]*Vekter!$G$3</f>
        <v>1.6944208402669112</v>
      </c>
      <c r="AH102" s="44">
        <f>Tabell2[[#This Row],[Eldreandel-I]]*Vekter!$H$3</f>
        <v>1.1868246534911415</v>
      </c>
      <c r="AI102" s="44">
        <f>Tabell2[[#This Row],[Sysselsettingsvekst10-I]]*Vekter!$I$3</f>
        <v>6.993612786115543</v>
      </c>
      <c r="AJ102" s="44">
        <f>Tabell2[[#This Row],[Yrkesaktivandel-I]]*Vekter!$K$3</f>
        <v>10</v>
      </c>
      <c r="AK102" s="44">
        <f>Tabell2[[#This Row],[Inntekt-I]]*Vekter!$M$3</f>
        <v>4.480696030451333</v>
      </c>
      <c r="AL10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58.682713705330428</v>
      </c>
    </row>
    <row r="103" spans="1:38" s="38" customFormat="1" ht="12.75">
      <c r="A103" s="42" t="s">
        <v>101</v>
      </c>
      <c r="B103" s="38">
        <f>'Rådata-K'!Q103</f>
        <v>5</v>
      </c>
      <c r="C103" s="44">
        <f>'Rådata-K'!P103</f>
        <v>85.434413891299997</v>
      </c>
      <c r="D103" s="41">
        <f>'Rådata-K'!R103</f>
        <v>5.836960294785186</v>
      </c>
      <c r="E103" s="41">
        <f>'Rådata-K'!S103</f>
        <v>-2.1047917599641752E-2</v>
      </c>
      <c r="F103" s="41">
        <f>'Rådata-K'!T103</f>
        <v>0.1171088746569076</v>
      </c>
      <c r="G103" s="41">
        <f>'Rådata-K'!U103</f>
        <v>0.15690759377859104</v>
      </c>
      <c r="H103" s="41">
        <f>'Rådata-K'!V103</f>
        <v>0.14578833693304527</v>
      </c>
      <c r="I103" s="41">
        <f>'Rådata-K'!W103</f>
        <v>0.88318452380952384</v>
      </c>
      <c r="J103" s="41">
        <f>'Rådata-K'!O103</f>
        <v>331700</v>
      </c>
      <c r="K103" s="41">
        <f>Tabell2[[#This Row],[NIBR11]]</f>
        <v>5</v>
      </c>
      <c r="L103" s="41">
        <f>IF(Tabell2[[#This Row],[ReisetidOslo]]&lt;=C$433,C$433,IF(Tabell2[[#This Row],[ReisetidOslo]]&gt;=C$434,C$434,Tabell2[[#This Row],[ReisetidOslo]]))</f>
        <v>85.434413891299997</v>
      </c>
      <c r="M103" s="41">
        <f>IF(Tabell2[[#This Row],[Beftettotal]]&lt;=D$433,D$433,IF(Tabell2[[#This Row],[Beftettotal]]&gt;=D$434,D$434,Tabell2[[#This Row],[Beftettotal]]))</f>
        <v>5.836960294785186</v>
      </c>
      <c r="N103" s="41">
        <f>IF(Tabell2[[#This Row],[Befvekst10]]&lt;=E$433,E$433,IF(Tabell2[[#This Row],[Befvekst10]]&gt;=E$434,E$434,Tabell2[[#This Row],[Befvekst10]]))</f>
        <v>-2.1047917599641752E-2</v>
      </c>
      <c r="O103" s="41">
        <f>IF(Tabell2[[#This Row],[Kvinneandel]]&lt;=F$433,F$433,IF(Tabell2[[#This Row],[Kvinneandel]]&gt;=F$434,F$434,Tabell2[[#This Row],[Kvinneandel]]))</f>
        <v>0.1171088746569076</v>
      </c>
      <c r="P103" s="41">
        <f>IF(Tabell2[[#This Row],[Eldreandel]]&lt;=G$433,G$433,IF(Tabell2[[#This Row],[Eldreandel]]&gt;=G$434,G$434,Tabell2[[#This Row],[Eldreandel]]))</f>
        <v>0.15690759377859104</v>
      </c>
      <c r="Q103" s="41">
        <f>IF(Tabell2[[#This Row],[Sysselsettingsvekst10]]&lt;=H$433,H$433,IF(Tabell2[[#This Row],[Sysselsettingsvekst10]]&gt;=H$434,H$434,Tabell2[[#This Row],[Sysselsettingsvekst10]]))</f>
        <v>0.14578833693304527</v>
      </c>
      <c r="R103" s="41">
        <f>IF(Tabell2[[#This Row],[Yrkesaktivandel]]&lt;=I$433,I$433,IF(Tabell2[[#This Row],[Yrkesaktivandel]]&gt;=I$434,I$434,Tabell2[[#This Row],[Yrkesaktivandel]]))</f>
        <v>0.88318452380952384</v>
      </c>
      <c r="S103" s="41">
        <f>IF(Tabell2[[#This Row],[Inntekt]]&lt;=J$433,J$433,IF(Tabell2[[#This Row],[Inntekt]]&gt;=J$434,J$434,Tabell2[[#This Row],[Inntekt]]))</f>
        <v>331700</v>
      </c>
      <c r="T103" s="44">
        <f>IF(Tabell2[[#This Row],[NIBR11-T]]&lt;=K$436,100,IF(Tabell2[[#This Row],[NIBR11-T]]&gt;=K$435,0,100*(K$435-Tabell2[[#This Row],[NIBR11-T]])/K$438))</f>
        <v>60</v>
      </c>
      <c r="U103" s="44">
        <f>(L$435-Tabell2[[#This Row],[ReisetidOslo-T]])*100/L$438</f>
        <v>85.958229304545071</v>
      </c>
      <c r="V103" s="44">
        <f>100-(M$435-Tabell2[[#This Row],[Beftettotal-T]])*100/M$438</f>
        <v>3.6942696112731142</v>
      </c>
      <c r="W103" s="44">
        <f>100-(N$435-Tabell2[[#This Row],[Befvekst10-T]])*100/N$438</f>
        <v>29.322172082210955</v>
      </c>
      <c r="X103" s="44">
        <f>100-(O$435-Tabell2[[#This Row],[Kvinneandel-T]])*100/O$438</f>
        <v>69.481664807666945</v>
      </c>
      <c r="Y103" s="44">
        <f>(P$435-Tabell2[[#This Row],[Eldreandel-T]])*100/P$438</f>
        <v>49.493199013134372</v>
      </c>
      <c r="Z103" s="44">
        <f>100-(Q$435-Tabell2[[#This Row],[Sysselsettingsvekst10-T]])*100/Q$438</f>
        <v>69.963463421276884</v>
      </c>
      <c r="AA103" s="44">
        <f>100-(R$435-Tabell2[[#This Row],[Yrkesaktivandel-T]])*100/R$438</f>
        <v>42.383491551374739</v>
      </c>
      <c r="AB103" s="44">
        <f>100-(S$435-Tabell2[[#This Row],[Inntekt-T]])*100/S$438</f>
        <v>53.779227841218052</v>
      </c>
      <c r="AC103" s="44">
        <f>Tabell2[[#This Row],[NIBR11-I]]*Vekter!$B$3</f>
        <v>12</v>
      </c>
      <c r="AD103" s="44">
        <f>Tabell2[[#This Row],[ReisetidOslo-I]]*Vekter!$C$3</f>
        <v>8.5958229304545082</v>
      </c>
      <c r="AE103" s="44">
        <f>Tabell2[[#This Row],[Beftettotal-I]]*Vekter!$E$4</f>
        <v>0.36942696112731144</v>
      </c>
      <c r="AF103" s="44">
        <f>Tabell2[[#This Row],[Befvekst10-I]]*Vekter!$F$3</f>
        <v>5.8644344164421911</v>
      </c>
      <c r="AG103" s="44">
        <f>Tabell2[[#This Row],[Kvinneandel-I]]*Vekter!$G$3</f>
        <v>3.4740832403833473</v>
      </c>
      <c r="AH103" s="44">
        <f>Tabell2[[#This Row],[Eldreandel-I]]*Vekter!$H$3</f>
        <v>2.4746599506567186</v>
      </c>
      <c r="AI103" s="44">
        <f>Tabell2[[#This Row],[Sysselsettingsvekst10-I]]*Vekter!$I$3</f>
        <v>6.9963463421276888</v>
      </c>
      <c r="AJ103" s="44">
        <f>Tabell2[[#This Row],[Yrkesaktivandel-I]]*Vekter!$K$3</f>
        <v>4.2383491551374739</v>
      </c>
      <c r="AK103" s="44">
        <f>Tabell2[[#This Row],[Inntekt-I]]*Vekter!$M$3</f>
        <v>5.3779227841218056</v>
      </c>
      <c r="AL10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49.391045780451051</v>
      </c>
    </row>
    <row r="104" spans="1:38" s="38" customFormat="1" ht="12.75">
      <c r="A104" s="42" t="s">
        <v>102</v>
      </c>
      <c r="B104" s="38">
        <f>'Rådata-K'!Q104</f>
        <v>2</v>
      </c>
      <c r="C104" s="44">
        <f>'Rådata-K'!P104</f>
        <v>65.520446642899998</v>
      </c>
      <c r="D104" s="41">
        <f>'Rådata-K'!R104</f>
        <v>25.360119105164451</v>
      </c>
      <c r="E104" s="41">
        <f>'Rådata-K'!S104</f>
        <v>4.5849613268479361E-2</v>
      </c>
      <c r="F104" s="41">
        <f>'Rådata-K'!T104</f>
        <v>0.11550777676120769</v>
      </c>
      <c r="G104" s="41">
        <f>'Rådata-K'!U104</f>
        <v>0.14829216224458677</v>
      </c>
      <c r="H104" s="41">
        <f>'Rådata-K'!V104</f>
        <v>7.4312110865635717E-2</v>
      </c>
      <c r="I104" s="41">
        <f>'Rådata-K'!W104</f>
        <v>0.83218214377078537</v>
      </c>
      <c r="J104" s="41">
        <f>'Rådata-K'!O104</f>
        <v>325500</v>
      </c>
      <c r="K104" s="41">
        <f>Tabell2[[#This Row],[NIBR11]]</f>
        <v>2</v>
      </c>
      <c r="L104" s="41">
        <f>IF(Tabell2[[#This Row],[ReisetidOslo]]&lt;=C$433,C$433,IF(Tabell2[[#This Row],[ReisetidOslo]]&gt;=C$434,C$434,Tabell2[[#This Row],[ReisetidOslo]]))</f>
        <v>65.520446642899998</v>
      </c>
      <c r="M104" s="41">
        <f>IF(Tabell2[[#This Row],[Beftettotal]]&lt;=D$433,D$433,IF(Tabell2[[#This Row],[Beftettotal]]&gt;=D$434,D$434,Tabell2[[#This Row],[Beftettotal]]))</f>
        <v>25.360119105164451</v>
      </c>
      <c r="N104" s="41">
        <f>IF(Tabell2[[#This Row],[Befvekst10]]&lt;=E$433,E$433,IF(Tabell2[[#This Row],[Befvekst10]]&gt;=E$434,E$434,Tabell2[[#This Row],[Befvekst10]]))</f>
        <v>4.5849613268479361E-2</v>
      </c>
      <c r="O104" s="41">
        <f>IF(Tabell2[[#This Row],[Kvinneandel]]&lt;=F$433,F$433,IF(Tabell2[[#This Row],[Kvinneandel]]&gt;=F$434,F$434,Tabell2[[#This Row],[Kvinneandel]]))</f>
        <v>0.11550777676120769</v>
      </c>
      <c r="P104" s="41">
        <f>IF(Tabell2[[#This Row],[Eldreandel]]&lt;=G$433,G$433,IF(Tabell2[[#This Row],[Eldreandel]]&gt;=G$434,G$434,Tabell2[[#This Row],[Eldreandel]]))</f>
        <v>0.14829216224458677</v>
      </c>
      <c r="Q104" s="41">
        <f>IF(Tabell2[[#This Row],[Sysselsettingsvekst10]]&lt;=H$433,H$433,IF(Tabell2[[#This Row],[Sysselsettingsvekst10]]&gt;=H$434,H$434,Tabell2[[#This Row],[Sysselsettingsvekst10]]))</f>
        <v>7.4312110865635717E-2</v>
      </c>
      <c r="R104" s="41">
        <f>IF(Tabell2[[#This Row],[Yrkesaktivandel]]&lt;=I$433,I$433,IF(Tabell2[[#This Row],[Yrkesaktivandel]]&gt;=I$434,I$434,Tabell2[[#This Row],[Yrkesaktivandel]]))</f>
        <v>0.83218214377078537</v>
      </c>
      <c r="S104" s="41">
        <f>IF(Tabell2[[#This Row],[Inntekt]]&lt;=J$433,J$433,IF(Tabell2[[#This Row],[Inntekt]]&gt;=J$434,J$434,Tabell2[[#This Row],[Inntekt]]))</f>
        <v>325500</v>
      </c>
      <c r="T104" s="44">
        <f>IF(Tabell2[[#This Row],[NIBR11-T]]&lt;=K$436,100,IF(Tabell2[[#This Row],[NIBR11-T]]&gt;=K$435,0,100*(K$435-Tabell2[[#This Row],[NIBR11-T]])/K$438))</f>
        <v>90</v>
      </c>
      <c r="U104" s="44">
        <f>(L$435-Tabell2[[#This Row],[ReisetidOslo-T]])*100/L$438</f>
        <v>94.799046850571102</v>
      </c>
      <c r="V104" s="44">
        <f>100-(M$435-Tabell2[[#This Row],[Beftettotal-T]])*100/M$438</f>
        <v>19.664346520506527</v>
      </c>
      <c r="W104" s="44">
        <f>100-(N$435-Tabell2[[#This Row],[Befvekst10-T]])*100/N$438</f>
        <v>56.998675865560692</v>
      </c>
      <c r="X104" s="44">
        <f>100-(O$435-Tabell2[[#This Row],[Kvinneandel-T]])*100/O$438</f>
        <v>65.100322670322015</v>
      </c>
      <c r="Y104" s="44">
        <f>(P$435-Tabell2[[#This Row],[Eldreandel-T]])*100/P$438</f>
        <v>59.636970639354203</v>
      </c>
      <c r="Z104" s="44">
        <f>100-(Q$435-Tabell2[[#This Row],[Sysselsettingsvekst10-T]])*100/Q$438</f>
        <v>48.948232200967539</v>
      </c>
      <c r="AA104" s="44">
        <f>100-(R$435-Tabell2[[#This Row],[Yrkesaktivandel-T]])*100/R$438</f>
        <v>4.2958520997905794</v>
      </c>
      <c r="AB104" s="44">
        <f>100-(S$435-Tabell2[[#This Row],[Inntekt-T]])*100/S$438</f>
        <v>45.350734094616641</v>
      </c>
      <c r="AC104" s="44">
        <f>Tabell2[[#This Row],[NIBR11-I]]*Vekter!$B$3</f>
        <v>18</v>
      </c>
      <c r="AD104" s="44">
        <f>Tabell2[[#This Row],[ReisetidOslo-I]]*Vekter!$C$3</f>
        <v>9.4799046850571109</v>
      </c>
      <c r="AE104" s="44">
        <f>Tabell2[[#This Row],[Beftettotal-I]]*Vekter!$E$4</f>
        <v>1.9664346520506528</v>
      </c>
      <c r="AF104" s="44">
        <f>Tabell2[[#This Row],[Befvekst10-I]]*Vekter!$F$3</f>
        <v>11.399735173112139</v>
      </c>
      <c r="AG104" s="44">
        <f>Tabell2[[#This Row],[Kvinneandel-I]]*Vekter!$G$3</f>
        <v>3.2550161335161008</v>
      </c>
      <c r="AH104" s="44">
        <f>Tabell2[[#This Row],[Eldreandel-I]]*Vekter!$H$3</f>
        <v>2.9818485319677102</v>
      </c>
      <c r="AI104" s="44">
        <f>Tabell2[[#This Row],[Sysselsettingsvekst10-I]]*Vekter!$I$3</f>
        <v>4.8948232200967539</v>
      </c>
      <c r="AJ104" s="44">
        <f>Tabell2[[#This Row],[Yrkesaktivandel-I]]*Vekter!$K$3</f>
        <v>0.42958520997905797</v>
      </c>
      <c r="AK104" s="44">
        <f>Tabell2[[#This Row],[Inntekt-I]]*Vekter!$M$3</f>
        <v>4.5350734094616643</v>
      </c>
      <c r="AL10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56.942421015241194</v>
      </c>
    </row>
    <row r="105" spans="1:38" s="38" customFormat="1" ht="12.75">
      <c r="A105" s="42" t="s">
        <v>103</v>
      </c>
      <c r="B105" s="38">
        <f>'Rådata-K'!Q105</f>
        <v>2</v>
      </c>
      <c r="C105" s="44">
        <f>'Rådata-K'!P105</f>
        <v>46.958412583700003</v>
      </c>
      <c r="D105" s="41">
        <f>'Rådata-K'!R105</f>
        <v>38.137875172398701</v>
      </c>
      <c r="E105" s="41">
        <f>'Rådata-K'!S105</f>
        <v>0.14906668425565606</v>
      </c>
      <c r="F105" s="41">
        <f>'Rådata-K'!T105</f>
        <v>0.12444750588370358</v>
      </c>
      <c r="G105" s="41">
        <f>'Rådata-K'!U105</f>
        <v>0.13334481373055507</v>
      </c>
      <c r="H105" s="41">
        <f>'Rådata-K'!V105</f>
        <v>0.16224854295920288</v>
      </c>
      <c r="I105" s="41">
        <f>'Rådata-K'!W105</f>
        <v>0.8564667246208828</v>
      </c>
      <c r="J105" s="41">
        <f>'Rådata-K'!O105</f>
        <v>337700</v>
      </c>
      <c r="K105" s="41">
        <f>Tabell2[[#This Row],[NIBR11]]</f>
        <v>2</v>
      </c>
      <c r="L105" s="41">
        <f>IF(Tabell2[[#This Row],[ReisetidOslo]]&lt;=C$433,C$433,IF(Tabell2[[#This Row],[ReisetidOslo]]&gt;=C$434,C$434,Tabell2[[#This Row],[ReisetidOslo]]))</f>
        <v>53.805284539509998</v>
      </c>
      <c r="M105" s="41">
        <f>IF(Tabell2[[#This Row],[Beftettotal]]&lt;=D$433,D$433,IF(Tabell2[[#This Row],[Beftettotal]]&gt;=D$434,D$434,Tabell2[[#This Row],[Beftettotal]]))</f>
        <v>38.137875172398701</v>
      </c>
      <c r="N105" s="41">
        <f>IF(Tabell2[[#This Row],[Befvekst10]]&lt;=E$433,E$433,IF(Tabell2[[#This Row],[Befvekst10]]&gt;=E$434,E$434,Tabell2[[#This Row],[Befvekst10]]))</f>
        <v>0.14906668425565606</v>
      </c>
      <c r="O105" s="41">
        <f>IF(Tabell2[[#This Row],[Kvinneandel]]&lt;=F$433,F$433,IF(Tabell2[[#This Row],[Kvinneandel]]&gt;=F$434,F$434,Tabell2[[#This Row],[Kvinneandel]]))</f>
        <v>0.12444750588370358</v>
      </c>
      <c r="P105" s="41">
        <f>IF(Tabell2[[#This Row],[Eldreandel]]&lt;=G$433,G$433,IF(Tabell2[[#This Row],[Eldreandel]]&gt;=G$434,G$434,Tabell2[[#This Row],[Eldreandel]]))</f>
        <v>0.13334481373055507</v>
      </c>
      <c r="Q105" s="41">
        <f>IF(Tabell2[[#This Row],[Sysselsettingsvekst10]]&lt;=H$433,H$433,IF(Tabell2[[#This Row],[Sysselsettingsvekst10]]&gt;=H$434,H$434,Tabell2[[#This Row],[Sysselsettingsvekst10]]))</f>
        <v>0.16224854295920288</v>
      </c>
      <c r="R105" s="41">
        <f>IF(Tabell2[[#This Row],[Yrkesaktivandel]]&lt;=I$433,I$433,IF(Tabell2[[#This Row],[Yrkesaktivandel]]&gt;=I$434,I$434,Tabell2[[#This Row],[Yrkesaktivandel]]))</f>
        <v>0.8564667246208828</v>
      </c>
      <c r="S105" s="41">
        <f>IF(Tabell2[[#This Row],[Inntekt]]&lt;=J$433,J$433,IF(Tabell2[[#This Row],[Inntekt]]&gt;=J$434,J$434,Tabell2[[#This Row],[Inntekt]]))</f>
        <v>337700</v>
      </c>
      <c r="T105" s="44">
        <f>IF(Tabell2[[#This Row],[NIBR11-T]]&lt;=K$436,100,IF(Tabell2[[#This Row],[NIBR11-T]]&gt;=K$435,0,100*(K$435-Tabell2[[#This Row],[NIBR11-T]])/K$438))</f>
        <v>90</v>
      </c>
      <c r="U105" s="44">
        <f>(L$435-Tabell2[[#This Row],[ReisetidOslo-T]])*100/L$438</f>
        <v>100</v>
      </c>
      <c r="V105" s="44">
        <f>100-(M$435-Tabell2[[#This Row],[Beftettotal-T]])*100/M$438</f>
        <v>30.116638032506529</v>
      </c>
      <c r="W105" s="44">
        <f>100-(N$435-Tabell2[[#This Row],[Befvekst10-T]])*100/N$438</f>
        <v>99.701113737511832</v>
      </c>
      <c r="X105" s="44">
        <f>100-(O$435-Tabell2[[#This Row],[Kvinneandel-T]])*100/O$438</f>
        <v>89.563543817532832</v>
      </c>
      <c r="Y105" s="44">
        <f>(P$435-Tabell2[[#This Row],[Eldreandel-T]])*100/P$438</f>
        <v>77.235913785198363</v>
      </c>
      <c r="Z105" s="44">
        <f>100-(Q$435-Tabell2[[#This Row],[Sysselsettingsvekst10-T]])*100/Q$438</f>
        <v>74.80304512005597</v>
      </c>
      <c r="AA105" s="44">
        <f>100-(R$435-Tabell2[[#This Row],[Yrkesaktivandel-T]])*100/R$438</f>
        <v>22.431130472070919</v>
      </c>
      <c r="AB105" s="44">
        <f>100-(S$435-Tabell2[[#This Row],[Inntekt-T]])*100/S$438</f>
        <v>61.935834692767806</v>
      </c>
      <c r="AC105" s="44">
        <f>Tabell2[[#This Row],[NIBR11-I]]*Vekter!$B$3</f>
        <v>18</v>
      </c>
      <c r="AD105" s="44">
        <f>Tabell2[[#This Row],[ReisetidOslo-I]]*Vekter!$C$3</f>
        <v>10</v>
      </c>
      <c r="AE105" s="44">
        <f>Tabell2[[#This Row],[Beftettotal-I]]*Vekter!$E$4</f>
        <v>3.0116638032506531</v>
      </c>
      <c r="AF105" s="44">
        <f>Tabell2[[#This Row],[Befvekst10-I]]*Vekter!$F$3</f>
        <v>19.940222747502368</v>
      </c>
      <c r="AG105" s="44">
        <f>Tabell2[[#This Row],[Kvinneandel-I]]*Vekter!$G$3</f>
        <v>4.4781771908766421</v>
      </c>
      <c r="AH105" s="44">
        <f>Tabell2[[#This Row],[Eldreandel-I]]*Vekter!$H$3</f>
        <v>3.8617956892599183</v>
      </c>
      <c r="AI105" s="44">
        <f>Tabell2[[#This Row],[Sysselsettingsvekst10-I]]*Vekter!$I$3</f>
        <v>7.4803045120055973</v>
      </c>
      <c r="AJ105" s="44">
        <f>Tabell2[[#This Row],[Yrkesaktivandel-I]]*Vekter!$K$3</f>
        <v>2.2431130472070921</v>
      </c>
      <c r="AK105" s="44">
        <f>Tabell2[[#This Row],[Inntekt-I]]*Vekter!$M$3</f>
        <v>6.1935834692767813</v>
      </c>
      <c r="AL10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75.208860459379054</v>
      </c>
    </row>
    <row r="106" spans="1:38" s="38" customFormat="1" ht="12.75">
      <c r="A106" s="42" t="s">
        <v>104</v>
      </c>
      <c r="B106" s="38">
        <f>'Rådata-K'!Q106</f>
        <v>2</v>
      </c>
      <c r="C106" s="44">
        <f>'Rådata-K'!P106</f>
        <v>40.906691844800001</v>
      </c>
      <c r="D106" s="41">
        <f>'Rådata-K'!R106</f>
        <v>191.25215818465838</v>
      </c>
      <c r="E106" s="41">
        <f>'Rådata-K'!S106</f>
        <v>0.11136591658305872</v>
      </c>
      <c r="F106" s="41">
        <f>'Rådata-K'!T106</f>
        <v>0.12651534691771987</v>
      </c>
      <c r="G106" s="41">
        <f>'Rådata-K'!U106</f>
        <v>0.11551027426704497</v>
      </c>
      <c r="H106" s="41">
        <f>'Rådata-K'!V106</f>
        <v>0.21153522784597278</v>
      </c>
      <c r="I106" s="41">
        <f>'Rådata-K'!W106</f>
        <v>0.85820625858206256</v>
      </c>
      <c r="J106" s="41">
        <f>'Rådata-K'!O106</f>
        <v>339200</v>
      </c>
      <c r="K106" s="41">
        <f>Tabell2[[#This Row],[NIBR11]]</f>
        <v>2</v>
      </c>
      <c r="L106" s="41">
        <f>IF(Tabell2[[#This Row],[ReisetidOslo]]&lt;=C$433,C$433,IF(Tabell2[[#This Row],[ReisetidOslo]]&gt;=C$434,C$434,Tabell2[[#This Row],[ReisetidOslo]]))</f>
        <v>53.805284539509998</v>
      </c>
      <c r="M106" s="41">
        <f>IF(Tabell2[[#This Row],[Beftettotal]]&lt;=D$433,D$433,IF(Tabell2[[#This Row],[Beftettotal]]&gt;=D$434,D$434,Tabell2[[#This Row],[Beftettotal]]))</f>
        <v>123.5691465212405</v>
      </c>
      <c r="N106" s="41">
        <f>IF(Tabell2[[#This Row],[Befvekst10]]&lt;=E$433,E$433,IF(Tabell2[[#This Row],[Befvekst10]]&gt;=E$434,E$434,Tabell2[[#This Row],[Befvekst10]]))</f>
        <v>0.11136591658305872</v>
      </c>
      <c r="O106" s="41">
        <f>IF(Tabell2[[#This Row],[Kvinneandel]]&lt;=F$433,F$433,IF(Tabell2[[#This Row],[Kvinneandel]]&gt;=F$434,F$434,Tabell2[[#This Row],[Kvinneandel]]))</f>
        <v>0.12651534691771987</v>
      </c>
      <c r="P106" s="41">
        <f>IF(Tabell2[[#This Row],[Eldreandel]]&lt;=G$433,G$433,IF(Tabell2[[#This Row],[Eldreandel]]&gt;=G$434,G$434,Tabell2[[#This Row],[Eldreandel]]))</f>
        <v>0.11551027426704497</v>
      </c>
      <c r="Q106" s="41">
        <f>IF(Tabell2[[#This Row],[Sysselsettingsvekst10]]&lt;=H$433,H$433,IF(Tabell2[[#This Row],[Sysselsettingsvekst10]]&gt;=H$434,H$434,Tabell2[[#This Row],[Sysselsettingsvekst10]]))</f>
        <v>0.21153522784597278</v>
      </c>
      <c r="R106" s="41">
        <f>IF(Tabell2[[#This Row],[Yrkesaktivandel]]&lt;=I$433,I$433,IF(Tabell2[[#This Row],[Yrkesaktivandel]]&gt;=I$434,I$434,Tabell2[[#This Row],[Yrkesaktivandel]]))</f>
        <v>0.85820625858206256</v>
      </c>
      <c r="S106" s="41">
        <f>IF(Tabell2[[#This Row],[Inntekt]]&lt;=J$433,J$433,IF(Tabell2[[#This Row],[Inntekt]]&gt;=J$434,J$434,Tabell2[[#This Row],[Inntekt]]))</f>
        <v>339200</v>
      </c>
      <c r="T106" s="44">
        <f>IF(Tabell2[[#This Row],[NIBR11-T]]&lt;=K$436,100,IF(Tabell2[[#This Row],[NIBR11-T]]&gt;=K$435,0,100*(K$435-Tabell2[[#This Row],[NIBR11-T]])/K$438))</f>
        <v>90</v>
      </c>
      <c r="U106" s="44">
        <f>(L$435-Tabell2[[#This Row],[ReisetidOslo-T]])*100/L$438</f>
        <v>100</v>
      </c>
      <c r="V106" s="44">
        <f>100-(M$435-Tabell2[[#This Row],[Beftettotal-T]])*100/M$438</f>
        <v>100</v>
      </c>
      <c r="W106" s="44">
        <f>100-(N$435-Tabell2[[#This Row],[Befvekst10-T]])*100/N$438</f>
        <v>84.103745260896545</v>
      </c>
      <c r="X106" s="44">
        <f>100-(O$435-Tabell2[[#This Row],[Kvinneandel-T]])*100/O$438</f>
        <v>95.222110404871927</v>
      </c>
      <c r="Y106" s="44">
        <f>(P$435-Tabell2[[#This Row],[Eldreandel-T]])*100/P$438</f>
        <v>98.23422300077506</v>
      </c>
      <c r="Z106" s="44">
        <f>100-(Q$435-Tabell2[[#This Row],[Sysselsettingsvekst10-T]])*100/Q$438</f>
        <v>89.294172253729144</v>
      </c>
      <c r="AA106" s="44">
        <f>100-(R$435-Tabell2[[#This Row],[Yrkesaktivandel-T]])*100/R$438</f>
        <v>23.730182443309857</v>
      </c>
      <c r="AB106" s="44">
        <f>100-(S$435-Tabell2[[#This Row],[Inntekt-T]])*100/S$438</f>
        <v>63.974986405655244</v>
      </c>
      <c r="AC106" s="44">
        <f>Tabell2[[#This Row],[NIBR11-I]]*Vekter!$B$3</f>
        <v>18</v>
      </c>
      <c r="AD106" s="44">
        <f>Tabell2[[#This Row],[ReisetidOslo-I]]*Vekter!$C$3</f>
        <v>10</v>
      </c>
      <c r="AE106" s="44">
        <f>Tabell2[[#This Row],[Beftettotal-I]]*Vekter!$E$4</f>
        <v>10</v>
      </c>
      <c r="AF106" s="44">
        <f>Tabell2[[#This Row],[Befvekst10-I]]*Vekter!$F$3</f>
        <v>16.820749052179309</v>
      </c>
      <c r="AG106" s="44">
        <f>Tabell2[[#This Row],[Kvinneandel-I]]*Vekter!$G$3</f>
        <v>4.7611055202435963</v>
      </c>
      <c r="AH106" s="44">
        <f>Tabell2[[#This Row],[Eldreandel-I]]*Vekter!$H$3</f>
        <v>4.9117111500387534</v>
      </c>
      <c r="AI106" s="44">
        <f>Tabell2[[#This Row],[Sysselsettingsvekst10-I]]*Vekter!$I$3</f>
        <v>8.929417225372914</v>
      </c>
      <c r="AJ106" s="44">
        <f>Tabell2[[#This Row],[Yrkesaktivandel-I]]*Vekter!$K$3</f>
        <v>2.3730182443309857</v>
      </c>
      <c r="AK106" s="44">
        <f>Tabell2[[#This Row],[Inntekt-I]]*Vekter!$M$3</f>
        <v>6.3974986405655248</v>
      </c>
      <c r="AL10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82.193499832731092</v>
      </c>
    </row>
    <row r="107" spans="1:38" s="38" customFormat="1" ht="12.75">
      <c r="A107" s="42" t="s">
        <v>105</v>
      </c>
      <c r="B107" s="38">
        <f>'Rådata-K'!Q107</f>
        <v>2</v>
      </c>
      <c r="C107" s="44">
        <f>'Rådata-K'!P107</f>
        <v>30.011142560700002</v>
      </c>
      <c r="D107" s="41">
        <f>'Rådata-K'!R107</f>
        <v>80.149179512680249</v>
      </c>
      <c r="E107" s="41">
        <f>'Rådata-K'!S107</f>
        <v>0.12263187221396721</v>
      </c>
      <c r="F107" s="41">
        <f>'Rådata-K'!T107</f>
        <v>0.11738429085494478</v>
      </c>
      <c r="G107" s="41">
        <f>'Rådata-K'!U107</f>
        <v>0.12156181494809117</v>
      </c>
      <c r="H107" s="41">
        <f>'Rådata-K'!V107</f>
        <v>0.20836169178415176</v>
      </c>
      <c r="I107" s="41">
        <f>'Rådata-K'!W107</f>
        <v>0.8798141237766669</v>
      </c>
      <c r="J107" s="41">
        <f>'Rådata-K'!O107</f>
        <v>391800</v>
      </c>
      <c r="K107" s="41">
        <f>Tabell2[[#This Row],[NIBR11]]</f>
        <v>2</v>
      </c>
      <c r="L107" s="41">
        <f>IF(Tabell2[[#This Row],[ReisetidOslo]]&lt;=C$433,C$433,IF(Tabell2[[#This Row],[ReisetidOslo]]&gt;=C$434,C$434,Tabell2[[#This Row],[ReisetidOslo]]))</f>
        <v>53.805284539509998</v>
      </c>
      <c r="M107" s="41">
        <f>IF(Tabell2[[#This Row],[Beftettotal]]&lt;=D$433,D$433,IF(Tabell2[[#This Row],[Beftettotal]]&gt;=D$434,D$434,Tabell2[[#This Row],[Beftettotal]]))</f>
        <v>80.149179512680249</v>
      </c>
      <c r="N107" s="41">
        <f>IF(Tabell2[[#This Row],[Befvekst10]]&lt;=E$433,E$433,IF(Tabell2[[#This Row],[Befvekst10]]&gt;=E$434,E$434,Tabell2[[#This Row],[Befvekst10]]))</f>
        <v>0.12263187221396721</v>
      </c>
      <c r="O107" s="41">
        <f>IF(Tabell2[[#This Row],[Kvinneandel]]&lt;=F$433,F$433,IF(Tabell2[[#This Row],[Kvinneandel]]&gt;=F$434,F$434,Tabell2[[#This Row],[Kvinneandel]]))</f>
        <v>0.11738429085494478</v>
      </c>
      <c r="P107" s="41">
        <f>IF(Tabell2[[#This Row],[Eldreandel]]&lt;=G$433,G$433,IF(Tabell2[[#This Row],[Eldreandel]]&gt;=G$434,G$434,Tabell2[[#This Row],[Eldreandel]]))</f>
        <v>0.12156181494809117</v>
      </c>
      <c r="Q107" s="41">
        <f>IF(Tabell2[[#This Row],[Sysselsettingsvekst10]]&lt;=H$433,H$433,IF(Tabell2[[#This Row],[Sysselsettingsvekst10]]&gt;=H$434,H$434,Tabell2[[#This Row],[Sysselsettingsvekst10]]))</f>
        <v>0.20836169178415176</v>
      </c>
      <c r="R107" s="41">
        <f>IF(Tabell2[[#This Row],[Yrkesaktivandel]]&lt;=I$433,I$433,IF(Tabell2[[#This Row],[Yrkesaktivandel]]&gt;=I$434,I$434,Tabell2[[#This Row],[Yrkesaktivandel]]))</f>
        <v>0.8798141237766669</v>
      </c>
      <c r="S107" s="41">
        <f>IF(Tabell2[[#This Row],[Inntekt]]&lt;=J$433,J$433,IF(Tabell2[[#This Row],[Inntekt]]&gt;=J$434,J$434,Tabell2[[#This Row],[Inntekt]]))</f>
        <v>365700</v>
      </c>
      <c r="T107" s="44">
        <f>IF(Tabell2[[#This Row],[NIBR11-T]]&lt;=K$436,100,IF(Tabell2[[#This Row],[NIBR11-T]]&gt;=K$435,0,100*(K$435-Tabell2[[#This Row],[NIBR11-T]])/K$438))</f>
        <v>90</v>
      </c>
      <c r="U107" s="44">
        <f>(L$435-Tabell2[[#This Row],[ReisetidOslo-T]])*100/L$438</f>
        <v>100</v>
      </c>
      <c r="V107" s="44">
        <f>100-(M$435-Tabell2[[#This Row],[Beftettotal-T]])*100/M$438</f>
        <v>64.482171186640329</v>
      </c>
      <c r="W107" s="44">
        <f>100-(N$435-Tabell2[[#This Row],[Befvekst10-T]])*100/N$438</f>
        <v>88.764638713848683</v>
      </c>
      <c r="X107" s="44">
        <f>100-(O$435-Tabell2[[#This Row],[Kvinneandel-T]])*100/O$438</f>
        <v>70.235330524802976</v>
      </c>
      <c r="Y107" s="44">
        <f>(P$435-Tabell2[[#This Row],[Eldreandel-T]])*100/P$438</f>
        <v>91.109165316429326</v>
      </c>
      <c r="Z107" s="44">
        <f>100-(Q$435-Tabell2[[#This Row],[Sysselsettingsvekst10-T]])*100/Q$438</f>
        <v>88.361098450108614</v>
      </c>
      <c r="AA107" s="44">
        <f>100-(R$435-Tabell2[[#This Row],[Yrkesaktivandel-T]])*100/R$438</f>
        <v>39.866538790316149</v>
      </c>
      <c r="AB107" s="44">
        <f>100-(S$435-Tabell2[[#This Row],[Inntekt-T]])*100/S$438</f>
        <v>100</v>
      </c>
      <c r="AC107" s="44">
        <f>Tabell2[[#This Row],[NIBR11-I]]*Vekter!$B$3</f>
        <v>18</v>
      </c>
      <c r="AD107" s="44">
        <f>Tabell2[[#This Row],[ReisetidOslo-I]]*Vekter!$C$3</f>
        <v>10</v>
      </c>
      <c r="AE107" s="44">
        <f>Tabell2[[#This Row],[Beftettotal-I]]*Vekter!$E$4</f>
        <v>6.4482171186640329</v>
      </c>
      <c r="AF107" s="44">
        <f>Tabell2[[#This Row],[Befvekst10-I]]*Vekter!$F$3</f>
        <v>17.752927742769739</v>
      </c>
      <c r="AG107" s="44">
        <f>Tabell2[[#This Row],[Kvinneandel-I]]*Vekter!$G$3</f>
        <v>3.511766526240149</v>
      </c>
      <c r="AH107" s="44">
        <f>Tabell2[[#This Row],[Eldreandel-I]]*Vekter!$H$3</f>
        <v>4.5554582658214668</v>
      </c>
      <c r="AI107" s="44">
        <f>Tabell2[[#This Row],[Sysselsettingsvekst10-I]]*Vekter!$I$3</f>
        <v>8.8361098450108617</v>
      </c>
      <c r="AJ107" s="44">
        <f>Tabell2[[#This Row],[Yrkesaktivandel-I]]*Vekter!$K$3</f>
        <v>3.9866538790316151</v>
      </c>
      <c r="AK107" s="44">
        <f>Tabell2[[#This Row],[Inntekt-I]]*Vekter!$M$3</f>
        <v>10</v>
      </c>
      <c r="AL10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83.091133377537872</v>
      </c>
    </row>
    <row r="108" spans="1:38" s="38" customFormat="1" ht="12.75">
      <c r="A108" s="42" t="s">
        <v>106</v>
      </c>
      <c r="B108" s="38">
        <f>'Rådata-K'!Q108</f>
        <v>1</v>
      </c>
      <c r="C108" s="44">
        <f>'Rådata-K'!P108</f>
        <v>27.462255083300001</v>
      </c>
      <c r="D108" s="41">
        <f>'Rådata-K'!R108</f>
        <v>174.06058452518431</v>
      </c>
      <c r="E108" s="41">
        <f>'Rådata-K'!S108</f>
        <v>0.16986088721714721</v>
      </c>
      <c r="F108" s="41">
        <f>'Rådata-K'!T108</f>
        <v>0.11927120547106257</v>
      </c>
      <c r="G108" s="41">
        <f>'Rådata-K'!U108</f>
        <v>0.10865571093191793</v>
      </c>
      <c r="H108" s="41">
        <f>'Rådata-K'!V108</f>
        <v>0.17004898530440871</v>
      </c>
      <c r="I108" s="41">
        <f>'Rådata-K'!W108</f>
        <v>0.89679376083188911</v>
      </c>
      <c r="J108" s="41">
        <f>'Rådata-K'!O108</f>
        <v>388500</v>
      </c>
      <c r="K108" s="41">
        <f>Tabell2[[#This Row],[NIBR11]]</f>
        <v>1</v>
      </c>
      <c r="L108" s="41">
        <f>IF(Tabell2[[#This Row],[ReisetidOslo]]&lt;=C$433,C$433,IF(Tabell2[[#This Row],[ReisetidOslo]]&gt;=C$434,C$434,Tabell2[[#This Row],[ReisetidOslo]]))</f>
        <v>53.805284539509998</v>
      </c>
      <c r="M108" s="41">
        <f>IF(Tabell2[[#This Row],[Beftettotal]]&lt;=D$433,D$433,IF(Tabell2[[#This Row],[Beftettotal]]&gt;=D$434,D$434,Tabell2[[#This Row],[Beftettotal]]))</f>
        <v>123.5691465212405</v>
      </c>
      <c r="N108" s="41">
        <f>IF(Tabell2[[#This Row],[Befvekst10]]&lt;=E$433,E$433,IF(Tabell2[[#This Row],[Befvekst10]]&gt;=E$434,E$434,Tabell2[[#This Row],[Befvekst10]]))</f>
        <v>0.149789129298837</v>
      </c>
      <c r="O108" s="41">
        <f>IF(Tabell2[[#This Row],[Kvinneandel]]&lt;=F$433,F$433,IF(Tabell2[[#This Row],[Kvinneandel]]&gt;=F$434,F$434,Tabell2[[#This Row],[Kvinneandel]]))</f>
        <v>0.11927120547106257</v>
      </c>
      <c r="P108" s="41">
        <f>IF(Tabell2[[#This Row],[Eldreandel]]&lt;=G$433,G$433,IF(Tabell2[[#This Row],[Eldreandel]]&gt;=G$434,G$434,Tabell2[[#This Row],[Eldreandel]]))</f>
        <v>0.11401054306234992</v>
      </c>
      <c r="Q108" s="41">
        <f>IF(Tabell2[[#This Row],[Sysselsettingsvekst10]]&lt;=H$433,H$433,IF(Tabell2[[#This Row],[Sysselsettingsvekst10]]&gt;=H$434,H$434,Tabell2[[#This Row],[Sysselsettingsvekst10]]))</f>
        <v>0.17004898530440871</v>
      </c>
      <c r="R108" s="41">
        <f>IF(Tabell2[[#This Row],[Yrkesaktivandel]]&lt;=I$433,I$433,IF(Tabell2[[#This Row],[Yrkesaktivandel]]&gt;=I$434,I$434,Tabell2[[#This Row],[Yrkesaktivandel]]))</f>
        <v>0.89679376083188911</v>
      </c>
      <c r="S108" s="41">
        <f>IF(Tabell2[[#This Row],[Inntekt]]&lt;=J$433,J$433,IF(Tabell2[[#This Row],[Inntekt]]&gt;=J$434,J$434,Tabell2[[#This Row],[Inntekt]]))</f>
        <v>365700</v>
      </c>
      <c r="T108" s="44">
        <f>IF(Tabell2[[#This Row],[NIBR11-T]]&lt;=K$436,100,IF(Tabell2[[#This Row],[NIBR11-T]]&gt;=K$435,0,100*(K$435-Tabell2[[#This Row],[NIBR11-T]])/K$438))</f>
        <v>100</v>
      </c>
      <c r="U108" s="44">
        <f>(L$435-Tabell2[[#This Row],[ReisetidOslo-T]])*100/L$438</f>
        <v>100</v>
      </c>
      <c r="V108" s="44">
        <f>100-(M$435-Tabell2[[#This Row],[Beftettotal-T]])*100/M$438</f>
        <v>100</v>
      </c>
      <c r="W108" s="44">
        <f>100-(N$435-Tabell2[[#This Row],[Befvekst10-T]])*100/N$438</f>
        <v>100</v>
      </c>
      <c r="X108" s="44">
        <f>100-(O$435-Tabell2[[#This Row],[Kvinneandel-T]])*100/O$438</f>
        <v>75.398799004383278</v>
      </c>
      <c r="Y108" s="44">
        <f>(P$435-Tabell2[[#This Row],[Eldreandel-T]])*100/P$438</f>
        <v>100</v>
      </c>
      <c r="Z108" s="44">
        <f>100-(Q$435-Tabell2[[#This Row],[Sysselsettingsvekst10-T]])*100/Q$438</f>
        <v>77.096508394832</v>
      </c>
      <c r="AA108" s="44">
        <f>100-(R$435-Tabell2[[#This Row],[Yrkesaktivandel-T]])*100/R$438</f>
        <v>52.54661947844982</v>
      </c>
      <c r="AB108" s="44">
        <f>100-(S$435-Tabell2[[#This Row],[Inntekt-T]])*100/S$438</f>
        <v>100</v>
      </c>
      <c r="AC108" s="44">
        <f>Tabell2[[#This Row],[NIBR11-I]]*Vekter!$B$3</f>
        <v>20</v>
      </c>
      <c r="AD108" s="44">
        <f>Tabell2[[#This Row],[ReisetidOslo-I]]*Vekter!$C$3</f>
        <v>10</v>
      </c>
      <c r="AE108" s="44">
        <f>Tabell2[[#This Row],[Beftettotal-I]]*Vekter!$E$4</f>
        <v>10</v>
      </c>
      <c r="AF108" s="44">
        <f>Tabell2[[#This Row],[Befvekst10-I]]*Vekter!$F$3</f>
        <v>20</v>
      </c>
      <c r="AG108" s="44">
        <f>Tabell2[[#This Row],[Kvinneandel-I]]*Vekter!$G$3</f>
        <v>3.7699399502191642</v>
      </c>
      <c r="AH108" s="44">
        <f>Tabell2[[#This Row],[Eldreandel-I]]*Vekter!$H$3</f>
        <v>5</v>
      </c>
      <c r="AI108" s="44">
        <f>Tabell2[[#This Row],[Sysselsettingsvekst10-I]]*Vekter!$I$3</f>
        <v>7.7096508394832002</v>
      </c>
      <c r="AJ108" s="44">
        <f>Tabell2[[#This Row],[Yrkesaktivandel-I]]*Vekter!$K$3</f>
        <v>5.2546619478449825</v>
      </c>
      <c r="AK108" s="44">
        <f>Tabell2[[#This Row],[Inntekt-I]]*Vekter!$M$3</f>
        <v>10</v>
      </c>
      <c r="AL10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91.734252737547351</v>
      </c>
    </row>
    <row r="109" spans="1:38" s="38" customFormat="1" ht="12.75">
      <c r="A109" s="42" t="s">
        <v>107</v>
      </c>
      <c r="B109" s="38">
        <f>'Rådata-K'!Q109</f>
        <v>1</v>
      </c>
      <c r="C109" s="44">
        <f>'Rådata-K'!P109</f>
        <v>53.245901226299999</v>
      </c>
      <c r="D109" s="41">
        <f>'Rådata-K'!R109</f>
        <v>56.24961724539164</v>
      </c>
      <c r="E109" s="41">
        <f>'Rådata-K'!S109</f>
        <v>6.8147459006861366E-2</v>
      </c>
      <c r="F109" s="41">
        <f>'Rådata-K'!T109</f>
        <v>0.10647795318454001</v>
      </c>
      <c r="G109" s="41">
        <f>'Rådata-K'!U109</f>
        <v>0.14153511159499182</v>
      </c>
      <c r="H109" s="41">
        <f>'Rådata-K'!V109</f>
        <v>0.14963797264682221</v>
      </c>
      <c r="I109" s="41">
        <f>'Rådata-K'!W109</f>
        <v>0.85977443609022552</v>
      </c>
      <c r="J109" s="41">
        <f>'Rådata-K'!O109</f>
        <v>354600</v>
      </c>
      <c r="K109" s="41">
        <f>Tabell2[[#This Row],[NIBR11]]</f>
        <v>1</v>
      </c>
      <c r="L109" s="41">
        <f>IF(Tabell2[[#This Row],[ReisetidOslo]]&lt;=C$433,C$433,IF(Tabell2[[#This Row],[ReisetidOslo]]&gt;=C$434,C$434,Tabell2[[#This Row],[ReisetidOslo]]))</f>
        <v>53.805284539509998</v>
      </c>
      <c r="M109" s="41">
        <f>IF(Tabell2[[#This Row],[Beftettotal]]&lt;=D$433,D$433,IF(Tabell2[[#This Row],[Beftettotal]]&gt;=D$434,D$434,Tabell2[[#This Row],[Beftettotal]]))</f>
        <v>56.24961724539164</v>
      </c>
      <c r="N109" s="41">
        <f>IF(Tabell2[[#This Row],[Befvekst10]]&lt;=E$433,E$433,IF(Tabell2[[#This Row],[Befvekst10]]&gt;=E$434,E$434,Tabell2[[#This Row],[Befvekst10]]))</f>
        <v>6.8147459006861366E-2</v>
      </c>
      <c r="O109" s="41">
        <f>IF(Tabell2[[#This Row],[Kvinneandel]]&lt;=F$433,F$433,IF(Tabell2[[#This Row],[Kvinneandel]]&gt;=F$434,F$434,Tabell2[[#This Row],[Kvinneandel]]))</f>
        <v>0.10647795318454001</v>
      </c>
      <c r="P109" s="41">
        <f>IF(Tabell2[[#This Row],[Eldreandel]]&lt;=G$433,G$433,IF(Tabell2[[#This Row],[Eldreandel]]&gt;=G$434,G$434,Tabell2[[#This Row],[Eldreandel]]))</f>
        <v>0.14153511159499182</v>
      </c>
      <c r="Q109" s="41">
        <f>IF(Tabell2[[#This Row],[Sysselsettingsvekst10]]&lt;=H$433,H$433,IF(Tabell2[[#This Row],[Sysselsettingsvekst10]]&gt;=H$434,H$434,Tabell2[[#This Row],[Sysselsettingsvekst10]]))</f>
        <v>0.14963797264682221</v>
      </c>
      <c r="R109" s="41">
        <f>IF(Tabell2[[#This Row],[Yrkesaktivandel]]&lt;=I$433,I$433,IF(Tabell2[[#This Row],[Yrkesaktivandel]]&gt;=I$434,I$434,Tabell2[[#This Row],[Yrkesaktivandel]]))</f>
        <v>0.85977443609022552</v>
      </c>
      <c r="S109" s="41">
        <f>IF(Tabell2[[#This Row],[Inntekt]]&lt;=J$433,J$433,IF(Tabell2[[#This Row],[Inntekt]]&gt;=J$434,J$434,Tabell2[[#This Row],[Inntekt]]))</f>
        <v>354600</v>
      </c>
      <c r="T109" s="44">
        <f>IF(Tabell2[[#This Row],[NIBR11-T]]&lt;=K$436,100,IF(Tabell2[[#This Row],[NIBR11-T]]&gt;=K$435,0,100*(K$435-Tabell2[[#This Row],[NIBR11-T]])/K$438))</f>
        <v>100</v>
      </c>
      <c r="U109" s="44">
        <f>(L$435-Tabell2[[#This Row],[ReisetidOslo-T]])*100/L$438</f>
        <v>100</v>
      </c>
      <c r="V109" s="44">
        <f>100-(M$435-Tabell2[[#This Row],[Beftettotal-T]])*100/M$438</f>
        <v>44.932166435221859</v>
      </c>
      <c r="W109" s="44">
        <f>100-(N$435-Tabell2[[#This Row],[Befvekst10-T]])*100/N$438</f>
        <v>66.223626382126909</v>
      </c>
      <c r="X109" s="44">
        <f>100-(O$435-Tabell2[[#This Row],[Kvinneandel-T]])*100/O$438</f>
        <v>40.390561552342369</v>
      </c>
      <c r="Y109" s="44">
        <f>(P$435-Tabell2[[#This Row],[Eldreandel-T]])*100/P$438</f>
        <v>67.592692692946429</v>
      </c>
      <c r="Z109" s="44">
        <f>100-(Q$435-Tabell2[[#This Row],[Sysselsettingsvekst10-T]])*100/Q$438</f>
        <v>71.09532206981109</v>
      </c>
      <c r="AA109" s="44">
        <f>100-(R$435-Tabell2[[#This Row],[Yrkesaktivandel-T]])*100/R$438</f>
        <v>24.90126856677368</v>
      </c>
      <c r="AB109" s="44">
        <f>100-(S$435-Tabell2[[#This Row],[Inntekt-T]])*100/S$438</f>
        <v>84.910277324632958</v>
      </c>
      <c r="AC109" s="44">
        <f>Tabell2[[#This Row],[NIBR11-I]]*Vekter!$B$3</f>
        <v>20</v>
      </c>
      <c r="AD109" s="44">
        <f>Tabell2[[#This Row],[ReisetidOslo-I]]*Vekter!$C$3</f>
        <v>10</v>
      </c>
      <c r="AE109" s="44">
        <f>Tabell2[[#This Row],[Beftettotal-I]]*Vekter!$E$4</f>
        <v>4.4932166435221861</v>
      </c>
      <c r="AF109" s="44">
        <f>Tabell2[[#This Row],[Befvekst10-I]]*Vekter!$F$3</f>
        <v>13.244725276425383</v>
      </c>
      <c r="AG109" s="44">
        <f>Tabell2[[#This Row],[Kvinneandel-I]]*Vekter!$G$3</f>
        <v>2.0195280776171187</v>
      </c>
      <c r="AH109" s="44">
        <f>Tabell2[[#This Row],[Eldreandel-I]]*Vekter!$H$3</f>
        <v>3.3796346346473216</v>
      </c>
      <c r="AI109" s="44">
        <f>Tabell2[[#This Row],[Sysselsettingsvekst10-I]]*Vekter!$I$3</f>
        <v>7.1095322069811093</v>
      </c>
      <c r="AJ109" s="44">
        <f>Tabell2[[#This Row],[Yrkesaktivandel-I]]*Vekter!$K$3</f>
        <v>2.4901268566773682</v>
      </c>
      <c r="AK109" s="44">
        <f>Tabell2[[#This Row],[Inntekt-I]]*Vekter!$M$3</f>
        <v>8.4910277324632961</v>
      </c>
      <c r="AL10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71.227791428333788</v>
      </c>
    </row>
    <row r="110" spans="1:38" s="38" customFormat="1" ht="12.75">
      <c r="A110" s="42" t="s">
        <v>108</v>
      </c>
      <c r="B110" s="38">
        <f>'Rådata-K'!Q110</f>
        <v>5</v>
      </c>
      <c r="C110" s="44">
        <f>'Rådata-K'!P110</f>
        <v>78.550626897800001</v>
      </c>
      <c r="D110" s="41">
        <f>'Rådata-K'!R110</f>
        <v>4.6946184510250566</v>
      </c>
      <c r="E110" s="41">
        <f>'Rådata-K'!S110</f>
        <v>4.1864139020537205E-2</v>
      </c>
      <c r="F110" s="41">
        <f>'Rådata-K'!T110</f>
        <v>0.10955269143290372</v>
      </c>
      <c r="G110" s="41">
        <f>'Rådata-K'!U110</f>
        <v>0.15428354814253223</v>
      </c>
      <c r="H110" s="41">
        <f>'Rådata-K'!V110</f>
        <v>5.4758800521512496E-2</v>
      </c>
      <c r="I110" s="41">
        <f>'Rådata-K'!W110</f>
        <v>0.93119572478289914</v>
      </c>
      <c r="J110" s="41">
        <f>'Rådata-K'!O110</f>
        <v>334600</v>
      </c>
      <c r="K110" s="41">
        <f>Tabell2[[#This Row],[NIBR11]]</f>
        <v>5</v>
      </c>
      <c r="L110" s="41">
        <f>IF(Tabell2[[#This Row],[ReisetidOslo]]&lt;=C$433,C$433,IF(Tabell2[[#This Row],[ReisetidOslo]]&gt;=C$434,C$434,Tabell2[[#This Row],[ReisetidOslo]]))</f>
        <v>78.550626897800001</v>
      </c>
      <c r="M110" s="41">
        <f>IF(Tabell2[[#This Row],[Beftettotal]]&lt;=D$433,D$433,IF(Tabell2[[#This Row],[Beftettotal]]&gt;=D$434,D$434,Tabell2[[#This Row],[Beftettotal]]))</f>
        <v>4.6946184510250566</v>
      </c>
      <c r="N110" s="41">
        <f>IF(Tabell2[[#This Row],[Befvekst10]]&lt;=E$433,E$433,IF(Tabell2[[#This Row],[Befvekst10]]&gt;=E$434,E$434,Tabell2[[#This Row],[Befvekst10]]))</f>
        <v>4.1864139020537205E-2</v>
      </c>
      <c r="O110" s="41">
        <f>IF(Tabell2[[#This Row],[Kvinneandel]]&lt;=F$433,F$433,IF(Tabell2[[#This Row],[Kvinneandel]]&gt;=F$434,F$434,Tabell2[[#This Row],[Kvinneandel]]))</f>
        <v>0.10955269143290372</v>
      </c>
      <c r="P110" s="41">
        <f>IF(Tabell2[[#This Row],[Eldreandel]]&lt;=G$433,G$433,IF(Tabell2[[#This Row],[Eldreandel]]&gt;=G$434,G$434,Tabell2[[#This Row],[Eldreandel]]))</f>
        <v>0.15428354814253223</v>
      </c>
      <c r="Q110" s="41">
        <f>IF(Tabell2[[#This Row],[Sysselsettingsvekst10]]&lt;=H$433,H$433,IF(Tabell2[[#This Row],[Sysselsettingsvekst10]]&gt;=H$434,H$434,Tabell2[[#This Row],[Sysselsettingsvekst10]]))</f>
        <v>5.4758800521512496E-2</v>
      </c>
      <c r="R110" s="41">
        <f>IF(Tabell2[[#This Row],[Yrkesaktivandel]]&lt;=I$433,I$433,IF(Tabell2[[#This Row],[Yrkesaktivandel]]&gt;=I$434,I$434,Tabell2[[#This Row],[Yrkesaktivandel]]))</f>
        <v>0.93119572478289914</v>
      </c>
      <c r="S110" s="41">
        <f>IF(Tabell2[[#This Row],[Inntekt]]&lt;=J$433,J$433,IF(Tabell2[[#This Row],[Inntekt]]&gt;=J$434,J$434,Tabell2[[#This Row],[Inntekt]]))</f>
        <v>334600</v>
      </c>
      <c r="T110" s="44">
        <f>IF(Tabell2[[#This Row],[NIBR11-T]]&lt;=K$436,100,IF(Tabell2[[#This Row],[NIBR11-T]]&gt;=K$435,0,100*(K$435-Tabell2[[#This Row],[NIBR11-T]])/K$438))</f>
        <v>60</v>
      </c>
      <c r="U110" s="44">
        <f>(L$435-Tabell2[[#This Row],[ReisetidOslo-T]])*100/L$438</f>
        <v>89.014290614484722</v>
      </c>
      <c r="V110" s="44">
        <f>100-(M$435-Tabell2[[#This Row],[Beftettotal-T]])*100/M$438</f>
        <v>2.7598262008253016</v>
      </c>
      <c r="W110" s="44">
        <f>100-(N$435-Tabell2[[#This Row],[Befvekst10-T]])*100/N$438</f>
        <v>55.349825875580308</v>
      </c>
      <c r="X110" s="44">
        <f>100-(O$435-Tabell2[[#This Row],[Kvinneandel-T]])*100/O$438</f>
        <v>48.804463216345908</v>
      </c>
      <c r="Y110" s="44">
        <f>(P$435-Tabell2[[#This Row],[Eldreandel-T]])*100/P$438</f>
        <v>52.582738935064199</v>
      </c>
      <c r="Z110" s="44">
        <f>100-(Q$435-Tabell2[[#This Row],[Sysselsettingsvekst10-T]])*100/Q$438</f>
        <v>43.199225004970948</v>
      </c>
      <c r="AA110" s="44">
        <f>100-(R$435-Tabell2[[#This Row],[Yrkesaktivandel-T]])*100/R$438</f>
        <v>78.23737348634603</v>
      </c>
      <c r="AB110" s="44">
        <f>100-(S$435-Tabell2[[#This Row],[Inntekt-T]])*100/S$438</f>
        <v>57.721587819467103</v>
      </c>
      <c r="AC110" s="44">
        <f>Tabell2[[#This Row],[NIBR11-I]]*Vekter!$B$3</f>
        <v>12</v>
      </c>
      <c r="AD110" s="44">
        <f>Tabell2[[#This Row],[ReisetidOslo-I]]*Vekter!$C$3</f>
        <v>8.9014290614484732</v>
      </c>
      <c r="AE110" s="44">
        <f>Tabell2[[#This Row],[Beftettotal-I]]*Vekter!$E$4</f>
        <v>0.27598262008253016</v>
      </c>
      <c r="AF110" s="44">
        <f>Tabell2[[#This Row],[Befvekst10-I]]*Vekter!$F$3</f>
        <v>11.069965175116062</v>
      </c>
      <c r="AG110" s="44">
        <f>Tabell2[[#This Row],[Kvinneandel-I]]*Vekter!$G$3</f>
        <v>2.4402231608172955</v>
      </c>
      <c r="AH110" s="44">
        <f>Tabell2[[#This Row],[Eldreandel-I]]*Vekter!$H$3</f>
        <v>2.62913694675321</v>
      </c>
      <c r="AI110" s="44">
        <f>Tabell2[[#This Row],[Sysselsettingsvekst10-I]]*Vekter!$I$3</f>
        <v>4.3199225004970954</v>
      </c>
      <c r="AJ110" s="44">
        <f>Tabell2[[#This Row],[Yrkesaktivandel-I]]*Vekter!$K$3</f>
        <v>7.8237373486346034</v>
      </c>
      <c r="AK110" s="44">
        <f>Tabell2[[#This Row],[Inntekt-I]]*Vekter!$M$3</f>
        <v>5.7721587819467111</v>
      </c>
      <c r="AL11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55.232555595295977</v>
      </c>
    </row>
    <row r="111" spans="1:38" s="38" customFormat="1" ht="12.75">
      <c r="A111" s="42" t="s">
        <v>109</v>
      </c>
      <c r="B111" s="38">
        <f>'Rådata-K'!Q111</f>
        <v>5</v>
      </c>
      <c r="C111" s="44">
        <f>'Rådata-K'!P111</f>
        <v>99.953514368900002</v>
      </c>
      <c r="D111" s="41">
        <f>'Rådata-K'!R111</f>
        <v>3.0782585470085468</v>
      </c>
      <c r="E111" s="41">
        <f>'Rådata-K'!S111</f>
        <v>-6.3642518618821975E-2</v>
      </c>
      <c r="F111" s="41">
        <f>'Rådata-K'!T111</f>
        <v>8.6044830079537241E-2</v>
      </c>
      <c r="G111" s="41">
        <f>'Rådata-K'!U111</f>
        <v>0.19595083152566883</v>
      </c>
      <c r="H111" s="41">
        <f>'Rådata-K'!V111</f>
        <v>-4.6874999999999556E-3</v>
      </c>
      <c r="I111" s="41">
        <f>'Rådata-K'!W111</f>
        <v>0.96605744125326376</v>
      </c>
      <c r="J111" s="41">
        <f>'Rådata-K'!O111</f>
        <v>319900</v>
      </c>
      <c r="K111" s="41">
        <f>Tabell2[[#This Row],[NIBR11]]</f>
        <v>5</v>
      </c>
      <c r="L111" s="41">
        <f>IF(Tabell2[[#This Row],[ReisetidOslo]]&lt;=C$433,C$433,IF(Tabell2[[#This Row],[ReisetidOslo]]&gt;=C$434,C$434,Tabell2[[#This Row],[ReisetidOslo]]))</f>
        <v>99.953514368900002</v>
      </c>
      <c r="M111" s="41">
        <f>IF(Tabell2[[#This Row],[Beftettotal]]&lt;=D$433,D$433,IF(Tabell2[[#This Row],[Beftettotal]]&gt;=D$434,D$434,Tabell2[[#This Row],[Beftettotal]]))</f>
        <v>3.0782585470085468</v>
      </c>
      <c r="N111" s="41">
        <f>IF(Tabell2[[#This Row],[Befvekst10]]&lt;=E$433,E$433,IF(Tabell2[[#This Row],[Befvekst10]]&gt;=E$434,E$434,Tabell2[[#This Row],[Befvekst10]]))</f>
        <v>-6.3642518618821975E-2</v>
      </c>
      <c r="O111" s="41">
        <f>IF(Tabell2[[#This Row],[Kvinneandel]]&lt;=F$433,F$433,IF(Tabell2[[#This Row],[Kvinneandel]]&gt;=F$434,F$434,Tabell2[[#This Row],[Kvinneandel]]))</f>
        <v>9.1717808671657367E-2</v>
      </c>
      <c r="P111" s="41">
        <f>IF(Tabell2[[#This Row],[Eldreandel]]&lt;=G$433,G$433,IF(Tabell2[[#This Row],[Eldreandel]]&gt;=G$434,G$434,Tabell2[[#This Row],[Eldreandel]]))</f>
        <v>0.19595083152566883</v>
      </c>
      <c r="Q111" s="41">
        <f>IF(Tabell2[[#This Row],[Sysselsettingsvekst10]]&lt;=H$433,H$433,IF(Tabell2[[#This Row],[Sysselsettingsvekst10]]&gt;=H$434,H$434,Tabell2[[#This Row],[Sysselsettingsvekst10]]))</f>
        <v>-4.6874999999999556E-3</v>
      </c>
      <c r="R111" s="41">
        <f>IF(Tabell2[[#This Row],[Yrkesaktivandel]]&lt;=I$433,I$433,IF(Tabell2[[#This Row],[Yrkesaktivandel]]&gt;=I$434,I$434,Tabell2[[#This Row],[Yrkesaktivandel]]))</f>
        <v>0.96033761343949164</v>
      </c>
      <c r="S111" s="41">
        <f>IF(Tabell2[[#This Row],[Inntekt]]&lt;=J$433,J$433,IF(Tabell2[[#This Row],[Inntekt]]&gt;=J$434,J$434,Tabell2[[#This Row],[Inntekt]]))</f>
        <v>319900</v>
      </c>
      <c r="T111" s="44">
        <f>IF(Tabell2[[#This Row],[NIBR11-T]]&lt;=K$436,100,IF(Tabell2[[#This Row],[NIBR11-T]]&gt;=K$435,0,100*(K$435-Tabell2[[#This Row],[NIBR11-T]])/K$438))</f>
        <v>60</v>
      </c>
      <c r="U111" s="44">
        <f>(L$435-Tabell2[[#This Row],[ReisetidOslo-T]])*100/L$438</f>
        <v>79.512466054372254</v>
      </c>
      <c r="V111" s="44">
        <f>100-(M$435-Tabell2[[#This Row],[Beftettotal-T]])*100/M$438</f>
        <v>1.4376327878197515</v>
      </c>
      <c r="W111" s="44">
        <f>100-(N$435-Tabell2[[#This Row],[Befvekst10-T]])*100/N$438</f>
        <v>11.700151942460394</v>
      </c>
      <c r="X111" s="44">
        <f>100-(O$435-Tabell2[[#This Row],[Kvinneandel-T]])*100/O$438</f>
        <v>0</v>
      </c>
      <c r="Y111" s="44">
        <f>(P$435-Tabell2[[#This Row],[Eldreandel-T]])*100/P$438</f>
        <v>3.523860658879054</v>
      </c>
      <c r="Z111" s="44">
        <f>100-(Q$435-Tabell2[[#This Row],[Sysselsettingsvekst10-T]])*100/Q$438</f>
        <v>25.72099735661439</v>
      </c>
      <c r="AA111" s="44">
        <f>100-(R$435-Tabell2[[#This Row],[Yrkesaktivandel-T]])*100/R$438</f>
        <v>100</v>
      </c>
      <c r="AB111" s="44">
        <f>100-(S$435-Tabell2[[#This Row],[Inntekt-T]])*100/S$438</f>
        <v>37.737901033170203</v>
      </c>
      <c r="AC111" s="44">
        <f>Tabell2[[#This Row],[NIBR11-I]]*Vekter!$B$3</f>
        <v>12</v>
      </c>
      <c r="AD111" s="44">
        <f>Tabell2[[#This Row],[ReisetidOslo-I]]*Vekter!$C$3</f>
        <v>7.9512466054372259</v>
      </c>
      <c r="AE111" s="44">
        <f>Tabell2[[#This Row],[Beftettotal-I]]*Vekter!$E$4</f>
        <v>0.14376327878197515</v>
      </c>
      <c r="AF111" s="44">
        <f>Tabell2[[#This Row],[Befvekst10-I]]*Vekter!$F$3</f>
        <v>2.340030388492079</v>
      </c>
      <c r="AG111" s="44">
        <f>Tabell2[[#This Row],[Kvinneandel-I]]*Vekter!$G$3</f>
        <v>0</v>
      </c>
      <c r="AH111" s="44">
        <f>Tabell2[[#This Row],[Eldreandel-I]]*Vekter!$H$3</f>
        <v>0.17619303294395272</v>
      </c>
      <c r="AI111" s="44">
        <f>Tabell2[[#This Row],[Sysselsettingsvekst10-I]]*Vekter!$I$3</f>
        <v>2.572099735661439</v>
      </c>
      <c r="AJ111" s="44">
        <f>Tabell2[[#This Row],[Yrkesaktivandel-I]]*Vekter!$K$3</f>
        <v>10</v>
      </c>
      <c r="AK111" s="44">
        <f>Tabell2[[#This Row],[Inntekt-I]]*Vekter!$M$3</f>
        <v>3.7737901033170207</v>
      </c>
      <c r="AL11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38.957123144633691</v>
      </c>
    </row>
    <row r="112" spans="1:38" s="38" customFormat="1" ht="12.75">
      <c r="A112" s="42" t="s">
        <v>110</v>
      </c>
      <c r="B112" s="38">
        <f>'Rådata-K'!Q112</f>
        <v>11</v>
      </c>
      <c r="C112" s="44">
        <f>'Rådata-K'!P112</f>
        <v>134.60092777</v>
      </c>
      <c r="D112" s="41">
        <f>'Rådata-K'!R112</f>
        <v>1.0150701957007382</v>
      </c>
      <c r="E112" s="41">
        <f>'Rådata-K'!S112</f>
        <v>-7.770515613652873E-2</v>
      </c>
      <c r="F112" s="41">
        <f>'Rådata-K'!T112</f>
        <v>9.212598425196851E-2</v>
      </c>
      <c r="G112" s="41">
        <f>'Rådata-K'!U112</f>
        <v>0.1858267716535433</v>
      </c>
      <c r="H112" s="41">
        <f>'Rådata-K'!V112</f>
        <v>0.12423979148566455</v>
      </c>
      <c r="I112" s="41">
        <f>'Rådata-K'!W112</f>
        <v>0.98213009292351683</v>
      </c>
      <c r="J112" s="41">
        <f>'Rådata-K'!O112</f>
        <v>305000</v>
      </c>
      <c r="K112" s="41">
        <f>Tabell2[[#This Row],[NIBR11]]</f>
        <v>11</v>
      </c>
      <c r="L112" s="41">
        <f>IF(Tabell2[[#This Row],[ReisetidOslo]]&lt;=C$433,C$433,IF(Tabell2[[#This Row],[ReisetidOslo]]&gt;=C$434,C$434,Tabell2[[#This Row],[ReisetidOslo]]))</f>
        <v>134.60092777</v>
      </c>
      <c r="M112" s="41">
        <f>IF(Tabell2[[#This Row],[Beftettotal]]&lt;=D$433,D$433,IF(Tabell2[[#This Row],[Beftettotal]]&gt;=D$434,D$434,Tabell2[[#This Row],[Beftettotal]]))</f>
        <v>1.3207758882127238</v>
      </c>
      <c r="N112" s="41">
        <f>IF(Tabell2[[#This Row],[Befvekst10]]&lt;=E$433,E$433,IF(Tabell2[[#This Row],[Befvekst10]]&gt;=E$434,E$434,Tabell2[[#This Row],[Befvekst10]]))</f>
        <v>-7.770515613652873E-2</v>
      </c>
      <c r="O112" s="41">
        <f>IF(Tabell2[[#This Row],[Kvinneandel]]&lt;=F$433,F$433,IF(Tabell2[[#This Row],[Kvinneandel]]&gt;=F$434,F$434,Tabell2[[#This Row],[Kvinneandel]]))</f>
        <v>9.212598425196851E-2</v>
      </c>
      <c r="P112" s="41">
        <f>IF(Tabell2[[#This Row],[Eldreandel]]&lt;=G$433,G$433,IF(Tabell2[[#This Row],[Eldreandel]]&gt;=G$434,G$434,Tabell2[[#This Row],[Eldreandel]]))</f>
        <v>0.1858267716535433</v>
      </c>
      <c r="Q112" s="41">
        <f>IF(Tabell2[[#This Row],[Sysselsettingsvekst10]]&lt;=H$433,H$433,IF(Tabell2[[#This Row],[Sysselsettingsvekst10]]&gt;=H$434,H$434,Tabell2[[#This Row],[Sysselsettingsvekst10]]))</f>
        <v>0.12423979148566455</v>
      </c>
      <c r="R112" s="41">
        <f>IF(Tabell2[[#This Row],[Yrkesaktivandel]]&lt;=I$433,I$433,IF(Tabell2[[#This Row],[Yrkesaktivandel]]&gt;=I$434,I$434,Tabell2[[#This Row],[Yrkesaktivandel]]))</f>
        <v>0.96033761343949164</v>
      </c>
      <c r="S112" s="41">
        <f>IF(Tabell2[[#This Row],[Inntekt]]&lt;=J$433,J$433,IF(Tabell2[[#This Row],[Inntekt]]&gt;=J$434,J$434,Tabell2[[#This Row],[Inntekt]]))</f>
        <v>305000</v>
      </c>
      <c r="T112" s="44">
        <f>IF(Tabell2[[#This Row],[NIBR11-T]]&lt;=K$436,100,IF(Tabell2[[#This Row],[NIBR11-T]]&gt;=K$435,0,100*(K$435-Tabell2[[#This Row],[NIBR11-T]])/K$438))</f>
        <v>0</v>
      </c>
      <c r="U112" s="44">
        <f>(L$435-Tabell2[[#This Row],[ReisetidOslo-T]])*100/L$438</f>
        <v>64.130726368852095</v>
      </c>
      <c r="V112" s="44">
        <f>100-(M$435-Tabell2[[#This Row],[Beftettotal-T]])*100/M$438</f>
        <v>0</v>
      </c>
      <c r="W112" s="44">
        <f>100-(N$435-Tabell2[[#This Row],[Befvekst10-T]])*100/N$438</f>
        <v>5.8822295855060247</v>
      </c>
      <c r="X112" s="44">
        <f>100-(O$435-Tabell2[[#This Row],[Kvinneandel-T]])*100/O$438</f>
        <v>1.1169566047494186</v>
      </c>
      <c r="Y112" s="44">
        <f>(P$435-Tabell2[[#This Row],[Eldreandel-T]])*100/P$438</f>
        <v>15.44388473053305</v>
      </c>
      <c r="Z112" s="44">
        <f>100-(Q$435-Tabell2[[#This Row],[Sysselsettingsvekst10-T]])*100/Q$438</f>
        <v>63.627823027910743</v>
      </c>
      <c r="AA112" s="44">
        <f>100-(R$435-Tabell2[[#This Row],[Yrkesaktivandel-T]])*100/R$438</f>
        <v>100</v>
      </c>
      <c r="AB112" s="44">
        <f>100-(S$435-Tabell2[[#This Row],[Inntekt-T]])*100/S$438</f>
        <v>17.482327351821638</v>
      </c>
      <c r="AC112" s="44">
        <f>Tabell2[[#This Row],[NIBR11-I]]*Vekter!$B$3</f>
        <v>0</v>
      </c>
      <c r="AD112" s="44">
        <f>Tabell2[[#This Row],[ReisetidOslo-I]]*Vekter!$C$3</f>
        <v>6.41307263688521</v>
      </c>
      <c r="AE112" s="44">
        <f>Tabell2[[#This Row],[Beftettotal-I]]*Vekter!$E$4</f>
        <v>0</v>
      </c>
      <c r="AF112" s="44">
        <f>Tabell2[[#This Row],[Befvekst10-I]]*Vekter!$F$3</f>
        <v>1.1764459171012049</v>
      </c>
      <c r="AG112" s="44">
        <f>Tabell2[[#This Row],[Kvinneandel-I]]*Vekter!$G$3</f>
        <v>5.5847830237470933E-2</v>
      </c>
      <c r="AH112" s="44">
        <f>Tabell2[[#This Row],[Eldreandel-I]]*Vekter!$H$3</f>
        <v>0.77219423652665253</v>
      </c>
      <c r="AI112" s="44">
        <f>Tabell2[[#This Row],[Sysselsettingsvekst10-I]]*Vekter!$I$3</f>
        <v>6.362782302791075</v>
      </c>
      <c r="AJ112" s="44">
        <f>Tabell2[[#This Row],[Yrkesaktivandel-I]]*Vekter!$K$3</f>
        <v>10</v>
      </c>
      <c r="AK112" s="44">
        <f>Tabell2[[#This Row],[Inntekt-I]]*Vekter!$M$3</f>
        <v>1.7482327351821638</v>
      </c>
      <c r="AL11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26.528575658723778</v>
      </c>
    </row>
    <row r="113" spans="1:38" s="38" customFormat="1" ht="12.75">
      <c r="A113" s="42" t="s">
        <v>111</v>
      </c>
      <c r="B113" s="38">
        <f>'Rådata-K'!Q113</f>
        <v>2</v>
      </c>
      <c r="C113" s="44">
        <f>'Rådata-K'!P113</f>
        <v>65.074581249700003</v>
      </c>
      <c r="D113" s="41">
        <f>'Rådata-K'!R113</f>
        <v>374.63685559669608</v>
      </c>
      <c r="E113" s="41">
        <f>'Rådata-K'!S113</f>
        <v>8.2503497654514035E-2</v>
      </c>
      <c r="F113" s="41">
        <f>'Rådata-K'!T113</f>
        <v>0.11730718059831984</v>
      </c>
      <c r="G113" s="41">
        <f>'Rådata-K'!U113</f>
        <v>0.14528452503136047</v>
      </c>
      <c r="H113" s="41">
        <f>'Rådata-K'!V113</f>
        <v>7.315096251266473E-2</v>
      </c>
      <c r="I113" s="41">
        <f>'Rådata-K'!W113</f>
        <v>0.80332156401203081</v>
      </c>
      <c r="J113" s="41">
        <f>'Rådata-K'!O113</f>
        <v>334100</v>
      </c>
      <c r="K113" s="41">
        <f>Tabell2[[#This Row],[NIBR11]]</f>
        <v>2</v>
      </c>
      <c r="L113" s="41">
        <f>IF(Tabell2[[#This Row],[ReisetidOslo]]&lt;=C$433,C$433,IF(Tabell2[[#This Row],[ReisetidOslo]]&gt;=C$434,C$434,Tabell2[[#This Row],[ReisetidOslo]]))</f>
        <v>65.074581249700003</v>
      </c>
      <c r="M113" s="41">
        <f>IF(Tabell2[[#This Row],[Beftettotal]]&lt;=D$433,D$433,IF(Tabell2[[#This Row],[Beftettotal]]&gt;=D$434,D$434,Tabell2[[#This Row],[Beftettotal]]))</f>
        <v>123.5691465212405</v>
      </c>
      <c r="N113" s="41">
        <f>IF(Tabell2[[#This Row],[Befvekst10]]&lt;=E$433,E$433,IF(Tabell2[[#This Row],[Befvekst10]]&gt;=E$434,E$434,Tabell2[[#This Row],[Befvekst10]]))</f>
        <v>8.2503497654514035E-2</v>
      </c>
      <c r="O113" s="41">
        <f>IF(Tabell2[[#This Row],[Kvinneandel]]&lt;=F$433,F$433,IF(Tabell2[[#This Row],[Kvinneandel]]&gt;=F$434,F$434,Tabell2[[#This Row],[Kvinneandel]]))</f>
        <v>0.11730718059831984</v>
      </c>
      <c r="P113" s="41">
        <f>IF(Tabell2[[#This Row],[Eldreandel]]&lt;=G$433,G$433,IF(Tabell2[[#This Row],[Eldreandel]]&gt;=G$434,G$434,Tabell2[[#This Row],[Eldreandel]]))</f>
        <v>0.14528452503136047</v>
      </c>
      <c r="Q113" s="41">
        <f>IF(Tabell2[[#This Row],[Sysselsettingsvekst10]]&lt;=H$433,H$433,IF(Tabell2[[#This Row],[Sysselsettingsvekst10]]&gt;=H$434,H$434,Tabell2[[#This Row],[Sysselsettingsvekst10]]))</f>
        <v>7.315096251266473E-2</v>
      </c>
      <c r="R113" s="41">
        <f>IF(Tabell2[[#This Row],[Yrkesaktivandel]]&lt;=I$433,I$433,IF(Tabell2[[#This Row],[Yrkesaktivandel]]&gt;=I$434,I$434,Tabell2[[#This Row],[Yrkesaktivandel]]))</f>
        <v>0.82642965596795781</v>
      </c>
      <c r="S113" s="41">
        <f>IF(Tabell2[[#This Row],[Inntekt]]&lt;=J$433,J$433,IF(Tabell2[[#This Row],[Inntekt]]&gt;=J$434,J$434,Tabell2[[#This Row],[Inntekt]]))</f>
        <v>334100</v>
      </c>
      <c r="T113" s="44">
        <f>IF(Tabell2[[#This Row],[NIBR11-T]]&lt;=K$436,100,IF(Tabell2[[#This Row],[NIBR11-T]]&gt;=K$435,0,100*(K$435-Tabell2[[#This Row],[NIBR11-T]])/K$438))</f>
        <v>90</v>
      </c>
      <c r="U113" s="44">
        <f>(L$435-Tabell2[[#This Row],[ReisetidOslo-T]])*100/L$438</f>
        <v>94.996989055768069</v>
      </c>
      <c r="V113" s="44">
        <f>100-(M$435-Tabell2[[#This Row],[Beftettotal-T]])*100/M$438</f>
        <v>100</v>
      </c>
      <c r="W113" s="44">
        <f>100-(N$435-Tabell2[[#This Row],[Befvekst10-T]])*100/N$438</f>
        <v>72.162933151594132</v>
      </c>
      <c r="X113" s="44">
        <f>100-(O$435-Tabell2[[#This Row],[Kvinneandel-T]])*100/O$438</f>
        <v>70.02432130576662</v>
      </c>
      <c r="Y113" s="44">
        <f>(P$435-Tabell2[[#This Row],[Eldreandel-T]])*100/P$438</f>
        <v>63.17814961629491</v>
      </c>
      <c r="Z113" s="44">
        <f>100-(Q$435-Tabell2[[#This Row],[Sysselsettingsvekst10-T]])*100/Q$438</f>
        <v>48.606834753713485</v>
      </c>
      <c r="AA113" s="44">
        <f>100-(R$435-Tabell2[[#This Row],[Yrkesaktivandel-T]])*100/R$438</f>
        <v>0</v>
      </c>
      <c r="AB113" s="44">
        <f>100-(S$435-Tabell2[[#This Row],[Inntekt-T]])*100/S$438</f>
        <v>57.041870581837955</v>
      </c>
      <c r="AC113" s="44">
        <f>Tabell2[[#This Row],[NIBR11-I]]*Vekter!$B$3</f>
        <v>18</v>
      </c>
      <c r="AD113" s="44">
        <f>Tabell2[[#This Row],[ReisetidOslo-I]]*Vekter!$C$3</f>
        <v>9.4996989055768069</v>
      </c>
      <c r="AE113" s="44">
        <f>Tabell2[[#This Row],[Beftettotal-I]]*Vekter!$E$4</f>
        <v>10</v>
      </c>
      <c r="AF113" s="44">
        <f>Tabell2[[#This Row],[Befvekst10-I]]*Vekter!$F$3</f>
        <v>14.432586630318827</v>
      </c>
      <c r="AG113" s="44">
        <f>Tabell2[[#This Row],[Kvinneandel-I]]*Vekter!$G$3</f>
        <v>3.5012160652883311</v>
      </c>
      <c r="AH113" s="44">
        <f>Tabell2[[#This Row],[Eldreandel-I]]*Vekter!$H$3</f>
        <v>3.1589074808147455</v>
      </c>
      <c r="AI113" s="44">
        <f>Tabell2[[#This Row],[Sysselsettingsvekst10-I]]*Vekter!$I$3</f>
        <v>4.8606834753713493</v>
      </c>
      <c r="AJ113" s="44">
        <f>Tabell2[[#This Row],[Yrkesaktivandel-I]]*Vekter!$K$3</f>
        <v>0</v>
      </c>
      <c r="AK113" s="44">
        <f>Tabell2[[#This Row],[Inntekt-I]]*Vekter!$M$3</f>
        <v>5.7041870581837957</v>
      </c>
      <c r="AL11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69.157279615553847</v>
      </c>
    </row>
    <row r="114" spans="1:38" s="38" customFormat="1" ht="12.75">
      <c r="A114" s="42" t="s">
        <v>112</v>
      </c>
      <c r="B114" s="38">
        <f>'Rådata-K'!Q114</f>
        <v>2</v>
      </c>
      <c r="C114" s="44">
        <f>'Rådata-K'!P114</f>
        <v>54.470584995199999</v>
      </c>
      <c r="D114" s="41">
        <f>'Rådata-K'!R114</f>
        <v>119.10073196235621</v>
      </c>
      <c r="E114" s="41">
        <f>'Rådata-K'!S114</f>
        <v>8.7523870146403615E-2</v>
      </c>
      <c r="F114" s="41">
        <f>'Rådata-K'!T114</f>
        <v>0.113647449029363</v>
      </c>
      <c r="G114" s="41">
        <f>'Rådata-K'!U114</f>
        <v>0.14915617988488927</v>
      </c>
      <c r="H114" s="41">
        <f>'Rådata-K'!V114</f>
        <v>-2.4197656647987786E-2</v>
      </c>
      <c r="I114" s="41">
        <f>'Rådata-K'!W114</f>
        <v>0.82133953797573545</v>
      </c>
      <c r="J114" s="41">
        <f>'Rådata-K'!O114</f>
        <v>337100</v>
      </c>
      <c r="K114" s="41">
        <f>Tabell2[[#This Row],[NIBR11]]</f>
        <v>2</v>
      </c>
      <c r="L114" s="41">
        <f>IF(Tabell2[[#This Row],[ReisetidOslo]]&lt;=C$433,C$433,IF(Tabell2[[#This Row],[ReisetidOslo]]&gt;=C$434,C$434,Tabell2[[#This Row],[ReisetidOslo]]))</f>
        <v>54.470584995199999</v>
      </c>
      <c r="M114" s="41">
        <f>IF(Tabell2[[#This Row],[Beftettotal]]&lt;=D$433,D$433,IF(Tabell2[[#This Row],[Beftettotal]]&gt;=D$434,D$434,Tabell2[[#This Row],[Beftettotal]]))</f>
        <v>119.10073196235621</v>
      </c>
      <c r="N114" s="41">
        <f>IF(Tabell2[[#This Row],[Befvekst10]]&lt;=E$433,E$433,IF(Tabell2[[#This Row],[Befvekst10]]&gt;=E$434,E$434,Tabell2[[#This Row],[Befvekst10]]))</f>
        <v>8.7523870146403615E-2</v>
      </c>
      <c r="O114" s="41">
        <f>IF(Tabell2[[#This Row],[Kvinneandel]]&lt;=F$433,F$433,IF(Tabell2[[#This Row],[Kvinneandel]]&gt;=F$434,F$434,Tabell2[[#This Row],[Kvinneandel]]))</f>
        <v>0.113647449029363</v>
      </c>
      <c r="P114" s="41">
        <f>IF(Tabell2[[#This Row],[Eldreandel]]&lt;=G$433,G$433,IF(Tabell2[[#This Row],[Eldreandel]]&gt;=G$434,G$434,Tabell2[[#This Row],[Eldreandel]]))</f>
        <v>0.14915617988488927</v>
      </c>
      <c r="Q114" s="41">
        <f>IF(Tabell2[[#This Row],[Sysselsettingsvekst10]]&lt;=H$433,H$433,IF(Tabell2[[#This Row],[Sysselsettingsvekst10]]&gt;=H$434,H$434,Tabell2[[#This Row],[Sysselsettingsvekst10]]))</f>
        <v>-2.4197656647987786E-2</v>
      </c>
      <c r="R114" s="41">
        <f>IF(Tabell2[[#This Row],[Yrkesaktivandel]]&lt;=I$433,I$433,IF(Tabell2[[#This Row],[Yrkesaktivandel]]&gt;=I$434,I$434,Tabell2[[#This Row],[Yrkesaktivandel]]))</f>
        <v>0.82642965596795781</v>
      </c>
      <c r="S114" s="41">
        <f>IF(Tabell2[[#This Row],[Inntekt]]&lt;=J$433,J$433,IF(Tabell2[[#This Row],[Inntekt]]&gt;=J$434,J$434,Tabell2[[#This Row],[Inntekt]]))</f>
        <v>337100</v>
      </c>
      <c r="T114" s="44">
        <f>IF(Tabell2[[#This Row],[NIBR11-T]]&lt;=K$436,100,IF(Tabell2[[#This Row],[NIBR11-T]]&gt;=K$435,0,100*(K$435-Tabell2[[#This Row],[NIBR11-T]])/K$438))</f>
        <v>90</v>
      </c>
      <c r="U114" s="44">
        <f>(L$435-Tabell2[[#This Row],[ReisetidOslo-T]])*100/L$438</f>
        <v>99.704639468937785</v>
      </c>
      <c r="V114" s="44">
        <f>100-(M$435-Tabell2[[#This Row],[Beftettotal-T]])*100/M$438</f>
        <v>96.344806449569916</v>
      </c>
      <c r="W114" s="44">
        <f>100-(N$435-Tabell2[[#This Row],[Befvekst10-T]])*100/N$438</f>
        <v>74.239935941719835</v>
      </c>
      <c r="X114" s="44">
        <f>100-(O$435-Tabell2[[#This Row],[Kvinneandel-T]])*100/O$438</f>
        <v>60.009608165797992</v>
      </c>
      <c r="Y114" s="44">
        <f>(P$435-Tabell2[[#This Row],[Eldreandel-T]])*100/P$438</f>
        <v>58.619680026613366</v>
      </c>
      <c r="Z114" s="44">
        <f>100-(Q$435-Tabell2[[#This Row],[Sysselsettingsvekst10-T]])*100/Q$438</f>
        <v>19.984678084312065</v>
      </c>
      <c r="AA114" s="44">
        <f>100-(R$435-Tabell2[[#This Row],[Yrkesaktivandel-T]])*100/R$438</f>
        <v>0</v>
      </c>
      <c r="AB114" s="44">
        <f>100-(S$435-Tabell2[[#This Row],[Inntekt-T]])*100/S$438</f>
        <v>61.120174007612832</v>
      </c>
      <c r="AC114" s="44">
        <f>Tabell2[[#This Row],[NIBR11-I]]*Vekter!$B$3</f>
        <v>18</v>
      </c>
      <c r="AD114" s="44">
        <f>Tabell2[[#This Row],[ReisetidOslo-I]]*Vekter!$C$3</f>
        <v>9.9704639468937799</v>
      </c>
      <c r="AE114" s="44">
        <f>Tabell2[[#This Row],[Beftettotal-I]]*Vekter!$E$4</f>
        <v>9.6344806449569926</v>
      </c>
      <c r="AF114" s="44">
        <f>Tabell2[[#This Row],[Befvekst10-I]]*Vekter!$F$3</f>
        <v>14.847987188343968</v>
      </c>
      <c r="AG114" s="44">
        <f>Tabell2[[#This Row],[Kvinneandel-I]]*Vekter!$G$3</f>
        <v>3.0004804082898997</v>
      </c>
      <c r="AH114" s="44">
        <f>Tabell2[[#This Row],[Eldreandel-I]]*Vekter!$H$3</f>
        <v>2.9309840013306685</v>
      </c>
      <c r="AI114" s="44">
        <f>Tabell2[[#This Row],[Sysselsettingsvekst10-I]]*Vekter!$I$3</f>
        <v>1.9984678084312066</v>
      </c>
      <c r="AJ114" s="44">
        <f>Tabell2[[#This Row],[Yrkesaktivandel-I]]*Vekter!$K$3</f>
        <v>0</v>
      </c>
      <c r="AK114" s="44">
        <f>Tabell2[[#This Row],[Inntekt-I]]*Vekter!$M$3</f>
        <v>6.1120174007612835</v>
      </c>
      <c r="AL11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66.494881399007809</v>
      </c>
    </row>
    <row r="115" spans="1:38" s="38" customFormat="1" ht="12.75">
      <c r="A115" s="42" t="s">
        <v>113</v>
      </c>
      <c r="B115" s="38">
        <f>'Rådata-K'!Q115</f>
        <v>2</v>
      </c>
      <c r="C115" s="44">
        <f>'Rådata-K'!P115</f>
        <v>68.814787187099995</v>
      </c>
      <c r="D115" s="41">
        <f>'Rådata-K'!R115</f>
        <v>381.47800806527243</v>
      </c>
      <c r="E115" s="41">
        <f>'Rådata-K'!S115</f>
        <v>0.15147483439959242</v>
      </c>
      <c r="F115" s="41">
        <f>'Rådata-K'!T115</f>
        <v>0.12982766674041843</v>
      </c>
      <c r="G115" s="41">
        <f>'Rådata-K'!U115</f>
        <v>0.14361924429038522</v>
      </c>
      <c r="H115" s="41">
        <f>'Rådata-K'!V115</f>
        <v>3.8857230274983667E-2</v>
      </c>
      <c r="I115" s="41">
        <f>'Rådata-K'!W115</f>
        <v>0.84519191085431289</v>
      </c>
      <c r="J115" s="41">
        <f>'Rådata-K'!O115</f>
        <v>353400</v>
      </c>
      <c r="K115" s="41">
        <f>Tabell2[[#This Row],[NIBR11]]</f>
        <v>2</v>
      </c>
      <c r="L115" s="41">
        <f>IF(Tabell2[[#This Row],[ReisetidOslo]]&lt;=C$433,C$433,IF(Tabell2[[#This Row],[ReisetidOslo]]&gt;=C$434,C$434,Tabell2[[#This Row],[ReisetidOslo]]))</f>
        <v>68.814787187099995</v>
      </c>
      <c r="M115" s="41">
        <f>IF(Tabell2[[#This Row],[Beftettotal]]&lt;=D$433,D$433,IF(Tabell2[[#This Row],[Beftettotal]]&gt;=D$434,D$434,Tabell2[[#This Row],[Beftettotal]]))</f>
        <v>123.5691465212405</v>
      </c>
      <c r="N115" s="41">
        <f>IF(Tabell2[[#This Row],[Befvekst10]]&lt;=E$433,E$433,IF(Tabell2[[#This Row],[Befvekst10]]&gt;=E$434,E$434,Tabell2[[#This Row],[Befvekst10]]))</f>
        <v>0.149789129298837</v>
      </c>
      <c r="O115" s="41">
        <f>IF(Tabell2[[#This Row],[Kvinneandel]]&lt;=F$433,F$433,IF(Tabell2[[#This Row],[Kvinneandel]]&gt;=F$434,F$434,Tabell2[[#This Row],[Kvinneandel]]))</f>
        <v>0.12826135732659469</v>
      </c>
      <c r="P115" s="41">
        <f>IF(Tabell2[[#This Row],[Eldreandel]]&lt;=G$433,G$433,IF(Tabell2[[#This Row],[Eldreandel]]&gt;=G$434,G$434,Tabell2[[#This Row],[Eldreandel]]))</f>
        <v>0.14361924429038522</v>
      </c>
      <c r="Q115" s="41">
        <f>IF(Tabell2[[#This Row],[Sysselsettingsvekst10]]&lt;=H$433,H$433,IF(Tabell2[[#This Row],[Sysselsettingsvekst10]]&gt;=H$434,H$434,Tabell2[[#This Row],[Sysselsettingsvekst10]]))</f>
        <v>3.8857230274983667E-2</v>
      </c>
      <c r="R115" s="41">
        <f>IF(Tabell2[[#This Row],[Yrkesaktivandel]]&lt;=I$433,I$433,IF(Tabell2[[#This Row],[Yrkesaktivandel]]&gt;=I$434,I$434,Tabell2[[#This Row],[Yrkesaktivandel]]))</f>
        <v>0.84519191085431289</v>
      </c>
      <c r="S115" s="41">
        <f>IF(Tabell2[[#This Row],[Inntekt]]&lt;=J$433,J$433,IF(Tabell2[[#This Row],[Inntekt]]&gt;=J$434,J$434,Tabell2[[#This Row],[Inntekt]]))</f>
        <v>353400</v>
      </c>
      <c r="T115" s="44">
        <f>IF(Tabell2[[#This Row],[NIBR11-T]]&lt;=K$436,100,IF(Tabell2[[#This Row],[NIBR11-T]]&gt;=K$435,0,100*(K$435-Tabell2[[#This Row],[NIBR11-T]])/K$438))</f>
        <v>90</v>
      </c>
      <c r="U115" s="44">
        <f>(L$435-Tabell2[[#This Row],[ReisetidOslo-T]])*100/L$438</f>
        <v>93.336522416215203</v>
      </c>
      <c r="V115" s="44">
        <f>100-(M$435-Tabell2[[#This Row],[Beftettotal-T]])*100/M$438</f>
        <v>100</v>
      </c>
      <c r="W115" s="44">
        <f>100-(N$435-Tabell2[[#This Row],[Befvekst10-T]])*100/N$438</f>
        <v>100</v>
      </c>
      <c r="X115" s="44">
        <f>100-(O$435-Tabell2[[#This Row],[Kvinneandel-T]])*100/O$438</f>
        <v>100</v>
      </c>
      <c r="Y115" s="44">
        <f>(P$435-Tabell2[[#This Row],[Eldreandel-T]])*100/P$438</f>
        <v>65.138843919687957</v>
      </c>
      <c r="Z115" s="44">
        <f>100-(Q$435-Tabell2[[#This Row],[Sysselsettingsvekst10-T]])*100/Q$438</f>
        <v>38.523891766452834</v>
      </c>
      <c r="AA115" s="44">
        <f>100-(R$435-Tabell2[[#This Row],[Yrkesaktivandel-T]])*100/R$438</f>
        <v>14.011306901117933</v>
      </c>
      <c r="AB115" s="44">
        <f>100-(S$435-Tabell2[[#This Row],[Inntekt-T]])*100/S$438</f>
        <v>83.27895595432301</v>
      </c>
      <c r="AC115" s="44">
        <f>Tabell2[[#This Row],[NIBR11-I]]*Vekter!$B$3</f>
        <v>18</v>
      </c>
      <c r="AD115" s="44">
        <f>Tabell2[[#This Row],[ReisetidOslo-I]]*Vekter!$C$3</f>
        <v>9.33365224162152</v>
      </c>
      <c r="AE115" s="44">
        <f>Tabell2[[#This Row],[Beftettotal-I]]*Vekter!$E$4</f>
        <v>10</v>
      </c>
      <c r="AF115" s="44">
        <f>Tabell2[[#This Row],[Befvekst10-I]]*Vekter!$F$3</f>
        <v>20</v>
      </c>
      <c r="AG115" s="44">
        <f>Tabell2[[#This Row],[Kvinneandel-I]]*Vekter!$G$3</f>
        <v>5</v>
      </c>
      <c r="AH115" s="44">
        <f>Tabell2[[#This Row],[Eldreandel-I]]*Vekter!$H$3</f>
        <v>3.256942195984398</v>
      </c>
      <c r="AI115" s="44">
        <f>Tabell2[[#This Row],[Sysselsettingsvekst10-I]]*Vekter!$I$3</f>
        <v>3.8523891766452838</v>
      </c>
      <c r="AJ115" s="44">
        <f>Tabell2[[#This Row],[Yrkesaktivandel-I]]*Vekter!$K$3</f>
        <v>1.4011306901117935</v>
      </c>
      <c r="AK115" s="44">
        <f>Tabell2[[#This Row],[Inntekt-I]]*Vekter!$M$3</f>
        <v>8.3278955954323006</v>
      </c>
      <c r="AL11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79.172009899795299</v>
      </c>
    </row>
    <row r="116" spans="1:38" s="38" customFormat="1" ht="12.75">
      <c r="A116" s="42" t="s">
        <v>114</v>
      </c>
      <c r="B116" s="38">
        <f>'Rådata-K'!Q116</f>
        <v>4</v>
      </c>
      <c r="C116" s="44">
        <f>'Rådata-K'!P116</f>
        <v>81.163567901600004</v>
      </c>
      <c r="D116" s="41">
        <f>'Rådata-K'!R116</f>
        <v>364.69519246654556</v>
      </c>
      <c r="E116" s="41">
        <f>'Rådata-K'!S116</f>
        <v>0.10157439057860729</v>
      </c>
      <c r="F116" s="41">
        <f>'Rådata-K'!T116</f>
        <v>0.11764439411098528</v>
      </c>
      <c r="G116" s="41">
        <f>'Rådata-K'!U116</f>
        <v>0.14656851642129104</v>
      </c>
      <c r="H116" s="41">
        <f>'Rådata-K'!V116</f>
        <v>0.14754098360655732</v>
      </c>
      <c r="I116" s="41">
        <f>'Rådata-K'!W116</f>
        <v>0.82054789167220288</v>
      </c>
      <c r="J116" s="41">
        <f>'Rådata-K'!O116</f>
        <v>338900</v>
      </c>
      <c r="K116" s="41">
        <f>Tabell2[[#This Row],[NIBR11]]</f>
        <v>4</v>
      </c>
      <c r="L116" s="41">
        <f>IF(Tabell2[[#This Row],[ReisetidOslo]]&lt;=C$433,C$433,IF(Tabell2[[#This Row],[ReisetidOslo]]&gt;=C$434,C$434,Tabell2[[#This Row],[ReisetidOslo]]))</f>
        <v>81.163567901600004</v>
      </c>
      <c r="M116" s="41">
        <f>IF(Tabell2[[#This Row],[Beftettotal]]&lt;=D$433,D$433,IF(Tabell2[[#This Row],[Beftettotal]]&gt;=D$434,D$434,Tabell2[[#This Row],[Beftettotal]]))</f>
        <v>123.5691465212405</v>
      </c>
      <c r="N116" s="41">
        <f>IF(Tabell2[[#This Row],[Befvekst10]]&lt;=E$433,E$433,IF(Tabell2[[#This Row],[Befvekst10]]&gt;=E$434,E$434,Tabell2[[#This Row],[Befvekst10]]))</f>
        <v>0.10157439057860729</v>
      </c>
      <c r="O116" s="41">
        <f>IF(Tabell2[[#This Row],[Kvinneandel]]&lt;=F$433,F$433,IF(Tabell2[[#This Row],[Kvinneandel]]&gt;=F$434,F$434,Tabell2[[#This Row],[Kvinneandel]]))</f>
        <v>0.11764439411098528</v>
      </c>
      <c r="P116" s="41">
        <f>IF(Tabell2[[#This Row],[Eldreandel]]&lt;=G$433,G$433,IF(Tabell2[[#This Row],[Eldreandel]]&gt;=G$434,G$434,Tabell2[[#This Row],[Eldreandel]]))</f>
        <v>0.14656851642129104</v>
      </c>
      <c r="Q116" s="41">
        <f>IF(Tabell2[[#This Row],[Sysselsettingsvekst10]]&lt;=H$433,H$433,IF(Tabell2[[#This Row],[Sysselsettingsvekst10]]&gt;=H$434,H$434,Tabell2[[#This Row],[Sysselsettingsvekst10]]))</f>
        <v>0.14754098360655732</v>
      </c>
      <c r="R116" s="41">
        <f>IF(Tabell2[[#This Row],[Yrkesaktivandel]]&lt;=I$433,I$433,IF(Tabell2[[#This Row],[Yrkesaktivandel]]&gt;=I$434,I$434,Tabell2[[#This Row],[Yrkesaktivandel]]))</f>
        <v>0.82642965596795781</v>
      </c>
      <c r="S116" s="41">
        <f>IF(Tabell2[[#This Row],[Inntekt]]&lt;=J$433,J$433,IF(Tabell2[[#This Row],[Inntekt]]&gt;=J$434,J$434,Tabell2[[#This Row],[Inntekt]]))</f>
        <v>338900</v>
      </c>
      <c r="T116" s="44">
        <f>IF(Tabell2[[#This Row],[NIBR11-T]]&lt;=K$436,100,IF(Tabell2[[#This Row],[NIBR11-T]]&gt;=K$435,0,100*(K$435-Tabell2[[#This Row],[NIBR11-T]])/K$438))</f>
        <v>70</v>
      </c>
      <c r="U116" s="44">
        <f>(L$435-Tabell2[[#This Row],[ReisetidOslo-T]])*100/L$438</f>
        <v>87.854273909376303</v>
      </c>
      <c r="V116" s="44">
        <f>100-(M$435-Tabell2[[#This Row],[Beftettotal-T]])*100/M$438</f>
        <v>100</v>
      </c>
      <c r="W116" s="44">
        <f>100-(N$435-Tabell2[[#This Row],[Befvekst10-T]])*100/N$438</f>
        <v>80.052845280130512</v>
      </c>
      <c r="X116" s="44">
        <f>100-(O$435-Tabell2[[#This Row],[Kvinneandel-T]])*100/O$438</f>
        <v>70.947092971566192</v>
      </c>
      <c r="Y116" s="44">
        <f>(P$435-Tabell2[[#This Row],[Eldreandel-T]])*100/P$438</f>
        <v>61.666383736886338</v>
      </c>
      <c r="Z116" s="44">
        <f>100-(Q$435-Tabell2[[#This Row],[Sysselsettingsvekst10-T]])*100/Q$438</f>
        <v>70.4787714770859</v>
      </c>
      <c r="AA116" s="44">
        <f>100-(R$435-Tabell2[[#This Row],[Yrkesaktivandel-T]])*100/R$438</f>
        <v>0</v>
      </c>
      <c r="AB116" s="44">
        <f>100-(S$435-Tabell2[[#This Row],[Inntekt-T]])*100/S$438</f>
        <v>63.567156063077761</v>
      </c>
      <c r="AC116" s="44">
        <f>Tabell2[[#This Row],[NIBR11-I]]*Vekter!$B$3</f>
        <v>14</v>
      </c>
      <c r="AD116" s="44">
        <f>Tabell2[[#This Row],[ReisetidOslo-I]]*Vekter!$C$3</f>
        <v>8.785427390937631</v>
      </c>
      <c r="AE116" s="44">
        <f>Tabell2[[#This Row],[Beftettotal-I]]*Vekter!$E$4</f>
        <v>10</v>
      </c>
      <c r="AF116" s="44">
        <f>Tabell2[[#This Row],[Befvekst10-I]]*Vekter!$F$3</f>
        <v>16.010569056026103</v>
      </c>
      <c r="AG116" s="44">
        <f>Tabell2[[#This Row],[Kvinneandel-I]]*Vekter!$G$3</f>
        <v>3.5473546485783096</v>
      </c>
      <c r="AH116" s="44">
        <f>Tabell2[[#This Row],[Eldreandel-I]]*Vekter!$H$3</f>
        <v>3.0833191868443173</v>
      </c>
      <c r="AI116" s="44">
        <f>Tabell2[[#This Row],[Sysselsettingsvekst10-I]]*Vekter!$I$3</f>
        <v>7.04787714770859</v>
      </c>
      <c r="AJ116" s="44">
        <f>Tabell2[[#This Row],[Yrkesaktivandel-I]]*Vekter!$K$3</f>
        <v>0</v>
      </c>
      <c r="AK116" s="44">
        <f>Tabell2[[#This Row],[Inntekt-I]]*Vekter!$M$3</f>
        <v>6.3567156063077768</v>
      </c>
      <c r="AL11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68.831263036402717</v>
      </c>
    </row>
    <row r="117" spans="1:38" s="38" customFormat="1" ht="12.75">
      <c r="A117" s="42" t="s">
        <v>115</v>
      </c>
      <c r="B117" s="38">
        <f>'Rådata-K'!Q117</f>
        <v>4</v>
      </c>
      <c r="C117" s="44">
        <f>'Rådata-K'!P117</f>
        <v>89.673542207500006</v>
      </c>
      <c r="D117" s="41">
        <f>'Rådata-K'!R117</f>
        <v>80.351362981533796</v>
      </c>
      <c r="E117" s="41">
        <f>'Rådata-K'!S117</f>
        <v>5.2751562691506271E-2</v>
      </c>
      <c r="F117" s="41">
        <f>'Rådata-K'!T117</f>
        <v>0.11665541248515612</v>
      </c>
      <c r="G117" s="41">
        <f>'Rådata-K'!U117</f>
        <v>0.1523505716348057</v>
      </c>
      <c r="H117" s="41">
        <f>'Rådata-K'!V117</f>
        <v>5.6656400720553224E-2</v>
      </c>
      <c r="I117" s="41">
        <f>'Rådata-K'!W117</f>
        <v>0.8321270044387572</v>
      </c>
      <c r="J117" s="41">
        <f>'Rådata-K'!O117</f>
        <v>329000</v>
      </c>
      <c r="K117" s="41">
        <f>Tabell2[[#This Row],[NIBR11]]</f>
        <v>4</v>
      </c>
      <c r="L117" s="41">
        <f>IF(Tabell2[[#This Row],[ReisetidOslo]]&lt;=C$433,C$433,IF(Tabell2[[#This Row],[ReisetidOslo]]&gt;=C$434,C$434,Tabell2[[#This Row],[ReisetidOslo]]))</f>
        <v>89.673542207500006</v>
      </c>
      <c r="M117" s="41">
        <f>IF(Tabell2[[#This Row],[Beftettotal]]&lt;=D$433,D$433,IF(Tabell2[[#This Row],[Beftettotal]]&gt;=D$434,D$434,Tabell2[[#This Row],[Beftettotal]]))</f>
        <v>80.351362981533796</v>
      </c>
      <c r="N117" s="41">
        <f>IF(Tabell2[[#This Row],[Befvekst10]]&lt;=E$433,E$433,IF(Tabell2[[#This Row],[Befvekst10]]&gt;=E$434,E$434,Tabell2[[#This Row],[Befvekst10]]))</f>
        <v>5.2751562691506271E-2</v>
      </c>
      <c r="O117" s="41">
        <f>IF(Tabell2[[#This Row],[Kvinneandel]]&lt;=F$433,F$433,IF(Tabell2[[#This Row],[Kvinneandel]]&gt;=F$434,F$434,Tabell2[[#This Row],[Kvinneandel]]))</f>
        <v>0.11665541248515612</v>
      </c>
      <c r="P117" s="41">
        <f>IF(Tabell2[[#This Row],[Eldreandel]]&lt;=G$433,G$433,IF(Tabell2[[#This Row],[Eldreandel]]&gt;=G$434,G$434,Tabell2[[#This Row],[Eldreandel]]))</f>
        <v>0.1523505716348057</v>
      </c>
      <c r="Q117" s="41">
        <f>IF(Tabell2[[#This Row],[Sysselsettingsvekst10]]&lt;=H$433,H$433,IF(Tabell2[[#This Row],[Sysselsettingsvekst10]]&gt;=H$434,H$434,Tabell2[[#This Row],[Sysselsettingsvekst10]]))</f>
        <v>5.6656400720553224E-2</v>
      </c>
      <c r="R117" s="41">
        <f>IF(Tabell2[[#This Row],[Yrkesaktivandel]]&lt;=I$433,I$433,IF(Tabell2[[#This Row],[Yrkesaktivandel]]&gt;=I$434,I$434,Tabell2[[#This Row],[Yrkesaktivandel]]))</f>
        <v>0.8321270044387572</v>
      </c>
      <c r="S117" s="41">
        <f>IF(Tabell2[[#This Row],[Inntekt]]&lt;=J$433,J$433,IF(Tabell2[[#This Row],[Inntekt]]&gt;=J$434,J$434,Tabell2[[#This Row],[Inntekt]]))</f>
        <v>329000</v>
      </c>
      <c r="T117" s="44">
        <f>IF(Tabell2[[#This Row],[NIBR11-T]]&lt;=K$436,100,IF(Tabell2[[#This Row],[NIBR11-T]]&gt;=K$435,0,100*(K$435-Tabell2[[#This Row],[NIBR11-T]])/K$438))</f>
        <v>70</v>
      </c>
      <c r="U117" s="44">
        <f>(L$435-Tabell2[[#This Row],[ReisetidOslo-T]])*100/L$438</f>
        <v>84.076265779636273</v>
      </c>
      <c r="V117" s="44">
        <f>100-(M$435-Tabell2[[#This Row],[Beftettotal-T]])*100/M$438</f>
        <v>64.647558641545956</v>
      </c>
      <c r="W117" s="44">
        <f>100-(N$435-Tabell2[[#This Row],[Befvekst10-T]])*100/N$438</f>
        <v>59.85411502512347</v>
      </c>
      <c r="X117" s="44">
        <f>100-(O$435-Tabell2[[#This Row],[Kvinneandel-T]])*100/O$438</f>
        <v>68.240783206284178</v>
      </c>
      <c r="Y117" s="44">
        <f>(P$435-Tabell2[[#This Row],[Eldreandel-T]])*100/P$438</f>
        <v>54.858617070226245</v>
      </c>
      <c r="Z117" s="44">
        <f>100-(Q$435-Tabell2[[#This Row],[Sysselsettingsvekst10-T]])*100/Q$438</f>
        <v>43.757151872975093</v>
      </c>
      <c r="AA117" s="44">
        <f>100-(R$435-Tabell2[[#This Row],[Yrkesaktivandel-T]])*100/R$438</f>
        <v>4.2546750606740744</v>
      </c>
      <c r="AB117" s="44">
        <f>100-(S$435-Tabell2[[#This Row],[Inntekt-T]])*100/S$438</f>
        <v>50.108754758020666</v>
      </c>
      <c r="AC117" s="44">
        <f>Tabell2[[#This Row],[NIBR11-I]]*Vekter!$B$3</f>
        <v>14</v>
      </c>
      <c r="AD117" s="44">
        <f>Tabell2[[#This Row],[ReisetidOslo-I]]*Vekter!$C$3</f>
        <v>8.4076265779636277</v>
      </c>
      <c r="AE117" s="44">
        <f>Tabell2[[#This Row],[Beftettotal-I]]*Vekter!$E$4</f>
        <v>6.4647558641545961</v>
      </c>
      <c r="AF117" s="44">
        <f>Tabell2[[#This Row],[Befvekst10-I]]*Vekter!$F$3</f>
        <v>11.970823005024695</v>
      </c>
      <c r="AG117" s="44">
        <f>Tabell2[[#This Row],[Kvinneandel-I]]*Vekter!$G$3</f>
        <v>3.4120391603142091</v>
      </c>
      <c r="AH117" s="44">
        <f>Tabell2[[#This Row],[Eldreandel-I]]*Vekter!$H$3</f>
        <v>2.7429308535113126</v>
      </c>
      <c r="AI117" s="44">
        <f>Tabell2[[#This Row],[Sysselsettingsvekst10-I]]*Vekter!$I$3</f>
        <v>4.3757151872975095</v>
      </c>
      <c r="AJ117" s="44">
        <f>Tabell2[[#This Row],[Yrkesaktivandel-I]]*Vekter!$K$3</f>
        <v>0.42546750606740746</v>
      </c>
      <c r="AK117" s="44">
        <f>Tabell2[[#This Row],[Inntekt-I]]*Vekter!$M$3</f>
        <v>5.0108754758020666</v>
      </c>
      <c r="AL11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56.810233630135421</v>
      </c>
    </row>
    <row r="118" spans="1:38" s="38" customFormat="1" ht="12.75">
      <c r="A118" s="42" t="s">
        <v>116</v>
      </c>
      <c r="B118" s="38">
        <f>'Rådata-K'!Q118</f>
        <v>2</v>
      </c>
      <c r="C118" s="44">
        <f>'Rådata-K'!P118</f>
        <v>50.530302670799998</v>
      </c>
      <c r="D118" s="41">
        <f>'Rådata-K'!R118</f>
        <v>114.13458203260494</v>
      </c>
      <c r="E118" s="41">
        <f>'Rådata-K'!S118</f>
        <v>2.1101629169899105E-2</v>
      </c>
      <c r="F118" s="41">
        <f>'Rådata-K'!T118</f>
        <v>0.11046953350554627</v>
      </c>
      <c r="G118" s="41">
        <f>'Rådata-K'!U118</f>
        <v>0.13766904725725573</v>
      </c>
      <c r="H118" s="41">
        <f>'Rådata-K'!V118</f>
        <v>-5.9907834101382451E-2</v>
      </c>
      <c r="I118" s="41">
        <f>'Rådata-K'!W118</f>
        <v>0.84420289855072461</v>
      </c>
      <c r="J118" s="41">
        <f>'Rådata-K'!O118</f>
        <v>336800</v>
      </c>
      <c r="K118" s="41">
        <f>Tabell2[[#This Row],[NIBR11]]</f>
        <v>2</v>
      </c>
      <c r="L118" s="41">
        <f>IF(Tabell2[[#This Row],[ReisetidOslo]]&lt;=C$433,C$433,IF(Tabell2[[#This Row],[ReisetidOslo]]&gt;=C$434,C$434,Tabell2[[#This Row],[ReisetidOslo]]))</f>
        <v>53.805284539509998</v>
      </c>
      <c r="M118" s="41">
        <f>IF(Tabell2[[#This Row],[Beftettotal]]&lt;=D$433,D$433,IF(Tabell2[[#This Row],[Beftettotal]]&gt;=D$434,D$434,Tabell2[[#This Row],[Beftettotal]]))</f>
        <v>114.13458203260494</v>
      </c>
      <c r="N118" s="41">
        <f>IF(Tabell2[[#This Row],[Befvekst10]]&lt;=E$433,E$433,IF(Tabell2[[#This Row],[Befvekst10]]&gt;=E$434,E$434,Tabell2[[#This Row],[Befvekst10]]))</f>
        <v>2.1101629169899105E-2</v>
      </c>
      <c r="O118" s="41">
        <f>IF(Tabell2[[#This Row],[Kvinneandel]]&lt;=F$433,F$433,IF(Tabell2[[#This Row],[Kvinneandel]]&gt;=F$434,F$434,Tabell2[[#This Row],[Kvinneandel]]))</f>
        <v>0.11046953350554627</v>
      </c>
      <c r="P118" s="41">
        <f>IF(Tabell2[[#This Row],[Eldreandel]]&lt;=G$433,G$433,IF(Tabell2[[#This Row],[Eldreandel]]&gt;=G$434,G$434,Tabell2[[#This Row],[Eldreandel]]))</f>
        <v>0.13766904725725573</v>
      </c>
      <c r="Q118" s="41">
        <f>IF(Tabell2[[#This Row],[Sysselsettingsvekst10]]&lt;=H$433,H$433,IF(Tabell2[[#This Row],[Sysselsettingsvekst10]]&gt;=H$434,H$434,Tabell2[[#This Row],[Sysselsettingsvekst10]]))</f>
        <v>-5.9907834101382451E-2</v>
      </c>
      <c r="R118" s="41">
        <f>IF(Tabell2[[#This Row],[Yrkesaktivandel]]&lt;=I$433,I$433,IF(Tabell2[[#This Row],[Yrkesaktivandel]]&gt;=I$434,I$434,Tabell2[[#This Row],[Yrkesaktivandel]]))</f>
        <v>0.84420289855072461</v>
      </c>
      <c r="S118" s="41">
        <f>IF(Tabell2[[#This Row],[Inntekt]]&lt;=J$433,J$433,IF(Tabell2[[#This Row],[Inntekt]]&gt;=J$434,J$434,Tabell2[[#This Row],[Inntekt]]))</f>
        <v>336800</v>
      </c>
      <c r="T118" s="44">
        <f>IF(Tabell2[[#This Row],[NIBR11-T]]&lt;=K$436,100,IF(Tabell2[[#This Row],[NIBR11-T]]&gt;=K$435,0,100*(K$435-Tabell2[[#This Row],[NIBR11-T]])/K$438))</f>
        <v>90</v>
      </c>
      <c r="U118" s="44">
        <f>(L$435-Tabell2[[#This Row],[ReisetidOslo-T]])*100/L$438</f>
        <v>100</v>
      </c>
      <c r="V118" s="44">
        <f>100-(M$435-Tabell2[[#This Row],[Beftettotal-T]])*100/M$438</f>
        <v>92.282461974927443</v>
      </c>
      <c r="W118" s="44">
        <f>100-(N$435-Tabell2[[#This Row],[Befvekst10-T]])*100/N$438</f>
        <v>46.760066657623078</v>
      </c>
      <c r="X118" s="44">
        <f>100-(O$435-Tabell2[[#This Row],[Kvinneandel-T]])*100/O$438</f>
        <v>51.313365899278622</v>
      </c>
      <c r="Y118" s="44">
        <f>(P$435-Tabell2[[#This Row],[Eldreandel-T]])*100/P$438</f>
        <v>72.144580033642484</v>
      </c>
      <c r="Z118" s="44">
        <f>100-(Q$435-Tabell2[[#This Row],[Sysselsettingsvekst10-T]])*100/Q$438</f>
        <v>9.4852760118858157</v>
      </c>
      <c r="AA118" s="44">
        <f>100-(R$435-Tabell2[[#This Row],[Yrkesaktivandel-T]])*100/R$438</f>
        <v>13.272730701269225</v>
      </c>
      <c r="AB118" s="44">
        <f>100-(S$435-Tabell2[[#This Row],[Inntekt-T]])*100/S$438</f>
        <v>60.712343665035348</v>
      </c>
      <c r="AC118" s="44">
        <f>Tabell2[[#This Row],[NIBR11-I]]*Vekter!$B$3</f>
        <v>18</v>
      </c>
      <c r="AD118" s="44">
        <f>Tabell2[[#This Row],[ReisetidOslo-I]]*Vekter!$C$3</f>
        <v>10</v>
      </c>
      <c r="AE118" s="44">
        <f>Tabell2[[#This Row],[Beftettotal-I]]*Vekter!$E$4</f>
        <v>9.2282461974927443</v>
      </c>
      <c r="AF118" s="44">
        <f>Tabell2[[#This Row],[Befvekst10-I]]*Vekter!$F$3</f>
        <v>9.3520133315246152</v>
      </c>
      <c r="AG118" s="44">
        <f>Tabell2[[#This Row],[Kvinneandel-I]]*Vekter!$G$3</f>
        <v>2.5656682949639311</v>
      </c>
      <c r="AH118" s="44">
        <f>Tabell2[[#This Row],[Eldreandel-I]]*Vekter!$H$3</f>
        <v>3.6072290016821245</v>
      </c>
      <c r="AI118" s="44">
        <f>Tabell2[[#This Row],[Sysselsettingsvekst10-I]]*Vekter!$I$3</f>
        <v>0.94852760118858159</v>
      </c>
      <c r="AJ118" s="44">
        <f>Tabell2[[#This Row],[Yrkesaktivandel-I]]*Vekter!$K$3</f>
        <v>1.3272730701269226</v>
      </c>
      <c r="AK118" s="44">
        <f>Tabell2[[#This Row],[Inntekt-I]]*Vekter!$M$3</f>
        <v>6.0712343665035355</v>
      </c>
      <c r="AL11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61.100191863482451</v>
      </c>
    </row>
    <row r="119" spans="1:38" s="38" customFormat="1" ht="12.75">
      <c r="A119" s="42" t="s">
        <v>117</v>
      </c>
      <c r="B119" s="38">
        <f>'Rådata-K'!Q119</f>
        <v>2</v>
      </c>
      <c r="C119" s="44">
        <f>'Rådata-K'!P119</f>
        <v>43.396921828799996</v>
      </c>
      <c r="D119" s="41">
        <f>'Rådata-K'!R119</f>
        <v>48.68745793134395</v>
      </c>
      <c r="E119" s="41">
        <f>'Rådata-K'!S119</f>
        <v>0.15364167995746936</v>
      </c>
      <c r="F119" s="41">
        <f>'Rådata-K'!T119</f>
        <v>0.12142857142857143</v>
      </c>
      <c r="G119" s="41">
        <f>'Rådata-K'!U119</f>
        <v>0.12891705069124423</v>
      </c>
      <c r="H119" s="41">
        <f>'Rådata-K'!V119</f>
        <v>4.5288197621226045E-2</v>
      </c>
      <c r="I119" s="41">
        <f>'Rådata-K'!W119</f>
        <v>0.87490055688146384</v>
      </c>
      <c r="J119" s="41">
        <f>'Rådata-K'!O119</f>
        <v>343800</v>
      </c>
      <c r="K119" s="41">
        <f>Tabell2[[#This Row],[NIBR11]]</f>
        <v>2</v>
      </c>
      <c r="L119" s="41">
        <f>IF(Tabell2[[#This Row],[ReisetidOslo]]&lt;=C$433,C$433,IF(Tabell2[[#This Row],[ReisetidOslo]]&gt;=C$434,C$434,Tabell2[[#This Row],[ReisetidOslo]]))</f>
        <v>53.805284539509998</v>
      </c>
      <c r="M119" s="41">
        <f>IF(Tabell2[[#This Row],[Beftettotal]]&lt;=D$433,D$433,IF(Tabell2[[#This Row],[Beftettotal]]&gt;=D$434,D$434,Tabell2[[#This Row],[Beftettotal]]))</f>
        <v>48.68745793134395</v>
      </c>
      <c r="N119" s="41">
        <f>IF(Tabell2[[#This Row],[Befvekst10]]&lt;=E$433,E$433,IF(Tabell2[[#This Row],[Befvekst10]]&gt;=E$434,E$434,Tabell2[[#This Row],[Befvekst10]]))</f>
        <v>0.149789129298837</v>
      </c>
      <c r="O119" s="41">
        <f>IF(Tabell2[[#This Row],[Kvinneandel]]&lt;=F$433,F$433,IF(Tabell2[[#This Row],[Kvinneandel]]&gt;=F$434,F$434,Tabell2[[#This Row],[Kvinneandel]]))</f>
        <v>0.12142857142857143</v>
      </c>
      <c r="P119" s="41">
        <f>IF(Tabell2[[#This Row],[Eldreandel]]&lt;=G$433,G$433,IF(Tabell2[[#This Row],[Eldreandel]]&gt;=G$434,G$434,Tabell2[[#This Row],[Eldreandel]]))</f>
        <v>0.12891705069124423</v>
      </c>
      <c r="Q119" s="41">
        <f>IF(Tabell2[[#This Row],[Sysselsettingsvekst10]]&lt;=H$433,H$433,IF(Tabell2[[#This Row],[Sysselsettingsvekst10]]&gt;=H$434,H$434,Tabell2[[#This Row],[Sysselsettingsvekst10]]))</f>
        <v>4.5288197621226045E-2</v>
      </c>
      <c r="R119" s="41">
        <f>IF(Tabell2[[#This Row],[Yrkesaktivandel]]&lt;=I$433,I$433,IF(Tabell2[[#This Row],[Yrkesaktivandel]]&gt;=I$434,I$434,Tabell2[[#This Row],[Yrkesaktivandel]]))</f>
        <v>0.87490055688146384</v>
      </c>
      <c r="S119" s="41">
        <f>IF(Tabell2[[#This Row],[Inntekt]]&lt;=J$433,J$433,IF(Tabell2[[#This Row],[Inntekt]]&gt;=J$434,J$434,Tabell2[[#This Row],[Inntekt]]))</f>
        <v>343800</v>
      </c>
      <c r="T119" s="44">
        <f>IF(Tabell2[[#This Row],[NIBR11-T]]&lt;=K$436,100,IF(Tabell2[[#This Row],[NIBR11-T]]&gt;=K$435,0,100*(K$435-Tabell2[[#This Row],[NIBR11-T]])/K$438))</f>
        <v>90</v>
      </c>
      <c r="U119" s="44">
        <f>(L$435-Tabell2[[#This Row],[ReisetidOslo-T]])*100/L$438</f>
        <v>100</v>
      </c>
      <c r="V119" s="44">
        <f>100-(M$435-Tabell2[[#This Row],[Beftettotal-T]])*100/M$438</f>
        <v>38.746268598801421</v>
      </c>
      <c r="W119" s="44">
        <f>100-(N$435-Tabell2[[#This Row],[Befvekst10-T]])*100/N$438</f>
        <v>100</v>
      </c>
      <c r="X119" s="44">
        <f>100-(O$435-Tabell2[[#This Row],[Kvinneandel-T]])*100/O$438</f>
        <v>81.302347063932174</v>
      </c>
      <c r="Y119" s="44">
        <f>(P$435-Tabell2[[#This Row],[Eldreandel-T]])*100/P$438</f>
        <v>82.449142734730856</v>
      </c>
      <c r="Z119" s="44">
        <f>100-(Q$435-Tabell2[[#This Row],[Sysselsettingsvekst10-T]])*100/Q$438</f>
        <v>40.41470600200136</v>
      </c>
      <c r="AA119" s="44">
        <f>100-(R$435-Tabell2[[#This Row],[Yrkesaktivandel-T]])*100/R$438</f>
        <v>36.197177396130456</v>
      </c>
      <c r="AB119" s="44">
        <f>100-(S$435-Tabell2[[#This Row],[Inntekt-T]])*100/S$438</f>
        <v>70.228384991843399</v>
      </c>
      <c r="AC119" s="44">
        <f>Tabell2[[#This Row],[NIBR11-I]]*Vekter!$B$3</f>
        <v>18</v>
      </c>
      <c r="AD119" s="44">
        <f>Tabell2[[#This Row],[ReisetidOslo-I]]*Vekter!$C$3</f>
        <v>10</v>
      </c>
      <c r="AE119" s="44">
        <f>Tabell2[[#This Row],[Beftettotal-I]]*Vekter!$E$4</f>
        <v>3.8746268598801423</v>
      </c>
      <c r="AF119" s="44">
        <f>Tabell2[[#This Row],[Befvekst10-I]]*Vekter!$F$3</f>
        <v>20</v>
      </c>
      <c r="AG119" s="44">
        <f>Tabell2[[#This Row],[Kvinneandel-I]]*Vekter!$G$3</f>
        <v>4.0651173531966087</v>
      </c>
      <c r="AH119" s="44">
        <f>Tabell2[[#This Row],[Eldreandel-I]]*Vekter!$H$3</f>
        <v>4.1224571367365428</v>
      </c>
      <c r="AI119" s="44">
        <f>Tabell2[[#This Row],[Sysselsettingsvekst10-I]]*Vekter!$I$3</f>
        <v>4.0414706002001362</v>
      </c>
      <c r="AJ119" s="44">
        <f>Tabell2[[#This Row],[Yrkesaktivandel-I]]*Vekter!$K$3</f>
        <v>3.619717739613046</v>
      </c>
      <c r="AK119" s="44">
        <f>Tabell2[[#This Row],[Inntekt-I]]*Vekter!$M$3</f>
        <v>7.0228384991843402</v>
      </c>
      <c r="AL11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74.746228188810832</v>
      </c>
    </row>
    <row r="120" spans="1:38" s="38" customFormat="1" ht="12.75">
      <c r="A120" s="42" t="s">
        <v>118</v>
      </c>
      <c r="B120" s="38">
        <f>'Rådata-K'!Q120</f>
        <v>2</v>
      </c>
      <c r="C120" s="44">
        <f>'Rådata-K'!P120</f>
        <v>53.292219040399999</v>
      </c>
      <c r="D120" s="41">
        <f>'Rådata-K'!R120</f>
        <v>18.685630210887691</v>
      </c>
      <c r="E120" s="41">
        <f>'Rådata-K'!S120</f>
        <v>4.9455984174084922E-3</v>
      </c>
      <c r="F120" s="41">
        <f>'Rådata-K'!T120</f>
        <v>0.10990813648293964</v>
      </c>
      <c r="G120" s="41">
        <f>'Rådata-K'!U120</f>
        <v>0.13877952755905512</v>
      </c>
      <c r="H120" s="41">
        <f>'Rådata-K'!V120</f>
        <v>7.7008928571428603E-2</v>
      </c>
      <c r="I120" s="41">
        <f>'Rådata-K'!W120</f>
        <v>0.89261363636363633</v>
      </c>
      <c r="J120" s="41">
        <f>'Rådata-K'!O120</f>
        <v>340000</v>
      </c>
      <c r="K120" s="41">
        <f>Tabell2[[#This Row],[NIBR11]]</f>
        <v>2</v>
      </c>
      <c r="L120" s="41">
        <f>IF(Tabell2[[#This Row],[ReisetidOslo]]&lt;=C$433,C$433,IF(Tabell2[[#This Row],[ReisetidOslo]]&gt;=C$434,C$434,Tabell2[[#This Row],[ReisetidOslo]]))</f>
        <v>53.805284539509998</v>
      </c>
      <c r="M120" s="41">
        <f>IF(Tabell2[[#This Row],[Beftettotal]]&lt;=D$433,D$433,IF(Tabell2[[#This Row],[Beftettotal]]&gt;=D$434,D$434,Tabell2[[#This Row],[Beftettotal]]))</f>
        <v>18.685630210887691</v>
      </c>
      <c r="N120" s="41">
        <f>IF(Tabell2[[#This Row],[Befvekst10]]&lt;=E$433,E$433,IF(Tabell2[[#This Row],[Befvekst10]]&gt;=E$434,E$434,Tabell2[[#This Row],[Befvekst10]]))</f>
        <v>4.9455984174084922E-3</v>
      </c>
      <c r="O120" s="41">
        <f>IF(Tabell2[[#This Row],[Kvinneandel]]&lt;=F$433,F$433,IF(Tabell2[[#This Row],[Kvinneandel]]&gt;=F$434,F$434,Tabell2[[#This Row],[Kvinneandel]]))</f>
        <v>0.10990813648293964</v>
      </c>
      <c r="P120" s="41">
        <f>IF(Tabell2[[#This Row],[Eldreandel]]&lt;=G$433,G$433,IF(Tabell2[[#This Row],[Eldreandel]]&gt;=G$434,G$434,Tabell2[[#This Row],[Eldreandel]]))</f>
        <v>0.13877952755905512</v>
      </c>
      <c r="Q120" s="41">
        <f>IF(Tabell2[[#This Row],[Sysselsettingsvekst10]]&lt;=H$433,H$433,IF(Tabell2[[#This Row],[Sysselsettingsvekst10]]&gt;=H$434,H$434,Tabell2[[#This Row],[Sysselsettingsvekst10]]))</f>
        <v>7.7008928571428603E-2</v>
      </c>
      <c r="R120" s="41">
        <f>IF(Tabell2[[#This Row],[Yrkesaktivandel]]&lt;=I$433,I$433,IF(Tabell2[[#This Row],[Yrkesaktivandel]]&gt;=I$434,I$434,Tabell2[[#This Row],[Yrkesaktivandel]]))</f>
        <v>0.89261363636363633</v>
      </c>
      <c r="S120" s="41">
        <f>IF(Tabell2[[#This Row],[Inntekt]]&lt;=J$433,J$433,IF(Tabell2[[#This Row],[Inntekt]]&gt;=J$434,J$434,Tabell2[[#This Row],[Inntekt]]))</f>
        <v>340000</v>
      </c>
      <c r="T120" s="44">
        <f>IF(Tabell2[[#This Row],[NIBR11-T]]&lt;=K$436,100,IF(Tabell2[[#This Row],[NIBR11-T]]&gt;=K$435,0,100*(K$435-Tabell2[[#This Row],[NIBR11-T]])/K$438))</f>
        <v>90</v>
      </c>
      <c r="U120" s="44">
        <f>(L$435-Tabell2[[#This Row],[ReisetidOslo-T]])*100/L$438</f>
        <v>100</v>
      </c>
      <c r="V120" s="44">
        <f>100-(M$435-Tabell2[[#This Row],[Beftettotal-T]])*100/M$438</f>
        <v>14.204569134750912</v>
      </c>
      <c r="W120" s="44">
        <f>100-(N$435-Tabell2[[#This Row],[Befvekst10-T]])*100/N$438</f>
        <v>40.076076375131208</v>
      </c>
      <c r="X120" s="44">
        <f>100-(O$435-Tabell2[[#This Row],[Kvinneandel-T]])*100/O$438</f>
        <v>49.777124775277166</v>
      </c>
      <c r="Y120" s="44">
        <f>(P$435-Tabell2[[#This Row],[Eldreandel-T]])*100/P$438</f>
        <v>70.837105354932675</v>
      </c>
      <c r="Z120" s="44">
        <f>100-(Q$435-Tabell2[[#This Row],[Sysselsettingsvekst10-T]])*100/Q$438</f>
        <v>49.74114266594944</v>
      </c>
      <c r="AA120" s="44">
        <f>100-(R$435-Tabell2[[#This Row],[Yrkesaktivandel-T]])*100/R$438</f>
        <v>49.424979400307798</v>
      </c>
      <c r="AB120" s="44">
        <f>100-(S$435-Tabell2[[#This Row],[Inntekt-T]])*100/S$438</f>
        <v>65.062533985861876</v>
      </c>
      <c r="AC120" s="44">
        <f>Tabell2[[#This Row],[NIBR11-I]]*Vekter!$B$3</f>
        <v>18</v>
      </c>
      <c r="AD120" s="44">
        <f>Tabell2[[#This Row],[ReisetidOslo-I]]*Vekter!$C$3</f>
        <v>10</v>
      </c>
      <c r="AE120" s="44">
        <f>Tabell2[[#This Row],[Beftettotal-I]]*Vekter!$E$4</f>
        <v>1.4204569134750913</v>
      </c>
      <c r="AF120" s="44">
        <f>Tabell2[[#This Row],[Befvekst10-I]]*Vekter!$F$3</f>
        <v>8.0152152750262413</v>
      </c>
      <c r="AG120" s="44">
        <f>Tabell2[[#This Row],[Kvinneandel-I]]*Vekter!$G$3</f>
        <v>2.4888562387638586</v>
      </c>
      <c r="AH120" s="44">
        <f>Tabell2[[#This Row],[Eldreandel-I]]*Vekter!$H$3</f>
        <v>3.5418552677466337</v>
      </c>
      <c r="AI120" s="44">
        <f>Tabell2[[#This Row],[Sysselsettingsvekst10-I]]*Vekter!$I$3</f>
        <v>4.9741142665949445</v>
      </c>
      <c r="AJ120" s="44">
        <f>Tabell2[[#This Row],[Yrkesaktivandel-I]]*Vekter!$K$3</f>
        <v>4.9424979400307798</v>
      </c>
      <c r="AK120" s="44">
        <f>Tabell2[[#This Row],[Inntekt-I]]*Vekter!$M$3</f>
        <v>6.5062533985861881</v>
      </c>
      <c r="AL12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59.889249300223746</v>
      </c>
    </row>
    <row r="121" spans="1:38" s="38" customFormat="1" ht="12.75">
      <c r="A121" s="42" t="s">
        <v>119</v>
      </c>
      <c r="B121" s="38">
        <f>'Rådata-K'!Q121</f>
        <v>2</v>
      </c>
      <c r="C121" s="44">
        <f>'Rådata-K'!P121</f>
        <v>61.991895230799997</v>
      </c>
      <c r="D121" s="41">
        <f>'Rådata-K'!R121</f>
        <v>39.775660998842696</v>
      </c>
      <c r="E121" s="41">
        <f>'Rådata-K'!S121</f>
        <v>9.3489965736661684E-2</v>
      </c>
      <c r="F121" s="41">
        <f>'Rådata-K'!T121</f>
        <v>0.1258952551477171</v>
      </c>
      <c r="G121" s="41">
        <f>'Rådata-K'!U121</f>
        <v>0.11392121754700089</v>
      </c>
      <c r="H121" s="41">
        <f>'Rådata-K'!V121</f>
        <v>0.19393703847648669</v>
      </c>
      <c r="I121" s="41">
        <f>'Rådata-K'!W121</f>
        <v>0.87712344280860699</v>
      </c>
      <c r="J121" s="41">
        <f>'Rådata-K'!O121</f>
        <v>336800</v>
      </c>
      <c r="K121" s="41">
        <f>Tabell2[[#This Row],[NIBR11]]</f>
        <v>2</v>
      </c>
      <c r="L121" s="41">
        <f>IF(Tabell2[[#This Row],[ReisetidOslo]]&lt;=C$433,C$433,IF(Tabell2[[#This Row],[ReisetidOslo]]&gt;=C$434,C$434,Tabell2[[#This Row],[ReisetidOslo]]))</f>
        <v>61.991895230799997</v>
      </c>
      <c r="M121" s="41">
        <f>IF(Tabell2[[#This Row],[Beftettotal]]&lt;=D$433,D$433,IF(Tabell2[[#This Row],[Beftettotal]]&gt;=D$434,D$434,Tabell2[[#This Row],[Beftettotal]]))</f>
        <v>39.775660998842696</v>
      </c>
      <c r="N121" s="41">
        <f>IF(Tabell2[[#This Row],[Befvekst10]]&lt;=E$433,E$433,IF(Tabell2[[#This Row],[Befvekst10]]&gt;=E$434,E$434,Tabell2[[#This Row],[Befvekst10]]))</f>
        <v>9.3489965736661684E-2</v>
      </c>
      <c r="O121" s="41">
        <f>IF(Tabell2[[#This Row],[Kvinneandel]]&lt;=F$433,F$433,IF(Tabell2[[#This Row],[Kvinneandel]]&gt;=F$434,F$434,Tabell2[[#This Row],[Kvinneandel]]))</f>
        <v>0.1258952551477171</v>
      </c>
      <c r="P121" s="41">
        <f>IF(Tabell2[[#This Row],[Eldreandel]]&lt;=G$433,G$433,IF(Tabell2[[#This Row],[Eldreandel]]&gt;=G$434,G$434,Tabell2[[#This Row],[Eldreandel]]))</f>
        <v>0.11401054306234992</v>
      </c>
      <c r="Q121" s="41">
        <f>IF(Tabell2[[#This Row],[Sysselsettingsvekst10]]&lt;=H$433,H$433,IF(Tabell2[[#This Row],[Sysselsettingsvekst10]]&gt;=H$434,H$434,Tabell2[[#This Row],[Sysselsettingsvekst10]]))</f>
        <v>0.19393703847648669</v>
      </c>
      <c r="R121" s="41">
        <f>IF(Tabell2[[#This Row],[Yrkesaktivandel]]&lt;=I$433,I$433,IF(Tabell2[[#This Row],[Yrkesaktivandel]]&gt;=I$434,I$434,Tabell2[[#This Row],[Yrkesaktivandel]]))</f>
        <v>0.87712344280860699</v>
      </c>
      <c r="S121" s="41">
        <f>IF(Tabell2[[#This Row],[Inntekt]]&lt;=J$433,J$433,IF(Tabell2[[#This Row],[Inntekt]]&gt;=J$434,J$434,Tabell2[[#This Row],[Inntekt]]))</f>
        <v>336800</v>
      </c>
      <c r="T121" s="44">
        <f>IF(Tabell2[[#This Row],[NIBR11-T]]&lt;=K$436,100,IF(Tabell2[[#This Row],[NIBR11-T]]&gt;=K$435,0,100*(K$435-Tabell2[[#This Row],[NIBR11-T]])/K$438))</f>
        <v>90</v>
      </c>
      <c r="U121" s="44">
        <f>(L$435-Tabell2[[#This Row],[ReisetidOslo-T]])*100/L$438</f>
        <v>96.36554933834914</v>
      </c>
      <c r="V121" s="44">
        <f>100-(M$435-Tabell2[[#This Row],[Beftettotal-T]])*100/M$438</f>
        <v>31.45635799602276</v>
      </c>
      <c r="W121" s="44">
        <f>100-(N$435-Tabell2[[#This Row],[Befvekst10-T]])*100/N$438</f>
        <v>76.708198447567995</v>
      </c>
      <c r="X121" s="44">
        <f>100-(O$435-Tabell2[[#This Row],[Kvinneandel-T]])*100/O$438</f>
        <v>93.525253386802902</v>
      </c>
      <c r="Y121" s="44">
        <f>(P$435-Tabell2[[#This Row],[Eldreandel-T]])*100/P$438</f>
        <v>100</v>
      </c>
      <c r="Z121" s="44">
        <f>100-(Q$435-Tabell2[[#This Row],[Sysselsettingsvekst10-T]])*100/Q$438</f>
        <v>84.120004016170654</v>
      </c>
      <c r="AA121" s="44">
        <f>100-(R$435-Tabell2[[#This Row],[Yrkesaktivandel-T]])*100/R$438</f>
        <v>37.85718772644686</v>
      </c>
      <c r="AB121" s="44">
        <f>100-(S$435-Tabell2[[#This Row],[Inntekt-T]])*100/S$438</f>
        <v>60.712343665035348</v>
      </c>
      <c r="AC121" s="44">
        <f>Tabell2[[#This Row],[NIBR11-I]]*Vekter!$B$3</f>
        <v>18</v>
      </c>
      <c r="AD121" s="44">
        <f>Tabell2[[#This Row],[ReisetidOslo-I]]*Vekter!$C$3</f>
        <v>9.6365549338349155</v>
      </c>
      <c r="AE121" s="44">
        <f>Tabell2[[#This Row],[Beftettotal-I]]*Vekter!$E$4</f>
        <v>3.1456357996022764</v>
      </c>
      <c r="AF121" s="44">
        <f>Tabell2[[#This Row],[Befvekst10-I]]*Vekter!$F$3</f>
        <v>15.341639689513599</v>
      </c>
      <c r="AG121" s="44">
        <f>Tabell2[[#This Row],[Kvinneandel-I]]*Vekter!$G$3</f>
        <v>4.6762626693401455</v>
      </c>
      <c r="AH121" s="44">
        <f>Tabell2[[#This Row],[Eldreandel-I]]*Vekter!$H$3</f>
        <v>5</v>
      </c>
      <c r="AI121" s="44">
        <f>Tabell2[[#This Row],[Sysselsettingsvekst10-I]]*Vekter!$I$3</f>
        <v>8.4120004016170657</v>
      </c>
      <c r="AJ121" s="44">
        <f>Tabell2[[#This Row],[Yrkesaktivandel-I]]*Vekter!$K$3</f>
        <v>3.7857187726446861</v>
      </c>
      <c r="AK121" s="44">
        <f>Tabell2[[#This Row],[Inntekt-I]]*Vekter!$M$3</f>
        <v>6.0712343665035355</v>
      </c>
      <c r="AL12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74.069046633056217</v>
      </c>
    </row>
    <row r="122" spans="1:38" s="38" customFormat="1" ht="12.75">
      <c r="A122" s="42" t="s">
        <v>120</v>
      </c>
      <c r="B122" s="38">
        <f>'Rådata-K'!Q122</f>
        <v>2</v>
      </c>
      <c r="C122" s="44">
        <f>'Rådata-K'!P122</f>
        <v>74.591474800100002</v>
      </c>
      <c r="D122" s="41">
        <f>'Rådata-K'!R122</f>
        <v>29.306078536847767</v>
      </c>
      <c r="E122" s="41">
        <f>'Rådata-K'!S122</f>
        <v>0.12958739373833716</v>
      </c>
      <c r="F122" s="41">
        <f>'Rådata-K'!T122</f>
        <v>0.12793685756240822</v>
      </c>
      <c r="G122" s="41">
        <f>'Rådata-K'!U122</f>
        <v>0.11820851688693099</v>
      </c>
      <c r="H122" s="41">
        <f>'Rådata-K'!V122</f>
        <v>0.20978593272171264</v>
      </c>
      <c r="I122" s="41">
        <f>'Rådata-K'!W122</f>
        <v>0.86372007366482506</v>
      </c>
      <c r="J122" s="41">
        <f>'Rådata-K'!O122</f>
        <v>328300</v>
      </c>
      <c r="K122" s="41">
        <f>Tabell2[[#This Row],[NIBR11]]</f>
        <v>2</v>
      </c>
      <c r="L122" s="41">
        <f>IF(Tabell2[[#This Row],[ReisetidOslo]]&lt;=C$433,C$433,IF(Tabell2[[#This Row],[ReisetidOslo]]&gt;=C$434,C$434,Tabell2[[#This Row],[ReisetidOslo]]))</f>
        <v>74.591474800100002</v>
      </c>
      <c r="M122" s="41">
        <f>IF(Tabell2[[#This Row],[Beftettotal]]&lt;=D$433,D$433,IF(Tabell2[[#This Row],[Beftettotal]]&gt;=D$434,D$434,Tabell2[[#This Row],[Beftettotal]]))</f>
        <v>29.306078536847767</v>
      </c>
      <c r="N122" s="41">
        <f>IF(Tabell2[[#This Row],[Befvekst10]]&lt;=E$433,E$433,IF(Tabell2[[#This Row],[Befvekst10]]&gt;=E$434,E$434,Tabell2[[#This Row],[Befvekst10]]))</f>
        <v>0.12958739373833716</v>
      </c>
      <c r="O122" s="41">
        <f>IF(Tabell2[[#This Row],[Kvinneandel]]&lt;=F$433,F$433,IF(Tabell2[[#This Row],[Kvinneandel]]&gt;=F$434,F$434,Tabell2[[#This Row],[Kvinneandel]]))</f>
        <v>0.12793685756240822</v>
      </c>
      <c r="P122" s="41">
        <f>IF(Tabell2[[#This Row],[Eldreandel]]&lt;=G$433,G$433,IF(Tabell2[[#This Row],[Eldreandel]]&gt;=G$434,G$434,Tabell2[[#This Row],[Eldreandel]]))</f>
        <v>0.11820851688693099</v>
      </c>
      <c r="Q122" s="41">
        <f>IF(Tabell2[[#This Row],[Sysselsettingsvekst10]]&lt;=H$433,H$433,IF(Tabell2[[#This Row],[Sysselsettingsvekst10]]&gt;=H$434,H$434,Tabell2[[#This Row],[Sysselsettingsvekst10]]))</f>
        <v>0.20978593272171264</v>
      </c>
      <c r="R122" s="41">
        <f>IF(Tabell2[[#This Row],[Yrkesaktivandel]]&lt;=I$433,I$433,IF(Tabell2[[#This Row],[Yrkesaktivandel]]&gt;=I$434,I$434,Tabell2[[#This Row],[Yrkesaktivandel]]))</f>
        <v>0.86372007366482506</v>
      </c>
      <c r="S122" s="41">
        <f>IF(Tabell2[[#This Row],[Inntekt]]&lt;=J$433,J$433,IF(Tabell2[[#This Row],[Inntekt]]&gt;=J$434,J$434,Tabell2[[#This Row],[Inntekt]]))</f>
        <v>328300</v>
      </c>
      <c r="T122" s="44">
        <f>IF(Tabell2[[#This Row],[NIBR11-T]]&lt;=K$436,100,IF(Tabell2[[#This Row],[NIBR11-T]]&gt;=K$435,0,100*(K$435-Tabell2[[#This Row],[NIBR11-T]])/K$438))</f>
        <v>90</v>
      </c>
      <c r="U122" s="44">
        <f>(L$435-Tabell2[[#This Row],[ReisetidOslo-T]])*100/L$438</f>
        <v>90.771958531486248</v>
      </c>
      <c r="V122" s="44">
        <f>100-(M$435-Tabell2[[#This Row],[Beftettotal-T]])*100/M$438</f>
        <v>22.892168217638613</v>
      </c>
      <c r="W122" s="44">
        <f>100-(N$435-Tabell2[[#This Row],[Befvekst10-T]])*100/N$438</f>
        <v>91.642241448752173</v>
      </c>
      <c r="X122" s="44">
        <f>100-(O$435-Tabell2[[#This Row],[Kvinneandel-T]])*100/O$438</f>
        <v>99.112019012574393</v>
      </c>
      <c r="Y122" s="44">
        <f>(P$435-Tabell2[[#This Row],[Eldreandel-T]])*100/P$438</f>
        <v>95.057323872712942</v>
      </c>
      <c r="Z122" s="44">
        <f>100-(Q$435-Tabell2[[#This Row],[Sysselsettingsvekst10-T]])*100/Q$438</f>
        <v>88.779849610641975</v>
      </c>
      <c r="AA122" s="44">
        <f>100-(R$435-Tabell2[[#This Row],[Yrkesaktivandel-T]])*100/R$438</f>
        <v>27.847798145076226</v>
      </c>
      <c r="AB122" s="44">
        <f>100-(S$435-Tabell2[[#This Row],[Inntekt-T]])*100/S$438</f>
        <v>49.15715062533986</v>
      </c>
      <c r="AC122" s="44">
        <f>Tabell2[[#This Row],[NIBR11-I]]*Vekter!$B$3</f>
        <v>18</v>
      </c>
      <c r="AD122" s="44">
        <f>Tabell2[[#This Row],[ReisetidOslo-I]]*Vekter!$C$3</f>
        <v>9.0771958531486252</v>
      </c>
      <c r="AE122" s="44">
        <f>Tabell2[[#This Row],[Beftettotal-I]]*Vekter!$E$4</f>
        <v>2.2892168217638615</v>
      </c>
      <c r="AF122" s="44">
        <f>Tabell2[[#This Row],[Befvekst10-I]]*Vekter!$F$3</f>
        <v>18.328448289750437</v>
      </c>
      <c r="AG122" s="44">
        <f>Tabell2[[#This Row],[Kvinneandel-I]]*Vekter!$G$3</f>
        <v>4.9556009506287202</v>
      </c>
      <c r="AH122" s="44">
        <f>Tabell2[[#This Row],[Eldreandel-I]]*Vekter!$H$3</f>
        <v>4.7528661936356471</v>
      </c>
      <c r="AI122" s="44">
        <f>Tabell2[[#This Row],[Sysselsettingsvekst10-I]]*Vekter!$I$3</f>
        <v>8.8779849610641985</v>
      </c>
      <c r="AJ122" s="44">
        <f>Tabell2[[#This Row],[Yrkesaktivandel-I]]*Vekter!$K$3</f>
        <v>2.7847798145076226</v>
      </c>
      <c r="AK122" s="44">
        <f>Tabell2[[#This Row],[Inntekt-I]]*Vekter!$M$3</f>
        <v>4.9157150625339865</v>
      </c>
      <c r="AL12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73.981807947033104</v>
      </c>
    </row>
    <row r="123" spans="1:38" s="38" customFormat="1" ht="12.75">
      <c r="A123" s="42" t="s">
        <v>121</v>
      </c>
      <c r="B123" s="38">
        <f>'Rådata-K'!Q123</f>
        <v>2</v>
      </c>
      <c r="C123" s="44">
        <f>'Rådata-K'!P123</f>
        <v>72.6145221986</v>
      </c>
      <c r="D123" s="41">
        <f>'Rådata-K'!R123</f>
        <v>94.46463280655793</v>
      </c>
      <c r="E123" s="41">
        <f>'Rådata-K'!S123</f>
        <v>0.13886907794192571</v>
      </c>
      <c r="F123" s="41">
        <f>'Rådata-K'!T123</f>
        <v>0.1261406333870102</v>
      </c>
      <c r="G123" s="41">
        <f>'Rådata-K'!U123</f>
        <v>0.11173734120594024</v>
      </c>
      <c r="H123" s="41">
        <f>'Rådata-K'!V123</f>
        <v>0.55102614562833852</v>
      </c>
      <c r="I123" s="41">
        <f>'Rådata-K'!W123</f>
        <v>0.85428402016009486</v>
      </c>
      <c r="J123" s="41">
        <f>'Rådata-K'!O123</f>
        <v>327100</v>
      </c>
      <c r="K123" s="41">
        <f>Tabell2[[#This Row],[NIBR11]]</f>
        <v>2</v>
      </c>
      <c r="L123" s="41">
        <f>IF(Tabell2[[#This Row],[ReisetidOslo]]&lt;=C$433,C$433,IF(Tabell2[[#This Row],[ReisetidOslo]]&gt;=C$434,C$434,Tabell2[[#This Row],[ReisetidOslo]]))</f>
        <v>72.6145221986</v>
      </c>
      <c r="M123" s="41">
        <f>IF(Tabell2[[#This Row],[Beftettotal]]&lt;=D$433,D$433,IF(Tabell2[[#This Row],[Beftettotal]]&gt;=D$434,D$434,Tabell2[[#This Row],[Beftettotal]]))</f>
        <v>94.46463280655793</v>
      </c>
      <c r="N123" s="41">
        <f>IF(Tabell2[[#This Row],[Befvekst10]]&lt;=E$433,E$433,IF(Tabell2[[#This Row],[Befvekst10]]&gt;=E$434,E$434,Tabell2[[#This Row],[Befvekst10]]))</f>
        <v>0.13886907794192571</v>
      </c>
      <c r="O123" s="41">
        <f>IF(Tabell2[[#This Row],[Kvinneandel]]&lt;=F$433,F$433,IF(Tabell2[[#This Row],[Kvinneandel]]&gt;=F$434,F$434,Tabell2[[#This Row],[Kvinneandel]]))</f>
        <v>0.1261406333870102</v>
      </c>
      <c r="P123" s="41">
        <f>IF(Tabell2[[#This Row],[Eldreandel]]&lt;=G$433,G$433,IF(Tabell2[[#This Row],[Eldreandel]]&gt;=G$434,G$434,Tabell2[[#This Row],[Eldreandel]]))</f>
        <v>0.11401054306234992</v>
      </c>
      <c r="Q123" s="41">
        <f>IF(Tabell2[[#This Row],[Sysselsettingsvekst10]]&lt;=H$433,H$433,IF(Tabell2[[#This Row],[Sysselsettingsvekst10]]&gt;=H$434,H$434,Tabell2[[#This Row],[Sysselsettingsvekst10]]))</f>
        <v>0.24794749265568336</v>
      </c>
      <c r="R123" s="41">
        <f>IF(Tabell2[[#This Row],[Yrkesaktivandel]]&lt;=I$433,I$433,IF(Tabell2[[#This Row],[Yrkesaktivandel]]&gt;=I$434,I$434,Tabell2[[#This Row],[Yrkesaktivandel]]))</f>
        <v>0.85428402016009486</v>
      </c>
      <c r="S123" s="41">
        <f>IF(Tabell2[[#This Row],[Inntekt]]&lt;=J$433,J$433,IF(Tabell2[[#This Row],[Inntekt]]&gt;=J$434,J$434,Tabell2[[#This Row],[Inntekt]]))</f>
        <v>327100</v>
      </c>
      <c r="T123" s="44">
        <f>IF(Tabell2[[#This Row],[NIBR11-T]]&lt;=K$436,100,IF(Tabell2[[#This Row],[NIBR11-T]]&gt;=K$435,0,100*(K$435-Tabell2[[#This Row],[NIBR11-T]])/K$438))</f>
        <v>90</v>
      </c>
      <c r="U123" s="44">
        <f>(L$435-Tabell2[[#This Row],[ReisetidOslo-T]])*100/L$438</f>
        <v>91.649627808983297</v>
      </c>
      <c r="V123" s="44">
        <f>100-(M$435-Tabell2[[#This Row],[Beftettotal-T]])*100/M$438</f>
        <v>76.192309505661896</v>
      </c>
      <c r="W123" s="44">
        <f>100-(N$435-Tabell2[[#This Row],[Befvekst10-T]])*100/N$438</f>
        <v>95.48221229136648</v>
      </c>
      <c r="X123" s="44">
        <f>100-(O$435-Tabell2[[#This Row],[Kvinneandel-T]])*100/O$438</f>
        <v>94.196721397778219</v>
      </c>
      <c r="Y123" s="44">
        <f>(P$435-Tabell2[[#This Row],[Eldreandel-T]])*100/P$438</f>
        <v>100</v>
      </c>
      <c r="Z123" s="44">
        <f>100-(Q$435-Tabell2[[#This Row],[Sysselsettingsvekst10-T]])*100/Q$438</f>
        <v>100</v>
      </c>
      <c r="AA123" s="44">
        <f>100-(R$435-Tabell2[[#This Row],[Yrkesaktivandel-T]])*100/R$438</f>
        <v>20.801126921869695</v>
      </c>
      <c r="AB123" s="44">
        <f>100-(S$435-Tabell2[[#This Row],[Inntekt-T]])*100/S$438</f>
        <v>47.525829255029905</v>
      </c>
      <c r="AC123" s="44">
        <f>Tabell2[[#This Row],[NIBR11-I]]*Vekter!$B$3</f>
        <v>18</v>
      </c>
      <c r="AD123" s="44">
        <f>Tabell2[[#This Row],[ReisetidOslo-I]]*Vekter!$C$3</f>
        <v>9.1649627808983301</v>
      </c>
      <c r="AE123" s="44">
        <f>Tabell2[[#This Row],[Beftettotal-I]]*Vekter!$E$4</f>
        <v>7.6192309505661902</v>
      </c>
      <c r="AF123" s="44">
        <f>Tabell2[[#This Row],[Befvekst10-I]]*Vekter!$F$3</f>
        <v>19.096442458273298</v>
      </c>
      <c r="AG123" s="44">
        <f>Tabell2[[#This Row],[Kvinneandel-I]]*Vekter!$G$3</f>
        <v>4.7098360698889108</v>
      </c>
      <c r="AH123" s="44">
        <f>Tabell2[[#This Row],[Eldreandel-I]]*Vekter!$H$3</f>
        <v>5</v>
      </c>
      <c r="AI123" s="44">
        <f>Tabell2[[#This Row],[Sysselsettingsvekst10-I]]*Vekter!$I$3</f>
        <v>10</v>
      </c>
      <c r="AJ123" s="44">
        <f>Tabell2[[#This Row],[Yrkesaktivandel-I]]*Vekter!$K$3</f>
        <v>2.0801126921869697</v>
      </c>
      <c r="AK123" s="44">
        <f>Tabell2[[#This Row],[Inntekt-I]]*Vekter!$M$3</f>
        <v>4.752582925502991</v>
      </c>
      <c r="AL12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80.423167877316686</v>
      </c>
    </row>
    <row r="124" spans="1:38" s="38" customFormat="1" ht="12.75">
      <c r="A124" s="42" t="s">
        <v>122</v>
      </c>
      <c r="B124" s="38">
        <f>'Rådata-K'!Q124</f>
        <v>2</v>
      </c>
      <c r="C124" s="44">
        <f>'Rådata-K'!P124</f>
        <v>74.659812079899993</v>
      </c>
      <c r="D124" s="41">
        <f>'Rådata-K'!R124</f>
        <v>344.97206703910615</v>
      </c>
      <c r="E124" s="41">
        <f>'Rådata-K'!S124</f>
        <v>6.0514219326160523E-2</v>
      </c>
      <c r="F124" s="41">
        <f>'Rådata-K'!T124</f>
        <v>0.10940700166706359</v>
      </c>
      <c r="G124" s="41">
        <f>'Rådata-K'!U124</f>
        <v>0.15041676589664205</v>
      </c>
      <c r="H124" s="41">
        <f>'Rådata-K'!V124</f>
        <v>0.15014272121788763</v>
      </c>
      <c r="I124" s="41">
        <f>'Rådata-K'!W124</f>
        <v>0.86469309249038295</v>
      </c>
      <c r="J124" s="41">
        <f>'Rådata-K'!O124</f>
        <v>362700</v>
      </c>
      <c r="K124" s="41">
        <f>Tabell2[[#This Row],[NIBR11]]</f>
        <v>2</v>
      </c>
      <c r="L124" s="41">
        <f>IF(Tabell2[[#This Row],[ReisetidOslo]]&lt;=C$433,C$433,IF(Tabell2[[#This Row],[ReisetidOslo]]&gt;=C$434,C$434,Tabell2[[#This Row],[ReisetidOslo]]))</f>
        <v>74.659812079899993</v>
      </c>
      <c r="M124" s="41">
        <f>IF(Tabell2[[#This Row],[Beftettotal]]&lt;=D$433,D$433,IF(Tabell2[[#This Row],[Beftettotal]]&gt;=D$434,D$434,Tabell2[[#This Row],[Beftettotal]]))</f>
        <v>123.5691465212405</v>
      </c>
      <c r="N124" s="41">
        <f>IF(Tabell2[[#This Row],[Befvekst10]]&lt;=E$433,E$433,IF(Tabell2[[#This Row],[Befvekst10]]&gt;=E$434,E$434,Tabell2[[#This Row],[Befvekst10]]))</f>
        <v>6.0514219326160523E-2</v>
      </c>
      <c r="O124" s="41">
        <f>IF(Tabell2[[#This Row],[Kvinneandel]]&lt;=F$433,F$433,IF(Tabell2[[#This Row],[Kvinneandel]]&gt;=F$434,F$434,Tabell2[[#This Row],[Kvinneandel]]))</f>
        <v>0.10940700166706359</v>
      </c>
      <c r="P124" s="41">
        <f>IF(Tabell2[[#This Row],[Eldreandel]]&lt;=G$433,G$433,IF(Tabell2[[#This Row],[Eldreandel]]&gt;=G$434,G$434,Tabell2[[#This Row],[Eldreandel]]))</f>
        <v>0.15041676589664205</v>
      </c>
      <c r="Q124" s="41">
        <f>IF(Tabell2[[#This Row],[Sysselsettingsvekst10]]&lt;=H$433,H$433,IF(Tabell2[[#This Row],[Sysselsettingsvekst10]]&gt;=H$434,H$434,Tabell2[[#This Row],[Sysselsettingsvekst10]]))</f>
        <v>0.15014272121788763</v>
      </c>
      <c r="R124" s="41">
        <f>IF(Tabell2[[#This Row],[Yrkesaktivandel]]&lt;=I$433,I$433,IF(Tabell2[[#This Row],[Yrkesaktivandel]]&gt;=I$434,I$434,Tabell2[[#This Row],[Yrkesaktivandel]]))</f>
        <v>0.86469309249038295</v>
      </c>
      <c r="S124" s="41">
        <f>IF(Tabell2[[#This Row],[Inntekt]]&lt;=J$433,J$433,IF(Tabell2[[#This Row],[Inntekt]]&gt;=J$434,J$434,Tabell2[[#This Row],[Inntekt]]))</f>
        <v>362700</v>
      </c>
      <c r="T124" s="44">
        <f>IF(Tabell2[[#This Row],[NIBR11-T]]&lt;=K$436,100,IF(Tabell2[[#This Row],[NIBR11-T]]&gt;=K$435,0,100*(K$435-Tabell2[[#This Row],[NIBR11-T]])/K$438))</f>
        <v>90</v>
      </c>
      <c r="U124" s="44">
        <f>(L$435-Tabell2[[#This Row],[ReisetidOslo-T]])*100/L$438</f>
        <v>90.741620155673544</v>
      </c>
      <c r="V124" s="44">
        <f>100-(M$435-Tabell2[[#This Row],[Beftettotal-T]])*100/M$438</f>
        <v>100</v>
      </c>
      <c r="W124" s="44">
        <f>100-(N$435-Tabell2[[#This Row],[Befvekst10-T]])*100/N$438</f>
        <v>63.065641563246167</v>
      </c>
      <c r="X124" s="44">
        <f>100-(O$435-Tabell2[[#This Row],[Kvinneandel-T]])*100/O$438</f>
        <v>48.405788836865668</v>
      </c>
      <c r="Y124" s="44">
        <f>(P$435-Tabell2[[#This Row],[Eldreandel-T]])*100/P$438</f>
        <v>57.13547153769926</v>
      </c>
      <c r="Z124" s="44">
        <f>100-(Q$435-Tabell2[[#This Row],[Sysselsettingsvekst10-T]])*100/Q$438</f>
        <v>71.243726770404223</v>
      </c>
      <c r="AA124" s="44">
        <f>100-(R$435-Tabell2[[#This Row],[Yrkesaktivandel-T]])*100/R$438</f>
        <v>28.574430709660533</v>
      </c>
      <c r="AB124" s="44">
        <f>100-(S$435-Tabell2[[#This Row],[Inntekt-T]])*100/S$438</f>
        <v>95.921696574225123</v>
      </c>
      <c r="AC124" s="44">
        <f>Tabell2[[#This Row],[NIBR11-I]]*Vekter!$B$3</f>
        <v>18</v>
      </c>
      <c r="AD124" s="44">
        <f>Tabell2[[#This Row],[ReisetidOslo-I]]*Vekter!$C$3</f>
        <v>9.0741620155673548</v>
      </c>
      <c r="AE124" s="44">
        <f>Tabell2[[#This Row],[Beftettotal-I]]*Vekter!$E$4</f>
        <v>10</v>
      </c>
      <c r="AF124" s="44">
        <f>Tabell2[[#This Row],[Befvekst10-I]]*Vekter!$F$3</f>
        <v>12.613128312649234</v>
      </c>
      <c r="AG124" s="44">
        <f>Tabell2[[#This Row],[Kvinneandel-I]]*Vekter!$G$3</f>
        <v>2.4202894418432837</v>
      </c>
      <c r="AH124" s="44">
        <f>Tabell2[[#This Row],[Eldreandel-I]]*Vekter!$H$3</f>
        <v>2.8567735768849634</v>
      </c>
      <c r="AI124" s="44">
        <f>Tabell2[[#This Row],[Sysselsettingsvekst10-I]]*Vekter!$I$3</f>
        <v>7.124372677040423</v>
      </c>
      <c r="AJ124" s="44">
        <f>Tabell2[[#This Row],[Yrkesaktivandel-I]]*Vekter!$K$3</f>
        <v>2.8574430709660534</v>
      </c>
      <c r="AK124" s="44">
        <f>Tabell2[[#This Row],[Inntekt-I]]*Vekter!$M$3</f>
        <v>9.592169657422513</v>
      </c>
      <c r="AL12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74.538338752373832</v>
      </c>
    </row>
    <row r="125" spans="1:38" s="38" customFormat="1" ht="12.75">
      <c r="A125" s="42" t="s">
        <v>123</v>
      </c>
      <c r="B125" s="38">
        <f>'Rådata-K'!Q125</f>
        <v>3</v>
      </c>
      <c r="C125" s="44">
        <f>'Rådata-K'!P125</f>
        <v>89.516054563099999</v>
      </c>
      <c r="D125" s="41">
        <f>'Rådata-K'!R125</f>
        <v>122.15736040609137</v>
      </c>
      <c r="E125" s="41">
        <f>'Rådata-K'!S125</f>
        <v>6.1769247738804323E-2</v>
      </c>
      <c r="F125" s="41">
        <f>'Rådata-K'!T125</f>
        <v>9.6197797631414922E-2</v>
      </c>
      <c r="G125" s="41">
        <f>'Rådata-K'!U125</f>
        <v>0.15375025971327655</v>
      </c>
      <c r="H125" s="41">
        <f>'Rådata-K'!V125</f>
        <v>8.9590443686006882E-2</v>
      </c>
      <c r="I125" s="41">
        <f>'Rådata-K'!W125</f>
        <v>0.81873219373219375</v>
      </c>
      <c r="J125" s="41">
        <f>'Rådata-K'!O125</f>
        <v>346000</v>
      </c>
      <c r="K125" s="41">
        <f>Tabell2[[#This Row],[NIBR11]]</f>
        <v>3</v>
      </c>
      <c r="L125" s="41">
        <f>IF(Tabell2[[#This Row],[ReisetidOslo]]&lt;=C$433,C$433,IF(Tabell2[[#This Row],[ReisetidOslo]]&gt;=C$434,C$434,Tabell2[[#This Row],[ReisetidOslo]]))</f>
        <v>89.516054563099999</v>
      </c>
      <c r="M125" s="41">
        <f>IF(Tabell2[[#This Row],[Beftettotal]]&lt;=D$433,D$433,IF(Tabell2[[#This Row],[Beftettotal]]&gt;=D$434,D$434,Tabell2[[#This Row],[Beftettotal]]))</f>
        <v>122.15736040609137</v>
      </c>
      <c r="N125" s="41">
        <f>IF(Tabell2[[#This Row],[Befvekst10]]&lt;=E$433,E$433,IF(Tabell2[[#This Row],[Befvekst10]]&gt;=E$434,E$434,Tabell2[[#This Row],[Befvekst10]]))</f>
        <v>6.1769247738804323E-2</v>
      </c>
      <c r="O125" s="41">
        <f>IF(Tabell2[[#This Row],[Kvinneandel]]&lt;=F$433,F$433,IF(Tabell2[[#This Row],[Kvinneandel]]&gt;=F$434,F$434,Tabell2[[#This Row],[Kvinneandel]]))</f>
        <v>9.6197797631414922E-2</v>
      </c>
      <c r="P125" s="41">
        <f>IF(Tabell2[[#This Row],[Eldreandel]]&lt;=G$433,G$433,IF(Tabell2[[#This Row],[Eldreandel]]&gt;=G$434,G$434,Tabell2[[#This Row],[Eldreandel]]))</f>
        <v>0.15375025971327655</v>
      </c>
      <c r="Q125" s="41">
        <f>IF(Tabell2[[#This Row],[Sysselsettingsvekst10]]&lt;=H$433,H$433,IF(Tabell2[[#This Row],[Sysselsettingsvekst10]]&gt;=H$434,H$434,Tabell2[[#This Row],[Sysselsettingsvekst10]]))</f>
        <v>8.9590443686006882E-2</v>
      </c>
      <c r="R125" s="41">
        <f>IF(Tabell2[[#This Row],[Yrkesaktivandel]]&lt;=I$433,I$433,IF(Tabell2[[#This Row],[Yrkesaktivandel]]&gt;=I$434,I$434,Tabell2[[#This Row],[Yrkesaktivandel]]))</f>
        <v>0.82642965596795781</v>
      </c>
      <c r="S125" s="41">
        <f>IF(Tabell2[[#This Row],[Inntekt]]&lt;=J$433,J$433,IF(Tabell2[[#This Row],[Inntekt]]&gt;=J$434,J$434,Tabell2[[#This Row],[Inntekt]]))</f>
        <v>346000</v>
      </c>
      <c r="T125" s="44">
        <f>IF(Tabell2[[#This Row],[NIBR11-T]]&lt;=K$436,100,IF(Tabell2[[#This Row],[NIBR11-T]]&gt;=K$435,0,100*(K$435-Tabell2[[#This Row],[NIBR11-T]])/K$438))</f>
        <v>80</v>
      </c>
      <c r="U125" s="44">
        <f>(L$435-Tabell2[[#This Row],[ReisetidOslo-T]])*100/L$438</f>
        <v>84.146182512576857</v>
      </c>
      <c r="V125" s="44">
        <f>100-(M$435-Tabell2[[#This Row],[Beftettotal-T]])*100/M$438</f>
        <v>98.84514933995554</v>
      </c>
      <c r="W125" s="44">
        <f>100-(N$435-Tabell2[[#This Row],[Befvekst10-T]])*100/N$438</f>
        <v>63.58486548915193</v>
      </c>
      <c r="X125" s="44">
        <f>100-(O$435-Tabell2[[#This Row],[Kvinneandel-T]])*100/O$438</f>
        <v>12.259315596467872</v>
      </c>
      <c r="Y125" s="44">
        <f>(P$435-Tabell2[[#This Row],[Eldreandel-T]])*100/P$438</f>
        <v>53.21063041280668</v>
      </c>
      <c r="Z125" s="44">
        <f>100-(Q$435-Tabell2[[#This Row],[Sysselsettingsvekst10-T]])*100/Q$438</f>
        <v>53.440322991800997</v>
      </c>
      <c r="AA125" s="44">
        <f>100-(R$435-Tabell2[[#This Row],[Yrkesaktivandel-T]])*100/R$438</f>
        <v>0</v>
      </c>
      <c r="AB125" s="44">
        <f>100-(S$435-Tabell2[[#This Row],[Inntekt-T]])*100/S$438</f>
        <v>73.219140837411629</v>
      </c>
      <c r="AC125" s="44">
        <f>Tabell2[[#This Row],[NIBR11-I]]*Vekter!$B$3</f>
        <v>16</v>
      </c>
      <c r="AD125" s="44">
        <f>Tabell2[[#This Row],[ReisetidOslo-I]]*Vekter!$C$3</f>
        <v>8.4146182512576857</v>
      </c>
      <c r="AE125" s="44">
        <f>Tabell2[[#This Row],[Beftettotal-I]]*Vekter!$E$4</f>
        <v>9.884514933995554</v>
      </c>
      <c r="AF125" s="44">
        <f>Tabell2[[#This Row],[Befvekst10-I]]*Vekter!$F$3</f>
        <v>12.716973097830387</v>
      </c>
      <c r="AG125" s="44">
        <f>Tabell2[[#This Row],[Kvinneandel-I]]*Vekter!$G$3</f>
        <v>0.61296577982339362</v>
      </c>
      <c r="AH125" s="44">
        <f>Tabell2[[#This Row],[Eldreandel-I]]*Vekter!$H$3</f>
        <v>2.6605315206403342</v>
      </c>
      <c r="AI125" s="44">
        <f>Tabell2[[#This Row],[Sysselsettingsvekst10-I]]*Vekter!$I$3</f>
        <v>5.3440322991800997</v>
      </c>
      <c r="AJ125" s="44">
        <f>Tabell2[[#This Row],[Yrkesaktivandel-I]]*Vekter!$K$3</f>
        <v>0</v>
      </c>
      <c r="AK125" s="44">
        <f>Tabell2[[#This Row],[Inntekt-I]]*Vekter!$M$3</f>
        <v>7.3219140837411629</v>
      </c>
      <c r="AL12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62.955549966468617</v>
      </c>
    </row>
    <row r="126" spans="1:38" s="38" customFormat="1" ht="12.75">
      <c r="A126" s="42" t="s">
        <v>124</v>
      </c>
      <c r="B126" s="38">
        <f>'Rådata-K'!Q126</f>
        <v>4</v>
      </c>
      <c r="C126" s="44">
        <f>'Rådata-K'!P126</f>
        <v>68.605911896600006</v>
      </c>
      <c r="D126" s="41">
        <f>'Rådata-K'!R126</f>
        <v>8.6895458965032955</v>
      </c>
      <c r="E126" s="41">
        <f>'Rådata-K'!S126</f>
        <v>1.1316010058675552E-2</v>
      </c>
      <c r="F126" s="41">
        <f>'Rådata-K'!T126</f>
        <v>0.10940737670949026</v>
      </c>
      <c r="G126" s="41">
        <f>'Rådata-K'!U126</f>
        <v>0.14960629921259844</v>
      </c>
      <c r="H126" s="41">
        <f>'Rådata-K'!V126</f>
        <v>0.18639798488664994</v>
      </c>
      <c r="I126" s="41">
        <f>'Rådata-K'!W126</f>
        <v>0.88742182070882558</v>
      </c>
      <c r="J126" s="41">
        <f>'Rådata-K'!O126</f>
        <v>327300</v>
      </c>
      <c r="K126" s="41">
        <f>Tabell2[[#This Row],[NIBR11]]</f>
        <v>4</v>
      </c>
      <c r="L126" s="41">
        <f>IF(Tabell2[[#This Row],[ReisetidOslo]]&lt;=C$433,C$433,IF(Tabell2[[#This Row],[ReisetidOslo]]&gt;=C$434,C$434,Tabell2[[#This Row],[ReisetidOslo]]))</f>
        <v>68.605911896600006</v>
      </c>
      <c r="M126" s="41">
        <f>IF(Tabell2[[#This Row],[Beftettotal]]&lt;=D$433,D$433,IF(Tabell2[[#This Row],[Beftettotal]]&gt;=D$434,D$434,Tabell2[[#This Row],[Beftettotal]]))</f>
        <v>8.6895458965032955</v>
      </c>
      <c r="N126" s="41">
        <f>IF(Tabell2[[#This Row],[Befvekst10]]&lt;=E$433,E$433,IF(Tabell2[[#This Row],[Befvekst10]]&gt;=E$434,E$434,Tabell2[[#This Row],[Befvekst10]]))</f>
        <v>1.1316010058675552E-2</v>
      </c>
      <c r="O126" s="41">
        <f>IF(Tabell2[[#This Row],[Kvinneandel]]&lt;=F$433,F$433,IF(Tabell2[[#This Row],[Kvinneandel]]&gt;=F$434,F$434,Tabell2[[#This Row],[Kvinneandel]]))</f>
        <v>0.10940737670949026</v>
      </c>
      <c r="P126" s="41">
        <f>IF(Tabell2[[#This Row],[Eldreandel]]&lt;=G$433,G$433,IF(Tabell2[[#This Row],[Eldreandel]]&gt;=G$434,G$434,Tabell2[[#This Row],[Eldreandel]]))</f>
        <v>0.14960629921259844</v>
      </c>
      <c r="Q126" s="41">
        <f>IF(Tabell2[[#This Row],[Sysselsettingsvekst10]]&lt;=H$433,H$433,IF(Tabell2[[#This Row],[Sysselsettingsvekst10]]&gt;=H$434,H$434,Tabell2[[#This Row],[Sysselsettingsvekst10]]))</f>
        <v>0.18639798488664994</v>
      </c>
      <c r="R126" s="41">
        <f>IF(Tabell2[[#This Row],[Yrkesaktivandel]]&lt;=I$433,I$433,IF(Tabell2[[#This Row],[Yrkesaktivandel]]&gt;=I$434,I$434,Tabell2[[#This Row],[Yrkesaktivandel]]))</f>
        <v>0.88742182070882558</v>
      </c>
      <c r="S126" s="41">
        <f>IF(Tabell2[[#This Row],[Inntekt]]&lt;=J$433,J$433,IF(Tabell2[[#This Row],[Inntekt]]&gt;=J$434,J$434,Tabell2[[#This Row],[Inntekt]]))</f>
        <v>327300</v>
      </c>
      <c r="T126" s="44">
        <f>IF(Tabell2[[#This Row],[NIBR11-T]]&lt;=K$436,100,IF(Tabell2[[#This Row],[NIBR11-T]]&gt;=K$435,0,100*(K$435-Tabell2[[#This Row],[NIBR11-T]])/K$438))</f>
        <v>70</v>
      </c>
      <c r="U126" s="44">
        <f>(L$435-Tabell2[[#This Row],[ReisetidOslo-T]])*100/L$438</f>
        <v>93.429252725055704</v>
      </c>
      <c r="V126" s="44">
        <f>100-(M$435-Tabell2[[#This Row],[Beftettotal-T]])*100/M$438</f>
        <v>6.0277040668382966</v>
      </c>
      <c r="W126" s="44">
        <f>100-(N$435-Tabell2[[#This Row],[Befvekst10-T]])*100/N$438</f>
        <v>42.711610446464789</v>
      </c>
      <c r="X126" s="44">
        <f>100-(O$435-Tabell2[[#This Row],[Kvinneandel-T]])*100/O$438</f>
        <v>48.406815125883767</v>
      </c>
      <c r="Y126" s="44">
        <f>(P$435-Tabell2[[#This Row],[Eldreandel-T]])*100/P$438</f>
        <v>58.089711487392997</v>
      </c>
      <c r="Z126" s="44">
        <f>100-(Q$435-Tabell2[[#This Row],[Sysselsettingsvekst10-T]])*100/Q$438</f>
        <v>81.903393499782993</v>
      </c>
      <c r="AA126" s="44">
        <f>100-(R$435-Tabell2[[#This Row],[Yrkesaktivandel-T]])*100/R$438</f>
        <v>45.547826949592213</v>
      </c>
      <c r="AB126" s="44">
        <f>100-(S$435-Tabell2[[#This Row],[Inntekt-T]])*100/S$438</f>
        <v>47.797716150081563</v>
      </c>
      <c r="AC126" s="44">
        <f>Tabell2[[#This Row],[NIBR11-I]]*Vekter!$B$3</f>
        <v>14</v>
      </c>
      <c r="AD126" s="44">
        <f>Tabell2[[#This Row],[ReisetidOslo-I]]*Vekter!$C$3</f>
        <v>9.3429252725055711</v>
      </c>
      <c r="AE126" s="44">
        <f>Tabell2[[#This Row],[Beftettotal-I]]*Vekter!$E$4</f>
        <v>0.60277040668382975</v>
      </c>
      <c r="AF126" s="44">
        <f>Tabell2[[#This Row],[Befvekst10-I]]*Vekter!$F$3</f>
        <v>8.5423220892929574</v>
      </c>
      <c r="AG126" s="44">
        <f>Tabell2[[#This Row],[Kvinneandel-I]]*Vekter!$G$3</f>
        <v>2.4203407562941885</v>
      </c>
      <c r="AH126" s="44">
        <f>Tabell2[[#This Row],[Eldreandel-I]]*Vekter!$H$3</f>
        <v>2.9044855743696498</v>
      </c>
      <c r="AI126" s="44">
        <f>Tabell2[[#This Row],[Sysselsettingsvekst10-I]]*Vekter!$I$3</f>
        <v>8.1903393499783004</v>
      </c>
      <c r="AJ126" s="44">
        <f>Tabell2[[#This Row],[Yrkesaktivandel-I]]*Vekter!$K$3</f>
        <v>4.5547826949592212</v>
      </c>
      <c r="AK126" s="44">
        <f>Tabell2[[#This Row],[Inntekt-I]]*Vekter!$M$3</f>
        <v>4.7797716150081566</v>
      </c>
      <c r="AL12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55.33773775909188</v>
      </c>
    </row>
    <row r="127" spans="1:38" s="38" customFormat="1" ht="12.75">
      <c r="A127" s="42" t="s">
        <v>125</v>
      </c>
      <c r="B127" s="38">
        <f>'Rådata-K'!Q127</f>
        <v>4</v>
      </c>
      <c r="C127" s="44">
        <f>'Rådata-K'!P127</f>
        <v>109.211510248</v>
      </c>
      <c r="D127" s="41">
        <f>'Rådata-K'!R127</f>
        <v>213.99319479888197</v>
      </c>
      <c r="E127" s="41">
        <f>'Rådata-K'!S127</f>
        <v>6.3311394239478291E-2</v>
      </c>
      <c r="F127" s="41">
        <f>'Rådata-K'!T127</f>
        <v>0.12027598739316846</v>
      </c>
      <c r="G127" s="41">
        <f>'Rådata-K'!U127</f>
        <v>0.14707970129759504</v>
      </c>
      <c r="H127" s="41">
        <f>'Rådata-K'!V127</f>
        <v>3.7471655328798148E-2</v>
      </c>
      <c r="I127" s="41">
        <f>'Rådata-K'!W127</f>
        <v>0.81272727272727274</v>
      </c>
      <c r="J127" s="41">
        <f>'Rådata-K'!O127</f>
        <v>344100</v>
      </c>
      <c r="K127" s="41">
        <f>Tabell2[[#This Row],[NIBR11]]</f>
        <v>4</v>
      </c>
      <c r="L127" s="41">
        <f>IF(Tabell2[[#This Row],[ReisetidOslo]]&lt;=C$433,C$433,IF(Tabell2[[#This Row],[ReisetidOslo]]&gt;=C$434,C$434,Tabell2[[#This Row],[ReisetidOslo]]))</f>
        <v>109.211510248</v>
      </c>
      <c r="M127" s="41">
        <f>IF(Tabell2[[#This Row],[Beftettotal]]&lt;=D$433,D$433,IF(Tabell2[[#This Row],[Beftettotal]]&gt;=D$434,D$434,Tabell2[[#This Row],[Beftettotal]]))</f>
        <v>123.5691465212405</v>
      </c>
      <c r="N127" s="41">
        <f>IF(Tabell2[[#This Row],[Befvekst10]]&lt;=E$433,E$433,IF(Tabell2[[#This Row],[Befvekst10]]&gt;=E$434,E$434,Tabell2[[#This Row],[Befvekst10]]))</f>
        <v>6.3311394239478291E-2</v>
      </c>
      <c r="O127" s="41">
        <f>IF(Tabell2[[#This Row],[Kvinneandel]]&lt;=F$433,F$433,IF(Tabell2[[#This Row],[Kvinneandel]]&gt;=F$434,F$434,Tabell2[[#This Row],[Kvinneandel]]))</f>
        <v>0.12027598739316846</v>
      </c>
      <c r="P127" s="41">
        <f>IF(Tabell2[[#This Row],[Eldreandel]]&lt;=G$433,G$433,IF(Tabell2[[#This Row],[Eldreandel]]&gt;=G$434,G$434,Tabell2[[#This Row],[Eldreandel]]))</f>
        <v>0.14707970129759504</v>
      </c>
      <c r="Q127" s="41">
        <f>IF(Tabell2[[#This Row],[Sysselsettingsvekst10]]&lt;=H$433,H$433,IF(Tabell2[[#This Row],[Sysselsettingsvekst10]]&gt;=H$434,H$434,Tabell2[[#This Row],[Sysselsettingsvekst10]]))</f>
        <v>3.7471655328798148E-2</v>
      </c>
      <c r="R127" s="41">
        <f>IF(Tabell2[[#This Row],[Yrkesaktivandel]]&lt;=I$433,I$433,IF(Tabell2[[#This Row],[Yrkesaktivandel]]&gt;=I$434,I$434,Tabell2[[#This Row],[Yrkesaktivandel]]))</f>
        <v>0.82642965596795781</v>
      </c>
      <c r="S127" s="41">
        <f>IF(Tabell2[[#This Row],[Inntekt]]&lt;=J$433,J$433,IF(Tabell2[[#This Row],[Inntekt]]&gt;=J$434,J$434,Tabell2[[#This Row],[Inntekt]]))</f>
        <v>344100</v>
      </c>
      <c r="T127" s="44">
        <f>IF(Tabell2[[#This Row],[NIBR11-T]]&lt;=K$436,100,IF(Tabell2[[#This Row],[NIBR11-T]]&gt;=K$435,0,100*(K$435-Tabell2[[#This Row],[NIBR11-T]])/K$438))</f>
        <v>70</v>
      </c>
      <c r="U127" s="44">
        <f>(L$435-Tabell2[[#This Row],[ReisetidOslo-T]])*100/L$438</f>
        <v>75.402373304492883</v>
      </c>
      <c r="V127" s="44">
        <f>100-(M$435-Tabell2[[#This Row],[Beftettotal-T]])*100/M$438</f>
        <v>100</v>
      </c>
      <c r="W127" s="44">
        <f>100-(N$435-Tabell2[[#This Row],[Befvekst10-T]])*100/N$438</f>
        <v>64.22287443965449</v>
      </c>
      <c r="X127" s="44">
        <f>100-(O$435-Tabell2[[#This Row],[Kvinneandel-T]])*100/O$438</f>
        <v>78.148345666076011</v>
      </c>
      <c r="Y127" s="44">
        <f>(P$435-Tabell2[[#This Row],[Eldreandel-T]])*100/P$438</f>
        <v>61.064516886277737</v>
      </c>
      <c r="Z127" s="44">
        <f>100-(Q$435-Tabell2[[#This Row],[Sysselsettingsvekst10-T]])*100/Q$438</f>
        <v>38.116509067767886</v>
      </c>
      <c r="AA127" s="44">
        <f>100-(R$435-Tabell2[[#This Row],[Yrkesaktivandel-T]])*100/R$438</f>
        <v>0</v>
      </c>
      <c r="AB127" s="44">
        <f>100-(S$435-Tabell2[[#This Row],[Inntekt-T]])*100/S$438</f>
        <v>70.636215334420882</v>
      </c>
      <c r="AC127" s="44">
        <f>Tabell2[[#This Row],[NIBR11-I]]*Vekter!$B$3</f>
        <v>14</v>
      </c>
      <c r="AD127" s="44">
        <f>Tabell2[[#This Row],[ReisetidOslo-I]]*Vekter!$C$3</f>
        <v>7.5402373304492887</v>
      </c>
      <c r="AE127" s="44">
        <f>Tabell2[[#This Row],[Beftettotal-I]]*Vekter!$E$4</f>
        <v>10</v>
      </c>
      <c r="AF127" s="44">
        <f>Tabell2[[#This Row],[Befvekst10-I]]*Vekter!$F$3</f>
        <v>12.844574887930898</v>
      </c>
      <c r="AG127" s="44">
        <f>Tabell2[[#This Row],[Kvinneandel-I]]*Vekter!$G$3</f>
        <v>3.9074172833038006</v>
      </c>
      <c r="AH127" s="44">
        <f>Tabell2[[#This Row],[Eldreandel-I]]*Vekter!$H$3</f>
        <v>3.0532258443138871</v>
      </c>
      <c r="AI127" s="44">
        <f>Tabell2[[#This Row],[Sysselsettingsvekst10-I]]*Vekter!$I$3</f>
        <v>3.811650906776789</v>
      </c>
      <c r="AJ127" s="44">
        <f>Tabell2[[#This Row],[Yrkesaktivandel-I]]*Vekter!$K$3</f>
        <v>0</v>
      </c>
      <c r="AK127" s="44">
        <f>Tabell2[[#This Row],[Inntekt-I]]*Vekter!$M$3</f>
        <v>7.0636215334420882</v>
      </c>
      <c r="AL12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62.220727786216749</v>
      </c>
    </row>
    <row r="128" spans="1:38" s="38" customFormat="1" ht="12.75">
      <c r="A128" s="42" t="s">
        <v>126</v>
      </c>
      <c r="B128" s="38">
        <f>'Rådata-K'!Q128</f>
        <v>4</v>
      </c>
      <c r="C128" s="44">
        <f>'Rådata-K'!P128</f>
        <v>101.642603294</v>
      </c>
      <c r="D128" s="41">
        <f>'Rådata-K'!R128</f>
        <v>67.39267150099468</v>
      </c>
      <c r="E128" s="41">
        <f>'Rådata-K'!S128</f>
        <v>5.1525953220121767E-2</v>
      </c>
      <c r="F128" s="41">
        <f>'Rådata-K'!T128</f>
        <v>0.12192195623607381</v>
      </c>
      <c r="G128" s="41">
        <f>'Rådata-K'!U128</f>
        <v>0.14275647984155096</v>
      </c>
      <c r="H128" s="41">
        <f>'Rådata-K'!V128</f>
        <v>8.600892586333897E-2</v>
      </c>
      <c r="I128" s="41">
        <f>'Rådata-K'!W128</f>
        <v>0.82445100392487591</v>
      </c>
      <c r="J128" s="41">
        <f>'Rådata-K'!O128</f>
        <v>331000</v>
      </c>
      <c r="K128" s="41">
        <f>Tabell2[[#This Row],[NIBR11]]</f>
        <v>4</v>
      </c>
      <c r="L128" s="41">
        <f>IF(Tabell2[[#This Row],[ReisetidOslo]]&lt;=C$433,C$433,IF(Tabell2[[#This Row],[ReisetidOslo]]&gt;=C$434,C$434,Tabell2[[#This Row],[ReisetidOslo]]))</f>
        <v>101.642603294</v>
      </c>
      <c r="M128" s="41">
        <f>IF(Tabell2[[#This Row],[Beftettotal]]&lt;=D$433,D$433,IF(Tabell2[[#This Row],[Beftettotal]]&gt;=D$434,D$434,Tabell2[[#This Row],[Beftettotal]]))</f>
        <v>67.39267150099468</v>
      </c>
      <c r="N128" s="41">
        <f>IF(Tabell2[[#This Row],[Befvekst10]]&lt;=E$433,E$433,IF(Tabell2[[#This Row],[Befvekst10]]&gt;=E$434,E$434,Tabell2[[#This Row],[Befvekst10]]))</f>
        <v>5.1525953220121767E-2</v>
      </c>
      <c r="O128" s="41">
        <f>IF(Tabell2[[#This Row],[Kvinneandel]]&lt;=F$433,F$433,IF(Tabell2[[#This Row],[Kvinneandel]]&gt;=F$434,F$434,Tabell2[[#This Row],[Kvinneandel]]))</f>
        <v>0.12192195623607381</v>
      </c>
      <c r="P128" s="41">
        <f>IF(Tabell2[[#This Row],[Eldreandel]]&lt;=G$433,G$433,IF(Tabell2[[#This Row],[Eldreandel]]&gt;=G$434,G$434,Tabell2[[#This Row],[Eldreandel]]))</f>
        <v>0.14275647984155096</v>
      </c>
      <c r="Q128" s="41">
        <f>IF(Tabell2[[#This Row],[Sysselsettingsvekst10]]&lt;=H$433,H$433,IF(Tabell2[[#This Row],[Sysselsettingsvekst10]]&gt;=H$434,H$434,Tabell2[[#This Row],[Sysselsettingsvekst10]]))</f>
        <v>8.600892586333897E-2</v>
      </c>
      <c r="R128" s="41">
        <f>IF(Tabell2[[#This Row],[Yrkesaktivandel]]&lt;=I$433,I$433,IF(Tabell2[[#This Row],[Yrkesaktivandel]]&gt;=I$434,I$434,Tabell2[[#This Row],[Yrkesaktivandel]]))</f>
        <v>0.82642965596795781</v>
      </c>
      <c r="S128" s="41">
        <f>IF(Tabell2[[#This Row],[Inntekt]]&lt;=J$433,J$433,IF(Tabell2[[#This Row],[Inntekt]]&gt;=J$434,J$434,Tabell2[[#This Row],[Inntekt]]))</f>
        <v>331000</v>
      </c>
      <c r="T128" s="44">
        <f>IF(Tabell2[[#This Row],[NIBR11-T]]&lt;=K$436,100,IF(Tabell2[[#This Row],[NIBR11-T]]&gt;=K$435,0,100*(K$435-Tabell2[[#This Row],[NIBR11-T]])/K$438))</f>
        <v>70</v>
      </c>
      <c r="U128" s="44">
        <f>(L$435-Tabell2[[#This Row],[ReisetidOslo-T]])*100/L$438</f>
        <v>78.762594026385372</v>
      </c>
      <c r="V128" s="44">
        <f>100-(M$435-Tabell2[[#This Row],[Beftettotal-T]])*100/M$438</f>
        <v>54.047260728832448</v>
      </c>
      <c r="W128" s="44">
        <f>100-(N$435-Tabell2[[#This Row],[Befvekst10-T]])*100/N$438</f>
        <v>59.347062152894871</v>
      </c>
      <c r="X128" s="44">
        <f>100-(O$435-Tabell2[[#This Row],[Kvinneandel-T]])*100/O$438</f>
        <v>82.652475405766666</v>
      </c>
      <c r="Y128" s="44">
        <f>(P$435-Tabell2[[#This Row],[Eldreandel-T]])*100/P$438</f>
        <v>66.154659030243266</v>
      </c>
      <c r="Z128" s="44">
        <f>100-(Q$435-Tabell2[[#This Row],[Sysselsettingsvekst10-T]])*100/Q$438</f>
        <v>52.387295582490928</v>
      </c>
      <c r="AA128" s="44">
        <f>100-(R$435-Tabell2[[#This Row],[Yrkesaktivandel-T]])*100/R$438</f>
        <v>0</v>
      </c>
      <c r="AB128" s="44">
        <f>100-(S$435-Tabell2[[#This Row],[Inntekt-T]])*100/S$438</f>
        <v>52.827623708537246</v>
      </c>
      <c r="AC128" s="44">
        <f>Tabell2[[#This Row],[NIBR11-I]]*Vekter!$B$3</f>
        <v>14</v>
      </c>
      <c r="AD128" s="44">
        <f>Tabell2[[#This Row],[ReisetidOslo-I]]*Vekter!$C$3</f>
        <v>7.8762594026385377</v>
      </c>
      <c r="AE128" s="44">
        <f>Tabell2[[#This Row],[Beftettotal-I]]*Vekter!$E$4</f>
        <v>5.4047260728832454</v>
      </c>
      <c r="AF128" s="44">
        <f>Tabell2[[#This Row],[Befvekst10-I]]*Vekter!$F$3</f>
        <v>11.869412430578976</v>
      </c>
      <c r="AG128" s="44">
        <f>Tabell2[[#This Row],[Kvinneandel-I]]*Vekter!$G$3</f>
        <v>4.1326237702883333</v>
      </c>
      <c r="AH128" s="44">
        <f>Tabell2[[#This Row],[Eldreandel-I]]*Vekter!$H$3</f>
        <v>3.3077329515121634</v>
      </c>
      <c r="AI128" s="44">
        <f>Tabell2[[#This Row],[Sysselsettingsvekst10-I]]*Vekter!$I$3</f>
        <v>5.2387295582490934</v>
      </c>
      <c r="AJ128" s="44">
        <f>Tabell2[[#This Row],[Yrkesaktivandel-I]]*Vekter!$K$3</f>
        <v>0</v>
      </c>
      <c r="AK128" s="44">
        <f>Tabell2[[#This Row],[Inntekt-I]]*Vekter!$M$3</f>
        <v>5.2827623708537246</v>
      </c>
      <c r="AL12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57.112246557004077</v>
      </c>
    </row>
    <row r="129" spans="1:38" s="38" customFormat="1" ht="12.75">
      <c r="A129" s="42" t="s">
        <v>127</v>
      </c>
      <c r="B129" s="38">
        <f>'Rådata-K'!Q129</f>
        <v>5</v>
      </c>
      <c r="C129" s="44">
        <f>'Rådata-K'!P129</f>
        <v>92.155298289399994</v>
      </c>
      <c r="D129" s="41">
        <f>'Rådata-K'!R129</f>
        <v>13.56859928614956</v>
      </c>
      <c r="E129" s="41">
        <f>'Rådata-K'!S129</f>
        <v>1.0453808752025839E-2</v>
      </c>
      <c r="F129" s="41">
        <f>'Rådata-K'!T129</f>
        <v>0.11524580960782742</v>
      </c>
      <c r="G129" s="41">
        <f>'Rådata-K'!U129</f>
        <v>0.17491378618975059</v>
      </c>
      <c r="H129" s="41">
        <f>'Rådata-K'!V129</f>
        <v>-2.4600246002460024E-2</v>
      </c>
      <c r="I129" s="41">
        <f>'Rådata-K'!W129</f>
        <v>0.8231340148438594</v>
      </c>
      <c r="J129" s="41">
        <f>'Rådata-K'!O129</f>
        <v>322900</v>
      </c>
      <c r="K129" s="41">
        <f>Tabell2[[#This Row],[NIBR11]]</f>
        <v>5</v>
      </c>
      <c r="L129" s="41">
        <f>IF(Tabell2[[#This Row],[ReisetidOslo]]&lt;=C$433,C$433,IF(Tabell2[[#This Row],[ReisetidOslo]]&gt;=C$434,C$434,Tabell2[[#This Row],[ReisetidOslo]]))</f>
        <v>92.155298289399994</v>
      </c>
      <c r="M129" s="41">
        <f>IF(Tabell2[[#This Row],[Beftettotal]]&lt;=D$433,D$433,IF(Tabell2[[#This Row],[Beftettotal]]&gt;=D$434,D$434,Tabell2[[#This Row],[Beftettotal]]))</f>
        <v>13.56859928614956</v>
      </c>
      <c r="N129" s="41">
        <f>IF(Tabell2[[#This Row],[Befvekst10]]&lt;=E$433,E$433,IF(Tabell2[[#This Row],[Befvekst10]]&gt;=E$434,E$434,Tabell2[[#This Row],[Befvekst10]]))</f>
        <v>1.0453808752025839E-2</v>
      </c>
      <c r="O129" s="41">
        <f>IF(Tabell2[[#This Row],[Kvinneandel]]&lt;=F$433,F$433,IF(Tabell2[[#This Row],[Kvinneandel]]&gt;=F$434,F$434,Tabell2[[#This Row],[Kvinneandel]]))</f>
        <v>0.11524580960782742</v>
      </c>
      <c r="P129" s="41">
        <f>IF(Tabell2[[#This Row],[Eldreandel]]&lt;=G$433,G$433,IF(Tabell2[[#This Row],[Eldreandel]]&gt;=G$434,G$434,Tabell2[[#This Row],[Eldreandel]]))</f>
        <v>0.17491378618975059</v>
      </c>
      <c r="Q129" s="41">
        <f>IF(Tabell2[[#This Row],[Sysselsettingsvekst10]]&lt;=H$433,H$433,IF(Tabell2[[#This Row],[Sysselsettingsvekst10]]&gt;=H$434,H$434,Tabell2[[#This Row],[Sysselsettingsvekst10]]))</f>
        <v>-2.4600246002460024E-2</v>
      </c>
      <c r="R129" s="41">
        <f>IF(Tabell2[[#This Row],[Yrkesaktivandel]]&lt;=I$433,I$433,IF(Tabell2[[#This Row],[Yrkesaktivandel]]&gt;=I$434,I$434,Tabell2[[#This Row],[Yrkesaktivandel]]))</f>
        <v>0.82642965596795781</v>
      </c>
      <c r="S129" s="41">
        <f>IF(Tabell2[[#This Row],[Inntekt]]&lt;=J$433,J$433,IF(Tabell2[[#This Row],[Inntekt]]&gt;=J$434,J$434,Tabell2[[#This Row],[Inntekt]]))</f>
        <v>322900</v>
      </c>
      <c r="T129" s="44">
        <f>IF(Tabell2[[#This Row],[NIBR11-T]]&lt;=K$436,100,IF(Tabell2[[#This Row],[NIBR11-T]]&gt;=K$435,0,100*(K$435-Tabell2[[#This Row],[NIBR11-T]])/K$438))</f>
        <v>60</v>
      </c>
      <c r="U129" s="44">
        <f>(L$435-Tabell2[[#This Row],[ReisetidOslo-T]])*100/L$438</f>
        <v>82.974488698247285</v>
      </c>
      <c r="V129" s="44">
        <f>100-(M$435-Tabell2[[#This Row],[Beftettotal-T]])*100/M$438</f>
        <v>10.01880297832605</v>
      </c>
      <c r="W129" s="44">
        <f>100-(N$435-Tabell2[[#This Row],[Befvekst10-T]])*100/N$438</f>
        <v>42.354904938565824</v>
      </c>
      <c r="X129" s="44">
        <f>100-(O$435-Tabell2[[#This Row],[Kvinneandel-T]])*100/O$438</f>
        <v>64.383459740960959</v>
      </c>
      <c r="Y129" s="44">
        <f>(P$435-Tabell2[[#This Row],[Eldreandel-T]])*100/P$438</f>
        <v>28.292786363382497</v>
      </c>
      <c r="Z129" s="44">
        <f>100-(Q$435-Tabell2[[#This Row],[Sysselsettingsvekst10-T]])*100/Q$438</f>
        <v>19.866309938194632</v>
      </c>
      <c r="AA129" s="44">
        <f>100-(R$435-Tabell2[[#This Row],[Yrkesaktivandel-T]])*100/R$438</f>
        <v>0</v>
      </c>
      <c r="AB129" s="44">
        <f>100-(S$435-Tabell2[[#This Row],[Inntekt-T]])*100/S$438</f>
        <v>41.81620445894508</v>
      </c>
      <c r="AC129" s="44">
        <f>Tabell2[[#This Row],[NIBR11-I]]*Vekter!$B$3</f>
        <v>12</v>
      </c>
      <c r="AD129" s="44">
        <f>Tabell2[[#This Row],[ReisetidOslo-I]]*Vekter!$C$3</f>
        <v>8.2974488698247288</v>
      </c>
      <c r="AE129" s="44">
        <f>Tabell2[[#This Row],[Beftettotal-I]]*Vekter!$E$4</f>
        <v>1.0018802978326051</v>
      </c>
      <c r="AF129" s="44">
        <f>Tabell2[[#This Row],[Befvekst10-I]]*Vekter!$F$3</f>
        <v>8.4709809877131654</v>
      </c>
      <c r="AG129" s="44">
        <f>Tabell2[[#This Row],[Kvinneandel-I]]*Vekter!$G$3</f>
        <v>3.2191729870480481</v>
      </c>
      <c r="AH129" s="44">
        <f>Tabell2[[#This Row],[Eldreandel-I]]*Vekter!$H$3</f>
        <v>1.414639318169125</v>
      </c>
      <c r="AI129" s="44">
        <f>Tabell2[[#This Row],[Sysselsettingsvekst10-I]]*Vekter!$I$3</f>
        <v>1.9866309938194633</v>
      </c>
      <c r="AJ129" s="44">
        <f>Tabell2[[#This Row],[Yrkesaktivandel-I]]*Vekter!$K$3</f>
        <v>0</v>
      </c>
      <c r="AK129" s="44">
        <f>Tabell2[[#This Row],[Inntekt-I]]*Vekter!$M$3</f>
        <v>4.1816204458945085</v>
      </c>
      <c r="AL12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40.572373900301642</v>
      </c>
    </row>
    <row r="130" spans="1:38" s="38" customFormat="1" ht="12.75">
      <c r="A130" s="42" t="s">
        <v>128</v>
      </c>
      <c r="B130" s="38">
        <f>'Rådata-K'!Q130</f>
        <v>4</v>
      </c>
      <c r="C130" s="44">
        <f>'Rådata-K'!P130</f>
        <v>88.736666064900007</v>
      </c>
      <c r="D130" s="41">
        <f>'Rådata-K'!R130</f>
        <v>11.366610581417088</v>
      </c>
      <c r="E130" s="41">
        <f>'Rådata-K'!S130</f>
        <v>4.4673539518900407E-2</v>
      </c>
      <c r="F130" s="41">
        <f>'Rådata-K'!T130</f>
        <v>0.1196546052631579</v>
      </c>
      <c r="G130" s="41">
        <f>'Rådata-K'!U130</f>
        <v>0.12870065789473684</v>
      </c>
      <c r="H130" s="41">
        <f>'Rådata-K'!V130</f>
        <v>0.11235955056179781</v>
      </c>
      <c r="I130" s="41">
        <f>'Rådata-K'!W130</f>
        <v>0.88824801730353276</v>
      </c>
      <c r="J130" s="41">
        <f>'Rådata-K'!O130</f>
        <v>321700</v>
      </c>
      <c r="K130" s="41">
        <f>Tabell2[[#This Row],[NIBR11]]</f>
        <v>4</v>
      </c>
      <c r="L130" s="41">
        <f>IF(Tabell2[[#This Row],[ReisetidOslo]]&lt;=C$433,C$433,IF(Tabell2[[#This Row],[ReisetidOslo]]&gt;=C$434,C$434,Tabell2[[#This Row],[ReisetidOslo]]))</f>
        <v>88.736666064900007</v>
      </c>
      <c r="M130" s="41">
        <f>IF(Tabell2[[#This Row],[Beftettotal]]&lt;=D$433,D$433,IF(Tabell2[[#This Row],[Beftettotal]]&gt;=D$434,D$434,Tabell2[[#This Row],[Beftettotal]]))</f>
        <v>11.366610581417088</v>
      </c>
      <c r="N130" s="41">
        <f>IF(Tabell2[[#This Row],[Befvekst10]]&lt;=E$433,E$433,IF(Tabell2[[#This Row],[Befvekst10]]&gt;=E$434,E$434,Tabell2[[#This Row],[Befvekst10]]))</f>
        <v>4.4673539518900407E-2</v>
      </c>
      <c r="O130" s="41">
        <f>IF(Tabell2[[#This Row],[Kvinneandel]]&lt;=F$433,F$433,IF(Tabell2[[#This Row],[Kvinneandel]]&gt;=F$434,F$434,Tabell2[[#This Row],[Kvinneandel]]))</f>
        <v>0.1196546052631579</v>
      </c>
      <c r="P130" s="41">
        <f>IF(Tabell2[[#This Row],[Eldreandel]]&lt;=G$433,G$433,IF(Tabell2[[#This Row],[Eldreandel]]&gt;=G$434,G$434,Tabell2[[#This Row],[Eldreandel]]))</f>
        <v>0.12870065789473684</v>
      </c>
      <c r="Q130" s="41">
        <f>IF(Tabell2[[#This Row],[Sysselsettingsvekst10]]&lt;=H$433,H$433,IF(Tabell2[[#This Row],[Sysselsettingsvekst10]]&gt;=H$434,H$434,Tabell2[[#This Row],[Sysselsettingsvekst10]]))</f>
        <v>0.11235955056179781</v>
      </c>
      <c r="R130" s="41">
        <f>IF(Tabell2[[#This Row],[Yrkesaktivandel]]&lt;=I$433,I$433,IF(Tabell2[[#This Row],[Yrkesaktivandel]]&gt;=I$434,I$434,Tabell2[[#This Row],[Yrkesaktivandel]]))</f>
        <v>0.88824801730353276</v>
      </c>
      <c r="S130" s="41">
        <f>IF(Tabell2[[#This Row],[Inntekt]]&lt;=J$433,J$433,IF(Tabell2[[#This Row],[Inntekt]]&gt;=J$434,J$434,Tabell2[[#This Row],[Inntekt]]))</f>
        <v>321700</v>
      </c>
      <c r="T130" s="44">
        <f>IF(Tabell2[[#This Row],[NIBR11-T]]&lt;=K$436,100,IF(Tabell2[[#This Row],[NIBR11-T]]&gt;=K$435,0,100*(K$435-Tabell2[[#This Row],[NIBR11-T]])/K$438))</f>
        <v>70</v>
      </c>
      <c r="U130" s="44">
        <f>(L$435-Tabell2[[#This Row],[ReisetidOslo-T]])*100/L$438</f>
        <v>84.492192497634505</v>
      </c>
      <c r="V130" s="44">
        <f>100-(M$435-Tabell2[[#This Row],[Beftettotal-T]])*100/M$438</f>
        <v>8.2175612167139036</v>
      </c>
      <c r="W130" s="44">
        <f>100-(N$435-Tabell2[[#This Row],[Befvekst10-T]])*100/N$438</f>
        <v>56.512116658407187</v>
      </c>
      <c r="X130" s="44">
        <f>100-(O$435-Tabell2[[#This Row],[Kvinneandel-T]])*100/O$438</f>
        <v>76.447957628017733</v>
      </c>
      <c r="Y130" s="44">
        <f>(P$435-Tabell2[[#This Row],[Eldreandel-T]])*100/P$438</f>
        <v>82.703922672412034</v>
      </c>
      <c r="Z130" s="44">
        <f>100-(Q$435-Tabell2[[#This Row],[Sysselsettingsvekst10-T]])*100/Q$438</f>
        <v>60.134829291327897</v>
      </c>
      <c r="AA130" s="44">
        <f>100-(R$435-Tabell2[[#This Row],[Yrkesaktivandel-T]])*100/R$438</f>
        <v>46.164815372317435</v>
      </c>
      <c r="AB130" s="44">
        <f>100-(S$435-Tabell2[[#This Row],[Inntekt-T]])*100/S$438</f>
        <v>40.184883088635125</v>
      </c>
      <c r="AC130" s="44">
        <f>Tabell2[[#This Row],[NIBR11-I]]*Vekter!$B$3</f>
        <v>14</v>
      </c>
      <c r="AD130" s="44">
        <f>Tabell2[[#This Row],[ReisetidOslo-I]]*Vekter!$C$3</f>
        <v>8.4492192497634502</v>
      </c>
      <c r="AE130" s="44">
        <f>Tabell2[[#This Row],[Beftettotal-I]]*Vekter!$E$4</f>
        <v>0.82175612167139045</v>
      </c>
      <c r="AF130" s="44">
        <f>Tabell2[[#This Row],[Befvekst10-I]]*Vekter!$F$3</f>
        <v>11.302423331681439</v>
      </c>
      <c r="AG130" s="44">
        <f>Tabell2[[#This Row],[Kvinneandel-I]]*Vekter!$G$3</f>
        <v>3.822397881400887</v>
      </c>
      <c r="AH130" s="44">
        <f>Tabell2[[#This Row],[Eldreandel-I]]*Vekter!$H$3</f>
        <v>4.1351961336206022</v>
      </c>
      <c r="AI130" s="44">
        <f>Tabell2[[#This Row],[Sysselsettingsvekst10-I]]*Vekter!$I$3</f>
        <v>6.01348292913279</v>
      </c>
      <c r="AJ130" s="44">
        <f>Tabell2[[#This Row],[Yrkesaktivandel-I]]*Vekter!$K$3</f>
        <v>4.6164815372317438</v>
      </c>
      <c r="AK130" s="44">
        <f>Tabell2[[#This Row],[Inntekt-I]]*Vekter!$M$3</f>
        <v>4.018488308863513</v>
      </c>
      <c r="AL13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57.179445493365819</v>
      </c>
    </row>
    <row r="131" spans="1:38" s="38" customFormat="1" ht="12.75">
      <c r="A131" s="42" t="s">
        <v>129</v>
      </c>
      <c r="B131" s="38">
        <f>'Rådata-K'!Q131</f>
        <v>4</v>
      </c>
      <c r="C131" s="44">
        <f>'Rådata-K'!P131</f>
        <v>120.568511485</v>
      </c>
      <c r="D131" s="41">
        <f>'Rådata-K'!R131</f>
        <v>46.395211156426782</v>
      </c>
      <c r="E131" s="41">
        <f>'Rådata-K'!S131</f>
        <v>-3.7432022035454038E-3</v>
      </c>
      <c r="F131" s="41">
        <f>'Rådata-K'!T131</f>
        <v>0.11009499503757267</v>
      </c>
      <c r="G131" s="41">
        <f>'Rådata-K'!U131</f>
        <v>0.13646675173684958</v>
      </c>
      <c r="H131" s="41">
        <f>'Rådata-K'!V131</f>
        <v>-7.7599102468212444E-2</v>
      </c>
      <c r="I131" s="41">
        <f>'Rådata-K'!W131</f>
        <v>0.82925647856623885</v>
      </c>
      <c r="J131" s="41">
        <f>'Rådata-K'!O131</f>
        <v>344100</v>
      </c>
      <c r="K131" s="41">
        <f>Tabell2[[#This Row],[NIBR11]]</f>
        <v>4</v>
      </c>
      <c r="L131" s="41">
        <f>IF(Tabell2[[#This Row],[ReisetidOslo]]&lt;=C$433,C$433,IF(Tabell2[[#This Row],[ReisetidOslo]]&gt;=C$434,C$434,Tabell2[[#This Row],[ReisetidOslo]]))</f>
        <v>120.568511485</v>
      </c>
      <c r="M131" s="41">
        <f>IF(Tabell2[[#This Row],[Beftettotal]]&lt;=D$433,D$433,IF(Tabell2[[#This Row],[Beftettotal]]&gt;=D$434,D$434,Tabell2[[#This Row],[Beftettotal]]))</f>
        <v>46.395211156426782</v>
      </c>
      <c r="N131" s="41">
        <f>IF(Tabell2[[#This Row],[Befvekst10]]&lt;=E$433,E$433,IF(Tabell2[[#This Row],[Befvekst10]]&gt;=E$434,E$434,Tabell2[[#This Row],[Befvekst10]]))</f>
        <v>-3.7432022035454038E-3</v>
      </c>
      <c r="O131" s="41">
        <f>IF(Tabell2[[#This Row],[Kvinneandel]]&lt;=F$433,F$433,IF(Tabell2[[#This Row],[Kvinneandel]]&gt;=F$434,F$434,Tabell2[[#This Row],[Kvinneandel]]))</f>
        <v>0.11009499503757267</v>
      </c>
      <c r="P131" s="41">
        <f>IF(Tabell2[[#This Row],[Eldreandel]]&lt;=G$433,G$433,IF(Tabell2[[#This Row],[Eldreandel]]&gt;=G$434,G$434,Tabell2[[#This Row],[Eldreandel]]))</f>
        <v>0.13646675173684958</v>
      </c>
      <c r="Q131" s="41">
        <f>IF(Tabell2[[#This Row],[Sysselsettingsvekst10]]&lt;=H$433,H$433,IF(Tabell2[[#This Row],[Sysselsettingsvekst10]]&gt;=H$434,H$434,Tabell2[[#This Row],[Sysselsettingsvekst10]]))</f>
        <v>-7.7599102468212444E-2</v>
      </c>
      <c r="R131" s="41">
        <f>IF(Tabell2[[#This Row],[Yrkesaktivandel]]&lt;=I$433,I$433,IF(Tabell2[[#This Row],[Yrkesaktivandel]]&gt;=I$434,I$434,Tabell2[[#This Row],[Yrkesaktivandel]]))</f>
        <v>0.82925647856623885</v>
      </c>
      <c r="S131" s="41">
        <f>IF(Tabell2[[#This Row],[Inntekt]]&lt;=J$433,J$433,IF(Tabell2[[#This Row],[Inntekt]]&gt;=J$434,J$434,Tabell2[[#This Row],[Inntekt]]))</f>
        <v>344100</v>
      </c>
      <c r="T131" s="44">
        <f>IF(Tabell2[[#This Row],[NIBR11-T]]&lt;=K$436,100,IF(Tabell2[[#This Row],[NIBR11-T]]&gt;=K$435,0,100*(K$435-Tabell2[[#This Row],[NIBR11-T]])/K$438))</f>
        <v>70</v>
      </c>
      <c r="U131" s="44">
        <f>(L$435-Tabell2[[#This Row],[ReisetidOslo-T]])*100/L$438</f>
        <v>70.36042588367566</v>
      </c>
      <c r="V131" s="44">
        <f>100-(M$435-Tabell2[[#This Row],[Beftettotal-T]])*100/M$438</f>
        <v>36.871195120891308</v>
      </c>
      <c r="W131" s="44">
        <f>100-(N$435-Tabell2[[#This Row],[Befvekst10-T]])*100/N$438</f>
        <v>36.481390291235748</v>
      </c>
      <c r="X131" s="44">
        <f>100-(O$435-Tabell2[[#This Row],[Kvinneandel-T]])*100/O$438</f>
        <v>50.288455944555345</v>
      </c>
      <c r="Y131" s="44">
        <f>(P$435-Tabell2[[#This Row],[Eldreandel-T]])*100/P$438</f>
        <v>73.560157551505824</v>
      </c>
      <c r="Z131" s="44">
        <f>100-(Q$435-Tabell2[[#This Row],[Sysselsettingsvekst10-T]])*100/Q$438</f>
        <v>4.2837409593937537</v>
      </c>
      <c r="AA131" s="44">
        <f>100-(R$435-Tabell2[[#This Row],[Yrkesaktivandel-T]])*100/R$438</f>
        <v>2.111019129600237</v>
      </c>
      <c r="AB131" s="44">
        <f>100-(S$435-Tabell2[[#This Row],[Inntekt-T]])*100/S$438</f>
        <v>70.636215334420882</v>
      </c>
      <c r="AC131" s="44">
        <f>Tabell2[[#This Row],[NIBR11-I]]*Vekter!$B$3</f>
        <v>14</v>
      </c>
      <c r="AD131" s="44">
        <f>Tabell2[[#This Row],[ReisetidOslo-I]]*Vekter!$C$3</f>
        <v>7.0360425883675664</v>
      </c>
      <c r="AE131" s="44">
        <f>Tabell2[[#This Row],[Beftettotal-I]]*Vekter!$E$4</f>
        <v>3.6871195120891311</v>
      </c>
      <c r="AF131" s="44">
        <f>Tabell2[[#This Row],[Befvekst10-I]]*Vekter!$F$3</f>
        <v>7.2962780582471503</v>
      </c>
      <c r="AG131" s="44">
        <f>Tabell2[[#This Row],[Kvinneandel-I]]*Vekter!$G$3</f>
        <v>2.5144227972277675</v>
      </c>
      <c r="AH131" s="44">
        <f>Tabell2[[#This Row],[Eldreandel-I]]*Vekter!$H$3</f>
        <v>3.6780078775752916</v>
      </c>
      <c r="AI131" s="44">
        <f>Tabell2[[#This Row],[Sysselsettingsvekst10-I]]*Vekter!$I$3</f>
        <v>0.42837409593937537</v>
      </c>
      <c r="AJ131" s="44">
        <f>Tabell2[[#This Row],[Yrkesaktivandel-I]]*Vekter!$K$3</f>
        <v>0.2111019129600237</v>
      </c>
      <c r="AK131" s="44">
        <f>Tabell2[[#This Row],[Inntekt-I]]*Vekter!$M$3</f>
        <v>7.0636215334420882</v>
      </c>
      <c r="AL13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45.914968375848389</v>
      </c>
    </row>
    <row r="132" spans="1:38" s="38" customFormat="1" ht="12.75">
      <c r="A132" s="42" t="s">
        <v>130</v>
      </c>
      <c r="B132" s="38">
        <f>'Rådata-K'!Q132</f>
        <v>4</v>
      </c>
      <c r="C132" s="44">
        <f>'Rådata-K'!P132</f>
        <v>143.880823464</v>
      </c>
      <c r="D132" s="41">
        <f>'Rådata-K'!R132</f>
        <v>35.071059008448493</v>
      </c>
      <c r="E132" s="41">
        <f>'Rådata-K'!S132</f>
        <v>9.4250706880301127E-3</v>
      </c>
      <c r="F132" s="41">
        <f>'Rådata-K'!T132</f>
        <v>0.10634920634920635</v>
      </c>
      <c r="G132" s="41">
        <f>'Rådata-K'!U132</f>
        <v>0.1595704948646125</v>
      </c>
      <c r="H132" s="41">
        <f>'Rådata-K'!V132</f>
        <v>5.4990757855822636E-2</v>
      </c>
      <c r="I132" s="41">
        <f>'Rådata-K'!W132</f>
        <v>0.81687209860733156</v>
      </c>
      <c r="J132" s="41">
        <f>'Rådata-K'!O132</f>
        <v>309000</v>
      </c>
      <c r="K132" s="41">
        <f>Tabell2[[#This Row],[NIBR11]]</f>
        <v>4</v>
      </c>
      <c r="L132" s="41">
        <f>IF(Tabell2[[#This Row],[ReisetidOslo]]&lt;=C$433,C$433,IF(Tabell2[[#This Row],[ReisetidOslo]]&gt;=C$434,C$434,Tabell2[[#This Row],[ReisetidOslo]]))</f>
        <v>143.880823464</v>
      </c>
      <c r="M132" s="41">
        <f>IF(Tabell2[[#This Row],[Beftettotal]]&lt;=D$433,D$433,IF(Tabell2[[#This Row],[Beftettotal]]&gt;=D$434,D$434,Tabell2[[#This Row],[Beftettotal]]))</f>
        <v>35.071059008448493</v>
      </c>
      <c r="N132" s="41">
        <f>IF(Tabell2[[#This Row],[Befvekst10]]&lt;=E$433,E$433,IF(Tabell2[[#This Row],[Befvekst10]]&gt;=E$434,E$434,Tabell2[[#This Row],[Befvekst10]]))</f>
        <v>9.4250706880301127E-3</v>
      </c>
      <c r="O132" s="41">
        <f>IF(Tabell2[[#This Row],[Kvinneandel]]&lt;=F$433,F$433,IF(Tabell2[[#This Row],[Kvinneandel]]&gt;=F$434,F$434,Tabell2[[#This Row],[Kvinneandel]]))</f>
        <v>0.10634920634920635</v>
      </c>
      <c r="P132" s="41">
        <f>IF(Tabell2[[#This Row],[Eldreandel]]&lt;=G$433,G$433,IF(Tabell2[[#This Row],[Eldreandel]]&gt;=G$434,G$434,Tabell2[[#This Row],[Eldreandel]]))</f>
        <v>0.1595704948646125</v>
      </c>
      <c r="Q132" s="41">
        <f>IF(Tabell2[[#This Row],[Sysselsettingsvekst10]]&lt;=H$433,H$433,IF(Tabell2[[#This Row],[Sysselsettingsvekst10]]&gt;=H$434,H$434,Tabell2[[#This Row],[Sysselsettingsvekst10]]))</f>
        <v>5.4990757855822636E-2</v>
      </c>
      <c r="R132" s="41">
        <f>IF(Tabell2[[#This Row],[Yrkesaktivandel]]&lt;=I$433,I$433,IF(Tabell2[[#This Row],[Yrkesaktivandel]]&gt;=I$434,I$434,Tabell2[[#This Row],[Yrkesaktivandel]]))</f>
        <v>0.82642965596795781</v>
      </c>
      <c r="S132" s="41">
        <f>IF(Tabell2[[#This Row],[Inntekt]]&lt;=J$433,J$433,IF(Tabell2[[#This Row],[Inntekt]]&gt;=J$434,J$434,Tabell2[[#This Row],[Inntekt]]))</f>
        <v>309000</v>
      </c>
      <c r="T132" s="44">
        <f>IF(Tabell2[[#This Row],[NIBR11-T]]&lt;=K$436,100,IF(Tabell2[[#This Row],[NIBR11-T]]&gt;=K$435,0,100*(K$435-Tabell2[[#This Row],[NIBR11-T]])/K$438))</f>
        <v>70</v>
      </c>
      <c r="U132" s="44">
        <f>(L$435-Tabell2[[#This Row],[ReisetidOslo-T]])*100/L$438</f>
        <v>60.010911183186437</v>
      </c>
      <c r="V132" s="44">
        <f>100-(M$435-Tabell2[[#This Row],[Beftettotal-T]])*100/M$438</f>
        <v>27.607961517580733</v>
      </c>
      <c r="W132" s="44">
        <f>100-(N$435-Tabell2[[#This Row],[Befvekst10-T]])*100/N$438</f>
        <v>41.929300696514169</v>
      </c>
      <c r="X132" s="44">
        <f>100-(O$435-Tabell2[[#This Row],[Kvinneandel-T]])*100/O$438</f>
        <v>40.038250843414367</v>
      </c>
      <c r="Y132" s="44">
        <f>(P$435-Tabell2[[#This Row],[Eldreandel-T]])*100/P$438</f>
        <v>46.357910853371123</v>
      </c>
      <c r="Z132" s="44">
        <f>100-(Q$435-Tabell2[[#This Row],[Sysselsettingsvekst10-T]])*100/Q$438</f>
        <v>43.267424422902963</v>
      </c>
      <c r="AA132" s="44">
        <f>100-(R$435-Tabell2[[#This Row],[Yrkesaktivandel-T]])*100/R$438</f>
        <v>0</v>
      </c>
      <c r="AB132" s="44">
        <f>100-(S$435-Tabell2[[#This Row],[Inntekt-T]])*100/S$438</f>
        <v>22.920065252854812</v>
      </c>
      <c r="AC132" s="44">
        <f>Tabell2[[#This Row],[NIBR11-I]]*Vekter!$B$3</f>
        <v>14</v>
      </c>
      <c r="AD132" s="44">
        <f>Tabell2[[#This Row],[ReisetidOslo-I]]*Vekter!$C$3</f>
        <v>6.0010911183186444</v>
      </c>
      <c r="AE132" s="44">
        <f>Tabell2[[#This Row],[Beftettotal-I]]*Vekter!$E$4</f>
        <v>2.7607961517580737</v>
      </c>
      <c r="AF132" s="44">
        <f>Tabell2[[#This Row],[Befvekst10-I]]*Vekter!$F$3</f>
        <v>8.3858601393028334</v>
      </c>
      <c r="AG132" s="44">
        <f>Tabell2[[#This Row],[Kvinneandel-I]]*Vekter!$G$3</f>
        <v>2.0019125421707185</v>
      </c>
      <c r="AH132" s="44">
        <f>Tabell2[[#This Row],[Eldreandel-I]]*Vekter!$H$3</f>
        <v>2.3178955426685564</v>
      </c>
      <c r="AI132" s="44">
        <f>Tabell2[[#This Row],[Sysselsettingsvekst10-I]]*Vekter!$I$3</f>
        <v>4.3267424422902963</v>
      </c>
      <c r="AJ132" s="44">
        <f>Tabell2[[#This Row],[Yrkesaktivandel-I]]*Vekter!$K$3</f>
        <v>0</v>
      </c>
      <c r="AK132" s="44">
        <f>Tabell2[[#This Row],[Inntekt-I]]*Vekter!$M$3</f>
        <v>2.2920065252854811</v>
      </c>
      <c r="AL13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42.086304461794612</v>
      </c>
    </row>
    <row r="133" spans="1:38" s="38" customFormat="1" ht="12.75">
      <c r="A133" s="42" t="s">
        <v>131</v>
      </c>
      <c r="B133" s="38">
        <f>'Rådata-K'!Q133</f>
        <v>4</v>
      </c>
      <c r="C133" s="44">
        <f>'Rådata-K'!P133</f>
        <v>146.92048534400001</v>
      </c>
      <c r="D133" s="41">
        <f>'Rådata-K'!R133</f>
        <v>3.8822710250475172</v>
      </c>
      <c r="E133" s="41">
        <f>'Rådata-K'!S133</f>
        <v>-1.668255481410863E-2</v>
      </c>
      <c r="F133" s="41">
        <f>'Rådata-K'!T133</f>
        <v>0.10349006301502665</v>
      </c>
      <c r="G133" s="41">
        <f>'Rådata-K'!U133</f>
        <v>0.17595734367426077</v>
      </c>
      <c r="H133" s="41">
        <f>'Rådata-K'!V133</f>
        <v>4.4619422572178546E-2</v>
      </c>
      <c r="I133" s="41">
        <f>'Rådata-K'!W133</f>
        <v>0.83956989247311831</v>
      </c>
      <c r="J133" s="41">
        <f>'Rådata-K'!O133</f>
        <v>298800</v>
      </c>
      <c r="K133" s="41">
        <f>Tabell2[[#This Row],[NIBR11]]</f>
        <v>4</v>
      </c>
      <c r="L133" s="41">
        <f>IF(Tabell2[[#This Row],[ReisetidOslo]]&lt;=C$433,C$433,IF(Tabell2[[#This Row],[ReisetidOslo]]&gt;=C$434,C$434,Tabell2[[#This Row],[ReisetidOslo]]))</f>
        <v>146.92048534400001</v>
      </c>
      <c r="M133" s="41">
        <f>IF(Tabell2[[#This Row],[Beftettotal]]&lt;=D$433,D$433,IF(Tabell2[[#This Row],[Beftettotal]]&gt;=D$434,D$434,Tabell2[[#This Row],[Beftettotal]]))</f>
        <v>3.8822710250475172</v>
      </c>
      <c r="N133" s="41">
        <f>IF(Tabell2[[#This Row],[Befvekst10]]&lt;=E$433,E$433,IF(Tabell2[[#This Row],[Befvekst10]]&gt;=E$434,E$434,Tabell2[[#This Row],[Befvekst10]]))</f>
        <v>-1.668255481410863E-2</v>
      </c>
      <c r="O133" s="41">
        <f>IF(Tabell2[[#This Row],[Kvinneandel]]&lt;=F$433,F$433,IF(Tabell2[[#This Row],[Kvinneandel]]&gt;=F$434,F$434,Tabell2[[#This Row],[Kvinneandel]]))</f>
        <v>0.10349006301502665</v>
      </c>
      <c r="P133" s="41">
        <f>IF(Tabell2[[#This Row],[Eldreandel]]&lt;=G$433,G$433,IF(Tabell2[[#This Row],[Eldreandel]]&gt;=G$434,G$434,Tabell2[[#This Row],[Eldreandel]]))</f>
        <v>0.17595734367426077</v>
      </c>
      <c r="Q133" s="41">
        <f>IF(Tabell2[[#This Row],[Sysselsettingsvekst10]]&lt;=H$433,H$433,IF(Tabell2[[#This Row],[Sysselsettingsvekst10]]&gt;=H$434,H$434,Tabell2[[#This Row],[Sysselsettingsvekst10]]))</f>
        <v>4.4619422572178546E-2</v>
      </c>
      <c r="R133" s="41">
        <f>IF(Tabell2[[#This Row],[Yrkesaktivandel]]&lt;=I$433,I$433,IF(Tabell2[[#This Row],[Yrkesaktivandel]]&gt;=I$434,I$434,Tabell2[[#This Row],[Yrkesaktivandel]]))</f>
        <v>0.83956989247311831</v>
      </c>
      <c r="S133" s="41">
        <f>IF(Tabell2[[#This Row],[Inntekt]]&lt;=J$433,J$433,IF(Tabell2[[#This Row],[Inntekt]]&gt;=J$434,J$434,Tabell2[[#This Row],[Inntekt]]))</f>
        <v>298800</v>
      </c>
      <c r="T133" s="44">
        <f>IF(Tabell2[[#This Row],[NIBR11-T]]&lt;=K$436,100,IF(Tabell2[[#This Row],[NIBR11-T]]&gt;=K$435,0,100*(K$435-Tabell2[[#This Row],[NIBR11-T]])/K$438))</f>
        <v>70</v>
      </c>
      <c r="U133" s="44">
        <f>(L$435-Tabell2[[#This Row],[ReisetidOslo-T]])*100/L$438</f>
        <v>58.661451492533907</v>
      </c>
      <c r="V133" s="44">
        <f>100-(M$435-Tabell2[[#This Row],[Beftettotal-T]])*100/M$438</f>
        <v>2.0953204722245573</v>
      </c>
      <c r="W133" s="44">
        <f>100-(N$435-Tabell2[[#This Row],[Befvekst10-T]])*100/N$438</f>
        <v>31.128187611957145</v>
      </c>
      <c r="X133" s="44">
        <f>100-(O$435-Tabell2[[#This Row],[Kvinneandel-T]])*100/O$438</f>
        <v>32.214316279266882</v>
      </c>
      <c r="Y133" s="44">
        <f>(P$435-Tabell2[[#This Row],[Eldreandel-T]])*100/P$438</f>
        <v>27.064106318752888</v>
      </c>
      <c r="Z133" s="44">
        <f>100-(Q$435-Tabell2[[#This Row],[Sysselsettingsvekst10-T]])*100/Q$438</f>
        <v>40.218074715441098</v>
      </c>
      <c r="AA133" s="44">
        <f>100-(R$435-Tabell2[[#This Row],[Yrkesaktivandel-T]])*100/R$438</f>
        <v>9.8128869659996383</v>
      </c>
      <c r="AB133" s="44">
        <f>100-(S$435-Tabell2[[#This Row],[Inntekt-T]])*100/S$438</f>
        <v>9.0538336052202339</v>
      </c>
      <c r="AC133" s="44">
        <f>Tabell2[[#This Row],[NIBR11-I]]*Vekter!$B$3</f>
        <v>14</v>
      </c>
      <c r="AD133" s="44">
        <f>Tabell2[[#This Row],[ReisetidOslo-I]]*Vekter!$C$3</f>
        <v>5.8661451492533914</v>
      </c>
      <c r="AE133" s="44">
        <f>Tabell2[[#This Row],[Beftettotal-I]]*Vekter!$E$4</f>
        <v>0.20953204722245575</v>
      </c>
      <c r="AF133" s="44">
        <f>Tabell2[[#This Row],[Befvekst10-I]]*Vekter!$F$3</f>
        <v>6.2256375223914295</v>
      </c>
      <c r="AG133" s="44">
        <f>Tabell2[[#This Row],[Kvinneandel-I]]*Vekter!$G$3</f>
        <v>1.6107158139633442</v>
      </c>
      <c r="AH133" s="44">
        <f>Tabell2[[#This Row],[Eldreandel-I]]*Vekter!$H$3</f>
        <v>1.3532053159376445</v>
      </c>
      <c r="AI133" s="44">
        <f>Tabell2[[#This Row],[Sysselsettingsvekst10-I]]*Vekter!$I$3</f>
        <v>4.0218074715441103</v>
      </c>
      <c r="AJ133" s="44">
        <f>Tabell2[[#This Row],[Yrkesaktivandel-I]]*Vekter!$K$3</f>
        <v>0.98128869659996387</v>
      </c>
      <c r="AK133" s="44">
        <f>Tabell2[[#This Row],[Inntekt-I]]*Vekter!$M$3</f>
        <v>0.90538336052202339</v>
      </c>
      <c r="AL13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35.173715377434362</v>
      </c>
    </row>
    <row r="134" spans="1:38" s="38" customFormat="1" ht="12.75">
      <c r="A134" s="42" t="s">
        <v>132</v>
      </c>
      <c r="B134" s="38">
        <f>'Rådata-K'!Q134</f>
        <v>4</v>
      </c>
      <c r="C134" s="44">
        <f>'Rådata-K'!P134</f>
        <v>128.651639327</v>
      </c>
      <c r="D134" s="41">
        <f>'Rådata-K'!R134</f>
        <v>15.311394526159003</v>
      </c>
      <c r="E134" s="41">
        <f>'Rådata-K'!S134</f>
        <v>-1.0081251880830533E-2</v>
      </c>
      <c r="F134" s="41">
        <f>'Rådata-K'!T134</f>
        <v>0.10548715610275118</v>
      </c>
      <c r="G134" s="41">
        <f>'Rådata-K'!U134</f>
        <v>0.16871865025079799</v>
      </c>
      <c r="H134" s="41">
        <f>'Rådata-K'!V134</f>
        <v>4.0771591407277485E-2</v>
      </c>
      <c r="I134" s="41">
        <f>'Rådata-K'!W134</f>
        <v>0.82693834347711037</v>
      </c>
      <c r="J134" s="41">
        <f>'Rådata-K'!O134</f>
        <v>309600</v>
      </c>
      <c r="K134" s="41">
        <f>Tabell2[[#This Row],[NIBR11]]</f>
        <v>4</v>
      </c>
      <c r="L134" s="41">
        <f>IF(Tabell2[[#This Row],[ReisetidOslo]]&lt;=C$433,C$433,IF(Tabell2[[#This Row],[ReisetidOslo]]&gt;=C$434,C$434,Tabell2[[#This Row],[ReisetidOslo]]))</f>
        <v>128.651639327</v>
      </c>
      <c r="M134" s="41">
        <f>IF(Tabell2[[#This Row],[Beftettotal]]&lt;=D$433,D$433,IF(Tabell2[[#This Row],[Beftettotal]]&gt;=D$434,D$434,Tabell2[[#This Row],[Beftettotal]]))</f>
        <v>15.311394526159003</v>
      </c>
      <c r="N134" s="41">
        <f>IF(Tabell2[[#This Row],[Befvekst10]]&lt;=E$433,E$433,IF(Tabell2[[#This Row],[Befvekst10]]&gt;=E$434,E$434,Tabell2[[#This Row],[Befvekst10]]))</f>
        <v>-1.0081251880830533E-2</v>
      </c>
      <c r="O134" s="41">
        <f>IF(Tabell2[[#This Row],[Kvinneandel]]&lt;=F$433,F$433,IF(Tabell2[[#This Row],[Kvinneandel]]&gt;=F$434,F$434,Tabell2[[#This Row],[Kvinneandel]]))</f>
        <v>0.10548715610275118</v>
      </c>
      <c r="P134" s="41">
        <f>IF(Tabell2[[#This Row],[Eldreandel]]&lt;=G$433,G$433,IF(Tabell2[[#This Row],[Eldreandel]]&gt;=G$434,G$434,Tabell2[[#This Row],[Eldreandel]]))</f>
        <v>0.16871865025079799</v>
      </c>
      <c r="Q134" s="41">
        <f>IF(Tabell2[[#This Row],[Sysselsettingsvekst10]]&lt;=H$433,H$433,IF(Tabell2[[#This Row],[Sysselsettingsvekst10]]&gt;=H$434,H$434,Tabell2[[#This Row],[Sysselsettingsvekst10]]))</f>
        <v>4.0771591407277485E-2</v>
      </c>
      <c r="R134" s="41">
        <f>IF(Tabell2[[#This Row],[Yrkesaktivandel]]&lt;=I$433,I$433,IF(Tabell2[[#This Row],[Yrkesaktivandel]]&gt;=I$434,I$434,Tabell2[[#This Row],[Yrkesaktivandel]]))</f>
        <v>0.82693834347711037</v>
      </c>
      <c r="S134" s="41">
        <f>IF(Tabell2[[#This Row],[Inntekt]]&lt;=J$433,J$433,IF(Tabell2[[#This Row],[Inntekt]]&gt;=J$434,J$434,Tabell2[[#This Row],[Inntekt]]))</f>
        <v>309600</v>
      </c>
      <c r="T134" s="44">
        <f>IF(Tabell2[[#This Row],[NIBR11-T]]&lt;=K$436,100,IF(Tabell2[[#This Row],[NIBR11-T]]&gt;=K$435,0,100*(K$435-Tabell2[[#This Row],[NIBR11-T]])/K$438))</f>
        <v>70</v>
      </c>
      <c r="U134" s="44">
        <f>(L$435-Tabell2[[#This Row],[ReisetidOslo-T]])*100/L$438</f>
        <v>66.7719164942135</v>
      </c>
      <c r="V134" s="44">
        <f>100-(M$435-Tabell2[[#This Row],[Beftettotal-T]])*100/M$438</f>
        <v>11.444421357519872</v>
      </c>
      <c r="W134" s="44">
        <f>100-(N$435-Tabell2[[#This Row],[Befvekst10-T]])*100/N$438</f>
        <v>33.859244845864282</v>
      </c>
      <c r="X134" s="44">
        <f>100-(O$435-Tabell2[[#This Row],[Kvinneandel-T]])*100/O$438</f>
        <v>37.679283862415659</v>
      </c>
      <c r="Y134" s="44">
        <f>(P$435-Tabell2[[#This Row],[Eldreandel-T]])*100/P$438</f>
        <v>35.586912480001352</v>
      </c>
      <c r="Z134" s="44">
        <f>100-(Q$435-Tabell2[[#This Row],[Sysselsettingsvekst10-T]])*100/Q$438</f>
        <v>39.086746635096652</v>
      </c>
      <c r="AA134" s="44">
        <f>100-(R$435-Tabell2[[#This Row],[Yrkesaktivandel-T]])*100/R$438</f>
        <v>0.37987847679679021</v>
      </c>
      <c r="AB134" s="44">
        <f>100-(S$435-Tabell2[[#This Row],[Inntekt-T]])*100/S$438</f>
        <v>23.735725938009793</v>
      </c>
      <c r="AC134" s="44">
        <f>Tabell2[[#This Row],[NIBR11-I]]*Vekter!$B$3</f>
        <v>14</v>
      </c>
      <c r="AD134" s="44">
        <f>Tabell2[[#This Row],[ReisetidOslo-I]]*Vekter!$C$3</f>
        <v>6.6771916494213501</v>
      </c>
      <c r="AE134" s="44">
        <f>Tabell2[[#This Row],[Beftettotal-I]]*Vekter!$E$4</f>
        <v>1.1444421357519872</v>
      </c>
      <c r="AF134" s="44">
        <f>Tabell2[[#This Row],[Befvekst10-I]]*Vekter!$F$3</f>
        <v>6.7718489691728569</v>
      </c>
      <c r="AG134" s="44">
        <f>Tabell2[[#This Row],[Kvinneandel-I]]*Vekter!$G$3</f>
        <v>1.8839641931207831</v>
      </c>
      <c r="AH134" s="44">
        <f>Tabell2[[#This Row],[Eldreandel-I]]*Vekter!$H$3</f>
        <v>1.7793456240000678</v>
      </c>
      <c r="AI134" s="44">
        <f>Tabell2[[#This Row],[Sysselsettingsvekst10-I]]*Vekter!$I$3</f>
        <v>3.9086746635096654</v>
      </c>
      <c r="AJ134" s="44">
        <f>Tabell2[[#This Row],[Yrkesaktivandel-I]]*Vekter!$K$3</f>
        <v>3.7987847679679027E-2</v>
      </c>
      <c r="AK134" s="44">
        <f>Tabell2[[#This Row],[Inntekt-I]]*Vekter!$M$3</f>
        <v>2.3735725938009793</v>
      </c>
      <c r="AL13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38.577027676457369</v>
      </c>
    </row>
    <row r="135" spans="1:38" s="38" customFormat="1" ht="12.75">
      <c r="A135" s="42" t="s">
        <v>133</v>
      </c>
      <c r="B135" s="38">
        <f>'Rådata-K'!Q135</f>
        <v>5</v>
      </c>
      <c r="C135" s="44">
        <f>'Rådata-K'!P135</f>
        <v>117.88972927</v>
      </c>
      <c r="D135" s="41">
        <f>'Rådata-K'!R135</f>
        <v>21.906462520420959</v>
      </c>
      <c r="E135" s="41">
        <f>'Rådata-K'!S135</f>
        <v>0.11679256246368386</v>
      </c>
      <c r="F135" s="41">
        <f>'Rådata-K'!T135</f>
        <v>0.13787721123829344</v>
      </c>
      <c r="G135" s="41">
        <f>'Rådata-K'!U135</f>
        <v>0.14325355532431494</v>
      </c>
      <c r="H135" s="41">
        <f>'Rådata-K'!V135</f>
        <v>0.17197452229299359</v>
      </c>
      <c r="I135" s="41">
        <f>'Rådata-K'!W135</f>
        <v>0.82524271844660191</v>
      </c>
      <c r="J135" s="41">
        <f>'Rådata-K'!O135</f>
        <v>311900</v>
      </c>
      <c r="K135" s="41">
        <f>Tabell2[[#This Row],[NIBR11]]</f>
        <v>5</v>
      </c>
      <c r="L135" s="41">
        <f>IF(Tabell2[[#This Row],[ReisetidOslo]]&lt;=C$433,C$433,IF(Tabell2[[#This Row],[ReisetidOslo]]&gt;=C$434,C$434,Tabell2[[#This Row],[ReisetidOslo]]))</f>
        <v>117.88972927</v>
      </c>
      <c r="M135" s="41">
        <f>IF(Tabell2[[#This Row],[Beftettotal]]&lt;=D$433,D$433,IF(Tabell2[[#This Row],[Beftettotal]]&gt;=D$434,D$434,Tabell2[[#This Row],[Beftettotal]]))</f>
        <v>21.906462520420959</v>
      </c>
      <c r="N135" s="41">
        <f>IF(Tabell2[[#This Row],[Befvekst10]]&lt;=E$433,E$433,IF(Tabell2[[#This Row],[Befvekst10]]&gt;=E$434,E$434,Tabell2[[#This Row],[Befvekst10]]))</f>
        <v>0.11679256246368386</v>
      </c>
      <c r="O135" s="41">
        <f>IF(Tabell2[[#This Row],[Kvinneandel]]&lt;=F$433,F$433,IF(Tabell2[[#This Row],[Kvinneandel]]&gt;=F$434,F$434,Tabell2[[#This Row],[Kvinneandel]]))</f>
        <v>0.12826135732659469</v>
      </c>
      <c r="P135" s="41">
        <f>IF(Tabell2[[#This Row],[Eldreandel]]&lt;=G$433,G$433,IF(Tabell2[[#This Row],[Eldreandel]]&gt;=G$434,G$434,Tabell2[[#This Row],[Eldreandel]]))</f>
        <v>0.14325355532431494</v>
      </c>
      <c r="Q135" s="41">
        <f>IF(Tabell2[[#This Row],[Sysselsettingsvekst10]]&lt;=H$433,H$433,IF(Tabell2[[#This Row],[Sysselsettingsvekst10]]&gt;=H$434,H$434,Tabell2[[#This Row],[Sysselsettingsvekst10]]))</f>
        <v>0.17197452229299359</v>
      </c>
      <c r="R135" s="41">
        <f>IF(Tabell2[[#This Row],[Yrkesaktivandel]]&lt;=I$433,I$433,IF(Tabell2[[#This Row],[Yrkesaktivandel]]&gt;=I$434,I$434,Tabell2[[#This Row],[Yrkesaktivandel]]))</f>
        <v>0.82642965596795781</v>
      </c>
      <c r="S135" s="41">
        <f>IF(Tabell2[[#This Row],[Inntekt]]&lt;=J$433,J$433,IF(Tabell2[[#This Row],[Inntekt]]&gt;=J$434,J$434,Tabell2[[#This Row],[Inntekt]]))</f>
        <v>311900</v>
      </c>
      <c r="T135" s="44">
        <f>IF(Tabell2[[#This Row],[NIBR11-T]]&lt;=K$436,100,IF(Tabell2[[#This Row],[NIBR11-T]]&gt;=K$435,0,100*(K$435-Tabell2[[#This Row],[NIBR11-T]])/K$438))</f>
        <v>60</v>
      </c>
      <c r="U135" s="44">
        <f>(L$435-Tabell2[[#This Row],[ReisetidOslo-T]])*100/L$438</f>
        <v>71.549672833464498</v>
      </c>
      <c r="V135" s="44">
        <f>100-(M$435-Tabell2[[#This Row],[Beftettotal-T]])*100/M$438</f>
        <v>16.839231906005153</v>
      </c>
      <c r="W135" s="44">
        <f>100-(N$435-Tabell2[[#This Row],[Befvekst10-T]])*100/N$438</f>
        <v>86.348829396245279</v>
      </c>
      <c r="X135" s="44">
        <f>100-(O$435-Tabell2[[#This Row],[Kvinneandel-T]])*100/O$438</f>
        <v>100</v>
      </c>
      <c r="Y135" s="44">
        <f>(P$435-Tabell2[[#This Row],[Eldreandel-T]])*100/P$438</f>
        <v>65.569404518237732</v>
      </c>
      <c r="Z135" s="44">
        <f>100-(Q$435-Tabell2[[#This Row],[Sysselsettingsvekst10-T]])*100/Q$438</f>
        <v>77.662649156100031</v>
      </c>
      <c r="AA135" s="44">
        <f>100-(R$435-Tabell2[[#This Row],[Yrkesaktivandel-T]])*100/R$438</f>
        <v>0</v>
      </c>
      <c r="AB135" s="44">
        <f>100-(S$435-Tabell2[[#This Row],[Inntekt-T]])*100/S$438</f>
        <v>26.862425231103856</v>
      </c>
      <c r="AC135" s="44">
        <f>Tabell2[[#This Row],[NIBR11-I]]*Vekter!$B$3</f>
        <v>12</v>
      </c>
      <c r="AD135" s="44">
        <f>Tabell2[[#This Row],[ReisetidOslo-I]]*Vekter!$C$3</f>
        <v>7.1549672833464504</v>
      </c>
      <c r="AE135" s="44">
        <f>Tabell2[[#This Row],[Beftettotal-I]]*Vekter!$E$4</f>
        <v>1.6839231906005154</v>
      </c>
      <c r="AF135" s="44">
        <f>Tabell2[[#This Row],[Befvekst10-I]]*Vekter!$F$3</f>
        <v>17.269765879249057</v>
      </c>
      <c r="AG135" s="44">
        <f>Tabell2[[#This Row],[Kvinneandel-I]]*Vekter!$G$3</f>
        <v>5</v>
      </c>
      <c r="AH135" s="44">
        <f>Tabell2[[#This Row],[Eldreandel-I]]*Vekter!$H$3</f>
        <v>3.278470225911887</v>
      </c>
      <c r="AI135" s="44">
        <f>Tabell2[[#This Row],[Sysselsettingsvekst10-I]]*Vekter!$I$3</f>
        <v>7.7662649156100034</v>
      </c>
      <c r="AJ135" s="44">
        <f>Tabell2[[#This Row],[Yrkesaktivandel-I]]*Vekter!$K$3</f>
        <v>0</v>
      </c>
      <c r="AK135" s="44">
        <f>Tabell2[[#This Row],[Inntekt-I]]*Vekter!$M$3</f>
        <v>2.6862425231103857</v>
      </c>
      <c r="AL13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56.839634017828303</v>
      </c>
    </row>
    <row r="136" spans="1:38" s="38" customFormat="1" ht="12.75">
      <c r="A136" s="42" t="s">
        <v>134</v>
      </c>
      <c r="B136" s="38">
        <f>'Rådata-K'!Q136</f>
        <v>5</v>
      </c>
      <c r="C136" s="44">
        <f>'Rådata-K'!P136</f>
        <v>114.656533375</v>
      </c>
      <c r="D136" s="41">
        <f>'Rådata-K'!R136</f>
        <v>13.458538715916891</v>
      </c>
      <c r="E136" s="41">
        <f>'Rådata-K'!S136</f>
        <v>-9.6418732782369565E-3</v>
      </c>
      <c r="F136" s="41">
        <f>'Rådata-K'!T136</f>
        <v>0.10894761242466389</v>
      </c>
      <c r="G136" s="41">
        <f>'Rådata-K'!U136</f>
        <v>0.16110338433008808</v>
      </c>
      <c r="H136" s="41">
        <f>'Rådata-K'!V136</f>
        <v>-2.4079320113314484E-2</v>
      </c>
      <c r="I136" s="41">
        <f>'Rådata-K'!W136</f>
        <v>0.84778184778184773</v>
      </c>
      <c r="J136" s="41">
        <f>'Rådata-K'!O136</f>
        <v>316400</v>
      </c>
      <c r="K136" s="41">
        <f>Tabell2[[#This Row],[NIBR11]]</f>
        <v>5</v>
      </c>
      <c r="L136" s="41">
        <f>IF(Tabell2[[#This Row],[ReisetidOslo]]&lt;=C$433,C$433,IF(Tabell2[[#This Row],[ReisetidOslo]]&gt;=C$434,C$434,Tabell2[[#This Row],[ReisetidOslo]]))</f>
        <v>114.656533375</v>
      </c>
      <c r="M136" s="41">
        <f>IF(Tabell2[[#This Row],[Beftettotal]]&lt;=D$433,D$433,IF(Tabell2[[#This Row],[Beftettotal]]&gt;=D$434,D$434,Tabell2[[#This Row],[Beftettotal]]))</f>
        <v>13.458538715916891</v>
      </c>
      <c r="N136" s="41">
        <f>IF(Tabell2[[#This Row],[Befvekst10]]&lt;=E$433,E$433,IF(Tabell2[[#This Row],[Befvekst10]]&gt;=E$434,E$434,Tabell2[[#This Row],[Befvekst10]]))</f>
        <v>-9.6418732782369565E-3</v>
      </c>
      <c r="O136" s="41">
        <f>IF(Tabell2[[#This Row],[Kvinneandel]]&lt;=F$433,F$433,IF(Tabell2[[#This Row],[Kvinneandel]]&gt;=F$434,F$434,Tabell2[[#This Row],[Kvinneandel]]))</f>
        <v>0.10894761242466389</v>
      </c>
      <c r="P136" s="41">
        <f>IF(Tabell2[[#This Row],[Eldreandel]]&lt;=G$433,G$433,IF(Tabell2[[#This Row],[Eldreandel]]&gt;=G$434,G$434,Tabell2[[#This Row],[Eldreandel]]))</f>
        <v>0.16110338433008808</v>
      </c>
      <c r="Q136" s="41">
        <f>IF(Tabell2[[#This Row],[Sysselsettingsvekst10]]&lt;=H$433,H$433,IF(Tabell2[[#This Row],[Sysselsettingsvekst10]]&gt;=H$434,H$434,Tabell2[[#This Row],[Sysselsettingsvekst10]]))</f>
        <v>-2.4079320113314484E-2</v>
      </c>
      <c r="R136" s="41">
        <f>IF(Tabell2[[#This Row],[Yrkesaktivandel]]&lt;=I$433,I$433,IF(Tabell2[[#This Row],[Yrkesaktivandel]]&gt;=I$434,I$434,Tabell2[[#This Row],[Yrkesaktivandel]]))</f>
        <v>0.84778184778184773</v>
      </c>
      <c r="S136" s="41">
        <f>IF(Tabell2[[#This Row],[Inntekt]]&lt;=J$433,J$433,IF(Tabell2[[#This Row],[Inntekt]]&gt;=J$434,J$434,Tabell2[[#This Row],[Inntekt]]))</f>
        <v>316400</v>
      </c>
      <c r="T136" s="44">
        <f>IF(Tabell2[[#This Row],[NIBR11-T]]&lt;=K$436,100,IF(Tabell2[[#This Row],[NIBR11-T]]&gt;=K$435,0,100*(K$435-Tabell2[[#This Row],[NIBR11-T]])/K$438))</f>
        <v>60</v>
      </c>
      <c r="U136" s="44">
        <f>(L$435-Tabell2[[#This Row],[ReisetidOslo-T]])*100/L$438</f>
        <v>72.985052064619566</v>
      </c>
      <c r="V136" s="44">
        <f>100-(M$435-Tabell2[[#This Row],[Beftettotal-T]])*100/M$438</f>
        <v>9.9287726820834195</v>
      </c>
      <c r="W136" s="44">
        <f>100-(N$435-Tabell2[[#This Row],[Befvekst10-T]])*100/N$438</f>
        <v>34.041022310580829</v>
      </c>
      <c r="X136" s="44">
        <f>100-(O$435-Tabell2[[#This Row],[Kvinneandel-T]])*100/O$438</f>
        <v>47.148688037111683</v>
      </c>
      <c r="Y136" s="44">
        <f>(P$435-Tabell2[[#This Row],[Eldreandel-T]])*100/P$438</f>
        <v>44.553093462083055</v>
      </c>
      <c r="Z136" s="44">
        <f>100-(Q$435-Tabell2[[#This Row],[Sysselsettingsvekst10-T]])*100/Q$438</f>
        <v>20.019471046598895</v>
      </c>
      <c r="AA136" s="44">
        <f>100-(R$435-Tabell2[[#This Row],[Yrkesaktivandel-T]])*100/R$438</f>
        <v>15.945424168260473</v>
      </c>
      <c r="AB136" s="44">
        <f>100-(S$435-Tabell2[[#This Row],[Inntekt-T]])*100/S$438</f>
        <v>32.979880369766178</v>
      </c>
      <c r="AC136" s="44">
        <f>Tabell2[[#This Row],[NIBR11-I]]*Vekter!$B$3</f>
        <v>12</v>
      </c>
      <c r="AD136" s="44">
        <f>Tabell2[[#This Row],[ReisetidOslo-I]]*Vekter!$C$3</f>
        <v>7.2985052064619573</v>
      </c>
      <c r="AE136" s="44">
        <f>Tabell2[[#This Row],[Beftettotal-I]]*Vekter!$E$4</f>
        <v>0.99287726820834199</v>
      </c>
      <c r="AF136" s="44">
        <f>Tabell2[[#This Row],[Befvekst10-I]]*Vekter!$F$3</f>
        <v>6.8082044621161657</v>
      </c>
      <c r="AG136" s="44">
        <f>Tabell2[[#This Row],[Kvinneandel-I]]*Vekter!$G$3</f>
        <v>2.3574344018555844</v>
      </c>
      <c r="AH136" s="44">
        <f>Tabell2[[#This Row],[Eldreandel-I]]*Vekter!$H$3</f>
        <v>2.2276546731041527</v>
      </c>
      <c r="AI136" s="44">
        <f>Tabell2[[#This Row],[Sysselsettingsvekst10-I]]*Vekter!$I$3</f>
        <v>2.0019471046598896</v>
      </c>
      <c r="AJ136" s="44">
        <f>Tabell2[[#This Row],[Yrkesaktivandel-I]]*Vekter!$K$3</f>
        <v>1.5945424168260474</v>
      </c>
      <c r="AK136" s="44">
        <f>Tabell2[[#This Row],[Inntekt-I]]*Vekter!$M$3</f>
        <v>3.2979880369766179</v>
      </c>
      <c r="AL13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38.579153570208753</v>
      </c>
    </row>
    <row r="137" spans="1:38" s="38" customFormat="1" ht="12.75">
      <c r="A137" s="42" t="s">
        <v>135</v>
      </c>
      <c r="B137" s="38">
        <f>'Rådata-K'!Q137</f>
        <v>9</v>
      </c>
      <c r="C137" s="44">
        <f>'Rådata-K'!P137</f>
        <v>140.31703096999999</v>
      </c>
      <c r="D137" s="41">
        <f>'Rådata-K'!R137</f>
        <v>2.9252692010523536</v>
      </c>
      <c r="E137" s="41">
        <f>'Rådata-K'!S137</f>
        <v>-7.8274268104776556E-2</v>
      </c>
      <c r="F137" s="41">
        <f>'Rådata-K'!T137</f>
        <v>0.10498161150117018</v>
      </c>
      <c r="G137" s="41">
        <f>'Rådata-K'!U137</f>
        <v>0.17903711133400202</v>
      </c>
      <c r="H137" s="41">
        <f>'Rådata-K'!V137</f>
        <v>-6.1655126937026017E-2</v>
      </c>
      <c r="I137" s="41">
        <f>'Rådata-K'!W137</f>
        <v>0.86223000583771159</v>
      </c>
      <c r="J137" s="41">
        <f>'Rådata-K'!O137</f>
        <v>322700</v>
      </c>
      <c r="K137" s="41">
        <f>Tabell2[[#This Row],[NIBR11]]</f>
        <v>9</v>
      </c>
      <c r="L137" s="41">
        <f>IF(Tabell2[[#This Row],[ReisetidOslo]]&lt;=C$433,C$433,IF(Tabell2[[#This Row],[ReisetidOslo]]&gt;=C$434,C$434,Tabell2[[#This Row],[ReisetidOslo]]))</f>
        <v>140.31703096999999</v>
      </c>
      <c r="M137" s="41">
        <f>IF(Tabell2[[#This Row],[Beftettotal]]&lt;=D$433,D$433,IF(Tabell2[[#This Row],[Beftettotal]]&gt;=D$434,D$434,Tabell2[[#This Row],[Beftettotal]]))</f>
        <v>2.9252692010523536</v>
      </c>
      <c r="N137" s="41">
        <f>IF(Tabell2[[#This Row],[Befvekst10]]&lt;=E$433,E$433,IF(Tabell2[[#This Row],[Befvekst10]]&gt;=E$434,E$434,Tabell2[[#This Row],[Befvekst10]]))</f>
        <v>-7.8274268104776556E-2</v>
      </c>
      <c r="O137" s="41">
        <f>IF(Tabell2[[#This Row],[Kvinneandel]]&lt;=F$433,F$433,IF(Tabell2[[#This Row],[Kvinneandel]]&gt;=F$434,F$434,Tabell2[[#This Row],[Kvinneandel]]))</f>
        <v>0.10498161150117018</v>
      </c>
      <c r="P137" s="41">
        <f>IF(Tabell2[[#This Row],[Eldreandel]]&lt;=G$433,G$433,IF(Tabell2[[#This Row],[Eldreandel]]&gt;=G$434,G$434,Tabell2[[#This Row],[Eldreandel]]))</f>
        <v>0.17903711133400202</v>
      </c>
      <c r="Q137" s="41">
        <f>IF(Tabell2[[#This Row],[Sysselsettingsvekst10]]&lt;=H$433,H$433,IF(Tabell2[[#This Row],[Sysselsettingsvekst10]]&gt;=H$434,H$434,Tabell2[[#This Row],[Sysselsettingsvekst10]]))</f>
        <v>-6.1655126937026017E-2</v>
      </c>
      <c r="R137" s="41">
        <f>IF(Tabell2[[#This Row],[Yrkesaktivandel]]&lt;=I$433,I$433,IF(Tabell2[[#This Row],[Yrkesaktivandel]]&gt;=I$434,I$434,Tabell2[[#This Row],[Yrkesaktivandel]]))</f>
        <v>0.86223000583771159</v>
      </c>
      <c r="S137" s="41">
        <f>IF(Tabell2[[#This Row],[Inntekt]]&lt;=J$433,J$433,IF(Tabell2[[#This Row],[Inntekt]]&gt;=J$434,J$434,Tabell2[[#This Row],[Inntekt]]))</f>
        <v>322700</v>
      </c>
      <c r="T137" s="44">
        <f>IF(Tabell2[[#This Row],[NIBR11-T]]&lt;=K$436,100,IF(Tabell2[[#This Row],[NIBR11-T]]&gt;=K$435,0,100*(K$435-Tabell2[[#This Row],[NIBR11-T]])/K$438))</f>
        <v>20</v>
      </c>
      <c r="U137" s="44">
        <f>(L$435-Tabell2[[#This Row],[ReisetidOslo-T]])*100/L$438</f>
        <v>61.593058970131445</v>
      </c>
      <c r="V137" s="44">
        <f>100-(M$435-Tabell2[[#This Row],[Beftettotal-T]])*100/M$438</f>
        <v>1.3124864605812263</v>
      </c>
      <c r="W137" s="44">
        <f>100-(N$435-Tabell2[[#This Row],[Befvekst10-T]])*100/N$438</f>
        <v>5.6467794973194856</v>
      </c>
      <c r="X137" s="44">
        <f>100-(O$435-Tabell2[[#This Row],[Kvinneandel-T]])*100/O$438</f>
        <v>36.29588071688481</v>
      </c>
      <c r="Y137" s="44">
        <f>(P$435-Tabell2[[#This Row],[Eldreandel-T]])*100/P$438</f>
        <v>23.438001267725589</v>
      </c>
      <c r="Z137" s="44">
        <f>100-(Q$435-Tabell2[[#This Row],[Sysselsettingsvekst10-T]])*100/Q$438</f>
        <v>8.9715420758493849</v>
      </c>
      <c r="AA137" s="44">
        <f>100-(R$435-Tabell2[[#This Row],[Yrkesaktivandel-T]])*100/R$438</f>
        <v>26.735042894940889</v>
      </c>
      <c r="AB137" s="44">
        <f>100-(S$435-Tabell2[[#This Row],[Inntekt-T]])*100/S$438</f>
        <v>41.544317563893422</v>
      </c>
      <c r="AC137" s="44">
        <f>Tabell2[[#This Row],[NIBR11-I]]*Vekter!$B$3</f>
        <v>4</v>
      </c>
      <c r="AD137" s="44">
        <f>Tabell2[[#This Row],[ReisetidOslo-I]]*Vekter!$C$3</f>
        <v>6.1593058970131445</v>
      </c>
      <c r="AE137" s="44">
        <f>Tabell2[[#This Row],[Beftettotal-I]]*Vekter!$E$4</f>
        <v>0.13124864605812264</v>
      </c>
      <c r="AF137" s="44">
        <f>Tabell2[[#This Row],[Befvekst10-I]]*Vekter!$F$3</f>
        <v>1.1293558994638973</v>
      </c>
      <c r="AG137" s="44">
        <f>Tabell2[[#This Row],[Kvinneandel-I]]*Vekter!$G$3</f>
        <v>1.8147940358442405</v>
      </c>
      <c r="AH137" s="44">
        <f>Tabell2[[#This Row],[Eldreandel-I]]*Vekter!$H$3</f>
        <v>1.1719000633862795</v>
      </c>
      <c r="AI137" s="44">
        <f>Tabell2[[#This Row],[Sysselsettingsvekst10-I]]*Vekter!$I$3</f>
        <v>0.89715420758493858</v>
      </c>
      <c r="AJ137" s="44">
        <f>Tabell2[[#This Row],[Yrkesaktivandel-I]]*Vekter!$K$3</f>
        <v>2.673504289494089</v>
      </c>
      <c r="AK137" s="44">
        <f>Tabell2[[#This Row],[Inntekt-I]]*Vekter!$M$3</f>
        <v>4.154431756389342</v>
      </c>
      <c r="AL13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22.131694795234054</v>
      </c>
    </row>
    <row r="138" spans="1:38" s="38" customFormat="1" ht="12.75">
      <c r="A138" s="42" t="s">
        <v>136</v>
      </c>
      <c r="B138" s="38">
        <f>'Rådata-K'!Q138</f>
        <v>5</v>
      </c>
      <c r="C138" s="44">
        <f>'Rådata-K'!P138</f>
        <v>111.31559514</v>
      </c>
      <c r="D138" s="41">
        <f>'Rådata-K'!R138</f>
        <v>2.0241073459176708</v>
      </c>
      <c r="E138" s="41">
        <f>'Rådata-K'!S138</f>
        <v>-2.0782396088019572E-2</v>
      </c>
      <c r="F138" s="41">
        <f>'Rådata-K'!T138</f>
        <v>9.8626716604244699E-2</v>
      </c>
      <c r="G138" s="41">
        <f>'Rådata-K'!U138</f>
        <v>0.19850187265917604</v>
      </c>
      <c r="H138" s="41">
        <f>'Rådata-K'!V138</f>
        <v>1.7482517482517501E-2</v>
      </c>
      <c r="I138" s="41">
        <f>'Rådata-K'!W138</f>
        <v>0.92108229988726043</v>
      </c>
      <c r="J138" s="41">
        <f>'Rådata-K'!O138</f>
        <v>313100</v>
      </c>
      <c r="K138" s="41">
        <f>Tabell2[[#This Row],[NIBR11]]</f>
        <v>5</v>
      </c>
      <c r="L138" s="41">
        <f>IF(Tabell2[[#This Row],[ReisetidOslo]]&lt;=C$433,C$433,IF(Tabell2[[#This Row],[ReisetidOslo]]&gt;=C$434,C$434,Tabell2[[#This Row],[ReisetidOslo]]))</f>
        <v>111.31559514</v>
      </c>
      <c r="M138" s="41">
        <f>IF(Tabell2[[#This Row],[Beftettotal]]&lt;=D$433,D$433,IF(Tabell2[[#This Row],[Beftettotal]]&gt;=D$434,D$434,Tabell2[[#This Row],[Beftettotal]]))</f>
        <v>2.0241073459176708</v>
      </c>
      <c r="N138" s="41">
        <f>IF(Tabell2[[#This Row],[Befvekst10]]&lt;=E$433,E$433,IF(Tabell2[[#This Row],[Befvekst10]]&gt;=E$434,E$434,Tabell2[[#This Row],[Befvekst10]]))</f>
        <v>-2.0782396088019572E-2</v>
      </c>
      <c r="O138" s="41">
        <f>IF(Tabell2[[#This Row],[Kvinneandel]]&lt;=F$433,F$433,IF(Tabell2[[#This Row],[Kvinneandel]]&gt;=F$434,F$434,Tabell2[[#This Row],[Kvinneandel]]))</f>
        <v>9.8626716604244699E-2</v>
      </c>
      <c r="P138" s="41">
        <f>IF(Tabell2[[#This Row],[Eldreandel]]&lt;=G$433,G$433,IF(Tabell2[[#This Row],[Eldreandel]]&gt;=G$434,G$434,Tabell2[[#This Row],[Eldreandel]]))</f>
        <v>0.19850187265917604</v>
      </c>
      <c r="Q138" s="41">
        <f>IF(Tabell2[[#This Row],[Sysselsettingsvekst10]]&lt;=H$433,H$433,IF(Tabell2[[#This Row],[Sysselsettingsvekst10]]&gt;=H$434,H$434,Tabell2[[#This Row],[Sysselsettingsvekst10]]))</f>
        <v>1.7482517482517501E-2</v>
      </c>
      <c r="R138" s="41">
        <f>IF(Tabell2[[#This Row],[Yrkesaktivandel]]&lt;=I$433,I$433,IF(Tabell2[[#This Row],[Yrkesaktivandel]]&gt;=I$434,I$434,Tabell2[[#This Row],[Yrkesaktivandel]]))</f>
        <v>0.92108229988726043</v>
      </c>
      <c r="S138" s="41">
        <f>IF(Tabell2[[#This Row],[Inntekt]]&lt;=J$433,J$433,IF(Tabell2[[#This Row],[Inntekt]]&gt;=J$434,J$434,Tabell2[[#This Row],[Inntekt]]))</f>
        <v>313100</v>
      </c>
      <c r="T138" s="44">
        <f>IF(Tabell2[[#This Row],[NIBR11-T]]&lt;=K$436,100,IF(Tabell2[[#This Row],[NIBR11-T]]&gt;=K$435,0,100*(K$435-Tabell2[[#This Row],[NIBR11-T]])/K$438))</f>
        <v>60</v>
      </c>
      <c r="U138" s="44">
        <f>(L$435-Tabell2[[#This Row],[ReisetidOslo-T]])*100/L$438</f>
        <v>74.468263571385009</v>
      </c>
      <c r="V138" s="44">
        <f>100-(M$435-Tabell2[[#This Row],[Beftettotal-T]])*100/M$438</f>
        <v>0.57532992387787374</v>
      </c>
      <c r="W138" s="44">
        <f>100-(N$435-Tabell2[[#This Row],[Befvekst10-T]])*100/N$438</f>
        <v>29.432022281846258</v>
      </c>
      <c r="X138" s="44">
        <f>100-(O$435-Tabell2[[#This Row],[Kvinneandel-T]])*100/O$438</f>
        <v>18.905957923858836</v>
      </c>
      <c r="Y138" s="44">
        <f>(P$435-Tabell2[[#This Row],[Eldreandel-T]])*100/P$438</f>
        <v>0.52027592081278018</v>
      </c>
      <c r="Z138" s="44">
        <f>100-(Q$435-Tabell2[[#This Row],[Sysselsettingsvekst10-T]])*100/Q$438</f>
        <v>32.239361142553591</v>
      </c>
      <c r="AA138" s="44">
        <f>100-(R$435-Tabell2[[#This Row],[Yrkesaktivandel-T]])*100/R$438</f>
        <v>70.684853765635154</v>
      </c>
      <c r="AB138" s="44">
        <f>100-(S$435-Tabell2[[#This Row],[Inntekt-T]])*100/S$438</f>
        <v>28.493746601413818</v>
      </c>
      <c r="AC138" s="44">
        <f>Tabell2[[#This Row],[NIBR11-I]]*Vekter!$B$3</f>
        <v>12</v>
      </c>
      <c r="AD138" s="44">
        <f>Tabell2[[#This Row],[ReisetidOslo-I]]*Vekter!$C$3</f>
        <v>7.4468263571385016</v>
      </c>
      <c r="AE138" s="44">
        <f>Tabell2[[#This Row],[Beftettotal-I]]*Vekter!$E$4</f>
        <v>5.7532992387787377E-2</v>
      </c>
      <c r="AF138" s="44">
        <f>Tabell2[[#This Row],[Befvekst10-I]]*Vekter!$F$3</f>
        <v>5.8864044563692524</v>
      </c>
      <c r="AG138" s="44">
        <f>Tabell2[[#This Row],[Kvinneandel-I]]*Vekter!$G$3</f>
        <v>0.9452978961929418</v>
      </c>
      <c r="AH138" s="44">
        <f>Tabell2[[#This Row],[Eldreandel-I]]*Vekter!$H$3</f>
        <v>2.6013796040639012E-2</v>
      </c>
      <c r="AI138" s="44">
        <f>Tabell2[[#This Row],[Sysselsettingsvekst10-I]]*Vekter!$I$3</f>
        <v>3.2239361142553591</v>
      </c>
      <c r="AJ138" s="44">
        <f>Tabell2[[#This Row],[Yrkesaktivandel-I]]*Vekter!$K$3</f>
        <v>7.0684853765635154</v>
      </c>
      <c r="AK138" s="44">
        <f>Tabell2[[#This Row],[Inntekt-I]]*Vekter!$M$3</f>
        <v>2.8493746601413821</v>
      </c>
      <c r="AL13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39.503871649089376</v>
      </c>
    </row>
    <row r="139" spans="1:38" s="38" customFormat="1" ht="12.75">
      <c r="A139" s="42" t="s">
        <v>137</v>
      </c>
      <c r="B139" s="38">
        <f>'Rådata-K'!Q139</f>
        <v>10</v>
      </c>
      <c r="C139" s="44">
        <f>'Rådata-K'!P139</f>
        <v>138.636077443</v>
      </c>
      <c r="D139" s="41">
        <f>'Rådata-K'!R139</f>
        <v>4.1377670880411683</v>
      </c>
      <c r="E139" s="41">
        <f>'Rådata-K'!S139</f>
        <v>8.1771720613288412E-3</v>
      </c>
      <c r="F139" s="41">
        <f>'Rådata-K'!T139</f>
        <v>0.10679283541737074</v>
      </c>
      <c r="G139" s="41">
        <f>'Rådata-K'!U139</f>
        <v>0.17641094964515039</v>
      </c>
      <c r="H139" s="41">
        <f>'Rådata-K'!V139</f>
        <v>0.10575539568345316</v>
      </c>
      <c r="I139" s="41">
        <f>'Rådata-K'!W139</f>
        <v>0.8967359050445104</v>
      </c>
      <c r="J139" s="41">
        <f>'Rådata-K'!O139</f>
        <v>314900</v>
      </c>
      <c r="K139" s="41">
        <f>Tabell2[[#This Row],[NIBR11]]</f>
        <v>10</v>
      </c>
      <c r="L139" s="41">
        <f>IF(Tabell2[[#This Row],[ReisetidOslo]]&lt;=C$433,C$433,IF(Tabell2[[#This Row],[ReisetidOslo]]&gt;=C$434,C$434,Tabell2[[#This Row],[ReisetidOslo]]))</f>
        <v>138.636077443</v>
      </c>
      <c r="M139" s="41">
        <f>IF(Tabell2[[#This Row],[Beftettotal]]&lt;=D$433,D$433,IF(Tabell2[[#This Row],[Beftettotal]]&gt;=D$434,D$434,Tabell2[[#This Row],[Beftettotal]]))</f>
        <v>4.1377670880411683</v>
      </c>
      <c r="N139" s="41">
        <f>IF(Tabell2[[#This Row],[Befvekst10]]&lt;=E$433,E$433,IF(Tabell2[[#This Row],[Befvekst10]]&gt;=E$434,E$434,Tabell2[[#This Row],[Befvekst10]]))</f>
        <v>8.1771720613288412E-3</v>
      </c>
      <c r="O139" s="41">
        <f>IF(Tabell2[[#This Row],[Kvinneandel]]&lt;=F$433,F$433,IF(Tabell2[[#This Row],[Kvinneandel]]&gt;=F$434,F$434,Tabell2[[#This Row],[Kvinneandel]]))</f>
        <v>0.10679283541737074</v>
      </c>
      <c r="P139" s="41">
        <f>IF(Tabell2[[#This Row],[Eldreandel]]&lt;=G$433,G$433,IF(Tabell2[[#This Row],[Eldreandel]]&gt;=G$434,G$434,Tabell2[[#This Row],[Eldreandel]]))</f>
        <v>0.17641094964515039</v>
      </c>
      <c r="Q139" s="41">
        <f>IF(Tabell2[[#This Row],[Sysselsettingsvekst10]]&lt;=H$433,H$433,IF(Tabell2[[#This Row],[Sysselsettingsvekst10]]&gt;=H$434,H$434,Tabell2[[#This Row],[Sysselsettingsvekst10]]))</f>
        <v>0.10575539568345316</v>
      </c>
      <c r="R139" s="41">
        <f>IF(Tabell2[[#This Row],[Yrkesaktivandel]]&lt;=I$433,I$433,IF(Tabell2[[#This Row],[Yrkesaktivandel]]&gt;=I$434,I$434,Tabell2[[#This Row],[Yrkesaktivandel]]))</f>
        <v>0.8967359050445104</v>
      </c>
      <c r="S139" s="41">
        <f>IF(Tabell2[[#This Row],[Inntekt]]&lt;=J$433,J$433,IF(Tabell2[[#This Row],[Inntekt]]&gt;=J$434,J$434,Tabell2[[#This Row],[Inntekt]]))</f>
        <v>314900</v>
      </c>
      <c r="T139" s="44">
        <f>IF(Tabell2[[#This Row],[NIBR11-T]]&lt;=K$436,100,IF(Tabell2[[#This Row],[NIBR11-T]]&gt;=K$435,0,100*(K$435-Tabell2[[#This Row],[NIBR11-T]])/K$438))</f>
        <v>10</v>
      </c>
      <c r="U139" s="44">
        <f>(L$435-Tabell2[[#This Row],[ReisetidOslo-T]])*100/L$438</f>
        <v>62.339319283316897</v>
      </c>
      <c r="V139" s="44">
        <f>100-(M$435-Tabell2[[#This Row],[Beftettotal-T]])*100/M$438</f>
        <v>2.3043179923310788</v>
      </c>
      <c r="W139" s="44">
        <f>100-(N$435-Tabell2[[#This Row],[Befvekst10-T]])*100/N$438</f>
        <v>41.413026469125711</v>
      </c>
      <c r="X139" s="44">
        <f>100-(O$435-Tabell2[[#This Row],[Kvinneandel-T]])*100/O$438</f>
        <v>41.252224539163947</v>
      </c>
      <c r="Y139" s="44">
        <f>(P$435-Tabell2[[#This Row],[Eldreandel-T]])*100/P$438</f>
        <v>26.530032621012595</v>
      </c>
      <c r="Z139" s="44">
        <f>100-(Q$435-Tabell2[[#This Row],[Sysselsettingsvekst10-T]])*100/Q$438</f>
        <v>58.193094963437453</v>
      </c>
      <c r="AA139" s="44">
        <f>100-(R$435-Tabell2[[#This Row],[Yrkesaktivandel-T]])*100/R$438</f>
        <v>52.503413840434611</v>
      </c>
      <c r="AB139" s="44">
        <f>100-(S$435-Tabell2[[#This Row],[Inntekt-T]])*100/S$438</f>
        <v>30.940728656878733</v>
      </c>
      <c r="AC139" s="44">
        <f>Tabell2[[#This Row],[NIBR11-I]]*Vekter!$B$3</f>
        <v>2</v>
      </c>
      <c r="AD139" s="44">
        <f>Tabell2[[#This Row],[ReisetidOslo-I]]*Vekter!$C$3</f>
        <v>6.2339319283316899</v>
      </c>
      <c r="AE139" s="44">
        <f>Tabell2[[#This Row],[Beftettotal-I]]*Vekter!$E$4</f>
        <v>0.23043179923310789</v>
      </c>
      <c r="AF139" s="44">
        <f>Tabell2[[#This Row],[Befvekst10-I]]*Vekter!$F$3</f>
        <v>8.2826052938251422</v>
      </c>
      <c r="AG139" s="44">
        <f>Tabell2[[#This Row],[Kvinneandel-I]]*Vekter!$G$3</f>
        <v>2.0626112269581975</v>
      </c>
      <c r="AH139" s="44">
        <f>Tabell2[[#This Row],[Eldreandel-I]]*Vekter!$H$3</f>
        <v>1.3265016310506299</v>
      </c>
      <c r="AI139" s="44">
        <f>Tabell2[[#This Row],[Sysselsettingsvekst10-I]]*Vekter!$I$3</f>
        <v>5.8193094963437453</v>
      </c>
      <c r="AJ139" s="44">
        <f>Tabell2[[#This Row],[Yrkesaktivandel-I]]*Vekter!$K$3</f>
        <v>5.2503413840434616</v>
      </c>
      <c r="AK139" s="44">
        <f>Tabell2[[#This Row],[Inntekt-I]]*Vekter!$M$3</f>
        <v>3.0940728656878735</v>
      </c>
      <c r="AL13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34.299805625473844</v>
      </c>
    </row>
    <row r="140" spans="1:38" s="38" customFormat="1" ht="12.75">
      <c r="A140" s="42" t="s">
        <v>138</v>
      </c>
      <c r="B140" s="38">
        <f>'Rådata-K'!Q140</f>
        <v>10</v>
      </c>
      <c r="C140" s="44">
        <f>'Rådata-K'!P140</f>
        <v>151.859265537</v>
      </c>
      <c r="D140" s="41">
        <f>'Rådata-K'!R140</f>
        <v>3.5259577110916633</v>
      </c>
      <c r="E140" s="41">
        <f>'Rådata-K'!S140</f>
        <v>-6.5119760479041888E-2</v>
      </c>
      <c r="F140" s="41">
        <f>'Rådata-K'!T140</f>
        <v>9.2874299439551639E-2</v>
      </c>
      <c r="G140" s="41">
        <f>'Rådata-K'!U140</f>
        <v>0.18094475580464373</v>
      </c>
      <c r="H140" s="41">
        <f>'Rådata-K'!V140</f>
        <v>7.1942446043165464E-2</v>
      </c>
      <c r="I140" s="41">
        <f>'Rådata-K'!W140</f>
        <v>0.92264808362369333</v>
      </c>
      <c r="J140" s="41">
        <f>'Rådata-K'!O140</f>
        <v>309200</v>
      </c>
      <c r="K140" s="41">
        <f>Tabell2[[#This Row],[NIBR11]]</f>
        <v>10</v>
      </c>
      <c r="L140" s="41">
        <f>IF(Tabell2[[#This Row],[ReisetidOslo]]&lt;=C$433,C$433,IF(Tabell2[[#This Row],[ReisetidOslo]]&gt;=C$434,C$434,Tabell2[[#This Row],[ReisetidOslo]]))</f>
        <v>151.859265537</v>
      </c>
      <c r="M140" s="41">
        <f>IF(Tabell2[[#This Row],[Beftettotal]]&lt;=D$433,D$433,IF(Tabell2[[#This Row],[Beftettotal]]&gt;=D$434,D$434,Tabell2[[#This Row],[Beftettotal]]))</f>
        <v>3.5259577110916633</v>
      </c>
      <c r="N140" s="41">
        <f>IF(Tabell2[[#This Row],[Befvekst10]]&lt;=E$433,E$433,IF(Tabell2[[#This Row],[Befvekst10]]&gt;=E$434,E$434,Tabell2[[#This Row],[Befvekst10]]))</f>
        <v>-6.5119760479041888E-2</v>
      </c>
      <c r="O140" s="41">
        <f>IF(Tabell2[[#This Row],[Kvinneandel]]&lt;=F$433,F$433,IF(Tabell2[[#This Row],[Kvinneandel]]&gt;=F$434,F$434,Tabell2[[#This Row],[Kvinneandel]]))</f>
        <v>9.2874299439551639E-2</v>
      </c>
      <c r="P140" s="41">
        <f>IF(Tabell2[[#This Row],[Eldreandel]]&lt;=G$433,G$433,IF(Tabell2[[#This Row],[Eldreandel]]&gt;=G$434,G$434,Tabell2[[#This Row],[Eldreandel]]))</f>
        <v>0.18094475580464373</v>
      </c>
      <c r="Q140" s="41">
        <f>IF(Tabell2[[#This Row],[Sysselsettingsvekst10]]&lt;=H$433,H$433,IF(Tabell2[[#This Row],[Sysselsettingsvekst10]]&gt;=H$434,H$434,Tabell2[[#This Row],[Sysselsettingsvekst10]]))</f>
        <v>7.1942446043165464E-2</v>
      </c>
      <c r="R140" s="41">
        <f>IF(Tabell2[[#This Row],[Yrkesaktivandel]]&lt;=I$433,I$433,IF(Tabell2[[#This Row],[Yrkesaktivandel]]&gt;=I$434,I$434,Tabell2[[#This Row],[Yrkesaktivandel]]))</f>
        <v>0.92264808362369333</v>
      </c>
      <c r="S140" s="41">
        <f>IF(Tabell2[[#This Row],[Inntekt]]&lt;=J$433,J$433,IF(Tabell2[[#This Row],[Inntekt]]&gt;=J$434,J$434,Tabell2[[#This Row],[Inntekt]]))</f>
        <v>309200</v>
      </c>
      <c r="T140" s="44">
        <f>IF(Tabell2[[#This Row],[NIBR11-T]]&lt;=K$436,100,IF(Tabell2[[#This Row],[NIBR11-T]]&gt;=K$435,0,100*(K$435-Tabell2[[#This Row],[NIBR11-T]])/K$438))</f>
        <v>10</v>
      </c>
      <c r="U140" s="44">
        <f>(L$435-Tabell2[[#This Row],[ReisetidOslo-T]])*100/L$438</f>
        <v>56.468877102830199</v>
      </c>
      <c r="V140" s="44">
        <f>100-(M$435-Tabell2[[#This Row],[Beftettotal-T]])*100/M$438</f>
        <v>1.8038537540091824</v>
      </c>
      <c r="W140" s="44">
        <f>100-(N$435-Tabell2[[#This Row],[Befvekst10-T]])*100/N$438</f>
        <v>11.088995007327796</v>
      </c>
      <c r="X140" s="44">
        <f>100-(O$435-Tabell2[[#This Row],[Kvinneandel-T]])*100/O$438</f>
        <v>3.1646920194161936</v>
      </c>
      <c r="Y140" s="44">
        <f>(P$435-Tabell2[[#This Row],[Eldreandel-T]])*100/P$438</f>
        <v>21.191948962877579</v>
      </c>
      <c r="Z140" s="44">
        <f>100-(Q$435-Tabell2[[#This Row],[Sysselsettingsvekst10-T]])*100/Q$438</f>
        <v>48.251510271190774</v>
      </c>
      <c r="AA140" s="44">
        <f>100-(R$435-Tabell2[[#This Row],[Yrkesaktivandel-T]])*100/R$438</f>
        <v>71.854152264393718</v>
      </c>
      <c r="AB140" s="44">
        <f>100-(S$435-Tabell2[[#This Row],[Inntekt-T]])*100/S$438</f>
        <v>23.191952147906477</v>
      </c>
      <c r="AC140" s="44">
        <f>Tabell2[[#This Row],[NIBR11-I]]*Vekter!$B$3</f>
        <v>2</v>
      </c>
      <c r="AD140" s="44">
        <f>Tabell2[[#This Row],[ReisetidOslo-I]]*Vekter!$C$3</f>
        <v>5.6468877102830204</v>
      </c>
      <c r="AE140" s="44">
        <f>Tabell2[[#This Row],[Beftettotal-I]]*Vekter!$E$4</f>
        <v>0.18038537540091826</v>
      </c>
      <c r="AF140" s="44">
        <f>Tabell2[[#This Row],[Befvekst10-I]]*Vekter!$F$3</f>
        <v>2.2177990014655591</v>
      </c>
      <c r="AG140" s="44">
        <f>Tabell2[[#This Row],[Kvinneandel-I]]*Vekter!$G$3</f>
        <v>0.15823460097080969</v>
      </c>
      <c r="AH140" s="44">
        <f>Tabell2[[#This Row],[Eldreandel-I]]*Vekter!$H$3</f>
        <v>1.059597448143879</v>
      </c>
      <c r="AI140" s="44">
        <f>Tabell2[[#This Row],[Sysselsettingsvekst10-I]]*Vekter!$I$3</f>
        <v>4.8251510271190776</v>
      </c>
      <c r="AJ140" s="44">
        <f>Tabell2[[#This Row],[Yrkesaktivandel-I]]*Vekter!$K$3</f>
        <v>7.185415226439372</v>
      </c>
      <c r="AK140" s="44">
        <f>Tabell2[[#This Row],[Inntekt-I]]*Vekter!$M$3</f>
        <v>2.3191952147906476</v>
      </c>
      <c r="AL14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25.592665604613281</v>
      </c>
    </row>
    <row r="141" spans="1:38" s="38" customFormat="1" ht="12.75">
      <c r="A141" s="42" t="s">
        <v>139</v>
      </c>
      <c r="B141" s="38">
        <f>'Rådata-K'!Q141</f>
        <v>11</v>
      </c>
      <c r="C141" s="44">
        <f>'Rådata-K'!P141</f>
        <v>178.67316270800001</v>
      </c>
      <c r="D141" s="41">
        <f>'Rådata-K'!R141</f>
        <v>1.5797962836120993</v>
      </c>
      <c r="E141" s="41">
        <f>'Rådata-K'!S141</f>
        <v>-7.6335877862595547E-3</v>
      </c>
      <c r="F141" s="41">
        <f>'Rådata-K'!T141</f>
        <v>9.9300699300699305E-2</v>
      </c>
      <c r="G141" s="41">
        <f>'Rådata-K'!U141</f>
        <v>0.15244755244755245</v>
      </c>
      <c r="H141" s="41">
        <f>'Rådata-K'!V141</f>
        <v>0.23809523809523814</v>
      </c>
      <c r="I141" s="41">
        <f>'Rådata-K'!W141</f>
        <v>0.92418772563176899</v>
      </c>
      <c r="J141" s="41">
        <f>'Rådata-K'!O141</f>
        <v>313400</v>
      </c>
      <c r="K141" s="41">
        <f>Tabell2[[#This Row],[NIBR11]]</f>
        <v>11</v>
      </c>
      <c r="L141" s="41">
        <f>IF(Tabell2[[#This Row],[ReisetidOslo]]&lt;=C$433,C$433,IF(Tabell2[[#This Row],[ReisetidOslo]]&gt;=C$434,C$434,Tabell2[[#This Row],[ReisetidOslo]]))</f>
        <v>178.67316270800001</v>
      </c>
      <c r="M141" s="41">
        <f>IF(Tabell2[[#This Row],[Beftettotal]]&lt;=D$433,D$433,IF(Tabell2[[#This Row],[Beftettotal]]&gt;=D$434,D$434,Tabell2[[#This Row],[Beftettotal]]))</f>
        <v>1.5797962836120993</v>
      </c>
      <c r="N141" s="41">
        <f>IF(Tabell2[[#This Row],[Befvekst10]]&lt;=E$433,E$433,IF(Tabell2[[#This Row],[Befvekst10]]&gt;=E$434,E$434,Tabell2[[#This Row],[Befvekst10]]))</f>
        <v>-7.6335877862595547E-3</v>
      </c>
      <c r="O141" s="41">
        <f>IF(Tabell2[[#This Row],[Kvinneandel]]&lt;=F$433,F$433,IF(Tabell2[[#This Row],[Kvinneandel]]&gt;=F$434,F$434,Tabell2[[#This Row],[Kvinneandel]]))</f>
        <v>9.9300699300699305E-2</v>
      </c>
      <c r="P141" s="41">
        <f>IF(Tabell2[[#This Row],[Eldreandel]]&lt;=G$433,G$433,IF(Tabell2[[#This Row],[Eldreandel]]&gt;=G$434,G$434,Tabell2[[#This Row],[Eldreandel]]))</f>
        <v>0.15244755244755245</v>
      </c>
      <c r="Q141" s="41">
        <f>IF(Tabell2[[#This Row],[Sysselsettingsvekst10]]&lt;=H$433,H$433,IF(Tabell2[[#This Row],[Sysselsettingsvekst10]]&gt;=H$434,H$434,Tabell2[[#This Row],[Sysselsettingsvekst10]]))</f>
        <v>0.23809523809523814</v>
      </c>
      <c r="R141" s="41">
        <f>IF(Tabell2[[#This Row],[Yrkesaktivandel]]&lt;=I$433,I$433,IF(Tabell2[[#This Row],[Yrkesaktivandel]]&gt;=I$434,I$434,Tabell2[[#This Row],[Yrkesaktivandel]]))</f>
        <v>0.92418772563176899</v>
      </c>
      <c r="S141" s="41">
        <f>IF(Tabell2[[#This Row],[Inntekt]]&lt;=J$433,J$433,IF(Tabell2[[#This Row],[Inntekt]]&gt;=J$434,J$434,Tabell2[[#This Row],[Inntekt]]))</f>
        <v>313400</v>
      </c>
      <c r="T141" s="44">
        <f>IF(Tabell2[[#This Row],[NIBR11-T]]&lt;=K$436,100,IF(Tabell2[[#This Row],[NIBR11-T]]&gt;=K$435,0,100*(K$435-Tabell2[[#This Row],[NIBR11-T]])/K$438))</f>
        <v>0</v>
      </c>
      <c r="U141" s="44">
        <f>(L$435-Tabell2[[#This Row],[ReisetidOslo-T]])*100/L$438</f>
        <v>44.564831583936332</v>
      </c>
      <c r="V141" s="44">
        <f>100-(M$435-Tabell2[[#This Row],[Beftettotal-T]])*100/M$438</f>
        <v>0.21188044802406125</v>
      </c>
      <c r="W141" s="44">
        <f>100-(N$435-Tabell2[[#This Row],[Befvekst10-T]])*100/N$438</f>
        <v>34.871879896734967</v>
      </c>
      <c r="X141" s="44">
        <f>100-(O$435-Tabell2[[#This Row],[Kvinneandel-T]])*100/O$438</f>
        <v>20.75028536676453</v>
      </c>
      <c r="Y141" s="44">
        <f>(P$435-Tabell2[[#This Row],[Eldreandel-T]])*100/P$438</f>
        <v>54.744432282993529</v>
      </c>
      <c r="Z141" s="44">
        <f>100-(Q$435-Tabell2[[#This Row],[Sysselsettingsvekst10-T]])*100/Q$438</f>
        <v>97.103268890640138</v>
      </c>
      <c r="AA141" s="44">
        <f>100-(R$435-Tabell2[[#This Row],[Yrkesaktivandel-T]])*100/R$438</f>
        <v>73.003928601175616</v>
      </c>
      <c r="AB141" s="44">
        <f>100-(S$435-Tabell2[[#This Row],[Inntekt-T]])*100/S$438</f>
        <v>28.901576943991302</v>
      </c>
      <c r="AC141" s="44">
        <f>Tabell2[[#This Row],[NIBR11-I]]*Vekter!$B$3</f>
        <v>0</v>
      </c>
      <c r="AD141" s="44">
        <f>Tabell2[[#This Row],[ReisetidOslo-I]]*Vekter!$C$3</f>
        <v>4.4564831583936337</v>
      </c>
      <c r="AE141" s="44">
        <f>Tabell2[[#This Row],[Beftettotal-I]]*Vekter!$E$4</f>
        <v>2.1188044802406127E-2</v>
      </c>
      <c r="AF141" s="44">
        <f>Tabell2[[#This Row],[Befvekst10-I]]*Vekter!$F$3</f>
        <v>6.9743759793469939</v>
      </c>
      <c r="AG141" s="44">
        <f>Tabell2[[#This Row],[Kvinneandel-I]]*Vekter!$G$3</f>
        <v>1.0375142683382266</v>
      </c>
      <c r="AH141" s="44">
        <f>Tabell2[[#This Row],[Eldreandel-I]]*Vekter!$H$3</f>
        <v>2.7372216141496768</v>
      </c>
      <c r="AI141" s="44">
        <f>Tabell2[[#This Row],[Sysselsettingsvekst10-I]]*Vekter!$I$3</f>
        <v>9.7103268890640138</v>
      </c>
      <c r="AJ141" s="44">
        <f>Tabell2[[#This Row],[Yrkesaktivandel-I]]*Vekter!$K$3</f>
        <v>7.3003928601175616</v>
      </c>
      <c r="AK141" s="44">
        <f>Tabell2[[#This Row],[Inntekt-I]]*Vekter!$M$3</f>
        <v>2.8901576943991305</v>
      </c>
      <c r="AL14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35.12766050861164</v>
      </c>
    </row>
    <row r="142" spans="1:38" s="38" customFormat="1" ht="12.75">
      <c r="A142" s="42" t="s">
        <v>140</v>
      </c>
      <c r="B142" s="38">
        <f>'Rådata-K'!Q142</f>
        <v>11</v>
      </c>
      <c r="C142" s="44">
        <f>'Rådata-K'!P142</f>
        <v>198.182136974</v>
      </c>
      <c r="D142" s="41">
        <f>'Rådata-K'!R142</f>
        <v>1.0424882280823684</v>
      </c>
      <c r="E142" s="41">
        <f>'Rådata-K'!S142</f>
        <v>1.5003750937734317E-3</v>
      </c>
      <c r="F142" s="41">
        <f>'Rådata-K'!T142</f>
        <v>9.8876404494382023E-2</v>
      </c>
      <c r="G142" s="41">
        <f>'Rådata-K'!U142</f>
        <v>0.15880149812734082</v>
      </c>
      <c r="H142" s="41">
        <f>'Rådata-K'!V142</f>
        <v>-1.8726591760299671E-3</v>
      </c>
      <c r="I142" s="41">
        <f>'Rådata-K'!W142</f>
        <v>0.95399188092016241</v>
      </c>
      <c r="J142" s="41">
        <f>'Rådata-K'!O142</f>
        <v>302900</v>
      </c>
      <c r="K142" s="41">
        <f>Tabell2[[#This Row],[NIBR11]]</f>
        <v>11</v>
      </c>
      <c r="L142" s="41">
        <f>IF(Tabell2[[#This Row],[ReisetidOslo]]&lt;=C$433,C$433,IF(Tabell2[[#This Row],[ReisetidOslo]]&gt;=C$434,C$434,Tabell2[[#This Row],[ReisetidOslo]]))</f>
        <v>198.182136974</v>
      </c>
      <c r="M142" s="41">
        <f>IF(Tabell2[[#This Row],[Beftettotal]]&lt;=D$433,D$433,IF(Tabell2[[#This Row],[Beftettotal]]&gt;=D$434,D$434,Tabell2[[#This Row],[Beftettotal]]))</f>
        <v>1.3207758882127238</v>
      </c>
      <c r="N142" s="41">
        <f>IF(Tabell2[[#This Row],[Befvekst10]]&lt;=E$433,E$433,IF(Tabell2[[#This Row],[Befvekst10]]&gt;=E$434,E$434,Tabell2[[#This Row],[Befvekst10]]))</f>
        <v>1.5003750937734317E-3</v>
      </c>
      <c r="O142" s="41">
        <f>IF(Tabell2[[#This Row],[Kvinneandel]]&lt;=F$433,F$433,IF(Tabell2[[#This Row],[Kvinneandel]]&gt;=F$434,F$434,Tabell2[[#This Row],[Kvinneandel]]))</f>
        <v>9.8876404494382023E-2</v>
      </c>
      <c r="P142" s="41">
        <f>IF(Tabell2[[#This Row],[Eldreandel]]&lt;=G$433,G$433,IF(Tabell2[[#This Row],[Eldreandel]]&gt;=G$434,G$434,Tabell2[[#This Row],[Eldreandel]]))</f>
        <v>0.15880149812734082</v>
      </c>
      <c r="Q142" s="41">
        <f>IF(Tabell2[[#This Row],[Sysselsettingsvekst10]]&lt;=H$433,H$433,IF(Tabell2[[#This Row],[Sysselsettingsvekst10]]&gt;=H$434,H$434,Tabell2[[#This Row],[Sysselsettingsvekst10]]))</f>
        <v>-1.8726591760299671E-3</v>
      </c>
      <c r="R142" s="41">
        <f>IF(Tabell2[[#This Row],[Yrkesaktivandel]]&lt;=I$433,I$433,IF(Tabell2[[#This Row],[Yrkesaktivandel]]&gt;=I$434,I$434,Tabell2[[#This Row],[Yrkesaktivandel]]))</f>
        <v>0.95399188092016241</v>
      </c>
      <c r="S142" s="41">
        <f>IF(Tabell2[[#This Row],[Inntekt]]&lt;=J$433,J$433,IF(Tabell2[[#This Row],[Inntekt]]&gt;=J$434,J$434,Tabell2[[#This Row],[Inntekt]]))</f>
        <v>302900</v>
      </c>
      <c r="T142" s="44">
        <f>IF(Tabell2[[#This Row],[NIBR11-T]]&lt;=K$436,100,IF(Tabell2[[#This Row],[NIBR11-T]]&gt;=K$435,0,100*(K$435-Tabell2[[#This Row],[NIBR11-T]])/K$438))</f>
        <v>0</v>
      </c>
      <c r="U142" s="44">
        <f>(L$435-Tabell2[[#This Row],[ReisetidOslo-T]])*100/L$438</f>
        <v>35.903810912142212</v>
      </c>
      <c r="V142" s="44">
        <f>100-(M$435-Tabell2[[#This Row],[Beftettotal-T]])*100/M$438</f>
        <v>0</v>
      </c>
      <c r="W142" s="44">
        <f>100-(N$435-Tabell2[[#This Row],[Befvekst10-T]])*100/N$438</f>
        <v>38.650736230080973</v>
      </c>
      <c r="X142" s="44">
        <f>100-(O$435-Tabell2[[#This Row],[Kvinneandel-T]])*100/O$438</f>
        <v>19.589219126800572</v>
      </c>
      <c r="Y142" s="44">
        <f>(P$435-Tabell2[[#This Row],[Eldreandel-T]])*100/P$438</f>
        <v>47.263324268056643</v>
      </c>
      <c r="Z142" s="44">
        <f>100-(Q$435-Tabell2[[#This Row],[Sysselsettingsvekst10-T]])*100/Q$438</f>
        <v>26.548608634080381</v>
      </c>
      <c r="AA142" s="44">
        <f>100-(R$435-Tabell2[[#This Row],[Yrkesaktivandel-T]])*100/R$438</f>
        <v>95.261123656017077</v>
      </c>
      <c r="AB142" s="44">
        <f>100-(S$435-Tabell2[[#This Row],[Inntekt-T]])*100/S$438</f>
        <v>14.627514953779226</v>
      </c>
      <c r="AC142" s="44">
        <f>Tabell2[[#This Row],[NIBR11-I]]*Vekter!$B$3</f>
        <v>0</v>
      </c>
      <c r="AD142" s="44">
        <f>Tabell2[[#This Row],[ReisetidOslo-I]]*Vekter!$C$3</f>
        <v>3.5903810912142213</v>
      </c>
      <c r="AE142" s="44">
        <f>Tabell2[[#This Row],[Beftettotal-I]]*Vekter!$E$4</f>
        <v>0</v>
      </c>
      <c r="AF142" s="44">
        <f>Tabell2[[#This Row],[Befvekst10-I]]*Vekter!$F$3</f>
        <v>7.7301472460161946</v>
      </c>
      <c r="AG142" s="44">
        <f>Tabell2[[#This Row],[Kvinneandel-I]]*Vekter!$G$3</f>
        <v>0.97946095634002861</v>
      </c>
      <c r="AH142" s="44">
        <f>Tabell2[[#This Row],[Eldreandel-I]]*Vekter!$H$3</f>
        <v>2.3631662134028324</v>
      </c>
      <c r="AI142" s="44">
        <f>Tabell2[[#This Row],[Sysselsettingsvekst10-I]]*Vekter!$I$3</f>
        <v>2.6548608634080382</v>
      </c>
      <c r="AJ142" s="44">
        <f>Tabell2[[#This Row],[Yrkesaktivandel-I]]*Vekter!$K$3</f>
        <v>9.5261123656017084</v>
      </c>
      <c r="AK142" s="44">
        <f>Tabell2[[#This Row],[Inntekt-I]]*Vekter!$M$3</f>
        <v>1.4627514953779226</v>
      </c>
      <c r="AL14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28.306880231360946</v>
      </c>
    </row>
    <row r="143" spans="1:38" s="38" customFormat="1" ht="12.75">
      <c r="A143" s="42" t="s">
        <v>141</v>
      </c>
      <c r="B143" s="38">
        <f>'Rådata-K'!Q143</f>
        <v>10</v>
      </c>
      <c r="C143" s="44">
        <f>'Rådata-K'!P143</f>
        <v>179.84152778500001</v>
      </c>
      <c r="D143" s="41">
        <f>'Rådata-K'!R143</f>
        <v>2.3230537948967984</v>
      </c>
      <c r="E143" s="41">
        <f>'Rådata-K'!S143</f>
        <v>-8.4100921105326409E-2</v>
      </c>
      <c r="F143" s="41">
        <f>'Rådata-K'!T143</f>
        <v>9.0511587232181903E-2</v>
      </c>
      <c r="G143" s="41">
        <f>'Rådata-K'!U143</f>
        <v>0.18320944468736336</v>
      </c>
      <c r="H143" s="41">
        <f>'Rådata-K'!V143</f>
        <v>2.9097963142579175E-3</v>
      </c>
      <c r="I143" s="41">
        <f>'Rådata-K'!W143</f>
        <v>0.92289719626168221</v>
      </c>
      <c r="J143" s="41">
        <f>'Rådata-K'!O143</f>
        <v>326000</v>
      </c>
      <c r="K143" s="41">
        <f>Tabell2[[#This Row],[NIBR11]]</f>
        <v>10</v>
      </c>
      <c r="L143" s="41">
        <f>IF(Tabell2[[#This Row],[ReisetidOslo]]&lt;=C$433,C$433,IF(Tabell2[[#This Row],[ReisetidOslo]]&gt;=C$434,C$434,Tabell2[[#This Row],[ReisetidOslo]]))</f>
        <v>179.84152778500001</v>
      </c>
      <c r="M143" s="41">
        <f>IF(Tabell2[[#This Row],[Beftettotal]]&lt;=D$433,D$433,IF(Tabell2[[#This Row],[Beftettotal]]&gt;=D$434,D$434,Tabell2[[#This Row],[Beftettotal]]))</f>
        <v>2.3230537948967984</v>
      </c>
      <c r="N143" s="41">
        <f>IF(Tabell2[[#This Row],[Befvekst10]]&lt;=E$433,E$433,IF(Tabell2[[#This Row],[Befvekst10]]&gt;=E$434,E$434,Tabell2[[#This Row],[Befvekst10]]))</f>
        <v>-8.4100921105326409E-2</v>
      </c>
      <c r="O143" s="41">
        <f>IF(Tabell2[[#This Row],[Kvinneandel]]&lt;=F$433,F$433,IF(Tabell2[[#This Row],[Kvinneandel]]&gt;=F$434,F$434,Tabell2[[#This Row],[Kvinneandel]]))</f>
        <v>9.1717808671657367E-2</v>
      </c>
      <c r="P143" s="41">
        <f>IF(Tabell2[[#This Row],[Eldreandel]]&lt;=G$433,G$433,IF(Tabell2[[#This Row],[Eldreandel]]&gt;=G$434,G$434,Tabell2[[#This Row],[Eldreandel]]))</f>
        <v>0.18320944468736336</v>
      </c>
      <c r="Q143" s="41">
        <f>IF(Tabell2[[#This Row],[Sysselsettingsvekst10]]&lt;=H$433,H$433,IF(Tabell2[[#This Row],[Sysselsettingsvekst10]]&gt;=H$434,H$434,Tabell2[[#This Row],[Sysselsettingsvekst10]]))</f>
        <v>2.9097963142579175E-3</v>
      </c>
      <c r="R143" s="41">
        <f>IF(Tabell2[[#This Row],[Yrkesaktivandel]]&lt;=I$433,I$433,IF(Tabell2[[#This Row],[Yrkesaktivandel]]&gt;=I$434,I$434,Tabell2[[#This Row],[Yrkesaktivandel]]))</f>
        <v>0.92289719626168221</v>
      </c>
      <c r="S143" s="41">
        <f>IF(Tabell2[[#This Row],[Inntekt]]&lt;=J$433,J$433,IF(Tabell2[[#This Row],[Inntekt]]&gt;=J$434,J$434,Tabell2[[#This Row],[Inntekt]]))</f>
        <v>326000</v>
      </c>
      <c r="T143" s="44">
        <f>IF(Tabell2[[#This Row],[NIBR11-T]]&lt;=K$436,100,IF(Tabell2[[#This Row],[NIBR11-T]]&gt;=K$435,0,100*(K$435-Tabell2[[#This Row],[NIBR11-T]])/K$438))</f>
        <v>10</v>
      </c>
      <c r="U143" s="44">
        <f>(L$435-Tabell2[[#This Row],[ReisetidOslo-T]])*100/L$438</f>
        <v>44.046135216504297</v>
      </c>
      <c r="V143" s="44">
        <f>100-(M$435-Tabell2[[#This Row],[Beftettotal-T]])*100/M$438</f>
        <v>0.81987015572809696</v>
      </c>
      <c r="W143" s="44">
        <f>100-(N$435-Tabell2[[#This Row],[Befvekst10-T]])*100/N$438</f>
        <v>3.2362064653807181</v>
      </c>
      <c r="X143" s="44">
        <f>100-(O$435-Tabell2[[#This Row],[Kvinneandel-T]])*100/O$438</f>
        <v>0</v>
      </c>
      <c r="Y143" s="44">
        <f>(P$435-Tabell2[[#This Row],[Eldreandel-T]])*100/P$438</f>
        <v>18.525514119761858</v>
      </c>
      <c r="Z143" s="44">
        <f>100-(Q$435-Tabell2[[#This Row],[Sysselsettingsvekst10-T]])*100/Q$438</f>
        <v>27.9547322287208</v>
      </c>
      <c r="AA143" s="44">
        <f>100-(R$435-Tabell2[[#This Row],[Yrkesaktivandel-T]])*100/R$438</f>
        <v>72.040185001127711</v>
      </c>
      <c r="AB143" s="44">
        <f>100-(S$435-Tabell2[[#This Row],[Inntekt-T]])*100/S$438</f>
        <v>46.030451332245782</v>
      </c>
      <c r="AC143" s="44">
        <f>Tabell2[[#This Row],[NIBR11-I]]*Vekter!$B$3</f>
        <v>2</v>
      </c>
      <c r="AD143" s="44">
        <f>Tabell2[[#This Row],[ReisetidOslo-I]]*Vekter!$C$3</f>
        <v>4.4046135216504299</v>
      </c>
      <c r="AE143" s="44">
        <f>Tabell2[[#This Row],[Beftettotal-I]]*Vekter!$E$4</f>
        <v>8.1987015572809699E-2</v>
      </c>
      <c r="AF143" s="44">
        <f>Tabell2[[#This Row],[Befvekst10-I]]*Vekter!$F$3</f>
        <v>0.64724129307614364</v>
      </c>
      <c r="AG143" s="44">
        <f>Tabell2[[#This Row],[Kvinneandel-I]]*Vekter!$G$3</f>
        <v>0</v>
      </c>
      <c r="AH143" s="44">
        <f>Tabell2[[#This Row],[Eldreandel-I]]*Vekter!$H$3</f>
        <v>0.92627570598809295</v>
      </c>
      <c r="AI143" s="44">
        <f>Tabell2[[#This Row],[Sysselsettingsvekst10-I]]*Vekter!$I$3</f>
        <v>2.7954732228720802</v>
      </c>
      <c r="AJ143" s="44">
        <f>Tabell2[[#This Row],[Yrkesaktivandel-I]]*Vekter!$K$3</f>
        <v>7.2040185001127712</v>
      </c>
      <c r="AK143" s="44">
        <f>Tabell2[[#This Row],[Inntekt-I]]*Vekter!$M$3</f>
        <v>4.6030451332245788</v>
      </c>
      <c r="AL14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22.662654392496908</v>
      </c>
    </row>
    <row r="144" spans="1:38" s="38" customFormat="1" ht="12.75">
      <c r="A144" s="42" t="s">
        <v>142</v>
      </c>
      <c r="B144" s="38">
        <f>'Rådata-K'!Q144</f>
        <v>10</v>
      </c>
      <c r="C144" s="44">
        <f>'Rådata-K'!P144</f>
        <v>172.00671521300001</v>
      </c>
      <c r="D144" s="41">
        <f>'Rådata-K'!R144</f>
        <v>1.1913079595470455</v>
      </c>
      <c r="E144" s="41">
        <f>'Rådata-K'!S144</f>
        <v>-3.8961038961038974E-2</v>
      </c>
      <c r="F144" s="41">
        <f>'Rådata-K'!T144</f>
        <v>0.11189189189189189</v>
      </c>
      <c r="G144" s="41">
        <f>'Rådata-K'!U144</f>
        <v>0.15972972972972974</v>
      </c>
      <c r="H144" s="41">
        <f>'Rådata-K'!V144</f>
        <v>2.0058997050147465E-2</v>
      </c>
      <c r="I144" s="41">
        <f>'Rådata-K'!W144</f>
        <v>0.96817102137767219</v>
      </c>
      <c r="J144" s="41">
        <f>'Rådata-K'!O144</f>
        <v>329400</v>
      </c>
      <c r="K144" s="41">
        <f>Tabell2[[#This Row],[NIBR11]]</f>
        <v>10</v>
      </c>
      <c r="L144" s="41">
        <f>IF(Tabell2[[#This Row],[ReisetidOslo]]&lt;=C$433,C$433,IF(Tabell2[[#This Row],[ReisetidOslo]]&gt;=C$434,C$434,Tabell2[[#This Row],[ReisetidOslo]]))</f>
        <v>172.00671521300001</v>
      </c>
      <c r="M144" s="41">
        <f>IF(Tabell2[[#This Row],[Beftettotal]]&lt;=D$433,D$433,IF(Tabell2[[#This Row],[Beftettotal]]&gt;=D$434,D$434,Tabell2[[#This Row],[Beftettotal]]))</f>
        <v>1.3207758882127238</v>
      </c>
      <c r="N144" s="41">
        <f>IF(Tabell2[[#This Row],[Befvekst10]]&lt;=E$433,E$433,IF(Tabell2[[#This Row],[Befvekst10]]&gt;=E$434,E$434,Tabell2[[#This Row],[Befvekst10]]))</f>
        <v>-3.8961038961038974E-2</v>
      </c>
      <c r="O144" s="41">
        <f>IF(Tabell2[[#This Row],[Kvinneandel]]&lt;=F$433,F$433,IF(Tabell2[[#This Row],[Kvinneandel]]&gt;=F$434,F$434,Tabell2[[#This Row],[Kvinneandel]]))</f>
        <v>0.11189189189189189</v>
      </c>
      <c r="P144" s="41">
        <f>IF(Tabell2[[#This Row],[Eldreandel]]&lt;=G$433,G$433,IF(Tabell2[[#This Row],[Eldreandel]]&gt;=G$434,G$434,Tabell2[[#This Row],[Eldreandel]]))</f>
        <v>0.15972972972972974</v>
      </c>
      <c r="Q144" s="41">
        <f>IF(Tabell2[[#This Row],[Sysselsettingsvekst10]]&lt;=H$433,H$433,IF(Tabell2[[#This Row],[Sysselsettingsvekst10]]&gt;=H$434,H$434,Tabell2[[#This Row],[Sysselsettingsvekst10]]))</f>
        <v>2.0058997050147465E-2</v>
      </c>
      <c r="R144" s="41">
        <f>IF(Tabell2[[#This Row],[Yrkesaktivandel]]&lt;=I$433,I$433,IF(Tabell2[[#This Row],[Yrkesaktivandel]]&gt;=I$434,I$434,Tabell2[[#This Row],[Yrkesaktivandel]]))</f>
        <v>0.96033761343949164</v>
      </c>
      <c r="S144" s="41">
        <f>IF(Tabell2[[#This Row],[Inntekt]]&lt;=J$433,J$433,IF(Tabell2[[#This Row],[Inntekt]]&gt;=J$434,J$434,Tabell2[[#This Row],[Inntekt]]))</f>
        <v>329400</v>
      </c>
      <c r="T144" s="44">
        <f>IF(Tabell2[[#This Row],[NIBR11-T]]&lt;=K$436,100,IF(Tabell2[[#This Row],[NIBR11-T]]&gt;=K$435,0,100*(K$435-Tabell2[[#This Row],[NIBR11-T]])/K$438))</f>
        <v>10</v>
      </c>
      <c r="U144" s="44">
        <f>(L$435-Tabell2[[#This Row],[ReisetidOslo-T]])*100/L$438</f>
        <v>47.524404894884341</v>
      </c>
      <c r="V144" s="44">
        <f>100-(M$435-Tabell2[[#This Row],[Beftettotal-T]])*100/M$438</f>
        <v>0</v>
      </c>
      <c r="W144" s="44">
        <f>100-(N$435-Tabell2[[#This Row],[Befvekst10-T]])*100/N$438</f>
        <v>21.911247273825154</v>
      </c>
      <c r="X144" s="44">
        <f>100-(O$435-Tabell2[[#This Row],[Kvinneandel-T]])*100/O$438</f>
        <v>55.205594319064147</v>
      </c>
      <c r="Y144" s="44">
        <f>(P$435-Tabell2[[#This Row],[Eldreandel-T]])*100/P$438</f>
        <v>46.170428415572623</v>
      </c>
      <c r="Z144" s="44">
        <f>100-(Q$435-Tabell2[[#This Row],[Sysselsettingsvekst10-T]])*100/Q$438</f>
        <v>32.996890139636918</v>
      </c>
      <c r="AA144" s="44">
        <f>100-(R$435-Tabell2[[#This Row],[Yrkesaktivandel-T]])*100/R$438</f>
        <v>100</v>
      </c>
      <c r="AB144" s="44">
        <f>100-(S$435-Tabell2[[#This Row],[Inntekt-T]])*100/S$438</f>
        <v>50.652528548123982</v>
      </c>
      <c r="AC144" s="44">
        <f>Tabell2[[#This Row],[NIBR11-I]]*Vekter!$B$3</f>
        <v>2</v>
      </c>
      <c r="AD144" s="44">
        <f>Tabell2[[#This Row],[ReisetidOslo-I]]*Vekter!$C$3</f>
        <v>4.7524404894884347</v>
      </c>
      <c r="AE144" s="44">
        <f>Tabell2[[#This Row],[Beftettotal-I]]*Vekter!$E$4</f>
        <v>0</v>
      </c>
      <c r="AF144" s="44">
        <f>Tabell2[[#This Row],[Befvekst10-I]]*Vekter!$F$3</f>
        <v>4.3822494547650308</v>
      </c>
      <c r="AG144" s="44">
        <f>Tabell2[[#This Row],[Kvinneandel-I]]*Vekter!$G$3</f>
        <v>2.7602797159532075</v>
      </c>
      <c r="AH144" s="44">
        <f>Tabell2[[#This Row],[Eldreandel-I]]*Vekter!$H$3</f>
        <v>2.3085214207786313</v>
      </c>
      <c r="AI144" s="44">
        <f>Tabell2[[#This Row],[Sysselsettingsvekst10-I]]*Vekter!$I$3</f>
        <v>3.2996890139636919</v>
      </c>
      <c r="AJ144" s="44">
        <f>Tabell2[[#This Row],[Yrkesaktivandel-I]]*Vekter!$K$3</f>
        <v>10</v>
      </c>
      <c r="AK144" s="44">
        <f>Tabell2[[#This Row],[Inntekt-I]]*Vekter!$M$3</f>
        <v>5.0652528548123987</v>
      </c>
      <c r="AL14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34.568432949761394</v>
      </c>
    </row>
    <row r="145" spans="1:38" s="38" customFormat="1" ht="12.75">
      <c r="A145" s="42" t="s">
        <v>143</v>
      </c>
      <c r="B145" s="38">
        <f>'Rådata-K'!Q145</f>
        <v>5</v>
      </c>
      <c r="C145" s="44">
        <f>'Rådata-K'!P145</f>
        <v>170.76195718899999</v>
      </c>
      <c r="D145" s="41">
        <f>'Rådata-K'!R145</f>
        <v>35.744261955339105</v>
      </c>
      <c r="E145" s="41">
        <f>'Rådata-K'!S145</f>
        <v>-1.821545467482566E-2</v>
      </c>
      <c r="F145" s="41">
        <f>'Rådata-K'!T145</f>
        <v>0.1068270763878823</v>
      </c>
      <c r="G145" s="41">
        <f>'Rådata-K'!U145</f>
        <v>0.16306711117553269</v>
      </c>
      <c r="H145" s="41">
        <f>'Rådata-K'!V145</f>
        <v>-1.4781966001478186E-2</v>
      </c>
      <c r="I145" s="41">
        <f>'Rådata-K'!W145</f>
        <v>0.81179705073731567</v>
      </c>
      <c r="J145" s="41">
        <f>'Rådata-K'!O145</f>
        <v>307500</v>
      </c>
      <c r="K145" s="41">
        <f>Tabell2[[#This Row],[NIBR11]]</f>
        <v>5</v>
      </c>
      <c r="L145" s="41">
        <f>IF(Tabell2[[#This Row],[ReisetidOslo]]&lt;=C$433,C$433,IF(Tabell2[[#This Row],[ReisetidOslo]]&gt;=C$434,C$434,Tabell2[[#This Row],[ReisetidOslo]]))</f>
        <v>170.76195718899999</v>
      </c>
      <c r="M145" s="41">
        <f>IF(Tabell2[[#This Row],[Beftettotal]]&lt;=D$433,D$433,IF(Tabell2[[#This Row],[Beftettotal]]&gt;=D$434,D$434,Tabell2[[#This Row],[Beftettotal]]))</f>
        <v>35.744261955339105</v>
      </c>
      <c r="N145" s="41">
        <f>IF(Tabell2[[#This Row],[Befvekst10]]&lt;=E$433,E$433,IF(Tabell2[[#This Row],[Befvekst10]]&gt;=E$434,E$434,Tabell2[[#This Row],[Befvekst10]]))</f>
        <v>-1.821545467482566E-2</v>
      </c>
      <c r="O145" s="41">
        <f>IF(Tabell2[[#This Row],[Kvinneandel]]&lt;=F$433,F$433,IF(Tabell2[[#This Row],[Kvinneandel]]&gt;=F$434,F$434,Tabell2[[#This Row],[Kvinneandel]]))</f>
        <v>0.1068270763878823</v>
      </c>
      <c r="P145" s="41">
        <f>IF(Tabell2[[#This Row],[Eldreandel]]&lt;=G$433,G$433,IF(Tabell2[[#This Row],[Eldreandel]]&gt;=G$434,G$434,Tabell2[[#This Row],[Eldreandel]]))</f>
        <v>0.16306711117553269</v>
      </c>
      <c r="Q145" s="41">
        <f>IF(Tabell2[[#This Row],[Sysselsettingsvekst10]]&lt;=H$433,H$433,IF(Tabell2[[#This Row],[Sysselsettingsvekst10]]&gt;=H$434,H$434,Tabell2[[#This Row],[Sysselsettingsvekst10]]))</f>
        <v>-1.4781966001478186E-2</v>
      </c>
      <c r="R145" s="41">
        <f>IF(Tabell2[[#This Row],[Yrkesaktivandel]]&lt;=I$433,I$433,IF(Tabell2[[#This Row],[Yrkesaktivandel]]&gt;=I$434,I$434,Tabell2[[#This Row],[Yrkesaktivandel]]))</f>
        <v>0.82642965596795781</v>
      </c>
      <c r="S145" s="41">
        <f>IF(Tabell2[[#This Row],[Inntekt]]&lt;=J$433,J$433,IF(Tabell2[[#This Row],[Inntekt]]&gt;=J$434,J$434,Tabell2[[#This Row],[Inntekt]]))</f>
        <v>307500</v>
      </c>
      <c r="T145" s="44">
        <f>IF(Tabell2[[#This Row],[NIBR11-T]]&lt;=K$436,100,IF(Tabell2[[#This Row],[NIBR11-T]]&gt;=K$435,0,100*(K$435-Tabell2[[#This Row],[NIBR11-T]])/K$438))</f>
        <v>60</v>
      </c>
      <c r="U145" s="44">
        <f>(L$435-Tabell2[[#This Row],[ReisetidOslo-T]])*100/L$438</f>
        <v>48.077015956350273</v>
      </c>
      <c r="V145" s="44">
        <f>100-(M$435-Tabell2[[#This Row],[Beftettotal-T]])*100/M$438</f>
        <v>28.158646114360735</v>
      </c>
      <c r="W145" s="44">
        <f>100-(N$435-Tabell2[[#This Row],[Befvekst10-T]])*100/N$438</f>
        <v>30.494004133970975</v>
      </c>
      <c r="X145" s="44">
        <f>100-(O$435-Tabell2[[#This Row],[Kvinneandel-T]])*100/O$438</f>
        <v>41.345923623603959</v>
      </c>
      <c r="Y145" s="44">
        <f>(P$435-Tabell2[[#This Row],[Eldreandel-T]])*100/P$438</f>
        <v>42.241010013001436</v>
      </c>
      <c r="Z145" s="44">
        <f>100-(Q$435-Tabell2[[#This Row],[Sysselsettingsvekst10-T]])*100/Q$438</f>
        <v>22.753051946814097</v>
      </c>
      <c r="AA145" s="44">
        <f>100-(R$435-Tabell2[[#This Row],[Yrkesaktivandel-T]])*100/R$438</f>
        <v>0</v>
      </c>
      <c r="AB145" s="44">
        <f>100-(S$435-Tabell2[[#This Row],[Inntekt-T]])*100/S$438</f>
        <v>20.880913539967381</v>
      </c>
      <c r="AC145" s="44">
        <f>Tabell2[[#This Row],[NIBR11-I]]*Vekter!$B$3</f>
        <v>12</v>
      </c>
      <c r="AD145" s="44">
        <f>Tabell2[[#This Row],[ReisetidOslo-I]]*Vekter!$C$3</f>
        <v>4.8077015956350273</v>
      </c>
      <c r="AE145" s="44">
        <f>Tabell2[[#This Row],[Beftettotal-I]]*Vekter!$E$4</f>
        <v>2.8158646114360737</v>
      </c>
      <c r="AF145" s="44">
        <f>Tabell2[[#This Row],[Befvekst10-I]]*Vekter!$F$3</f>
        <v>6.0988008267941956</v>
      </c>
      <c r="AG145" s="44">
        <f>Tabell2[[#This Row],[Kvinneandel-I]]*Vekter!$G$3</f>
        <v>2.0672961811801982</v>
      </c>
      <c r="AH145" s="44">
        <f>Tabell2[[#This Row],[Eldreandel-I]]*Vekter!$H$3</f>
        <v>2.112050500650072</v>
      </c>
      <c r="AI145" s="44">
        <f>Tabell2[[#This Row],[Sysselsettingsvekst10-I]]*Vekter!$I$3</f>
        <v>2.2753051946814096</v>
      </c>
      <c r="AJ145" s="44">
        <f>Tabell2[[#This Row],[Yrkesaktivandel-I]]*Vekter!$K$3</f>
        <v>0</v>
      </c>
      <c r="AK145" s="44">
        <f>Tabell2[[#This Row],[Inntekt-I]]*Vekter!$M$3</f>
        <v>2.0880913539967381</v>
      </c>
      <c r="AL14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34.26511026437371</v>
      </c>
    </row>
    <row r="146" spans="1:38" s="38" customFormat="1" ht="12.75">
      <c r="A146" s="42" t="s">
        <v>144</v>
      </c>
      <c r="B146" s="38">
        <f>'Rådata-K'!Q146</f>
        <v>4</v>
      </c>
      <c r="C146" s="44">
        <f>'Rådata-K'!P146</f>
        <v>176.65751568659999</v>
      </c>
      <c r="D146" s="41">
        <f>'Rådata-K'!R146</f>
        <v>70.177577175238042</v>
      </c>
      <c r="E146" s="41">
        <f>'Rådata-K'!S146</f>
        <v>0.16354399956300858</v>
      </c>
      <c r="F146" s="41">
        <f>'Rådata-K'!T146</f>
        <v>0.1281160508896296</v>
      </c>
      <c r="G146" s="41">
        <f>'Rådata-K'!U146</f>
        <v>0.11896155110088728</v>
      </c>
      <c r="H146" s="41">
        <f>'Rådata-K'!V146</f>
        <v>6.9993602047344838E-2</v>
      </c>
      <c r="I146" s="41">
        <f>'Rådata-K'!W146</f>
        <v>0.84208827563947386</v>
      </c>
      <c r="J146" s="41">
        <f>'Rådata-K'!O146</f>
        <v>334000</v>
      </c>
      <c r="K146" s="41">
        <f>Tabell2[[#This Row],[NIBR11]]</f>
        <v>4</v>
      </c>
      <c r="L146" s="41">
        <f>IF(Tabell2[[#This Row],[ReisetidOslo]]&lt;=C$433,C$433,IF(Tabell2[[#This Row],[ReisetidOslo]]&gt;=C$434,C$434,Tabell2[[#This Row],[ReisetidOslo]]))</f>
        <v>176.65751568659999</v>
      </c>
      <c r="M146" s="41">
        <f>IF(Tabell2[[#This Row],[Beftettotal]]&lt;=D$433,D$433,IF(Tabell2[[#This Row],[Beftettotal]]&gt;=D$434,D$434,Tabell2[[#This Row],[Beftettotal]]))</f>
        <v>70.177577175238042</v>
      </c>
      <c r="N146" s="41">
        <f>IF(Tabell2[[#This Row],[Befvekst10]]&lt;=E$433,E$433,IF(Tabell2[[#This Row],[Befvekst10]]&gt;=E$434,E$434,Tabell2[[#This Row],[Befvekst10]]))</f>
        <v>0.149789129298837</v>
      </c>
      <c r="O146" s="41">
        <f>IF(Tabell2[[#This Row],[Kvinneandel]]&lt;=F$433,F$433,IF(Tabell2[[#This Row],[Kvinneandel]]&gt;=F$434,F$434,Tabell2[[#This Row],[Kvinneandel]]))</f>
        <v>0.1281160508896296</v>
      </c>
      <c r="P146" s="41">
        <f>IF(Tabell2[[#This Row],[Eldreandel]]&lt;=G$433,G$433,IF(Tabell2[[#This Row],[Eldreandel]]&gt;=G$434,G$434,Tabell2[[#This Row],[Eldreandel]]))</f>
        <v>0.11896155110088728</v>
      </c>
      <c r="Q146" s="41">
        <f>IF(Tabell2[[#This Row],[Sysselsettingsvekst10]]&lt;=H$433,H$433,IF(Tabell2[[#This Row],[Sysselsettingsvekst10]]&gt;=H$434,H$434,Tabell2[[#This Row],[Sysselsettingsvekst10]]))</f>
        <v>6.9993602047344838E-2</v>
      </c>
      <c r="R146" s="41">
        <f>IF(Tabell2[[#This Row],[Yrkesaktivandel]]&lt;=I$433,I$433,IF(Tabell2[[#This Row],[Yrkesaktivandel]]&gt;=I$434,I$434,Tabell2[[#This Row],[Yrkesaktivandel]]))</f>
        <v>0.84208827563947386</v>
      </c>
      <c r="S146" s="41">
        <f>IF(Tabell2[[#This Row],[Inntekt]]&lt;=J$433,J$433,IF(Tabell2[[#This Row],[Inntekt]]&gt;=J$434,J$434,Tabell2[[#This Row],[Inntekt]]))</f>
        <v>334000</v>
      </c>
      <c r="T146" s="44">
        <f>IF(Tabell2[[#This Row],[NIBR11-T]]&lt;=K$436,100,IF(Tabell2[[#This Row],[NIBR11-T]]&gt;=K$435,0,100*(K$435-Tabell2[[#This Row],[NIBR11-T]])/K$438))</f>
        <v>70</v>
      </c>
      <c r="U146" s="44">
        <f>(L$435-Tabell2[[#This Row],[ReisetidOslo-T]])*100/L$438</f>
        <v>45.459679272049314</v>
      </c>
      <c r="V146" s="44">
        <f>100-(M$435-Tabell2[[#This Row],[Beftettotal-T]])*100/M$438</f>
        <v>56.325332542650933</v>
      </c>
      <c r="W146" s="44">
        <f>100-(N$435-Tabell2[[#This Row],[Befvekst10-T]])*100/N$438</f>
        <v>100</v>
      </c>
      <c r="X146" s="44">
        <f>100-(O$435-Tabell2[[#This Row],[Kvinneandel-T]])*100/O$438</f>
        <v>99.602374585081634</v>
      </c>
      <c r="Y146" s="44">
        <f>(P$435-Tabell2[[#This Row],[Eldreandel-T]])*100/P$438</f>
        <v>94.170704663570163</v>
      </c>
      <c r="Z146" s="44">
        <f>100-(Q$435-Tabell2[[#This Row],[Sysselsettingsvekst10-T]])*100/Q$438</f>
        <v>47.678516851730478</v>
      </c>
      <c r="AA146" s="44">
        <f>100-(R$435-Tabell2[[#This Row],[Yrkesaktivandel-T]])*100/R$438</f>
        <v>11.693569200205872</v>
      </c>
      <c r="AB146" s="44">
        <f>100-(S$435-Tabell2[[#This Row],[Inntekt-T]])*100/S$438</f>
        <v>56.90592713431213</v>
      </c>
      <c r="AC146" s="44">
        <f>Tabell2[[#This Row],[NIBR11-I]]*Vekter!$B$3</f>
        <v>14</v>
      </c>
      <c r="AD146" s="44">
        <f>Tabell2[[#This Row],[ReisetidOslo-I]]*Vekter!$C$3</f>
        <v>4.5459679272049316</v>
      </c>
      <c r="AE146" s="44">
        <f>Tabell2[[#This Row],[Beftettotal-I]]*Vekter!$E$4</f>
        <v>5.6325332542650939</v>
      </c>
      <c r="AF146" s="44">
        <f>Tabell2[[#This Row],[Befvekst10-I]]*Vekter!$F$3</f>
        <v>20</v>
      </c>
      <c r="AG146" s="44">
        <f>Tabell2[[#This Row],[Kvinneandel-I]]*Vekter!$G$3</f>
        <v>4.9801187292540821</v>
      </c>
      <c r="AH146" s="44">
        <f>Tabell2[[#This Row],[Eldreandel-I]]*Vekter!$H$3</f>
        <v>4.708535233178508</v>
      </c>
      <c r="AI146" s="44">
        <f>Tabell2[[#This Row],[Sysselsettingsvekst10-I]]*Vekter!$I$3</f>
        <v>4.7678516851730484</v>
      </c>
      <c r="AJ146" s="44">
        <f>Tabell2[[#This Row],[Yrkesaktivandel-I]]*Vekter!$K$3</f>
        <v>1.1693569200205871</v>
      </c>
      <c r="AK146" s="44">
        <f>Tabell2[[#This Row],[Inntekt-I]]*Vekter!$M$3</f>
        <v>5.6905927134312133</v>
      </c>
      <c r="AL14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65.494956462527469</v>
      </c>
    </row>
    <row r="147" spans="1:38" s="38" customFormat="1" ht="12.75">
      <c r="A147" s="42" t="s">
        <v>145</v>
      </c>
      <c r="B147" s="38">
        <f>'Rådata-K'!Q147</f>
        <v>4</v>
      </c>
      <c r="C147" s="44">
        <f>'Rådata-K'!P147</f>
        <v>189.936887773</v>
      </c>
      <c r="D147" s="41">
        <f>'Rådata-K'!R147</f>
        <v>158.49874092727003</v>
      </c>
      <c r="E147" s="41">
        <f>'Rådata-K'!S147</f>
        <v>8.2090306922182332E-2</v>
      </c>
      <c r="F147" s="41">
        <f>'Rådata-K'!T147</f>
        <v>0.12284759701876125</v>
      </c>
      <c r="G147" s="41">
        <f>'Rådata-K'!U147</f>
        <v>0.13445947524590546</v>
      </c>
      <c r="H147" s="41">
        <f>'Rådata-K'!V147</f>
        <v>6.6915981052106721E-2</v>
      </c>
      <c r="I147" s="41">
        <f>'Rådata-K'!W147</f>
        <v>0.81430433237233912</v>
      </c>
      <c r="J147" s="41">
        <f>'Rådata-K'!O147</f>
        <v>338900</v>
      </c>
      <c r="K147" s="41">
        <f>Tabell2[[#This Row],[NIBR11]]</f>
        <v>4</v>
      </c>
      <c r="L147" s="41">
        <f>IF(Tabell2[[#This Row],[ReisetidOslo]]&lt;=C$433,C$433,IF(Tabell2[[#This Row],[ReisetidOslo]]&gt;=C$434,C$434,Tabell2[[#This Row],[ReisetidOslo]]))</f>
        <v>189.936887773</v>
      </c>
      <c r="M147" s="41">
        <f>IF(Tabell2[[#This Row],[Beftettotal]]&lt;=D$433,D$433,IF(Tabell2[[#This Row],[Beftettotal]]&gt;=D$434,D$434,Tabell2[[#This Row],[Beftettotal]]))</f>
        <v>123.5691465212405</v>
      </c>
      <c r="N147" s="41">
        <f>IF(Tabell2[[#This Row],[Befvekst10]]&lt;=E$433,E$433,IF(Tabell2[[#This Row],[Befvekst10]]&gt;=E$434,E$434,Tabell2[[#This Row],[Befvekst10]]))</f>
        <v>8.2090306922182332E-2</v>
      </c>
      <c r="O147" s="41">
        <f>IF(Tabell2[[#This Row],[Kvinneandel]]&lt;=F$433,F$433,IF(Tabell2[[#This Row],[Kvinneandel]]&gt;=F$434,F$434,Tabell2[[#This Row],[Kvinneandel]]))</f>
        <v>0.12284759701876125</v>
      </c>
      <c r="P147" s="41">
        <f>IF(Tabell2[[#This Row],[Eldreandel]]&lt;=G$433,G$433,IF(Tabell2[[#This Row],[Eldreandel]]&gt;=G$434,G$434,Tabell2[[#This Row],[Eldreandel]]))</f>
        <v>0.13445947524590546</v>
      </c>
      <c r="Q147" s="41">
        <f>IF(Tabell2[[#This Row],[Sysselsettingsvekst10]]&lt;=H$433,H$433,IF(Tabell2[[#This Row],[Sysselsettingsvekst10]]&gt;=H$434,H$434,Tabell2[[#This Row],[Sysselsettingsvekst10]]))</f>
        <v>6.6915981052106721E-2</v>
      </c>
      <c r="R147" s="41">
        <f>IF(Tabell2[[#This Row],[Yrkesaktivandel]]&lt;=I$433,I$433,IF(Tabell2[[#This Row],[Yrkesaktivandel]]&gt;=I$434,I$434,Tabell2[[#This Row],[Yrkesaktivandel]]))</f>
        <v>0.82642965596795781</v>
      </c>
      <c r="S147" s="41">
        <f>IF(Tabell2[[#This Row],[Inntekt]]&lt;=J$433,J$433,IF(Tabell2[[#This Row],[Inntekt]]&gt;=J$434,J$434,Tabell2[[#This Row],[Inntekt]]))</f>
        <v>338900</v>
      </c>
      <c r="T147" s="44">
        <f>IF(Tabell2[[#This Row],[NIBR11-T]]&lt;=K$436,100,IF(Tabell2[[#This Row],[NIBR11-T]]&gt;=K$435,0,100*(K$435-Tabell2[[#This Row],[NIBR11-T]])/K$438))</f>
        <v>70</v>
      </c>
      <c r="U147" s="44">
        <f>(L$435-Tabell2[[#This Row],[ReisetidOslo-T]])*100/L$438</f>
        <v>39.564294174884083</v>
      </c>
      <c r="V147" s="44">
        <f>100-(M$435-Tabell2[[#This Row],[Beftettotal-T]])*100/M$438</f>
        <v>100</v>
      </c>
      <c r="W147" s="44">
        <f>100-(N$435-Tabell2[[#This Row],[Befvekst10-T]])*100/N$438</f>
        <v>71.991989998413089</v>
      </c>
      <c r="X147" s="44">
        <f>100-(O$435-Tabell2[[#This Row],[Kvinneandel-T]])*100/O$438</f>
        <v>85.185455416623853</v>
      </c>
      <c r="Y147" s="44">
        <f>(P$435-Tabell2[[#This Row],[Eldreandel-T]])*100/P$438</f>
        <v>75.923516163834492</v>
      </c>
      <c r="Z147" s="44">
        <f>100-(Q$435-Tabell2[[#This Row],[Sysselsettingsvekst10-T]])*100/Q$438</f>
        <v>46.773643715837565</v>
      </c>
      <c r="AA147" s="44">
        <f>100-(R$435-Tabell2[[#This Row],[Yrkesaktivandel-T]])*100/R$438</f>
        <v>0</v>
      </c>
      <c r="AB147" s="44">
        <f>100-(S$435-Tabell2[[#This Row],[Inntekt-T]])*100/S$438</f>
        <v>63.567156063077761</v>
      </c>
      <c r="AC147" s="44">
        <f>Tabell2[[#This Row],[NIBR11-I]]*Vekter!$B$3</f>
        <v>14</v>
      </c>
      <c r="AD147" s="44">
        <f>Tabell2[[#This Row],[ReisetidOslo-I]]*Vekter!$C$3</f>
        <v>3.9564294174884083</v>
      </c>
      <c r="AE147" s="44">
        <f>Tabell2[[#This Row],[Beftettotal-I]]*Vekter!$E$4</f>
        <v>10</v>
      </c>
      <c r="AF147" s="44">
        <f>Tabell2[[#This Row],[Befvekst10-I]]*Vekter!$F$3</f>
        <v>14.398397999682619</v>
      </c>
      <c r="AG147" s="44">
        <f>Tabell2[[#This Row],[Kvinneandel-I]]*Vekter!$G$3</f>
        <v>4.2592727708311928</v>
      </c>
      <c r="AH147" s="44">
        <f>Tabell2[[#This Row],[Eldreandel-I]]*Vekter!$H$3</f>
        <v>3.796175808191725</v>
      </c>
      <c r="AI147" s="44">
        <f>Tabell2[[#This Row],[Sysselsettingsvekst10-I]]*Vekter!$I$3</f>
        <v>4.6773643715837565</v>
      </c>
      <c r="AJ147" s="44">
        <f>Tabell2[[#This Row],[Yrkesaktivandel-I]]*Vekter!$K$3</f>
        <v>0</v>
      </c>
      <c r="AK147" s="44">
        <f>Tabell2[[#This Row],[Inntekt-I]]*Vekter!$M$3</f>
        <v>6.3567156063077768</v>
      </c>
      <c r="AL14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61.444355974085482</v>
      </c>
    </row>
    <row r="148" spans="1:38" s="38" customFormat="1" ht="12.75">
      <c r="A148" s="42" t="s">
        <v>146</v>
      </c>
      <c r="B148" s="38">
        <f>'Rådata-K'!Q148</f>
        <v>5</v>
      </c>
      <c r="C148" s="44">
        <f>'Rådata-K'!P148</f>
        <v>157.53217205000001</v>
      </c>
      <c r="D148" s="41">
        <f>'Rådata-K'!R148</f>
        <v>7.6923076923076925</v>
      </c>
      <c r="E148" s="41">
        <f>'Rådata-K'!S148</f>
        <v>-3.2180209171359664E-3</v>
      </c>
      <c r="F148" s="41">
        <f>'Rådata-K'!T148</f>
        <v>0.11541565778853914</v>
      </c>
      <c r="G148" s="41">
        <f>'Rådata-K'!U148</f>
        <v>0.14931396287328491</v>
      </c>
      <c r="H148" s="41">
        <f>'Rådata-K'!V148</f>
        <v>7.4349442379182173E-2</v>
      </c>
      <c r="I148" s="41">
        <f>'Rådata-K'!W148</f>
        <v>0.81353591160220995</v>
      </c>
      <c r="J148" s="41">
        <f>'Rådata-K'!O148</f>
        <v>289900</v>
      </c>
      <c r="K148" s="41">
        <f>Tabell2[[#This Row],[NIBR11]]</f>
        <v>5</v>
      </c>
      <c r="L148" s="41">
        <f>IF(Tabell2[[#This Row],[ReisetidOslo]]&lt;=C$433,C$433,IF(Tabell2[[#This Row],[ReisetidOslo]]&gt;=C$434,C$434,Tabell2[[#This Row],[ReisetidOslo]]))</f>
        <v>157.53217205000001</v>
      </c>
      <c r="M148" s="41">
        <f>IF(Tabell2[[#This Row],[Beftettotal]]&lt;=D$433,D$433,IF(Tabell2[[#This Row],[Beftettotal]]&gt;=D$434,D$434,Tabell2[[#This Row],[Beftettotal]]))</f>
        <v>7.6923076923076925</v>
      </c>
      <c r="N148" s="41">
        <f>IF(Tabell2[[#This Row],[Befvekst10]]&lt;=E$433,E$433,IF(Tabell2[[#This Row],[Befvekst10]]&gt;=E$434,E$434,Tabell2[[#This Row],[Befvekst10]]))</f>
        <v>-3.2180209171359664E-3</v>
      </c>
      <c r="O148" s="41">
        <f>IF(Tabell2[[#This Row],[Kvinneandel]]&lt;=F$433,F$433,IF(Tabell2[[#This Row],[Kvinneandel]]&gt;=F$434,F$434,Tabell2[[#This Row],[Kvinneandel]]))</f>
        <v>0.11541565778853914</v>
      </c>
      <c r="P148" s="41">
        <f>IF(Tabell2[[#This Row],[Eldreandel]]&lt;=G$433,G$433,IF(Tabell2[[#This Row],[Eldreandel]]&gt;=G$434,G$434,Tabell2[[#This Row],[Eldreandel]]))</f>
        <v>0.14931396287328491</v>
      </c>
      <c r="Q148" s="41">
        <f>IF(Tabell2[[#This Row],[Sysselsettingsvekst10]]&lt;=H$433,H$433,IF(Tabell2[[#This Row],[Sysselsettingsvekst10]]&gt;=H$434,H$434,Tabell2[[#This Row],[Sysselsettingsvekst10]]))</f>
        <v>7.4349442379182173E-2</v>
      </c>
      <c r="R148" s="41">
        <f>IF(Tabell2[[#This Row],[Yrkesaktivandel]]&lt;=I$433,I$433,IF(Tabell2[[#This Row],[Yrkesaktivandel]]&gt;=I$434,I$434,Tabell2[[#This Row],[Yrkesaktivandel]]))</f>
        <v>0.82642965596795781</v>
      </c>
      <c r="S148" s="41">
        <f>IF(Tabell2[[#This Row],[Inntekt]]&lt;=J$433,J$433,IF(Tabell2[[#This Row],[Inntekt]]&gt;=J$434,J$434,Tabell2[[#This Row],[Inntekt]]))</f>
        <v>292140</v>
      </c>
      <c r="T148" s="44">
        <f>IF(Tabell2[[#This Row],[NIBR11-T]]&lt;=K$436,100,IF(Tabell2[[#This Row],[NIBR11-T]]&gt;=K$435,0,100*(K$435-Tabell2[[#This Row],[NIBR11-T]])/K$438))</f>
        <v>60</v>
      </c>
      <c r="U148" s="44">
        <f>(L$435-Tabell2[[#This Row],[ReisetidOslo-T]])*100/L$438</f>
        <v>53.950386898869176</v>
      </c>
      <c r="V148" s="44">
        <f>100-(M$435-Tabell2[[#This Row],[Beftettotal-T]])*100/M$438</f>
        <v>5.2119564220789556</v>
      </c>
      <c r="W148" s="44">
        <f>100-(N$435-Tabell2[[#This Row],[Befvekst10-T]])*100/N$438</f>
        <v>36.698665602770177</v>
      </c>
      <c r="X148" s="44">
        <f>100-(O$435-Tabell2[[#This Row],[Kvinneandel-T]])*100/O$438</f>
        <v>64.84824268340455</v>
      </c>
      <c r="Y148" s="44">
        <f>(P$435-Tabell2[[#This Row],[Eldreandel-T]])*100/P$438</f>
        <v>58.433907022153775</v>
      </c>
      <c r="Z148" s="44">
        <f>100-(Q$435-Tabell2[[#This Row],[Sysselsettingsvekst10-T]])*100/Q$438</f>
        <v>48.959208303542439</v>
      </c>
      <c r="AA148" s="44">
        <f>100-(R$435-Tabell2[[#This Row],[Yrkesaktivandel-T]])*100/R$438</f>
        <v>0</v>
      </c>
      <c r="AB148" s="44">
        <f>100-(S$435-Tabell2[[#This Row],[Inntekt-T]])*100/S$438</f>
        <v>0</v>
      </c>
      <c r="AC148" s="44">
        <f>Tabell2[[#This Row],[NIBR11-I]]*Vekter!$B$3</f>
        <v>12</v>
      </c>
      <c r="AD148" s="44">
        <f>Tabell2[[#This Row],[ReisetidOslo-I]]*Vekter!$C$3</f>
        <v>5.3950386898869178</v>
      </c>
      <c r="AE148" s="44">
        <f>Tabell2[[#This Row],[Beftettotal-I]]*Vekter!$E$4</f>
        <v>0.5211956422078956</v>
      </c>
      <c r="AF148" s="44">
        <f>Tabell2[[#This Row],[Befvekst10-I]]*Vekter!$F$3</f>
        <v>7.3397331205540359</v>
      </c>
      <c r="AG148" s="44">
        <f>Tabell2[[#This Row],[Kvinneandel-I]]*Vekter!$G$3</f>
        <v>3.2424121341702277</v>
      </c>
      <c r="AH148" s="44">
        <f>Tabell2[[#This Row],[Eldreandel-I]]*Vekter!$H$3</f>
        <v>2.9216953511076889</v>
      </c>
      <c r="AI148" s="44">
        <f>Tabell2[[#This Row],[Sysselsettingsvekst10-I]]*Vekter!$I$3</f>
        <v>4.8959208303542443</v>
      </c>
      <c r="AJ148" s="44">
        <f>Tabell2[[#This Row],[Yrkesaktivandel-I]]*Vekter!$K$3</f>
        <v>0</v>
      </c>
      <c r="AK148" s="44">
        <f>Tabell2[[#This Row],[Inntekt-I]]*Vekter!$M$3</f>
        <v>0</v>
      </c>
      <c r="AL14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36.315995768281013</v>
      </c>
    </row>
    <row r="149" spans="1:38" s="38" customFormat="1" ht="12.75">
      <c r="A149" s="42" t="s">
        <v>147</v>
      </c>
      <c r="B149" s="38">
        <f>'Rådata-K'!Q149</f>
        <v>4</v>
      </c>
      <c r="C149" s="44">
        <f>'Rådata-K'!P149</f>
        <v>165.528904119</v>
      </c>
      <c r="D149" s="41">
        <f>'Rådata-K'!R149</f>
        <v>5.4351187965696619</v>
      </c>
      <c r="E149" s="41">
        <f>'Rådata-K'!S149</f>
        <v>5.5707263790278461E-2</v>
      </c>
      <c r="F149" s="41">
        <f>'Rådata-K'!T149</f>
        <v>0.11277806518365235</v>
      </c>
      <c r="G149" s="41">
        <f>'Rådata-K'!U149</f>
        <v>0.14226590791515778</v>
      </c>
      <c r="H149" s="41">
        <f>'Rådata-K'!V149</f>
        <v>0.1533101045296168</v>
      </c>
      <c r="I149" s="41">
        <f>'Rådata-K'!W149</f>
        <v>0.8657407407407407</v>
      </c>
      <c r="J149" s="41">
        <f>'Rådata-K'!O149</f>
        <v>328100</v>
      </c>
      <c r="K149" s="41">
        <f>Tabell2[[#This Row],[NIBR11]]</f>
        <v>4</v>
      </c>
      <c r="L149" s="41">
        <f>IF(Tabell2[[#This Row],[ReisetidOslo]]&lt;=C$433,C$433,IF(Tabell2[[#This Row],[ReisetidOslo]]&gt;=C$434,C$434,Tabell2[[#This Row],[ReisetidOslo]]))</f>
        <v>165.528904119</v>
      </c>
      <c r="M149" s="41">
        <f>IF(Tabell2[[#This Row],[Beftettotal]]&lt;=D$433,D$433,IF(Tabell2[[#This Row],[Beftettotal]]&gt;=D$434,D$434,Tabell2[[#This Row],[Beftettotal]]))</f>
        <v>5.4351187965696619</v>
      </c>
      <c r="N149" s="41">
        <f>IF(Tabell2[[#This Row],[Befvekst10]]&lt;=E$433,E$433,IF(Tabell2[[#This Row],[Befvekst10]]&gt;=E$434,E$434,Tabell2[[#This Row],[Befvekst10]]))</f>
        <v>5.5707263790278461E-2</v>
      </c>
      <c r="O149" s="41">
        <f>IF(Tabell2[[#This Row],[Kvinneandel]]&lt;=F$433,F$433,IF(Tabell2[[#This Row],[Kvinneandel]]&gt;=F$434,F$434,Tabell2[[#This Row],[Kvinneandel]]))</f>
        <v>0.11277806518365235</v>
      </c>
      <c r="P149" s="41">
        <f>IF(Tabell2[[#This Row],[Eldreandel]]&lt;=G$433,G$433,IF(Tabell2[[#This Row],[Eldreandel]]&gt;=G$434,G$434,Tabell2[[#This Row],[Eldreandel]]))</f>
        <v>0.14226590791515778</v>
      </c>
      <c r="Q149" s="41">
        <f>IF(Tabell2[[#This Row],[Sysselsettingsvekst10]]&lt;=H$433,H$433,IF(Tabell2[[#This Row],[Sysselsettingsvekst10]]&gt;=H$434,H$434,Tabell2[[#This Row],[Sysselsettingsvekst10]]))</f>
        <v>0.1533101045296168</v>
      </c>
      <c r="R149" s="41">
        <f>IF(Tabell2[[#This Row],[Yrkesaktivandel]]&lt;=I$433,I$433,IF(Tabell2[[#This Row],[Yrkesaktivandel]]&gt;=I$434,I$434,Tabell2[[#This Row],[Yrkesaktivandel]]))</f>
        <v>0.8657407407407407</v>
      </c>
      <c r="S149" s="41">
        <f>IF(Tabell2[[#This Row],[Inntekt]]&lt;=J$433,J$433,IF(Tabell2[[#This Row],[Inntekt]]&gt;=J$434,J$434,Tabell2[[#This Row],[Inntekt]]))</f>
        <v>328100</v>
      </c>
      <c r="T149" s="44">
        <f>IF(Tabell2[[#This Row],[NIBR11-T]]&lt;=K$436,100,IF(Tabell2[[#This Row],[NIBR11-T]]&gt;=K$435,0,100*(K$435-Tabell2[[#This Row],[NIBR11-T]])/K$438))</f>
        <v>70</v>
      </c>
      <c r="U149" s="44">
        <f>(L$435-Tabell2[[#This Row],[ReisetidOslo-T]])*100/L$438</f>
        <v>50.400232963963788</v>
      </c>
      <c r="V149" s="44">
        <f>100-(M$435-Tabell2[[#This Row],[Beftettotal-T]])*100/M$438</f>
        <v>3.3655605281706471</v>
      </c>
      <c r="W149" s="44">
        <f>100-(N$435-Tabell2[[#This Row],[Befvekst10-T]])*100/N$438</f>
        <v>61.076932542916218</v>
      </c>
      <c r="X149" s="44">
        <f>100-(O$435-Tabell2[[#This Row],[Kvinneandel-T]])*100/O$438</f>
        <v>57.630573075583293</v>
      </c>
      <c r="Y149" s="44">
        <f>(P$435-Tabell2[[#This Row],[Eldreandel-T]])*100/P$438</f>
        <v>66.732256283256817</v>
      </c>
      <c r="Z149" s="44">
        <f>100-(Q$435-Tabell2[[#This Row],[Sysselsettingsvekst10-T]])*100/Q$438</f>
        <v>72.174991560413716</v>
      </c>
      <c r="AA149" s="44">
        <f>100-(R$435-Tabell2[[#This Row],[Yrkesaktivandel-T]])*100/R$438</f>
        <v>29.356795156209927</v>
      </c>
      <c r="AB149" s="44">
        <f>100-(S$435-Tabell2[[#This Row],[Inntekt-T]])*100/S$438</f>
        <v>48.885263730288202</v>
      </c>
      <c r="AC149" s="44">
        <f>Tabell2[[#This Row],[NIBR11-I]]*Vekter!$B$3</f>
        <v>14</v>
      </c>
      <c r="AD149" s="44">
        <f>Tabell2[[#This Row],[ReisetidOslo-I]]*Vekter!$C$3</f>
        <v>5.0400232963963791</v>
      </c>
      <c r="AE149" s="44">
        <f>Tabell2[[#This Row],[Beftettotal-I]]*Vekter!$E$4</f>
        <v>0.33655605281706474</v>
      </c>
      <c r="AF149" s="44">
        <f>Tabell2[[#This Row],[Befvekst10-I]]*Vekter!$F$3</f>
        <v>12.215386508583244</v>
      </c>
      <c r="AG149" s="44">
        <f>Tabell2[[#This Row],[Kvinneandel-I]]*Vekter!$G$3</f>
        <v>2.8815286537791649</v>
      </c>
      <c r="AH149" s="44">
        <f>Tabell2[[#This Row],[Eldreandel-I]]*Vekter!$H$3</f>
        <v>3.3366128141628408</v>
      </c>
      <c r="AI149" s="44">
        <f>Tabell2[[#This Row],[Sysselsettingsvekst10-I]]*Vekter!$I$3</f>
        <v>7.2174991560413719</v>
      </c>
      <c r="AJ149" s="44">
        <f>Tabell2[[#This Row],[Yrkesaktivandel-I]]*Vekter!$K$3</f>
        <v>2.9356795156209929</v>
      </c>
      <c r="AK149" s="44">
        <f>Tabell2[[#This Row],[Inntekt-I]]*Vekter!$M$3</f>
        <v>4.8885263730288209</v>
      </c>
      <c r="AL14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52.851812370429869</v>
      </c>
    </row>
    <row r="150" spans="1:38" s="38" customFormat="1" ht="12.75">
      <c r="A150" s="42" t="s">
        <v>148</v>
      </c>
      <c r="B150" s="38">
        <f>'Rådata-K'!Q150</f>
        <v>4</v>
      </c>
      <c r="C150" s="44">
        <f>'Rådata-K'!P150</f>
        <v>172.09824199299999</v>
      </c>
      <c r="D150" s="41">
        <f>'Rådata-K'!R150</f>
        <v>27.622762735199636</v>
      </c>
      <c r="E150" s="41">
        <f>'Rådata-K'!S150</f>
        <v>1.0407923451401624E-2</v>
      </c>
      <c r="F150" s="41">
        <f>'Rådata-K'!T150</f>
        <v>0.11729523176607409</v>
      </c>
      <c r="G150" s="41">
        <f>'Rådata-K'!U150</f>
        <v>0.15251702940687822</v>
      </c>
      <c r="H150" s="41">
        <f>'Rådata-K'!V150</f>
        <v>0.22531017369727047</v>
      </c>
      <c r="I150" s="41">
        <f>'Rådata-K'!W150</f>
        <v>0.81235697940503437</v>
      </c>
      <c r="J150" s="41">
        <f>'Rådata-K'!O150</f>
        <v>318200</v>
      </c>
      <c r="K150" s="41">
        <f>Tabell2[[#This Row],[NIBR11]]</f>
        <v>4</v>
      </c>
      <c r="L150" s="41">
        <f>IF(Tabell2[[#This Row],[ReisetidOslo]]&lt;=C$433,C$433,IF(Tabell2[[#This Row],[ReisetidOslo]]&gt;=C$434,C$434,Tabell2[[#This Row],[ReisetidOslo]]))</f>
        <v>172.09824199299999</v>
      </c>
      <c r="M150" s="41">
        <f>IF(Tabell2[[#This Row],[Beftettotal]]&lt;=D$433,D$433,IF(Tabell2[[#This Row],[Beftettotal]]&gt;=D$434,D$434,Tabell2[[#This Row],[Beftettotal]]))</f>
        <v>27.622762735199636</v>
      </c>
      <c r="N150" s="41">
        <f>IF(Tabell2[[#This Row],[Befvekst10]]&lt;=E$433,E$433,IF(Tabell2[[#This Row],[Befvekst10]]&gt;=E$434,E$434,Tabell2[[#This Row],[Befvekst10]]))</f>
        <v>1.0407923451401624E-2</v>
      </c>
      <c r="O150" s="41">
        <f>IF(Tabell2[[#This Row],[Kvinneandel]]&lt;=F$433,F$433,IF(Tabell2[[#This Row],[Kvinneandel]]&gt;=F$434,F$434,Tabell2[[#This Row],[Kvinneandel]]))</f>
        <v>0.11729523176607409</v>
      </c>
      <c r="P150" s="41">
        <f>IF(Tabell2[[#This Row],[Eldreandel]]&lt;=G$433,G$433,IF(Tabell2[[#This Row],[Eldreandel]]&gt;=G$434,G$434,Tabell2[[#This Row],[Eldreandel]]))</f>
        <v>0.15251702940687822</v>
      </c>
      <c r="Q150" s="41">
        <f>IF(Tabell2[[#This Row],[Sysselsettingsvekst10]]&lt;=H$433,H$433,IF(Tabell2[[#This Row],[Sysselsettingsvekst10]]&gt;=H$434,H$434,Tabell2[[#This Row],[Sysselsettingsvekst10]]))</f>
        <v>0.22531017369727047</v>
      </c>
      <c r="R150" s="41">
        <f>IF(Tabell2[[#This Row],[Yrkesaktivandel]]&lt;=I$433,I$433,IF(Tabell2[[#This Row],[Yrkesaktivandel]]&gt;=I$434,I$434,Tabell2[[#This Row],[Yrkesaktivandel]]))</f>
        <v>0.82642965596795781</v>
      </c>
      <c r="S150" s="41">
        <f>IF(Tabell2[[#This Row],[Inntekt]]&lt;=J$433,J$433,IF(Tabell2[[#This Row],[Inntekt]]&gt;=J$434,J$434,Tabell2[[#This Row],[Inntekt]]))</f>
        <v>318200</v>
      </c>
      <c r="T150" s="44">
        <f>IF(Tabell2[[#This Row],[NIBR11-T]]&lt;=K$436,100,IF(Tabell2[[#This Row],[NIBR11-T]]&gt;=K$435,0,100*(K$435-Tabell2[[#This Row],[NIBR11-T]])/K$438))</f>
        <v>70</v>
      </c>
      <c r="U150" s="44">
        <f>(L$435-Tabell2[[#This Row],[ReisetidOslo-T]])*100/L$438</f>
        <v>47.483771526733143</v>
      </c>
      <c r="V150" s="44">
        <f>100-(M$435-Tabell2[[#This Row],[Beftettotal-T]])*100/M$438</f>
        <v>21.515204424230518</v>
      </c>
      <c r="W150" s="44">
        <f>100-(N$435-Tabell2[[#This Row],[Befvekst10-T]])*100/N$438</f>
        <v>42.335921507042322</v>
      </c>
      <c r="X150" s="44">
        <f>100-(O$435-Tabell2[[#This Row],[Kvinneandel-T]])*100/O$438</f>
        <v>69.991623790923256</v>
      </c>
      <c r="Y150" s="44">
        <f>(P$435-Tabell2[[#This Row],[Eldreandel-T]])*100/P$438</f>
        <v>54.662630413185482</v>
      </c>
      <c r="Z150" s="44">
        <f>100-(Q$435-Tabell2[[#This Row],[Sysselsettingsvekst10-T]])*100/Q$438</f>
        <v>93.344241599013941</v>
      </c>
      <c r="AA150" s="44">
        <f>100-(R$435-Tabell2[[#This Row],[Yrkesaktivandel-T]])*100/R$438</f>
        <v>0</v>
      </c>
      <c r="AB150" s="44">
        <f>100-(S$435-Tabell2[[#This Row],[Inntekt-T]])*100/S$438</f>
        <v>35.426862425231107</v>
      </c>
      <c r="AC150" s="44">
        <f>Tabell2[[#This Row],[NIBR11-I]]*Vekter!$B$3</f>
        <v>14</v>
      </c>
      <c r="AD150" s="44">
        <f>Tabell2[[#This Row],[ReisetidOslo-I]]*Vekter!$C$3</f>
        <v>4.7483771526733145</v>
      </c>
      <c r="AE150" s="44">
        <f>Tabell2[[#This Row],[Beftettotal-I]]*Vekter!$E$4</f>
        <v>2.1515204424230521</v>
      </c>
      <c r="AF150" s="44">
        <f>Tabell2[[#This Row],[Befvekst10-I]]*Vekter!$F$3</f>
        <v>8.467184301408464</v>
      </c>
      <c r="AG150" s="44">
        <f>Tabell2[[#This Row],[Kvinneandel-I]]*Vekter!$G$3</f>
        <v>3.4995811895461628</v>
      </c>
      <c r="AH150" s="44">
        <f>Tabell2[[#This Row],[Eldreandel-I]]*Vekter!$H$3</f>
        <v>2.7331315206592741</v>
      </c>
      <c r="AI150" s="44">
        <f>Tabell2[[#This Row],[Sysselsettingsvekst10-I]]*Vekter!$I$3</f>
        <v>9.3344241599013937</v>
      </c>
      <c r="AJ150" s="44">
        <f>Tabell2[[#This Row],[Yrkesaktivandel-I]]*Vekter!$K$3</f>
        <v>0</v>
      </c>
      <c r="AK150" s="44">
        <f>Tabell2[[#This Row],[Inntekt-I]]*Vekter!$M$3</f>
        <v>3.5426862425231107</v>
      </c>
      <c r="AL15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48.476905009134768</v>
      </c>
    </row>
    <row r="151" spans="1:38" s="38" customFormat="1" ht="12.75">
      <c r="A151" s="42" t="s">
        <v>149</v>
      </c>
      <c r="B151" s="38">
        <f>'Rådata-K'!Q151</f>
        <v>4</v>
      </c>
      <c r="C151" s="44">
        <f>'Rådata-K'!P151</f>
        <v>192.36414494499999</v>
      </c>
      <c r="D151" s="41">
        <f>'Rådata-K'!R151</f>
        <v>8.1560778837948966</v>
      </c>
      <c r="E151" s="41">
        <f>'Rådata-K'!S151</f>
        <v>0.13542116630669554</v>
      </c>
      <c r="F151" s="41">
        <f>'Rådata-K'!T151</f>
        <v>0.13087312155221609</v>
      </c>
      <c r="G151" s="41">
        <f>'Rådata-K'!U151</f>
        <v>0.10785619174434088</v>
      </c>
      <c r="H151" s="41">
        <f>'Rådata-K'!V151</f>
        <v>0.25361010830324915</v>
      </c>
      <c r="I151" s="41">
        <f>'Rådata-K'!W151</f>
        <v>0.84411384217335061</v>
      </c>
      <c r="J151" s="41">
        <f>'Rådata-K'!O151</f>
        <v>320900</v>
      </c>
      <c r="K151" s="41">
        <f>Tabell2[[#This Row],[NIBR11]]</f>
        <v>4</v>
      </c>
      <c r="L151" s="41">
        <f>IF(Tabell2[[#This Row],[ReisetidOslo]]&lt;=C$433,C$433,IF(Tabell2[[#This Row],[ReisetidOslo]]&gt;=C$434,C$434,Tabell2[[#This Row],[ReisetidOslo]]))</f>
        <v>192.36414494499999</v>
      </c>
      <c r="M151" s="41">
        <f>IF(Tabell2[[#This Row],[Beftettotal]]&lt;=D$433,D$433,IF(Tabell2[[#This Row],[Beftettotal]]&gt;=D$434,D$434,Tabell2[[#This Row],[Beftettotal]]))</f>
        <v>8.1560778837948966</v>
      </c>
      <c r="N151" s="41">
        <f>IF(Tabell2[[#This Row],[Befvekst10]]&lt;=E$433,E$433,IF(Tabell2[[#This Row],[Befvekst10]]&gt;=E$434,E$434,Tabell2[[#This Row],[Befvekst10]]))</f>
        <v>0.13542116630669554</v>
      </c>
      <c r="O151" s="41">
        <f>IF(Tabell2[[#This Row],[Kvinneandel]]&lt;=F$433,F$433,IF(Tabell2[[#This Row],[Kvinneandel]]&gt;=F$434,F$434,Tabell2[[#This Row],[Kvinneandel]]))</f>
        <v>0.12826135732659469</v>
      </c>
      <c r="P151" s="41">
        <f>IF(Tabell2[[#This Row],[Eldreandel]]&lt;=G$433,G$433,IF(Tabell2[[#This Row],[Eldreandel]]&gt;=G$434,G$434,Tabell2[[#This Row],[Eldreandel]]))</f>
        <v>0.11401054306234992</v>
      </c>
      <c r="Q151" s="41">
        <f>IF(Tabell2[[#This Row],[Sysselsettingsvekst10]]&lt;=H$433,H$433,IF(Tabell2[[#This Row],[Sysselsettingsvekst10]]&gt;=H$434,H$434,Tabell2[[#This Row],[Sysselsettingsvekst10]]))</f>
        <v>0.24794749265568336</v>
      </c>
      <c r="R151" s="41">
        <f>IF(Tabell2[[#This Row],[Yrkesaktivandel]]&lt;=I$433,I$433,IF(Tabell2[[#This Row],[Yrkesaktivandel]]&gt;=I$434,I$434,Tabell2[[#This Row],[Yrkesaktivandel]]))</f>
        <v>0.84411384217335061</v>
      </c>
      <c r="S151" s="41">
        <f>IF(Tabell2[[#This Row],[Inntekt]]&lt;=J$433,J$433,IF(Tabell2[[#This Row],[Inntekt]]&gt;=J$434,J$434,Tabell2[[#This Row],[Inntekt]]))</f>
        <v>320900</v>
      </c>
      <c r="T151" s="44">
        <f>IF(Tabell2[[#This Row],[NIBR11-T]]&lt;=K$436,100,IF(Tabell2[[#This Row],[NIBR11-T]]&gt;=K$435,0,100*(K$435-Tabell2[[#This Row],[NIBR11-T]])/K$438))</f>
        <v>70</v>
      </c>
      <c r="U151" s="44">
        <f>(L$435-Tabell2[[#This Row],[ReisetidOslo-T]])*100/L$438</f>
        <v>38.486711916800417</v>
      </c>
      <c r="V151" s="44">
        <f>100-(M$435-Tabell2[[#This Row],[Beftettotal-T]])*100/M$438</f>
        <v>5.5913235981694669</v>
      </c>
      <c r="W151" s="44">
        <f>100-(N$435-Tabell2[[#This Row],[Befvekst10-T]])*100/N$438</f>
        <v>94.055759951814181</v>
      </c>
      <c r="X151" s="44">
        <f>100-(O$435-Tabell2[[#This Row],[Kvinneandel-T]])*100/O$438</f>
        <v>100</v>
      </c>
      <c r="Y151" s="44">
        <f>(P$435-Tabell2[[#This Row],[Eldreandel-T]])*100/P$438</f>
        <v>100</v>
      </c>
      <c r="Z151" s="44">
        <f>100-(Q$435-Tabell2[[#This Row],[Sysselsettingsvekst10-T]])*100/Q$438</f>
        <v>100</v>
      </c>
      <c r="AA151" s="44">
        <f>100-(R$435-Tabell2[[#This Row],[Yrkesaktivandel-T]])*100/R$438</f>
        <v>13.206225036441253</v>
      </c>
      <c r="AB151" s="44">
        <f>100-(S$435-Tabell2[[#This Row],[Inntekt-T]])*100/S$438</f>
        <v>39.097335508428493</v>
      </c>
      <c r="AC151" s="44">
        <f>Tabell2[[#This Row],[NIBR11-I]]*Vekter!$B$3</f>
        <v>14</v>
      </c>
      <c r="AD151" s="44">
        <f>Tabell2[[#This Row],[ReisetidOslo-I]]*Vekter!$C$3</f>
        <v>3.848671191680042</v>
      </c>
      <c r="AE151" s="44">
        <f>Tabell2[[#This Row],[Beftettotal-I]]*Vekter!$E$4</f>
        <v>0.55913235981694676</v>
      </c>
      <c r="AF151" s="44">
        <f>Tabell2[[#This Row],[Befvekst10-I]]*Vekter!$F$3</f>
        <v>18.811151990362838</v>
      </c>
      <c r="AG151" s="44">
        <f>Tabell2[[#This Row],[Kvinneandel-I]]*Vekter!$G$3</f>
        <v>5</v>
      </c>
      <c r="AH151" s="44">
        <f>Tabell2[[#This Row],[Eldreandel-I]]*Vekter!$H$3</f>
        <v>5</v>
      </c>
      <c r="AI151" s="44">
        <f>Tabell2[[#This Row],[Sysselsettingsvekst10-I]]*Vekter!$I$3</f>
        <v>10</v>
      </c>
      <c r="AJ151" s="44">
        <f>Tabell2[[#This Row],[Yrkesaktivandel-I]]*Vekter!$K$3</f>
        <v>1.3206225036441255</v>
      </c>
      <c r="AK151" s="44">
        <f>Tabell2[[#This Row],[Inntekt-I]]*Vekter!$M$3</f>
        <v>3.9097335508428497</v>
      </c>
      <c r="AL15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62.449311596346803</v>
      </c>
    </row>
    <row r="152" spans="1:38" s="38" customFormat="1" ht="12.75">
      <c r="A152" s="42" t="s">
        <v>150</v>
      </c>
      <c r="B152" s="38">
        <f>'Rådata-K'!Q152</f>
        <v>2</v>
      </c>
      <c r="C152" s="44">
        <f>'Rådata-K'!P152</f>
        <v>167.557695524</v>
      </c>
      <c r="D152" s="41">
        <f>'Rådata-K'!R152</f>
        <v>51.921156373193163</v>
      </c>
      <c r="E152" s="41">
        <f>'Rådata-K'!S152</f>
        <v>0.10615901455767074</v>
      </c>
      <c r="F152" s="41">
        <f>'Rådata-K'!T152</f>
        <v>0.11895120469730715</v>
      </c>
      <c r="G152" s="41">
        <f>'Rådata-K'!U152</f>
        <v>0.12816359586960924</v>
      </c>
      <c r="H152" s="41">
        <f>'Rådata-K'!V152</f>
        <v>0.34505916213623289</v>
      </c>
      <c r="I152" s="41">
        <f>'Rådata-K'!W152</f>
        <v>0.87539321915414192</v>
      </c>
      <c r="J152" s="41">
        <f>'Rådata-K'!O152</f>
        <v>358400</v>
      </c>
      <c r="K152" s="41">
        <f>Tabell2[[#This Row],[NIBR11]]</f>
        <v>2</v>
      </c>
      <c r="L152" s="41">
        <f>IF(Tabell2[[#This Row],[ReisetidOslo]]&lt;=C$433,C$433,IF(Tabell2[[#This Row],[ReisetidOslo]]&gt;=C$434,C$434,Tabell2[[#This Row],[ReisetidOslo]]))</f>
        <v>167.557695524</v>
      </c>
      <c r="M152" s="41">
        <f>IF(Tabell2[[#This Row],[Beftettotal]]&lt;=D$433,D$433,IF(Tabell2[[#This Row],[Beftettotal]]&gt;=D$434,D$434,Tabell2[[#This Row],[Beftettotal]]))</f>
        <v>51.921156373193163</v>
      </c>
      <c r="N152" s="41">
        <f>IF(Tabell2[[#This Row],[Befvekst10]]&lt;=E$433,E$433,IF(Tabell2[[#This Row],[Befvekst10]]&gt;=E$434,E$434,Tabell2[[#This Row],[Befvekst10]]))</f>
        <v>0.10615901455767074</v>
      </c>
      <c r="O152" s="41">
        <f>IF(Tabell2[[#This Row],[Kvinneandel]]&lt;=F$433,F$433,IF(Tabell2[[#This Row],[Kvinneandel]]&gt;=F$434,F$434,Tabell2[[#This Row],[Kvinneandel]]))</f>
        <v>0.11895120469730715</v>
      </c>
      <c r="P152" s="41">
        <f>IF(Tabell2[[#This Row],[Eldreandel]]&lt;=G$433,G$433,IF(Tabell2[[#This Row],[Eldreandel]]&gt;=G$434,G$434,Tabell2[[#This Row],[Eldreandel]]))</f>
        <v>0.12816359586960924</v>
      </c>
      <c r="Q152" s="41">
        <f>IF(Tabell2[[#This Row],[Sysselsettingsvekst10]]&lt;=H$433,H$433,IF(Tabell2[[#This Row],[Sysselsettingsvekst10]]&gt;=H$434,H$434,Tabell2[[#This Row],[Sysselsettingsvekst10]]))</f>
        <v>0.24794749265568336</v>
      </c>
      <c r="R152" s="41">
        <f>IF(Tabell2[[#This Row],[Yrkesaktivandel]]&lt;=I$433,I$433,IF(Tabell2[[#This Row],[Yrkesaktivandel]]&gt;=I$434,I$434,Tabell2[[#This Row],[Yrkesaktivandel]]))</f>
        <v>0.87539321915414192</v>
      </c>
      <c r="S152" s="41">
        <f>IF(Tabell2[[#This Row],[Inntekt]]&lt;=J$433,J$433,IF(Tabell2[[#This Row],[Inntekt]]&gt;=J$434,J$434,Tabell2[[#This Row],[Inntekt]]))</f>
        <v>358400</v>
      </c>
      <c r="T152" s="44">
        <f>IF(Tabell2[[#This Row],[NIBR11-T]]&lt;=K$436,100,IF(Tabell2[[#This Row],[NIBR11-T]]&gt;=K$435,0,100*(K$435-Tabell2[[#This Row],[NIBR11-T]])/K$438))</f>
        <v>90</v>
      </c>
      <c r="U152" s="44">
        <f>(L$435-Tabell2[[#This Row],[ReisetidOslo-T]])*100/L$438</f>
        <v>49.499549818972078</v>
      </c>
      <c r="V152" s="44">
        <f>100-(M$435-Tabell2[[#This Row],[Beftettotal-T]])*100/M$438</f>
        <v>41.391455953941161</v>
      </c>
      <c r="W152" s="44">
        <f>100-(N$435-Tabell2[[#This Row],[Befvekst10-T]])*100/N$438</f>
        <v>81.949572427682838</v>
      </c>
      <c r="X152" s="44">
        <f>100-(O$435-Tabell2[[#This Row],[Kvinneandel-T]])*100/O$438</f>
        <v>74.523129329341515</v>
      </c>
      <c r="Y152" s="44">
        <f>(P$435-Tabell2[[#This Row],[Eldreandel-T]])*100/P$438</f>
        <v>83.336257165525652</v>
      </c>
      <c r="Z152" s="44">
        <f>100-(Q$435-Tabell2[[#This Row],[Sysselsettingsvekst10-T]])*100/Q$438</f>
        <v>100</v>
      </c>
      <c r="AA152" s="44">
        <f>100-(R$435-Tabell2[[#This Row],[Yrkesaktivandel-T]])*100/R$438</f>
        <v>36.56508852104087</v>
      </c>
      <c r="AB152" s="44">
        <f>100-(S$435-Tabell2[[#This Row],[Inntekt-T]])*100/S$438</f>
        <v>90.076128330614466</v>
      </c>
      <c r="AC152" s="44">
        <f>Tabell2[[#This Row],[NIBR11-I]]*Vekter!$B$3</f>
        <v>18</v>
      </c>
      <c r="AD152" s="44">
        <f>Tabell2[[#This Row],[ReisetidOslo-I]]*Vekter!$C$3</f>
        <v>4.949954981897208</v>
      </c>
      <c r="AE152" s="44">
        <f>Tabell2[[#This Row],[Beftettotal-I]]*Vekter!$E$4</f>
        <v>4.1391455953941163</v>
      </c>
      <c r="AF152" s="44">
        <f>Tabell2[[#This Row],[Befvekst10-I]]*Vekter!$F$3</f>
        <v>16.389914485536568</v>
      </c>
      <c r="AG152" s="44">
        <f>Tabell2[[#This Row],[Kvinneandel-I]]*Vekter!$G$3</f>
        <v>3.7261564664670761</v>
      </c>
      <c r="AH152" s="44">
        <f>Tabell2[[#This Row],[Eldreandel-I]]*Vekter!$H$3</f>
        <v>4.1668128582762831</v>
      </c>
      <c r="AI152" s="44">
        <f>Tabell2[[#This Row],[Sysselsettingsvekst10-I]]*Vekter!$I$3</f>
        <v>10</v>
      </c>
      <c r="AJ152" s="44">
        <f>Tabell2[[#This Row],[Yrkesaktivandel-I]]*Vekter!$K$3</f>
        <v>3.6565088521040874</v>
      </c>
      <c r="AK152" s="44">
        <f>Tabell2[[#This Row],[Inntekt-I]]*Vekter!$M$3</f>
        <v>9.0076128330614473</v>
      </c>
      <c r="AL15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74.036106072736771</v>
      </c>
    </row>
    <row r="153" spans="1:38" s="38" customFormat="1" ht="12.75">
      <c r="A153" s="42" t="s">
        <v>151</v>
      </c>
      <c r="B153" s="38">
        <f>'Rådata-K'!Q153</f>
        <v>2</v>
      </c>
      <c r="C153" s="44">
        <f>'Rådata-K'!P153</f>
        <v>165.76153669030001</v>
      </c>
      <c r="D153" s="41">
        <f>'Rådata-K'!R153</f>
        <v>7.1609735838981932</v>
      </c>
      <c r="E153" s="41">
        <f>'Rådata-K'!S153</f>
        <v>0.11888760139049825</v>
      </c>
      <c r="F153" s="41">
        <f>'Rådata-K'!T153</f>
        <v>0.12800331400165699</v>
      </c>
      <c r="G153" s="41">
        <f>'Rådata-K'!U153</f>
        <v>0.11578293289146645</v>
      </c>
      <c r="H153" s="41">
        <f>'Rådata-K'!V153</f>
        <v>7.6271186440677985E-2</v>
      </c>
      <c r="I153" s="41">
        <f>'Rådata-K'!W153</f>
        <v>0.89820578542658369</v>
      </c>
      <c r="J153" s="41">
        <f>'Rådata-K'!O153</f>
        <v>311000</v>
      </c>
      <c r="K153" s="41">
        <f>Tabell2[[#This Row],[NIBR11]]</f>
        <v>2</v>
      </c>
      <c r="L153" s="41">
        <f>IF(Tabell2[[#This Row],[ReisetidOslo]]&lt;=C$433,C$433,IF(Tabell2[[#This Row],[ReisetidOslo]]&gt;=C$434,C$434,Tabell2[[#This Row],[ReisetidOslo]]))</f>
        <v>165.76153669030001</v>
      </c>
      <c r="M153" s="41">
        <f>IF(Tabell2[[#This Row],[Beftettotal]]&lt;=D$433,D$433,IF(Tabell2[[#This Row],[Beftettotal]]&gt;=D$434,D$434,Tabell2[[#This Row],[Beftettotal]]))</f>
        <v>7.1609735838981932</v>
      </c>
      <c r="N153" s="41">
        <f>IF(Tabell2[[#This Row],[Befvekst10]]&lt;=E$433,E$433,IF(Tabell2[[#This Row],[Befvekst10]]&gt;=E$434,E$434,Tabell2[[#This Row],[Befvekst10]]))</f>
        <v>0.11888760139049825</v>
      </c>
      <c r="O153" s="41">
        <f>IF(Tabell2[[#This Row],[Kvinneandel]]&lt;=F$433,F$433,IF(Tabell2[[#This Row],[Kvinneandel]]&gt;=F$434,F$434,Tabell2[[#This Row],[Kvinneandel]]))</f>
        <v>0.12800331400165699</v>
      </c>
      <c r="P153" s="41">
        <f>IF(Tabell2[[#This Row],[Eldreandel]]&lt;=G$433,G$433,IF(Tabell2[[#This Row],[Eldreandel]]&gt;=G$434,G$434,Tabell2[[#This Row],[Eldreandel]]))</f>
        <v>0.11578293289146645</v>
      </c>
      <c r="Q153" s="41">
        <f>IF(Tabell2[[#This Row],[Sysselsettingsvekst10]]&lt;=H$433,H$433,IF(Tabell2[[#This Row],[Sysselsettingsvekst10]]&gt;=H$434,H$434,Tabell2[[#This Row],[Sysselsettingsvekst10]]))</f>
        <v>7.6271186440677985E-2</v>
      </c>
      <c r="R153" s="41">
        <f>IF(Tabell2[[#This Row],[Yrkesaktivandel]]&lt;=I$433,I$433,IF(Tabell2[[#This Row],[Yrkesaktivandel]]&gt;=I$434,I$434,Tabell2[[#This Row],[Yrkesaktivandel]]))</f>
        <v>0.89820578542658369</v>
      </c>
      <c r="S153" s="41">
        <f>IF(Tabell2[[#This Row],[Inntekt]]&lt;=J$433,J$433,IF(Tabell2[[#This Row],[Inntekt]]&gt;=J$434,J$434,Tabell2[[#This Row],[Inntekt]]))</f>
        <v>311000</v>
      </c>
      <c r="T153" s="44">
        <f>IF(Tabell2[[#This Row],[NIBR11-T]]&lt;=K$436,100,IF(Tabell2[[#This Row],[NIBR11-T]]&gt;=K$435,0,100*(K$435-Tabell2[[#This Row],[NIBR11-T]])/K$438))</f>
        <v>90</v>
      </c>
      <c r="U153" s="44">
        <f>(L$435-Tabell2[[#This Row],[ReisetidOslo-T]])*100/L$438</f>
        <v>50.296955596251358</v>
      </c>
      <c r="V153" s="44">
        <f>100-(M$435-Tabell2[[#This Row],[Beftettotal-T]])*100/M$438</f>
        <v>4.7773215016639483</v>
      </c>
      <c r="W153" s="44">
        <f>100-(N$435-Tabell2[[#This Row],[Befvekst10-T]])*100/N$438</f>
        <v>87.215578169059469</v>
      </c>
      <c r="X153" s="44">
        <f>100-(O$435-Tabell2[[#This Row],[Kvinneandel-T]])*100/O$438</f>
        <v>99.293874474604863</v>
      </c>
      <c r="Y153" s="44">
        <f>(P$435-Tabell2[[#This Row],[Eldreandel-T]])*100/P$438</f>
        <v>97.913195921964828</v>
      </c>
      <c r="Z153" s="44">
        <f>100-(Q$435-Tabell2[[#This Row],[Sysselsettingsvekst10-T]])*100/Q$438</f>
        <v>49.524233879466138</v>
      </c>
      <c r="AA153" s="44">
        <f>100-(R$435-Tabell2[[#This Row],[Yrkesaktivandel-T]])*100/R$438</f>
        <v>53.601093477871963</v>
      </c>
      <c r="AB153" s="44">
        <f>100-(S$435-Tabell2[[#This Row],[Inntekt-T]])*100/S$438</f>
        <v>25.638934203371392</v>
      </c>
      <c r="AC153" s="44">
        <f>Tabell2[[#This Row],[NIBR11-I]]*Vekter!$B$3</f>
        <v>18</v>
      </c>
      <c r="AD153" s="44">
        <f>Tabell2[[#This Row],[ReisetidOslo-I]]*Vekter!$C$3</f>
        <v>5.0296955596251358</v>
      </c>
      <c r="AE153" s="44">
        <f>Tabell2[[#This Row],[Beftettotal-I]]*Vekter!$E$4</f>
        <v>0.47773215016639486</v>
      </c>
      <c r="AF153" s="44">
        <f>Tabell2[[#This Row],[Befvekst10-I]]*Vekter!$F$3</f>
        <v>17.443115633811896</v>
      </c>
      <c r="AG153" s="44">
        <f>Tabell2[[#This Row],[Kvinneandel-I]]*Vekter!$G$3</f>
        <v>4.9646937237302433</v>
      </c>
      <c r="AH153" s="44">
        <f>Tabell2[[#This Row],[Eldreandel-I]]*Vekter!$H$3</f>
        <v>4.8956597960982418</v>
      </c>
      <c r="AI153" s="44">
        <f>Tabell2[[#This Row],[Sysselsettingsvekst10-I]]*Vekter!$I$3</f>
        <v>4.952423387946614</v>
      </c>
      <c r="AJ153" s="44">
        <f>Tabell2[[#This Row],[Yrkesaktivandel-I]]*Vekter!$K$3</f>
        <v>5.3601093477871968</v>
      </c>
      <c r="AK153" s="44">
        <f>Tabell2[[#This Row],[Inntekt-I]]*Vekter!$M$3</f>
        <v>2.5638934203371395</v>
      </c>
      <c r="AL15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63.687323019502863</v>
      </c>
    </row>
    <row r="154" spans="1:38" s="38" customFormat="1" ht="12.75">
      <c r="A154" s="42" t="s">
        <v>152</v>
      </c>
      <c r="B154" s="38">
        <f>'Rådata-K'!Q154</f>
        <v>4</v>
      </c>
      <c r="C154" s="44">
        <f>'Rådata-K'!P154</f>
        <v>195.034897704</v>
      </c>
      <c r="D154" s="41">
        <f>'Rådata-K'!R154</f>
        <v>1.6141728801266571</v>
      </c>
      <c r="E154" s="41">
        <f>'Rådata-K'!S154</f>
        <v>-1.5110631408526753E-2</v>
      </c>
      <c r="F154" s="41">
        <f>'Rådata-K'!T154</f>
        <v>9.8630136986301367E-2</v>
      </c>
      <c r="G154" s="41">
        <f>'Rådata-K'!U154</f>
        <v>0.1610958904109589</v>
      </c>
      <c r="H154" s="41">
        <f>'Rådata-K'!V154</f>
        <v>-1.4005602240896309E-3</v>
      </c>
      <c r="I154" s="41">
        <f>'Rådata-K'!W154</f>
        <v>0.81244019138755985</v>
      </c>
      <c r="J154" s="41">
        <f>'Rådata-K'!O154</f>
        <v>293800</v>
      </c>
      <c r="K154" s="41">
        <f>Tabell2[[#This Row],[NIBR11]]</f>
        <v>4</v>
      </c>
      <c r="L154" s="41">
        <f>IF(Tabell2[[#This Row],[ReisetidOslo]]&lt;=C$433,C$433,IF(Tabell2[[#This Row],[ReisetidOslo]]&gt;=C$434,C$434,Tabell2[[#This Row],[ReisetidOslo]]))</f>
        <v>195.034897704</v>
      </c>
      <c r="M154" s="41">
        <f>IF(Tabell2[[#This Row],[Beftettotal]]&lt;=D$433,D$433,IF(Tabell2[[#This Row],[Beftettotal]]&gt;=D$434,D$434,Tabell2[[#This Row],[Beftettotal]]))</f>
        <v>1.6141728801266571</v>
      </c>
      <c r="N154" s="41">
        <f>IF(Tabell2[[#This Row],[Befvekst10]]&lt;=E$433,E$433,IF(Tabell2[[#This Row],[Befvekst10]]&gt;=E$434,E$434,Tabell2[[#This Row],[Befvekst10]]))</f>
        <v>-1.5110631408526753E-2</v>
      </c>
      <c r="O154" s="41">
        <f>IF(Tabell2[[#This Row],[Kvinneandel]]&lt;=F$433,F$433,IF(Tabell2[[#This Row],[Kvinneandel]]&gt;=F$434,F$434,Tabell2[[#This Row],[Kvinneandel]]))</f>
        <v>9.8630136986301367E-2</v>
      </c>
      <c r="P154" s="41">
        <f>IF(Tabell2[[#This Row],[Eldreandel]]&lt;=G$433,G$433,IF(Tabell2[[#This Row],[Eldreandel]]&gt;=G$434,G$434,Tabell2[[#This Row],[Eldreandel]]))</f>
        <v>0.1610958904109589</v>
      </c>
      <c r="Q154" s="41">
        <f>IF(Tabell2[[#This Row],[Sysselsettingsvekst10]]&lt;=H$433,H$433,IF(Tabell2[[#This Row],[Sysselsettingsvekst10]]&gt;=H$434,H$434,Tabell2[[#This Row],[Sysselsettingsvekst10]]))</f>
        <v>-1.4005602240896309E-3</v>
      </c>
      <c r="R154" s="41">
        <f>IF(Tabell2[[#This Row],[Yrkesaktivandel]]&lt;=I$433,I$433,IF(Tabell2[[#This Row],[Yrkesaktivandel]]&gt;=I$434,I$434,Tabell2[[#This Row],[Yrkesaktivandel]]))</f>
        <v>0.82642965596795781</v>
      </c>
      <c r="S154" s="41">
        <f>IF(Tabell2[[#This Row],[Inntekt]]&lt;=J$433,J$433,IF(Tabell2[[#This Row],[Inntekt]]&gt;=J$434,J$434,Tabell2[[#This Row],[Inntekt]]))</f>
        <v>293800</v>
      </c>
      <c r="T154" s="44">
        <f>IF(Tabell2[[#This Row],[NIBR11-T]]&lt;=K$436,100,IF(Tabell2[[#This Row],[NIBR11-T]]&gt;=K$435,0,100*(K$435-Tabell2[[#This Row],[NIBR11-T]])/K$438))</f>
        <v>70</v>
      </c>
      <c r="U154" s="44">
        <f>(L$435-Tabell2[[#This Row],[ReisetidOslo-T]])*100/L$438</f>
        <v>37.301029648755012</v>
      </c>
      <c r="V154" s="44">
        <f>100-(M$435-Tabell2[[#This Row],[Beftettotal-T]])*100/M$438</f>
        <v>0.24000073816499423</v>
      </c>
      <c r="W154" s="44">
        <f>100-(N$435-Tabell2[[#This Row],[Befvekst10-T]])*100/N$438</f>
        <v>31.778515711023857</v>
      </c>
      <c r="X154" s="44">
        <f>100-(O$435-Tabell2[[#This Row],[Kvinneandel-T]])*100/O$438</f>
        <v>18.915317666364871</v>
      </c>
      <c r="Y154" s="44">
        <f>(P$435-Tabell2[[#This Row],[Eldreandel-T]])*100/P$438</f>
        <v>44.561916769880447</v>
      </c>
      <c r="Z154" s="44">
        <f>100-(Q$435-Tabell2[[#This Row],[Sysselsettingsvekst10-T]])*100/Q$438</f>
        <v>26.687413789021477</v>
      </c>
      <c r="AA154" s="44">
        <f>100-(R$435-Tabell2[[#This Row],[Yrkesaktivandel-T]])*100/R$438</f>
        <v>0</v>
      </c>
      <c r="AB154" s="44">
        <f>100-(S$435-Tabell2[[#This Row],[Inntekt-T]])*100/S$438</f>
        <v>2.2566612289287633</v>
      </c>
      <c r="AC154" s="44">
        <f>Tabell2[[#This Row],[NIBR11-I]]*Vekter!$B$3</f>
        <v>14</v>
      </c>
      <c r="AD154" s="44">
        <f>Tabell2[[#This Row],[ReisetidOslo-I]]*Vekter!$C$3</f>
        <v>3.7301029648755013</v>
      </c>
      <c r="AE154" s="44">
        <f>Tabell2[[#This Row],[Beftettotal-I]]*Vekter!$E$4</f>
        <v>2.4000073816499424E-2</v>
      </c>
      <c r="AF154" s="44">
        <f>Tabell2[[#This Row],[Befvekst10-I]]*Vekter!$F$3</f>
        <v>6.3557031422047716</v>
      </c>
      <c r="AG154" s="44">
        <f>Tabell2[[#This Row],[Kvinneandel-I]]*Vekter!$G$3</f>
        <v>0.94576588331824363</v>
      </c>
      <c r="AH154" s="44">
        <f>Tabell2[[#This Row],[Eldreandel-I]]*Vekter!$H$3</f>
        <v>2.2280958384940224</v>
      </c>
      <c r="AI154" s="44">
        <f>Tabell2[[#This Row],[Sysselsettingsvekst10-I]]*Vekter!$I$3</f>
        <v>2.6687413789021477</v>
      </c>
      <c r="AJ154" s="44">
        <f>Tabell2[[#This Row],[Yrkesaktivandel-I]]*Vekter!$K$3</f>
        <v>0</v>
      </c>
      <c r="AK154" s="44">
        <f>Tabell2[[#This Row],[Inntekt-I]]*Vekter!$M$3</f>
        <v>0.22566612289287635</v>
      </c>
      <c r="AL15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30.178075404504064</v>
      </c>
    </row>
    <row r="155" spans="1:38" s="38" customFormat="1" ht="12.75">
      <c r="A155" s="42" t="s">
        <v>153</v>
      </c>
      <c r="B155" s="38">
        <f>'Rådata-K'!Q155</f>
        <v>2</v>
      </c>
      <c r="C155" s="44">
        <f>'Rådata-K'!P155</f>
        <v>182.4194957501</v>
      </c>
      <c r="D155" s="41">
        <f>'Rådata-K'!R155</f>
        <v>4.9612047548064062</v>
      </c>
      <c r="E155" s="41">
        <f>'Rådata-K'!S155</f>
        <v>0.16621743036837366</v>
      </c>
      <c r="F155" s="41">
        <f>'Rådata-K'!T155</f>
        <v>0.12942989214175654</v>
      </c>
      <c r="G155" s="41">
        <f>'Rådata-K'!U155</f>
        <v>0.10400616332819723</v>
      </c>
      <c r="H155" s="41">
        <f>'Rådata-K'!V155</f>
        <v>0.34602076124567471</v>
      </c>
      <c r="I155" s="41">
        <f>'Rådata-K'!W155</f>
        <v>0.81735751295336789</v>
      </c>
      <c r="J155" s="41">
        <f>'Rådata-K'!O155</f>
        <v>303300</v>
      </c>
      <c r="K155" s="41">
        <f>Tabell2[[#This Row],[NIBR11]]</f>
        <v>2</v>
      </c>
      <c r="L155" s="41">
        <f>IF(Tabell2[[#This Row],[ReisetidOslo]]&lt;=C$433,C$433,IF(Tabell2[[#This Row],[ReisetidOslo]]&gt;=C$434,C$434,Tabell2[[#This Row],[ReisetidOslo]]))</f>
        <v>182.4194957501</v>
      </c>
      <c r="M155" s="41">
        <f>IF(Tabell2[[#This Row],[Beftettotal]]&lt;=D$433,D$433,IF(Tabell2[[#This Row],[Beftettotal]]&gt;=D$434,D$434,Tabell2[[#This Row],[Beftettotal]]))</f>
        <v>4.9612047548064062</v>
      </c>
      <c r="N155" s="41">
        <f>IF(Tabell2[[#This Row],[Befvekst10]]&lt;=E$433,E$433,IF(Tabell2[[#This Row],[Befvekst10]]&gt;=E$434,E$434,Tabell2[[#This Row],[Befvekst10]]))</f>
        <v>0.149789129298837</v>
      </c>
      <c r="O155" s="41">
        <f>IF(Tabell2[[#This Row],[Kvinneandel]]&lt;=F$433,F$433,IF(Tabell2[[#This Row],[Kvinneandel]]&gt;=F$434,F$434,Tabell2[[#This Row],[Kvinneandel]]))</f>
        <v>0.12826135732659469</v>
      </c>
      <c r="P155" s="41">
        <f>IF(Tabell2[[#This Row],[Eldreandel]]&lt;=G$433,G$433,IF(Tabell2[[#This Row],[Eldreandel]]&gt;=G$434,G$434,Tabell2[[#This Row],[Eldreandel]]))</f>
        <v>0.11401054306234992</v>
      </c>
      <c r="Q155" s="41">
        <f>IF(Tabell2[[#This Row],[Sysselsettingsvekst10]]&lt;=H$433,H$433,IF(Tabell2[[#This Row],[Sysselsettingsvekst10]]&gt;=H$434,H$434,Tabell2[[#This Row],[Sysselsettingsvekst10]]))</f>
        <v>0.24794749265568336</v>
      </c>
      <c r="R155" s="41">
        <f>IF(Tabell2[[#This Row],[Yrkesaktivandel]]&lt;=I$433,I$433,IF(Tabell2[[#This Row],[Yrkesaktivandel]]&gt;=I$434,I$434,Tabell2[[#This Row],[Yrkesaktivandel]]))</f>
        <v>0.82642965596795781</v>
      </c>
      <c r="S155" s="41">
        <f>IF(Tabell2[[#This Row],[Inntekt]]&lt;=J$433,J$433,IF(Tabell2[[#This Row],[Inntekt]]&gt;=J$434,J$434,Tabell2[[#This Row],[Inntekt]]))</f>
        <v>303300</v>
      </c>
      <c r="T155" s="44">
        <f>IF(Tabell2[[#This Row],[NIBR11-T]]&lt;=K$436,100,IF(Tabell2[[#This Row],[NIBR11-T]]&gt;=K$435,0,100*(K$435-Tabell2[[#This Row],[NIBR11-T]])/K$438))</f>
        <v>90</v>
      </c>
      <c r="U155" s="44">
        <f>(L$435-Tabell2[[#This Row],[ReisetidOslo-T]])*100/L$438</f>
        <v>42.901644812625563</v>
      </c>
      <c r="V155" s="44">
        <f>100-(M$435-Tabell2[[#This Row],[Beftettotal-T]])*100/M$438</f>
        <v>2.9778956134489079</v>
      </c>
      <c r="W155" s="44">
        <f>100-(N$435-Tabell2[[#This Row],[Befvekst10-T]])*100/N$438</f>
        <v>100</v>
      </c>
      <c r="X155" s="44">
        <f>100-(O$435-Tabell2[[#This Row],[Kvinneandel-T]])*100/O$438</f>
        <v>100</v>
      </c>
      <c r="Y155" s="44">
        <f>(P$435-Tabell2[[#This Row],[Eldreandel-T]])*100/P$438</f>
        <v>100</v>
      </c>
      <c r="Z155" s="44">
        <f>100-(Q$435-Tabell2[[#This Row],[Sysselsettingsvekst10-T]])*100/Q$438</f>
        <v>100</v>
      </c>
      <c r="AA155" s="44">
        <f>100-(R$435-Tabell2[[#This Row],[Yrkesaktivandel-T]])*100/R$438</f>
        <v>0</v>
      </c>
      <c r="AB155" s="44">
        <f>100-(S$435-Tabell2[[#This Row],[Inntekt-T]])*100/S$438</f>
        <v>15.171288743882542</v>
      </c>
      <c r="AC155" s="44">
        <f>Tabell2[[#This Row],[NIBR11-I]]*Vekter!$B$3</f>
        <v>18</v>
      </c>
      <c r="AD155" s="44">
        <f>Tabell2[[#This Row],[ReisetidOslo-I]]*Vekter!$C$3</f>
        <v>4.2901644812625568</v>
      </c>
      <c r="AE155" s="44">
        <f>Tabell2[[#This Row],[Beftettotal-I]]*Vekter!$E$4</f>
        <v>0.29778956134489082</v>
      </c>
      <c r="AF155" s="44">
        <f>Tabell2[[#This Row],[Befvekst10-I]]*Vekter!$F$3</f>
        <v>20</v>
      </c>
      <c r="AG155" s="44">
        <f>Tabell2[[#This Row],[Kvinneandel-I]]*Vekter!$G$3</f>
        <v>5</v>
      </c>
      <c r="AH155" s="44">
        <f>Tabell2[[#This Row],[Eldreandel-I]]*Vekter!$H$3</f>
        <v>5</v>
      </c>
      <c r="AI155" s="44">
        <f>Tabell2[[#This Row],[Sysselsettingsvekst10-I]]*Vekter!$I$3</f>
        <v>10</v>
      </c>
      <c r="AJ155" s="44">
        <f>Tabell2[[#This Row],[Yrkesaktivandel-I]]*Vekter!$K$3</f>
        <v>0</v>
      </c>
      <c r="AK155" s="44">
        <f>Tabell2[[#This Row],[Inntekt-I]]*Vekter!$M$3</f>
        <v>1.5171288743882543</v>
      </c>
      <c r="AL15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64.105082916995698</v>
      </c>
    </row>
    <row r="156" spans="1:38" s="38" customFormat="1" ht="12.75">
      <c r="A156" s="42" t="s">
        <v>154</v>
      </c>
      <c r="B156" s="38">
        <f>'Rådata-K'!Q156</f>
        <v>5</v>
      </c>
      <c r="C156" s="44">
        <f>'Rådata-K'!P156</f>
        <v>200.94224946590001</v>
      </c>
      <c r="D156" s="41">
        <f>'Rådata-K'!R156</f>
        <v>6.353822107520628</v>
      </c>
      <c r="E156" s="41">
        <f>'Rådata-K'!S156</f>
        <v>4.7647587653581125E-2</v>
      </c>
      <c r="F156" s="41">
        <f>'Rådata-K'!T156</f>
        <v>0.11784897025171624</v>
      </c>
      <c r="G156" s="41">
        <f>'Rådata-K'!U156</f>
        <v>0.15245995423340961</v>
      </c>
      <c r="H156" s="41">
        <f>'Rådata-K'!V156</f>
        <v>0.25791505791505798</v>
      </c>
      <c r="I156" s="41">
        <f>'Rådata-K'!W156</f>
        <v>0.88428059395801328</v>
      </c>
      <c r="J156" s="41">
        <f>'Rådata-K'!O156</f>
        <v>320800</v>
      </c>
      <c r="K156" s="41">
        <f>Tabell2[[#This Row],[NIBR11]]</f>
        <v>5</v>
      </c>
      <c r="L156" s="41">
        <f>IF(Tabell2[[#This Row],[ReisetidOslo]]&lt;=C$433,C$433,IF(Tabell2[[#This Row],[ReisetidOslo]]&gt;=C$434,C$434,Tabell2[[#This Row],[ReisetidOslo]]))</f>
        <v>200.94224946590001</v>
      </c>
      <c r="M156" s="41">
        <f>IF(Tabell2[[#This Row],[Beftettotal]]&lt;=D$433,D$433,IF(Tabell2[[#This Row],[Beftettotal]]&gt;=D$434,D$434,Tabell2[[#This Row],[Beftettotal]]))</f>
        <v>6.353822107520628</v>
      </c>
      <c r="N156" s="41">
        <f>IF(Tabell2[[#This Row],[Befvekst10]]&lt;=E$433,E$433,IF(Tabell2[[#This Row],[Befvekst10]]&gt;=E$434,E$434,Tabell2[[#This Row],[Befvekst10]]))</f>
        <v>4.7647587653581125E-2</v>
      </c>
      <c r="O156" s="41">
        <f>IF(Tabell2[[#This Row],[Kvinneandel]]&lt;=F$433,F$433,IF(Tabell2[[#This Row],[Kvinneandel]]&gt;=F$434,F$434,Tabell2[[#This Row],[Kvinneandel]]))</f>
        <v>0.11784897025171624</v>
      </c>
      <c r="P156" s="41">
        <f>IF(Tabell2[[#This Row],[Eldreandel]]&lt;=G$433,G$433,IF(Tabell2[[#This Row],[Eldreandel]]&gt;=G$434,G$434,Tabell2[[#This Row],[Eldreandel]]))</f>
        <v>0.15245995423340961</v>
      </c>
      <c r="Q156" s="41">
        <f>IF(Tabell2[[#This Row],[Sysselsettingsvekst10]]&lt;=H$433,H$433,IF(Tabell2[[#This Row],[Sysselsettingsvekst10]]&gt;=H$434,H$434,Tabell2[[#This Row],[Sysselsettingsvekst10]]))</f>
        <v>0.24794749265568336</v>
      </c>
      <c r="R156" s="41">
        <f>IF(Tabell2[[#This Row],[Yrkesaktivandel]]&lt;=I$433,I$433,IF(Tabell2[[#This Row],[Yrkesaktivandel]]&gt;=I$434,I$434,Tabell2[[#This Row],[Yrkesaktivandel]]))</f>
        <v>0.88428059395801328</v>
      </c>
      <c r="S156" s="41">
        <f>IF(Tabell2[[#This Row],[Inntekt]]&lt;=J$433,J$433,IF(Tabell2[[#This Row],[Inntekt]]&gt;=J$434,J$434,Tabell2[[#This Row],[Inntekt]]))</f>
        <v>320800</v>
      </c>
      <c r="T156" s="44">
        <f>IF(Tabell2[[#This Row],[NIBR11-T]]&lt;=K$436,100,IF(Tabell2[[#This Row],[NIBR11-T]]&gt;=K$435,0,100*(K$435-Tabell2[[#This Row],[NIBR11-T]])/K$438))</f>
        <v>60</v>
      </c>
      <c r="U156" s="44">
        <f>(L$435-Tabell2[[#This Row],[ReisetidOslo-T]])*100/L$438</f>
        <v>34.678457337788217</v>
      </c>
      <c r="V156" s="44">
        <f>100-(M$435-Tabell2[[#This Row],[Beftettotal-T]])*100/M$438</f>
        <v>4.1170660952336107</v>
      </c>
      <c r="W156" s="44">
        <f>100-(N$435-Tabell2[[#This Row],[Befvekst10-T]])*100/N$438</f>
        <v>57.742524617911997</v>
      </c>
      <c r="X156" s="44">
        <f>100-(O$435-Tabell2[[#This Row],[Kvinneandel-T]])*100/O$438</f>
        <v>71.506907626302322</v>
      </c>
      <c r="Y156" s="44">
        <f>(P$435-Tabell2[[#This Row],[Eldreandel-T]])*100/P$438</f>
        <v>54.729830474251195</v>
      </c>
      <c r="Z156" s="44">
        <f>100-(Q$435-Tabell2[[#This Row],[Sysselsettingsvekst10-T]])*100/Q$438</f>
        <v>100</v>
      </c>
      <c r="AA156" s="44">
        <f>100-(R$435-Tabell2[[#This Row],[Yrkesaktivandel-T]])*100/R$438</f>
        <v>43.20201658094399</v>
      </c>
      <c r="AB156" s="44">
        <f>100-(S$435-Tabell2[[#This Row],[Inntekt-T]])*100/S$438</f>
        <v>38.961392060902668</v>
      </c>
      <c r="AC156" s="44">
        <f>Tabell2[[#This Row],[NIBR11-I]]*Vekter!$B$3</f>
        <v>12</v>
      </c>
      <c r="AD156" s="44">
        <f>Tabell2[[#This Row],[ReisetidOslo-I]]*Vekter!$C$3</f>
        <v>3.4678457337788218</v>
      </c>
      <c r="AE156" s="44">
        <f>Tabell2[[#This Row],[Beftettotal-I]]*Vekter!$E$4</f>
        <v>0.41170660952336108</v>
      </c>
      <c r="AF156" s="44">
        <f>Tabell2[[#This Row],[Befvekst10-I]]*Vekter!$F$3</f>
        <v>11.548504923582399</v>
      </c>
      <c r="AG156" s="44">
        <f>Tabell2[[#This Row],[Kvinneandel-I]]*Vekter!$G$3</f>
        <v>3.5753453813151164</v>
      </c>
      <c r="AH156" s="44">
        <f>Tabell2[[#This Row],[Eldreandel-I]]*Vekter!$H$3</f>
        <v>2.73649152371256</v>
      </c>
      <c r="AI156" s="44">
        <f>Tabell2[[#This Row],[Sysselsettingsvekst10-I]]*Vekter!$I$3</f>
        <v>10</v>
      </c>
      <c r="AJ156" s="44">
        <f>Tabell2[[#This Row],[Yrkesaktivandel-I]]*Vekter!$K$3</f>
        <v>4.3202016580943994</v>
      </c>
      <c r="AK156" s="44">
        <f>Tabell2[[#This Row],[Inntekt-I]]*Vekter!$M$3</f>
        <v>3.8961392060902669</v>
      </c>
      <c r="AL15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51.956235036096921</v>
      </c>
    </row>
    <row r="157" spans="1:38" s="38" customFormat="1" ht="12.75">
      <c r="A157" s="42" t="s">
        <v>155</v>
      </c>
      <c r="B157" s="38">
        <f>'Rådata-K'!Q157</f>
        <v>5</v>
      </c>
      <c r="C157" s="44">
        <f>'Rådata-K'!P157</f>
        <v>226.9347835088</v>
      </c>
      <c r="D157" s="41">
        <f>'Rådata-K'!R157</f>
        <v>0.92936377844699414</v>
      </c>
      <c r="E157" s="41">
        <f>'Rådata-K'!S157</f>
        <v>-7.2298325722983225E-2</v>
      </c>
      <c r="F157" s="41">
        <f>'Rådata-K'!T157</f>
        <v>9.6800656275635763E-2</v>
      </c>
      <c r="G157" s="41">
        <f>'Rådata-K'!U157</f>
        <v>0.16570959803117311</v>
      </c>
      <c r="H157" s="41">
        <f>'Rådata-K'!V157</f>
        <v>-0.30728476821192052</v>
      </c>
      <c r="I157" s="41">
        <f>'Rådata-K'!W157</f>
        <v>0.85257301808066754</v>
      </c>
      <c r="J157" s="41">
        <f>'Rådata-K'!O157</f>
        <v>310900</v>
      </c>
      <c r="K157" s="41">
        <f>Tabell2[[#This Row],[NIBR11]]</f>
        <v>5</v>
      </c>
      <c r="L157" s="41">
        <f>IF(Tabell2[[#This Row],[ReisetidOslo]]&lt;=C$433,C$433,IF(Tabell2[[#This Row],[ReisetidOslo]]&gt;=C$434,C$434,Tabell2[[#This Row],[ReisetidOslo]]))</f>
        <v>226.9347835088</v>
      </c>
      <c r="M157" s="41">
        <f>IF(Tabell2[[#This Row],[Beftettotal]]&lt;=D$433,D$433,IF(Tabell2[[#This Row],[Beftettotal]]&gt;=D$434,D$434,Tabell2[[#This Row],[Beftettotal]]))</f>
        <v>1.3207758882127238</v>
      </c>
      <c r="N157" s="41">
        <f>IF(Tabell2[[#This Row],[Befvekst10]]&lt;=E$433,E$433,IF(Tabell2[[#This Row],[Befvekst10]]&gt;=E$434,E$434,Tabell2[[#This Row],[Befvekst10]]))</f>
        <v>-7.2298325722983225E-2</v>
      </c>
      <c r="O157" s="41">
        <f>IF(Tabell2[[#This Row],[Kvinneandel]]&lt;=F$433,F$433,IF(Tabell2[[#This Row],[Kvinneandel]]&gt;=F$434,F$434,Tabell2[[#This Row],[Kvinneandel]]))</f>
        <v>9.6800656275635763E-2</v>
      </c>
      <c r="P157" s="41">
        <f>IF(Tabell2[[#This Row],[Eldreandel]]&lt;=G$433,G$433,IF(Tabell2[[#This Row],[Eldreandel]]&gt;=G$434,G$434,Tabell2[[#This Row],[Eldreandel]]))</f>
        <v>0.16570959803117311</v>
      </c>
      <c r="Q157" s="41">
        <f>IF(Tabell2[[#This Row],[Sysselsettingsvekst10]]&lt;=H$433,H$433,IF(Tabell2[[#This Row],[Sysselsettingsvekst10]]&gt;=H$434,H$434,Tabell2[[#This Row],[Sysselsettingsvekst10]]))</f>
        <v>-9.2168803558721979E-2</v>
      </c>
      <c r="R157" s="41">
        <f>IF(Tabell2[[#This Row],[Yrkesaktivandel]]&lt;=I$433,I$433,IF(Tabell2[[#This Row],[Yrkesaktivandel]]&gt;=I$434,I$434,Tabell2[[#This Row],[Yrkesaktivandel]]))</f>
        <v>0.85257301808066754</v>
      </c>
      <c r="S157" s="41">
        <f>IF(Tabell2[[#This Row],[Inntekt]]&lt;=J$433,J$433,IF(Tabell2[[#This Row],[Inntekt]]&gt;=J$434,J$434,Tabell2[[#This Row],[Inntekt]]))</f>
        <v>310900</v>
      </c>
      <c r="T157" s="44">
        <f>IF(Tabell2[[#This Row],[NIBR11-T]]&lt;=K$436,100,IF(Tabell2[[#This Row],[NIBR11-T]]&gt;=K$435,0,100*(K$435-Tabell2[[#This Row],[NIBR11-T]])/K$438))</f>
        <v>60</v>
      </c>
      <c r="U157" s="44">
        <f>(L$435-Tabell2[[#This Row],[ReisetidOslo-T]])*100/L$438</f>
        <v>23.139056465738836</v>
      </c>
      <c r="V157" s="44">
        <f>100-(M$435-Tabell2[[#This Row],[Beftettotal-T]])*100/M$438</f>
        <v>0</v>
      </c>
      <c r="W157" s="44">
        <f>100-(N$435-Tabell2[[#This Row],[Befvekst10-T]])*100/N$438</f>
        <v>8.1191157673207215</v>
      </c>
      <c r="X157" s="44">
        <f>100-(O$435-Tabell2[[#This Row],[Kvinneandel-T]])*100/O$438</f>
        <v>13.909014835896798</v>
      </c>
      <c r="Y157" s="44">
        <f>(P$435-Tabell2[[#This Row],[Eldreandel-T]])*100/P$438</f>
        <v>39.129757479322961</v>
      </c>
      <c r="Z157" s="44">
        <f>100-(Q$435-Tabell2[[#This Row],[Sysselsettingsvekst10-T]])*100/Q$438</f>
        <v>0</v>
      </c>
      <c r="AA157" s="44">
        <f>100-(R$435-Tabell2[[#This Row],[Yrkesaktivandel-T]])*100/R$438</f>
        <v>19.523382035206751</v>
      </c>
      <c r="AB157" s="44">
        <f>100-(S$435-Tabell2[[#This Row],[Inntekt-T]])*100/S$438</f>
        <v>25.502990755845573</v>
      </c>
      <c r="AC157" s="44">
        <f>Tabell2[[#This Row],[NIBR11-I]]*Vekter!$B$3</f>
        <v>12</v>
      </c>
      <c r="AD157" s="44">
        <f>Tabell2[[#This Row],[ReisetidOslo-I]]*Vekter!$C$3</f>
        <v>2.3139056465738839</v>
      </c>
      <c r="AE157" s="44">
        <f>Tabell2[[#This Row],[Beftettotal-I]]*Vekter!$E$4</f>
        <v>0</v>
      </c>
      <c r="AF157" s="44">
        <f>Tabell2[[#This Row],[Befvekst10-I]]*Vekter!$F$3</f>
        <v>1.6238231534641443</v>
      </c>
      <c r="AG157" s="44">
        <f>Tabell2[[#This Row],[Kvinneandel-I]]*Vekter!$G$3</f>
        <v>0.6954507417948399</v>
      </c>
      <c r="AH157" s="44">
        <f>Tabell2[[#This Row],[Eldreandel-I]]*Vekter!$H$3</f>
        <v>1.9564878739661482</v>
      </c>
      <c r="AI157" s="44">
        <f>Tabell2[[#This Row],[Sysselsettingsvekst10-I]]*Vekter!$I$3</f>
        <v>0</v>
      </c>
      <c r="AJ157" s="44">
        <f>Tabell2[[#This Row],[Yrkesaktivandel-I]]*Vekter!$K$3</f>
        <v>1.9523382035206751</v>
      </c>
      <c r="AK157" s="44">
        <f>Tabell2[[#This Row],[Inntekt-I]]*Vekter!$M$3</f>
        <v>2.5502990755845576</v>
      </c>
      <c r="AL15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23.092304694904247</v>
      </c>
    </row>
    <row r="158" spans="1:38" s="38" customFormat="1" ht="12.75">
      <c r="A158" s="42" t="s">
        <v>156</v>
      </c>
      <c r="B158" s="38">
        <f>'Rådata-K'!Q158</f>
        <v>11</v>
      </c>
      <c r="C158" s="44">
        <f>'Rådata-K'!P158</f>
        <v>226.27603550000001</v>
      </c>
      <c r="D158" s="41">
        <f>'Rådata-K'!R158</f>
        <v>1.0222394396262064</v>
      </c>
      <c r="E158" s="41">
        <f>'Rådata-K'!S158</f>
        <v>-0.10145934676858925</v>
      </c>
      <c r="F158" s="41">
        <f>'Rådata-K'!T158</f>
        <v>9.3580819798917247E-2</v>
      </c>
      <c r="G158" s="41">
        <f>'Rådata-K'!U158</f>
        <v>0.16009280742459397</v>
      </c>
      <c r="H158" s="41">
        <f>'Rådata-K'!V158</f>
        <v>9.2307692307692202E-2</v>
      </c>
      <c r="I158" s="41">
        <f>'Rådata-K'!W158</f>
        <v>0.92991913746630728</v>
      </c>
      <c r="J158" s="41">
        <f>'Rådata-K'!O158</f>
        <v>333000</v>
      </c>
      <c r="K158" s="41">
        <f>Tabell2[[#This Row],[NIBR11]]</f>
        <v>11</v>
      </c>
      <c r="L158" s="41">
        <f>IF(Tabell2[[#This Row],[ReisetidOslo]]&lt;=C$433,C$433,IF(Tabell2[[#This Row],[ReisetidOslo]]&gt;=C$434,C$434,Tabell2[[#This Row],[ReisetidOslo]]))</f>
        <v>226.27603550000001</v>
      </c>
      <c r="M158" s="41">
        <f>IF(Tabell2[[#This Row],[Beftettotal]]&lt;=D$433,D$433,IF(Tabell2[[#This Row],[Beftettotal]]&gt;=D$434,D$434,Tabell2[[#This Row],[Beftettotal]]))</f>
        <v>1.3207758882127238</v>
      </c>
      <c r="N158" s="41">
        <f>IF(Tabell2[[#This Row],[Befvekst10]]&lt;=E$433,E$433,IF(Tabell2[[#This Row],[Befvekst10]]&gt;=E$434,E$434,Tabell2[[#This Row],[Befvekst10]]))</f>
        <v>-9.1923232174966049E-2</v>
      </c>
      <c r="O158" s="41">
        <f>IF(Tabell2[[#This Row],[Kvinneandel]]&lt;=F$433,F$433,IF(Tabell2[[#This Row],[Kvinneandel]]&gt;=F$434,F$434,Tabell2[[#This Row],[Kvinneandel]]))</f>
        <v>9.3580819798917247E-2</v>
      </c>
      <c r="P158" s="41">
        <f>IF(Tabell2[[#This Row],[Eldreandel]]&lt;=G$433,G$433,IF(Tabell2[[#This Row],[Eldreandel]]&gt;=G$434,G$434,Tabell2[[#This Row],[Eldreandel]]))</f>
        <v>0.16009280742459397</v>
      </c>
      <c r="Q158" s="41">
        <f>IF(Tabell2[[#This Row],[Sysselsettingsvekst10]]&lt;=H$433,H$433,IF(Tabell2[[#This Row],[Sysselsettingsvekst10]]&gt;=H$434,H$434,Tabell2[[#This Row],[Sysselsettingsvekst10]]))</f>
        <v>9.2307692307692202E-2</v>
      </c>
      <c r="R158" s="41">
        <f>IF(Tabell2[[#This Row],[Yrkesaktivandel]]&lt;=I$433,I$433,IF(Tabell2[[#This Row],[Yrkesaktivandel]]&gt;=I$434,I$434,Tabell2[[#This Row],[Yrkesaktivandel]]))</f>
        <v>0.92991913746630728</v>
      </c>
      <c r="S158" s="41">
        <f>IF(Tabell2[[#This Row],[Inntekt]]&lt;=J$433,J$433,IF(Tabell2[[#This Row],[Inntekt]]&gt;=J$434,J$434,Tabell2[[#This Row],[Inntekt]]))</f>
        <v>333000</v>
      </c>
      <c r="T158" s="44">
        <f>IF(Tabell2[[#This Row],[NIBR11-T]]&lt;=K$436,100,IF(Tabell2[[#This Row],[NIBR11-T]]&gt;=K$435,0,100*(K$435-Tabell2[[#This Row],[NIBR11-T]])/K$438))</f>
        <v>0</v>
      </c>
      <c r="U158" s="44">
        <f>(L$435-Tabell2[[#This Row],[ReisetidOslo-T]])*100/L$438</f>
        <v>23.431508034126178</v>
      </c>
      <c r="V158" s="44">
        <f>100-(M$435-Tabell2[[#This Row],[Beftettotal-T]])*100/M$438</f>
        <v>0</v>
      </c>
      <c r="W158" s="44">
        <f>100-(N$435-Tabell2[[#This Row],[Befvekst10-T]])*100/N$438</f>
        <v>0</v>
      </c>
      <c r="X158" s="44">
        <f>100-(O$435-Tabell2[[#This Row],[Kvinneandel-T]])*100/O$438</f>
        <v>5.0980575117413309</v>
      </c>
      <c r="Y158" s="44">
        <f>(P$435-Tabell2[[#This Row],[Eldreandel-T]])*100/P$438</f>
        <v>45.74294231638644</v>
      </c>
      <c r="Z158" s="44">
        <f>100-(Q$435-Tabell2[[#This Row],[Sysselsettingsvekst10-T]])*100/Q$438</f>
        <v>54.239240494998903</v>
      </c>
      <c r="AA158" s="44">
        <f>100-(R$435-Tabell2[[#This Row],[Yrkesaktivandel-T]])*100/R$438</f>
        <v>77.284041555446223</v>
      </c>
      <c r="AB158" s="44">
        <f>100-(S$435-Tabell2[[#This Row],[Inntekt-T]])*100/S$438</f>
        <v>55.546492659053833</v>
      </c>
      <c r="AC158" s="44">
        <f>Tabell2[[#This Row],[NIBR11-I]]*Vekter!$B$3</f>
        <v>0</v>
      </c>
      <c r="AD158" s="44">
        <f>Tabell2[[#This Row],[ReisetidOslo-I]]*Vekter!$C$3</f>
        <v>2.3431508034126178</v>
      </c>
      <c r="AE158" s="44">
        <f>Tabell2[[#This Row],[Beftettotal-I]]*Vekter!$E$4</f>
        <v>0</v>
      </c>
      <c r="AF158" s="44">
        <f>Tabell2[[#This Row],[Befvekst10-I]]*Vekter!$F$3</f>
        <v>0</v>
      </c>
      <c r="AG158" s="44">
        <f>Tabell2[[#This Row],[Kvinneandel-I]]*Vekter!$G$3</f>
        <v>0.25490287558706654</v>
      </c>
      <c r="AH158" s="44">
        <f>Tabell2[[#This Row],[Eldreandel-I]]*Vekter!$H$3</f>
        <v>2.2871471158193222</v>
      </c>
      <c r="AI158" s="44">
        <f>Tabell2[[#This Row],[Sysselsettingsvekst10-I]]*Vekter!$I$3</f>
        <v>5.4239240494998908</v>
      </c>
      <c r="AJ158" s="44">
        <f>Tabell2[[#This Row],[Yrkesaktivandel-I]]*Vekter!$K$3</f>
        <v>7.7284041555446228</v>
      </c>
      <c r="AK158" s="44">
        <f>Tabell2[[#This Row],[Inntekt-I]]*Vekter!$M$3</f>
        <v>5.5546492659053834</v>
      </c>
      <c r="AL15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23.592178265768904</v>
      </c>
    </row>
    <row r="159" spans="1:38" s="38" customFormat="1" ht="12.75">
      <c r="A159" s="42" t="s">
        <v>157</v>
      </c>
      <c r="B159" s="38">
        <f>'Rådata-K'!Q159</f>
        <v>11</v>
      </c>
      <c r="C159" s="44">
        <f>'Rådata-K'!P159</f>
        <v>222.61062649499999</v>
      </c>
      <c r="D159" s="41">
        <f>'Rådata-K'!R159</f>
        <v>0.66115477156080238</v>
      </c>
      <c r="E159" s="41">
        <f>'Rådata-K'!S159</f>
        <v>0.13849765258215951</v>
      </c>
      <c r="F159" s="41">
        <f>'Rådata-K'!T159</f>
        <v>0.13711340206185568</v>
      </c>
      <c r="G159" s="41">
        <f>'Rådata-K'!U159</f>
        <v>9.6907216494845363E-2</v>
      </c>
      <c r="H159" s="41">
        <f>'Rådata-K'!V159</f>
        <v>0.30000000000000004</v>
      </c>
      <c r="I159" s="41">
        <f>'Rådata-K'!W159</f>
        <v>0.96726677577741405</v>
      </c>
      <c r="J159" s="41">
        <f>'Rådata-K'!O159</f>
        <v>358800</v>
      </c>
      <c r="K159" s="41">
        <f>Tabell2[[#This Row],[NIBR11]]</f>
        <v>11</v>
      </c>
      <c r="L159" s="41">
        <f>IF(Tabell2[[#This Row],[ReisetidOslo]]&lt;=C$433,C$433,IF(Tabell2[[#This Row],[ReisetidOslo]]&gt;=C$434,C$434,Tabell2[[#This Row],[ReisetidOslo]]))</f>
        <v>222.61062649499999</v>
      </c>
      <c r="M159" s="41">
        <f>IF(Tabell2[[#This Row],[Beftettotal]]&lt;=D$433,D$433,IF(Tabell2[[#This Row],[Beftettotal]]&gt;=D$434,D$434,Tabell2[[#This Row],[Beftettotal]]))</f>
        <v>1.3207758882127238</v>
      </c>
      <c r="N159" s="41">
        <f>IF(Tabell2[[#This Row],[Befvekst10]]&lt;=E$433,E$433,IF(Tabell2[[#This Row],[Befvekst10]]&gt;=E$434,E$434,Tabell2[[#This Row],[Befvekst10]]))</f>
        <v>0.13849765258215951</v>
      </c>
      <c r="O159" s="41">
        <f>IF(Tabell2[[#This Row],[Kvinneandel]]&lt;=F$433,F$433,IF(Tabell2[[#This Row],[Kvinneandel]]&gt;=F$434,F$434,Tabell2[[#This Row],[Kvinneandel]]))</f>
        <v>0.12826135732659469</v>
      </c>
      <c r="P159" s="41">
        <f>IF(Tabell2[[#This Row],[Eldreandel]]&lt;=G$433,G$433,IF(Tabell2[[#This Row],[Eldreandel]]&gt;=G$434,G$434,Tabell2[[#This Row],[Eldreandel]]))</f>
        <v>0.11401054306234992</v>
      </c>
      <c r="Q159" s="41">
        <f>IF(Tabell2[[#This Row],[Sysselsettingsvekst10]]&lt;=H$433,H$433,IF(Tabell2[[#This Row],[Sysselsettingsvekst10]]&gt;=H$434,H$434,Tabell2[[#This Row],[Sysselsettingsvekst10]]))</f>
        <v>0.24794749265568336</v>
      </c>
      <c r="R159" s="41">
        <f>IF(Tabell2[[#This Row],[Yrkesaktivandel]]&lt;=I$433,I$433,IF(Tabell2[[#This Row],[Yrkesaktivandel]]&gt;=I$434,I$434,Tabell2[[#This Row],[Yrkesaktivandel]]))</f>
        <v>0.96033761343949164</v>
      </c>
      <c r="S159" s="41">
        <f>IF(Tabell2[[#This Row],[Inntekt]]&lt;=J$433,J$433,IF(Tabell2[[#This Row],[Inntekt]]&gt;=J$434,J$434,Tabell2[[#This Row],[Inntekt]]))</f>
        <v>358800</v>
      </c>
      <c r="T159" s="44">
        <f>IF(Tabell2[[#This Row],[NIBR11-T]]&lt;=K$436,100,IF(Tabell2[[#This Row],[NIBR11-T]]&gt;=K$435,0,100*(K$435-Tabell2[[#This Row],[NIBR11-T]])/K$438))</f>
        <v>0</v>
      </c>
      <c r="U159" s="44">
        <f>(L$435-Tabell2[[#This Row],[ReisetidOslo-T]])*100/L$438</f>
        <v>25.058768531271447</v>
      </c>
      <c r="V159" s="44">
        <f>100-(M$435-Tabell2[[#This Row],[Beftettotal-T]])*100/M$438</f>
        <v>0</v>
      </c>
      <c r="W159" s="44">
        <f>100-(N$435-Tabell2[[#This Row],[Befvekst10-T]])*100/N$438</f>
        <v>95.328548094177108</v>
      </c>
      <c r="X159" s="44">
        <f>100-(O$435-Tabell2[[#This Row],[Kvinneandel-T]])*100/O$438</f>
        <v>100</v>
      </c>
      <c r="Y159" s="44">
        <f>(P$435-Tabell2[[#This Row],[Eldreandel-T]])*100/P$438</f>
        <v>100</v>
      </c>
      <c r="Z159" s="44">
        <f>100-(Q$435-Tabell2[[#This Row],[Sysselsettingsvekst10-T]])*100/Q$438</f>
        <v>100</v>
      </c>
      <c r="AA159" s="44">
        <f>100-(R$435-Tabell2[[#This Row],[Yrkesaktivandel-T]])*100/R$438</f>
        <v>100</v>
      </c>
      <c r="AB159" s="44">
        <f>100-(S$435-Tabell2[[#This Row],[Inntekt-T]])*100/S$438</f>
        <v>90.619902120717782</v>
      </c>
      <c r="AC159" s="44">
        <f>Tabell2[[#This Row],[NIBR11-I]]*Vekter!$B$3</f>
        <v>0</v>
      </c>
      <c r="AD159" s="44">
        <f>Tabell2[[#This Row],[ReisetidOslo-I]]*Vekter!$C$3</f>
        <v>2.5058768531271447</v>
      </c>
      <c r="AE159" s="44">
        <f>Tabell2[[#This Row],[Beftettotal-I]]*Vekter!$E$4</f>
        <v>0</v>
      </c>
      <c r="AF159" s="44">
        <f>Tabell2[[#This Row],[Befvekst10-I]]*Vekter!$F$3</f>
        <v>19.065709618835424</v>
      </c>
      <c r="AG159" s="44">
        <f>Tabell2[[#This Row],[Kvinneandel-I]]*Vekter!$G$3</f>
        <v>5</v>
      </c>
      <c r="AH159" s="44">
        <f>Tabell2[[#This Row],[Eldreandel-I]]*Vekter!$H$3</f>
        <v>5</v>
      </c>
      <c r="AI159" s="44">
        <f>Tabell2[[#This Row],[Sysselsettingsvekst10-I]]*Vekter!$I$3</f>
        <v>10</v>
      </c>
      <c r="AJ159" s="44">
        <f>Tabell2[[#This Row],[Yrkesaktivandel-I]]*Vekter!$K$3</f>
        <v>10</v>
      </c>
      <c r="AK159" s="44">
        <f>Tabell2[[#This Row],[Inntekt-I]]*Vekter!$M$3</f>
        <v>9.0619902120717786</v>
      </c>
      <c r="AL15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60.633576684034345</v>
      </c>
    </row>
    <row r="160" spans="1:38" s="38" customFormat="1" ht="12.75">
      <c r="A160" s="42" t="s">
        <v>158</v>
      </c>
      <c r="B160" s="38">
        <f>'Rådata-K'!Q160</f>
        <v>2</v>
      </c>
      <c r="C160" s="44">
        <f>'Rådata-K'!P160</f>
        <v>159.89607002190002</v>
      </c>
      <c r="D160" s="41">
        <f>'Rådata-K'!R160</f>
        <v>301.12501808710749</v>
      </c>
      <c r="E160" s="41">
        <f>'Rådata-K'!S160</f>
        <v>0.12525514686997319</v>
      </c>
      <c r="F160" s="41">
        <f>'Rådata-K'!T160</f>
        <v>0.13799358504619008</v>
      </c>
      <c r="G160" s="41">
        <f>'Rådata-K'!U160</f>
        <v>0.12377016686087719</v>
      </c>
      <c r="H160" s="41">
        <f>'Rådata-K'!V160</f>
        <v>0.26030363426096792</v>
      </c>
      <c r="I160" s="41">
        <f>'Rådata-K'!W160</f>
        <v>0.84554188233872429</v>
      </c>
      <c r="J160" s="41">
        <f>'Rådata-K'!O160</f>
        <v>353800</v>
      </c>
      <c r="K160" s="41">
        <f>Tabell2[[#This Row],[NIBR11]]</f>
        <v>2</v>
      </c>
      <c r="L160" s="41">
        <f>IF(Tabell2[[#This Row],[ReisetidOslo]]&lt;=C$433,C$433,IF(Tabell2[[#This Row],[ReisetidOslo]]&gt;=C$434,C$434,Tabell2[[#This Row],[ReisetidOslo]]))</f>
        <v>159.89607002190002</v>
      </c>
      <c r="M160" s="41">
        <f>IF(Tabell2[[#This Row],[Beftettotal]]&lt;=D$433,D$433,IF(Tabell2[[#This Row],[Beftettotal]]&gt;=D$434,D$434,Tabell2[[#This Row],[Beftettotal]]))</f>
        <v>123.5691465212405</v>
      </c>
      <c r="N160" s="41">
        <f>IF(Tabell2[[#This Row],[Befvekst10]]&lt;=E$433,E$433,IF(Tabell2[[#This Row],[Befvekst10]]&gt;=E$434,E$434,Tabell2[[#This Row],[Befvekst10]]))</f>
        <v>0.12525514686997319</v>
      </c>
      <c r="O160" s="41">
        <f>IF(Tabell2[[#This Row],[Kvinneandel]]&lt;=F$433,F$433,IF(Tabell2[[#This Row],[Kvinneandel]]&gt;=F$434,F$434,Tabell2[[#This Row],[Kvinneandel]]))</f>
        <v>0.12826135732659469</v>
      </c>
      <c r="P160" s="41">
        <f>IF(Tabell2[[#This Row],[Eldreandel]]&lt;=G$433,G$433,IF(Tabell2[[#This Row],[Eldreandel]]&gt;=G$434,G$434,Tabell2[[#This Row],[Eldreandel]]))</f>
        <v>0.12377016686087719</v>
      </c>
      <c r="Q160" s="41">
        <f>IF(Tabell2[[#This Row],[Sysselsettingsvekst10]]&lt;=H$433,H$433,IF(Tabell2[[#This Row],[Sysselsettingsvekst10]]&gt;=H$434,H$434,Tabell2[[#This Row],[Sysselsettingsvekst10]]))</f>
        <v>0.24794749265568336</v>
      </c>
      <c r="R160" s="41">
        <f>IF(Tabell2[[#This Row],[Yrkesaktivandel]]&lt;=I$433,I$433,IF(Tabell2[[#This Row],[Yrkesaktivandel]]&gt;=I$434,I$434,Tabell2[[#This Row],[Yrkesaktivandel]]))</f>
        <v>0.84554188233872429</v>
      </c>
      <c r="S160" s="41">
        <f>IF(Tabell2[[#This Row],[Inntekt]]&lt;=J$433,J$433,IF(Tabell2[[#This Row],[Inntekt]]&gt;=J$434,J$434,Tabell2[[#This Row],[Inntekt]]))</f>
        <v>353800</v>
      </c>
      <c r="T160" s="44">
        <f>IF(Tabell2[[#This Row],[NIBR11-T]]&lt;=K$436,100,IF(Tabell2[[#This Row],[NIBR11-T]]&gt;=K$435,0,100*(K$435-Tabell2[[#This Row],[NIBR11-T]])/K$438))</f>
        <v>90</v>
      </c>
      <c r="U160" s="44">
        <f>(L$435-Tabell2[[#This Row],[ReisetidOslo-T]])*100/L$438</f>
        <v>52.900932995169093</v>
      </c>
      <c r="V160" s="44">
        <f>100-(M$435-Tabell2[[#This Row],[Beftettotal-T]])*100/M$438</f>
        <v>100</v>
      </c>
      <c r="W160" s="44">
        <f>100-(N$435-Tabell2[[#This Row],[Befvekst10-T]])*100/N$438</f>
        <v>89.849926466618541</v>
      </c>
      <c r="X160" s="44">
        <f>100-(O$435-Tabell2[[#This Row],[Kvinneandel-T]])*100/O$438</f>
        <v>100</v>
      </c>
      <c r="Y160" s="44">
        <f>(P$435-Tabell2[[#This Row],[Eldreandel-T]])*100/P$438</f>
        <v>88.509061376747084</v>
      </c>
      <c r="Z160" s="44">
        <f>100-(Q$435-Tabell2[[#This Row],[Sysselsettingsvekst10-T]])*100/Q$438</f>
        <v>100</v>
      </c>
      <c r="AA160" s="44">
        <f>100-(R$435-Tabell2[[#This Row],[Yrkesaktivandel-T]])*100/R$438</f>
        <v>14.272659169511527</v>
      </c>
      <c r="AB160" s="44">
        <f>100-(S$435-Tabell2[[#This Row],[Inntekt-T]])*100/S$438</f>
        <v>83.822729744426312</v>
      </c>
      <c r="AC160" s="44">
        <f>Tabell2[[#This Row],[NIBR11-I]]*Vekter!$B$3</f>
        <v>18</v>
      </c>
      <c r="AD160" s="44">
        <f>Tabell2[[#This Row],[ReisetidOslo-I]]*Vekter!$C$3</f>
        <v>5.2900932995169097</v>
      </c>
      <c r="AE160" s="44">
        <f>Tabell2[[#This Row],[Beftettotal-I]]*Vekter!$E$4</f>
        <v>10</v>
      </c>
      <c r="AF160" s="44">
        <f>Tabell2[[#This Row],[Befvekst10-I]]*Vekter!$F$3</f>
        <v>17.96998529332371</v>
      </c>
      <c r="AG160" s="44">
        <f>Tabell2[[#This Row],[Kvinneandel-I]]*Vekter!$G$3</f>
        <v>5</v>
      </c>
      <c r="AH160" s="44">
        <f>Tabell2[[#This Row],[Eldreandel-I]]*Vekter!$H$3</f>
        <v>4.4254530688373546</v>
      </c>
      <c r="AI160" s="44">
        <f>Tabell2[[#This Row],[Sysselsettingsvekst10-I]]*Vekter!$I$3</f>
        <v>10</v>
      </c>
      <c r="AJ160" s="44">
        <f>Tabell2[[#This Row],[Yrkesaktivandel-I]]*Vekter!$K$3</f>
        <v>1.4272659169511528</v>
      </c>
      <c r="AK160" s="44">
        <f>Tabell2[[#This Row],[Inntekt-I]]*Vekter!$M$3</f>
        <v>8.3822729744426319</v>
      </c>
      <c r="AL16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80.495070553071756</v>
      </c>
    </row>
    <row r="161" spans="1:38" s="38" customFormat="1" ht="12.75">
      <c r="A161" s="42" t="s">
        <v>159</v>
      </c>
      <c r="B161" s="38">
        <f>'Rådata-K'!Q161</f>
        <v>5</v>
      </c>
      <c r="C161" s="44">
        <f>'Rådata-K'!P161</f>
        <v>196.11172585</v>
      </c>
      <c r="D161" s="41">
        <f>'Rådata-K'!R161</f>
        <v>68.103758316849493</v>
      </c>
      <c r="E161" s="41">
        <f>'Rådata-K'!S161</f>
        <v>0.12908996049787591</v>
      </c>
      <c r="F161" s="41">
        <f>'Rådata-K'!T161</f>
        <v>0.12502475410918212</v>
      </c>
      <c r="G161" s="41">
        <f>'Rådata-K'!U161</f>
        <v>0.13294606904746187</v>
      </c>
      <c r="H161" s="41">
        <f>'Rådata-K'!V161</f>
        <v>0.20208857087603938</v>
      </c>
      <c r="I161" s="41">
        <f>'Rådata-K'!W161</f>
        <v>0.82745187901008255</v>
      </c>
      <c r="J161" s="41">
        <f>'Rådata-K'!O161</f>
        <v>332300</v>
      </c>
      <c r="K161" s="41">
        <f>Tabell2[[#This Row],[NIBR11]]</f>
        <v>5</v>
      </c>
      <c r="L161" s="41">
        <f>IF(Tabell2[[#This Row],[ReisetidOslo]]&lt;=C$433,C$433,IF(Tabell2[[#This Row],[ReisetidOslo]]&gt;=C$434,C$434,Tabell2[[#This Row],[ReisetidOslo]]))</f>
        <v>196.11172585</v>
      </c>
      <c r="M161" s="41">
        <f>IF(Tabell2[[#This Row],[Beftettotal]]&lt;=D$433,D$433,IF(Tabell2[[#This Row],[Beftettotal]]&gt;=D$434,D$434,Tabell2[[#This Row],[Beftettotal]]))</f>
        <v>68.103758316849493</v>
      </c>
      <c r="N161" s="41">
        <f>IF(Tabell2[[#This Row],[Befvekst10]]&lt;=E$433,E$433,IF(Tabell2[[#This Row],[Befvekst10]]&gt;=E$434,E$434,Tabell2[[#This Row],[Befvekst10]]))</f>
        <v>0.12908996049787591</v>
      </c>
      <c r="O161" s="41">
        <f>IF(Tabell2[[#This Row],[Kvinneandel]]&lt;=F$433,F$433,IF(Tabell2[[#This Row],[Kvinneandel]]&gt;=F$434,F$434,Tabell2[[#This Row],[Kvinneandel]]))</f>
        <v>0.12502475410918212</v>
      </c>
      <c r="P161" s="41">
        <f>IF(Tabell2[[#This Row],[Eldreandel]]&lt;=G$433,G$433,IF(Tabell2[[#This Row],[Eldreandel]]&gt;=G$434,G$434,Tabell2[[#This Row],[Eldreandel]]))</f>
        <v>0.13294606904746187</v>
      </c>
      <c r="Q161" s="41">
        <f>IF(Tabell2[[#This Row],[Sysselsettingsvekst10]]&lt;=H$433,H$433,IF(Tabell2[[#This Row],[Sysselsettingsvekst10]]&gt;=H$434,H$434,Tabell2[[#This Row],[Sysselsettingsvekst10]]))</f>
        <v>0.20208857087603938</v>
      </c>
      <c r="R161" s="41">
        <f>IF(Tabell2[[#This Row],[Yrkesaktivandel]]&lt;=I$433,I$433,IF(Tabell2[[#This Row],[Yrkesaktivandel]]&gt;=I$434,I$434,Tabell2[[#This Row],[Yrkesaktivandel]]))</f>
        <v>0.82745187901008255</v>
      </c>
      <c r="S161" s="41">
        <f>IF(Tabell2[[#This Row],[Inntekt]]&lt;=J$433,J$433,IF(Tabell2[[#This Row],[Inntekt]]&gt;=J$434,J$434,Tabell2[[#This Row],[Inntekt]]))</f>
        <v>332300</v>
      </c>
      <c r="T161" s="44">
        <f>IF(Tabell2[[#This Row],[NIBR11-T]]&lt;=K$436,100,IF(Tabell2[[#This Row],[NIBR11-T]]&gt;=K$435,0,100*(K$435-Tabell2[[#This Row],[NIBR11-T]])/K$438))</f>
        <v>60</v>
      </c>
      <c r="U161" s="44">
        <f>(L$435-Tabell2[[#This Row],[ReisetidOslo-T]])*100/L$438</f>
        <v>36.822971156016635</v>
      </c>
      <c r="V161" s="44">
        <f>100-(M$435-Tabell2[[#This Row],[Beftettotal-T]])*100/M$438</f>
        <v>54.628934588510624</v>
      </c>
      <c r="W161" s="44">
        <f>100-(N$435-Tabell2[[#This Row],[Befvekst10-T]])*100/N$438</f>
        <v>91.436445916646065</v>
      </c>
      <c r="X161" s="44">
        <f>100-(O$435-Tabell2[[#This Row],[Kvinneandel-T]])*100/O$438</f>
        <v>91.143161141863345</v>
      </c>
      <c r="Y161" s="44">
        <f>(P$435-Tabell2[[#This Row],[Eldreandel-T]])*100/P$438</f>
        <v>77.705394041236914</v>
      </c>
      <c r="Z161" s="44">
        <f>100-(Q$435-Tabell2[[#This Row],[Sysselsettingsvekst10-T]])*100/Q$438</f>
        <v>86.516693763260591</v>
      </c>
      <c r="AA161" s="44">
        <f>100-(R$435-Tabell2[[#This Row],[Yrkesaktivandel-T]])*100/R$438</f>
        <v>0.7633773686242904</v>
      </c>
      <c r="AB161" s="44">
        <f>100-(S$435-Tabell2[[#This Row],[Inntekt-T]])*100/S$438</f>
        <v>54.594888526373026</v>
      </c>
      <c r="AC161" s="44">
        <f>Tabell2[[#This Row],[NIBR11-I]]*Vekter!$B$3</f>
        <v>12</v>
      </c>
      <c r="AD161" s="44">
        <f>Tabell2[[#This Row],[ReisetidOslo-I]]*Vekter!$C$3</f>
        <v>3.6822971156016635</v>
      </c>
      <c r="AE161" s="44">
        <f>Tabell2[[#This Row],[Beftettotal-I]]*Vekter!$E$4</f>
        <v>5.4628934588510631</v>
      </c>
      <c r="AF161" s="44">
        <f>Tabell2[[#This Row],[Befvekst10-I]]*Vekter!$F$3</f>
        <v>18.287289183329214</v>
      </c>
      <c r="AG161" s="44">
        <f>Tabell2[[#This Row],[Kvinneandel-I]]*Vekter!$G$3</f>
        <v>4.5571580570931678</v>
      </c>
      <c r="AH161" s="44">
        <f>Tabell2[[#This Row],[Eldreandel-I]]*Vekter!$H$3</f>
        <v>3.8852697020618461</v>
      </c>
      <c r="AI161" s="44">
        <f>Tabell2[[#This Row],[Sysselsettingsvekst10-I]]*Vekter!$I$3</f>
        <v>8.6516693763260601</v>
      </c>
      <c r="AJ161" s="44">
        <f>Tabell2[[#This Row],[Yrkesaktivandel-I]]*Vekter!$K$3</f>
        <v>7.6337736862429048E-2</v>
      </c>
      <c r="AK161" s="44">
        <f>Tabell2[[#This Row],[Inntekt-I]]*Vekter!$M$3</f>
        <v>5.4594888526373033</v>
      </c>
      <c r="AL16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62.062403482762747</v>
      </c>
    </row>
    <row r="162" spans="1:38" s="38" customFormat="1" ht="12.75">
      <c r="A162" s="42" t="s">
        <v>160</v>
      </c>
      <c r="B162" s="38">
        <f>'Rådata-K'!Q162</f>
        <v>6</v>
      </c>
      <c r="C162" s="44">
        <f>'Rådata-K'!P162</f>
        <v>234.81368318579999</v>
      </c>
      <c r="D162" s="41">
        <f>'Rådata-K'!R162</f>
        <v>35.939345449003689</v>
      </c>
      <c r="E162" s="41">
        <f>'Rådata-K'!S162</f>
        <v>-6.7389702011161345E-3</v>
      </c>
      <c r="F162" s="41">
        <f>'Rådata-K'!T162</f>
        <v>0.11215944026290682</v>
      </c>
      <c r="G162" s="41">
        <f>'Rådata-K'!U162</f>
        <v>0.15551786282200786</v>
      </c>
      <c r="H162" s="41">
        <f>'Rådata-K'!V162</f>
        <v>-7.5037897928246555E-2</v>
      </c>
      <c r="I162" s="41">
        <f>'Rådata-K'!W162</f>
        <v>0.87646719261112183</v>
      </c>
      <c r="J162" s="41">
        <f>'Rådata-K'!O162</f>
        <v>336900</v>
      </c>
      <c r="K162" s="41">
        <f>Tabell2[[#This Row],[NIBR11]]</f>
        <v>6</v>
      </c>
      <c r="L162" s="41">
        <f>IF(Tabell2[[#This Row],[ReisetidOslo]]&lt;=C$433,C$433,IF(Tabell2[[#This Row],[ReisetidOslo]]&gt;=C$434,C$434,Tabell2[[#This Row],[ReisetidOslo]]))</f>
        <v>234.81368318579999</v>
      </c>
      <c r="M162" s="41">
        <f>IF(Tabell2[[#This Row],[Beftettotal]]&lt;=D$433,D$433,IF(Tabell2[[#This Row],[Beftettotal]]&gt;=D$434,D$434,Tabell2[[#This Row],[Beftettotal]]))</f>
        <v>35.939345449003689</v>
      </c>
      <c r="N162" s="41">
        <f>IF(Tabell2[[#This Row],[Befvekst10]]&lt;=E$433,E$433,IF(Tabell2[[#This Row],[Befvekst10]]&gt;=E$434,E$434,Tabell2[[#This Row],[Befvekst10]]))</f>
        <v>-6.7389702011161345E-3</v>
      </c>
      <c r="O162" s="41">
        <f>IF(Tabell2[[#This Row],[Kvinneandel]]&lt;=F$433,F$433,IF(Tabell2[[#This Row],[Kvinneandel]]&gt;=F$434,F$434,Tabell2[[#This Row],[Kvinneandel]]))</f>
        <v>0.11215944026290682</v>
      </c>
      <c r="P162" s="41">
        <f>IF(Tabell2[[#This Row],[Eldreandel]]&lt;=G$433,G$433,IF(Tabell2[[#This Row],[Eldreandel]]&gt;=G$434,G$434,Tabell2[[#This Row],[Eldreandel]]))</f>
        <v>0.15551786282200786</v>
      </c>
      <c r="Q162" s="41">
        <f>IF(Tabell2[[#This Row],[Sysselsettingsvekst10]]&lt;=H$433,H$433,IF(Tabell2[[#This Row],[Sysselsettingsvekst10]]&gt;=H$434,H$434,Tabell2[[#This Row],[Sysselsettingsvekst10]]))</f>
        <v>-7.5037897928246555E-2</v>
      </c>
      <c r="R162" s="41">
        <f>IF(Tabell2[[#This Row],[Yrkesaktivandel]]&lt;=I$433,I$433,IF(Tabell2[[#This Row],[Yrkesaktivandel]]&gt;=I$434,I$434,Tabell2[[#This Row],[Yrkesaktivandel]]))</f>
        <v>0.87646719261112183</v>
      </c>
      <c r="S162" s="41">
        <f>IF(Tabell2[[#This Row],[Inntekt]]&lt;=J$433,J$433,IF(Tabell2[[#This Row],[Inntekt]]&gt;=J$434,J$434,Tabell2[[#This Row],[Inntekt]]))</f>
        <v>336900</v>
      </c>
      <c r="T162" s="44">
        <f>IF(Tabell2[[#This Row],[NIBR11-T]]&lt;=K$436,100,IF(Tabell2[[#This Row],[NIBR11-T]]&gt;=K$435,0,100*(K$435-Tabell2[[#This Row],[NIBR11-T]])/K$438))</f>
        <v>50</v>
      </c>
      <c r="U162" s="44">
        <f>(L$435-Tabell2[[#This Row],[ReisetidOslo-T]])*100/L$438</f>
        <v>19.641214291001052</v>
      </c>
      <c r="V162" s="44">
        <f>100-(M$435-Tabell2[[#This Row],[Beftettotal-T]])*100/M$438</f>
        <v>28.318225741192904</v>
      </c>
      <c r="W162" s="44">
        <f>100-(N$435-Tabell2[[#This Row],[Befvekst10-T]])*100/N$438</f>
        <v>35.24199650131763</v>
      </c>
      <c r="X162" s="44">
        <f>100-(O$435-Tabell2[[#This Row],[Kvinneandel-T]])*100/O$438</f>
        <v>55.937730033472349</v>
      </c>
      <c r="Y162" s="44">
        <f>(P$435-Tabell2[[#This Row],[Eldreandel-T]])*100/P$438</f>
        <v>51.129462198539294</v>
      </c>
      <c r="Z162" s="44">
        <f>100-(Q$435-Tabell2[[#This Row],[Sysselsettingsvekst10-T]])*100/Q$438</f>
        <v>5.0367788374586553</v>
      </c>
      <c r="AA162" s="44">
        <f>100-(R$435-Tabell2[[#This Row],[Yrkesaktivandel-T]])*100/R$438</f>
        <v>37.367112147760906</v>
      </c>
      <c r="AB162" s="44">
        <f>100-(S$435-Tabell2[[#This Row],[Inntekt-T]])*100/S$438</f>
        <v>60.848287112561174</v>
      </c>
      <c r="AC162" s="44">
        <f>Tabell2[[#This Row],[NIBR11-I]]*Vekter!$B$3</f>
        <v>10</v>
      </c>
      <c r="AD162" s="44">
        <f>Tabell2[[#This Row],[ReisetidOslo-I]]*Vekter!$C$3</f>
        <v>1.9641214291001052</v>
      </c>
      <c r="AE162" s="44">
        <f>Tabell2[[#This Row],[Beftettotal-I]]*Vekter!$E$4</f>
        <v>2.8318225741192906</v>
      </c>
      <c r="AF162" s="44">
        <f>Tabell2[[#This Row],[Befvekst10-I]]*Vekter!$F$3</f>
        <v>7.0483993002635259</v>
      </c>
      <c r="AG162" s="44">
        <f>Tabell2[[#This Row],[Kvinneandel-I]]*Vekter!$G$3</f>
        <v>2.7968865016736175</v>
      </c>
      <c r="AH162" s="44">
        <f>Tabell2[[#This Row],[Eldreandel-I]]*Vekter!$H$3</f>
        <v>2.5564731099269649</v>
      </c>
      <c r="AI162" s="44">
        <f>Tabell2[[#This Row],[Sysselsettingsvekst10-I]]*Vekter!$I$3</f>
        <v>0.50367788374586553</v>
      </c>
      <c r="AJ162" s="44">
        <f>Tabell2[[#This Row],[Yrkesaktivandel-I]]*Vekter!$K$3</f>
        <v>3.7367112147760908</v>
      </c>
      <c r="AK162" s="44">
        <f>Tabell2[[#This Row],[Inntekt-I]]*Vekter!$M$3</f>
        <v>6.0848287112561179</v>
      </c>
      <c r="AL16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37.522920724861578</v>
      </c>
    </row>
    <row r="163" spans="1:38" s="38" customFormat="1" ht="12.75">
      <c r="A163" s="42" t="s">
        <v>161</v>
      </c>
      <c r="B163" s="38">
        <f>'Rådata-K'!Q163</f>
        <v>6</v>
      </c>
      <c r="C163" s="44">
        <f>'Rådata-K'!P163</f>
        <v>247.06975202699999</v>
      </c>
      <c r="D163" s="41">
        <f>'Rådata-K'!R163</f>
        <v>16.652553293324988</v>
      </c>
      <c r="E163" s="41">
        <f>'Rådata-K'!S163</f>
        <v>2.3418938793981159E-2</v>
      </c>
      <c r="F163" s="41">
        <f>'Rådata-K'!T163</f>
        <v>0.10546097722750387</v>
      </c>
      <c r="G163" s="41">
        <f>'Rådata-K'!U163</f>
        <v>0.16371877072739333</v>
      </c>
      <c r="H163" s="41">
        <f>'Rådata-K'!V163</f>
        <v>8.1102157525344332E-2</v>
      </c>
      <c r="I163" s="41">
        <f>'Rådata-K'!W163</f>
        <v>0.89415915327322615</v>
      </c>
      <c r="J163" s="41">
        <f>'Rådata-K'!O163</f>
        <v>337400</v>
      </c>
      <c r="K163" s="41">
        <f>Tabell2[[#This Row],[NIBR11]]</f>
        <v>6</v>
      </c>
      <c r="L163" s="41">
        <f>IF(Tabell2[[#This Row],[ReisetidOslo]]&lt;=C$433,C$433,IF(Tabell2[[#This Row],[ReisetidOslo]]&gt;=C$434,C$434,Tabell2[[#This Row],[ReisetidOslo]]))</f>
        <v>247.06975202699999</v>
      </c>
      <c r="M163" s="41">
        <f>IF(Tabell2[[#This Row],[Beftettotal]]&lt;=D$433,D$433,IF(Tabell2[[#This Row],[Beftettotal]]&gt;=D$434,D$434,Tabell2[[#This Row],[Beftettotal]]))</f>
        <v>16.652553293324988</v>
      </c>
      <c r="N163" s="41">
        <f>IF(Tabell2[[#This Row],[Befvekst10]]&lt;=E$433,E$433,IF(Tabell2[[#This Row],[Befvekst10]]&gt;=E$434,E$434,Tabell2[[#This Row],[Befvekst10]]))</f>
        <v>2.3418938793981159E-2</v>
      </c>
      <c r="O163" s="41">
        <f>IF(Tabell2[[#This Row],[Kvinneandel]]&lt;=F$433,F$433,IF(Tabell2[[#This Row],[Kvinneandel]]&gt;=F$434,F$434,Tabell2[[#This Row],[Kvinneandel]]))</f>
        <v>0.10546097722750387</v>
      </c>
      <c r="P163" s="41">
        <f>IF(Tabell2[[#This Row],[Eldreandel]]&lt;=G$433,G$433,IF(Tabell2[[#This Row],[Eldreandel]]&gt;=G$434,G$434,Tabell2[[#This Row],[Eldreandel]]))</f>
        <v>0.16371877072739333</v>
      </c>
      <c r="Q163" s="41">
        <f>IF(Tabell2[[#This Row],[Sysselsettingsvekst10]]&lt;=H$433,H$433,IF(Tabell2[[#This Row],[Sysselsettingsvekst10]]&gt;=H$434,H$434,Tabell2[[#This Row],[Sysselsettingsvekst10]]))</f>
        <v>8.1102157525344332E-2</v>
      </c>
      <c r="R163" s="41">
        <f>IF(Tabell2[[#This Row],[Yrkesaktivandel]]&lt;=I$433,I$433,IF(Tabell2[[#This Row],[Yrkesaktivandel]]&gt;=I$434,I$434,Tabell2[[#This Row],[Yrkesaktivandel]]))</f>
        <v>0.89415915327322615</v>
      </c>
      <c r="S163" s="41">
        <f>IF(Tabell2[[#This Row],[Inntekt]]&lt;=J$433,J$433,IF(Tabell2[[#This Row],[Inntekt]]&gt;=J$434,J$434,Tabell2[[#This Row],[Inntekt]]))</f>
        <v>337400</v>
      </c>
      <c r="T163" s="44">
        <f>IF(Tabell2[[#This Row],[NIBR11-T]]&lt;=K$436,100,IF(Tabell2[[#This Row],[NIBR11-T]]&gt;=K$435,0,100*(K$435-Tabell2[[#This Row],[NIBR11-T]])/K$438))</f>
        <v>50</v>
      </c>
      <c r="U163" s="44">
        <f>(L$435-Tabell2[[#This Row],[ReisetidOslo-T]])*100/L$438</f>
        <v>14.200125275185282</v>
      </c>
      <c r="V163" s="44">
        <f>100-(M$435-Tabell2[[#This Row],[Beftettotal-T]])*100/M$438</f>
        <v>12.541498365762337</v>
      </c>
      <c r="W163" s="44">
        <f>100-(N$435-Tabell2[[#This Row],[Befvekst10-T]])*100/N$438</f>
        <v>47.718772124713226</v>
      </c>
      <c r="X163" s="44">
        <f>100-(O$435-Tabell2[[#This Row],[Kvinneandel-T]])*100/O$438</f>
        <v>37.607646388194155</v>
      </c>
      <c r="Y163" s="44">
        <f>(P$435-Tabell2[[#This Row],[Eldreandel-T]])*100/P$438</f>
        <v>41.473748890209272</v>
      </c>
      <c r="Z163" s="44">
        <f>100-(Q$435-Tabell2[[#This Row],[Sysselsettingsvekst10-T]])*100/Q$438</f>
        <v>50.944621887461203</v>
      </c>
      <c r="AA163" s="44">
        <f>100-(R$435-Tabell2[[#This Row],[Yrkesaktivandel-T]])*100/R$438</f>
        <v>50.579143005497855</v>
      </c>
      <c r="AB163" s="44">
        <f>100-(S$435-Tabell2[[#This Row],[Inntekt-T]])*100/S$438</f>
        <v>61.528004350190322</v>
      </c>
      <c r="AC163" s="44">
        <f>Tabell2[[#This Row],[NIBR11-I]]*Vekter!$B$3</f>
        <v>10</v>
      </c>
      <c r="AD163" s="44">
        <f>Tabell2[[#This Row],[ReisetidOslo-I]]*Vekter!$C$3</f>
        <v>1.4200125275185282</v>
      </c>
      <c r="AE163" s="44">
        <f>Tabell2[[#This Row],[Beftettotal-I]]*Vekter!$E$4</f>
        <v>1.2541498365762338</v>
      </c>
      <c r="AF163" s="44">
        <f>Tabell2[[#This Row],[Befvekst10-I]]*Vekter!$F$3</f>
        <v>9.5437544249426463</v>
      </c>
      <c r="AG163" s="44">
        <f>Tabell2[[#This Row],[Kvinneandel-I]]*Vekter!$G$3</f>
        <v>1.8803823194097078</v>
      </c>
      <c r="AH163" s="44">
        <f>Tabell2[[#This Row],[Eldreandel-I]]*Vekter!$H$3</f>
        <v>2.0736874445104636</v>
      </c>
      <c r="AI163" s="44">
        <f>Tabell2[[#This Row],[Sysselsettingsvekst10-I]]*Vekter!$I$3</f>
        <v>5.094462188746121</v>
      </c>
      <c r="AJ163" s="44">
        <f>Tabell2[[#This Row],[Yrkesaktivandel-I]]*Vekter!$K$3</f>
        <v>5.0579143005497862</v>
      </c>
      <c r="AK163" s="44">
        <f>Tabell2[[#This Row],[Inntekt-I]]*Vekter!$M$3</f>
        <v>6.1528004350190324</v>
      </c>
      <c r="AL16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42.477163477272526</v>
      </c>
    </row>
    <row r="164" spans="1:38" s="38" customFormat="1" ht="12.75">
      <c r="A164" s="42" t="s">
        <v>162</v>
      </c>
      <c r="B164" s="38">
        <f>'Rådata-K'!Q164</f>
        <v>2</v>
      </c>
      <c r="C164" s="44">
        <f>'Rådata-K'!P164</f>
        <v>160.01284094569999</v>
      </c>
      <c r="D164" s="41">
        <f>'Rådata-K'!R164</f>
        <v>35.328235538909695</v>
      </c>
      <c r="E164" s="41">
        <f>'Rådata-K'!S164</f>
        <v>0.10836393308853531</v>
      </c>
      <c r="F164" s="41">
        <f>'Rådata-K'!T164</f>
        <v>0.13296031804461458</v>
      </c>
      <c r="G164" s="41">
        <f>'Rådata-K'!U164</f>
        <v>0.11823603033203268</v>
      </c>
      <c r="H164" s="41">
        <f>'Rådata-K'!V164</f>
        <v>0.11859482303222402</v>
      </c>
      <c r="I164" s="41">
        <f>'Rådata-K'!W164</f>
        <v>0.84511826874685458</v>
      </c>
      <c r="J164" s="41">
        <f>'Rådata-K'!O164</f>
        <v>321600</v>
      </c>
      <c r="K164" s="41">
        <f>Tabell2[[#This Row],[NIBR11]]</f>
        <v>2</v>
      </c>
      <c r="L164" s="41">
        <f>IF(Tabell2[[#This Row],[ReisetidOslo]]&lt;=C$433,C$433,IF(Tabell2[[#This Row],[ReisetidOslo]]&gt;=C$434,C$434,Tabell2[[#This Row],[ReisetidOslo]]))</f>
        <v>160.01284094569999</v>
      </c>
      <c r="M164" s="41">
        <f>IF(Tabell2[[#This Row],[Beftettotal]]&lt;=D$433,D$433,IF(Tabell2[[#This Row],[Beftettotal]]&gt;=D$434,D$434,Tabell2[[#This Row],[Beftettotal]]))</f>
        <v>35.328235538909695</v>
      </c>
      <c r="N164" s="41">
        <f>IF(Tabell2[[#This Row],[Befvekst10]]&lt;=E$433,E$433,IF(Tabell2[[#This Row],[Befvekst10]]&gt;=E$434,E$434,Tabell2[[#This Row],[Befvekst10]]))</f>
        <v>0.10836393308853531</v>
      </c>
      <c r="O164" s="41">
        <f>IF(Tabell2[[#This Row],[Kvinneandel]]&lt;=F$433,F$433,IF(Tabell2[[#This Row],[Kvinneandel]]&gt;=F$434,F$434,Tabell2[[#This Row],[Kvinneandel]]))</f>
        <v>0.12826135732659469</v>
      </c>
      <c r="P164" s="41">
        <f>IF(Tabell2[[#This Row],[Eldreandel]]&lt;=G$433,G$433,IF(Tabell2[[#This Row],[Eldreandel]]&gt;=G$434,G$434,Tabell2[[#This Row],[Eldreandel]]))</f>
        <v>0.11823603033203268</v>
      </c>
      <c r="Q164" s="41">
        <f>IF(Tabell2[[#This Row],[Sysselsettingsvekst10]]&lt;=H$433,H$433,IF(Tabell2[[#This Row],[Sysselsettingsvekst10]]&gt;=H$434,H$434,Tabell2[[#This Row],[Sysselsettingsvekst10]]))</f>
        <v>0.11859482303222402</v>
      </c>
      <c r="R164" s="41">
        <f>IF(Tabell2[[#This Row],[Yrkesaktivandel]]&lt;=I$433,I$433,IF(Tabell2[[#This Row],[Yrkesaktivandel]]&gt;=I$434,I$434,Tabell2[[#This Row],[Yrkesaktivandel]]))</f>
        <v>0.84511826874685458</v>
      </c>
      <c r="S164" s="41">
        <f>IF(Tabell2[[#This Row],[Inntekt]]&lt;=J$433,J$433,IF(Tabell2[[#This Row],[Inntekt]]&gt;=J$434,J$434,Tabell2[[#This Row],[Inntekt]]))</f>
        <v>321600</v>
      </c>
      <c r="T164" s="44">
        <f>IF(Tabell2[[#This Row],[NIBR11-T]]&lt;=K$436,100,IF(Tabell2[[#This Row],[NIBR11-T]]&gt;=K$435,0,100*(K$435-Tabell2[[#This Row],[NIBR11-T]])/K$438))</f>
        <v>90</v>
      </c>
      <c r="U164" s="44">
        <f>(L$435-Tabell2[[#This Row],[ReisetidOslo-T]])*100/L$438</f>
        <v>52.849092474437121</v>
      </c>
      <c r="V164" s="44">
        <f>100-(M$435-Tabell2[[#This Row],[Beftettotal-T]])*100/M$438</f>
        <v>27.818333671523959</v>
      </c>
      <c r="W164" s="44">
        <f>100-(N$435-Tabell2[[#This Row],[Befvekst10-T]])*100/N$438</f>
        <v>82.861780027418504</v>
      </c>
      <c r="X164" s="44">
        <f>100-(O$435-Tabell2[[#This Row],[Kvinneandel-T]])*100/O$438</f>
        <v>100</v>
      </c>
      <c r="Y164" s="44">
        <f>(P$435-Tabell2[[#This Row],[Eldreandel-T]])*100/P$438</f>
        <v>95.024929662085114</v>
      </c>
      <c r="Z164" s="44">
        <f>100-(Q$435-Tabell2[[#This Row],[Sysselsettingsvekst10-T]])*100/Q$438</f>
        <v>61.968105891075282</v>
      </c>
      <c r="AA164" s="44">
        <f>100-(R$435-Tabell2[[#This Row],[Yrkesaktivandel-T]])*100/R$438</f>
        <v>13.95631232958624</v>
      </c>
      <c r="AB164" s="44">
        <f>100-(S$435-Tabell2[[#This Row],[Inntekt-T]])*100/S$438</f>
        <v>40.0489396411093</v>
      </c>
      <c r="AC164" s="44">
        <f>Tabell2[[#This Row],[NIBR11-I]]*Vekter!$B$3</f>
        <v>18</v>
      </c>
      <c r="AD164" s="44">
        <f>Tabell2[[#This Row],[ReisetidOslo-I]]*Vekter!$C$3</f>
        <v>5.2849092474437125</v>
      </c>
      <c r="AE164" s="44">
        <f>Tabell2[[#This Row],[Beftettotal-I]]*Vekter!$E$4</f>
        <v>2.7818333671523963</v>
      </c>
      <c r="AF164" s="44">
        <f>Tabell2[[#This Row],[Befvekst10-I]]*Vekter!$F$3</f>
        <v>16.572356005483702</v>
      </c>
      <c r="AG164" s="44">
        <f>Tabell2[[#This Row],[Kvinneandel-I]]*Vekter!$G$3</f>
        <v>5</v>
      </c>
      <c r="AH164" s="44">
        <f>Tabell2[[#This Row],[Eldreandel-I]]*Vekter!$H$3</f>
        <v>4.7512464831042562</v>
      </c>
      <c r="AI164" s="44">
        <f>Tabell2[[#This Row],[Sysselsettingsvekst10-I]]*Vekter!$I$3</f>
        <v>6.1968105891075282</v>
      </c>
      <c r="AJ164" s="44">
        <f>Tabell2[[#This Row],[Yrkesaktivandel-I]]*Vekter!$K$3</f>
        <v>1.395631232958624</v>
      </c>
      <c r="AK164" s="44">
        <f>Tabell2[[#This Row],[Inntekt-I]]*Vekter!$M$3</f>
        <v>4.0048939641109298</v>
      </c>
      <c r="AL16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63.987680889361137</v>
      </c>
    </row>
    <row r="165" spans="1:38" s="38" customFormat="1" ht="12.75">
      <c r="A165" s="42" t="s">
        <v>163</v>
      </c>
      <c r="B165" s="38">
        <f>'Rådata-K'!Q165</f>
        <v>2</v>
      </c>
      <c r="C165" s="44">
        <f>'Rådata-K'!P165</f>
        <v>171.1676260998</v>
      </c>
      <c r="D165" s="41">
        <f>'Rådata-K'!R165</f>
        <v>28.548275063672147</v>
      </c>
      <c r="E165" s="41">
        <f>'Rådata-K'!S165</f>
        <v>0.12050163576881134</v>
      </c>
      <c r="F165" s="41">
        <f>'Rådata-K'!T165</f>
        <v>0.13463098134630982</v>
      </c>
      <c r="G165" s="41">
        <f>'Rådata-K'!U165</f>
        <v>0.10851581508515815</v>
      </c>
      <c r="H165" s="41">
        <f>'Rådata-K'!V165</f>
        <v>0.51730894839973884</v>
      </c>
      <c r="I165" s="41">
        <f>'Rådata-K'!W165</f>
        <v>0.84267782426778237</v>
      </c>
      <c r="J165" s="41">
        <f>'Rådata-K'!O165</f>
        <v>323300</v>
      </c>
      <c r="K165" s="41">
        <f>Tabell2[[#This Row],[NIBR11]]</f>
        <v>2</v>
      </c>
      <c r="L165" s="41">
        <f>IF(Tabell2[[#This Row],[ReisetidOslo]]&lt;=C$433,C$433,IF(Tabell2[[#This Row],[ReisetidOslo]]&gt;=C$434,C$434,Tabell2[[#This Row],[ReisetidOslo]]))</f>
        <v>171.1676260998</v>
      </c>
      <c r="M165" s="41">
        <f>IF(Tabell2[[#This Row],[Beftettotal]]&lt;=D$433,D$433,IF(Tabell2[[#This Row],[Beftettotal]]&gt;=D$434,D$434,Tabell2[[#This Row],[Beftettotal]]))</f>
        <v>28.548275063672147</v>
      </c>
      <c r="N165" s="41">
        <f>IF(Tabell2[[#This Row],[Befvekst10]]&lt;=E$433,E$433,IF(Tabell2[[#This Row],[Befvekst10]]&gt;=E$434,E$434,Tabell2[[#This Row],[Befvekst10]]))</f>
        <v>0.12050163576881134</v>
      </c>
      <c r="O165" s="41">
        <f>IF(Tabell2[[#This Row],[Kvinneandel]]&lt;=F$433,F$433,IF(Tabell2[[#This Row],[Kvinneandel]]&gt;=F$434,F$434,Tabell2[[#This Row],[Kvinneandel]]))</f>
        <v>0.12826135732659469</v>
      </c>
      <c r="P165" s="41">
        <f>IF(Tabell2[[#This Row],[Eldreandel]]&lt;=G$433,G$433,IF(Tabell2[[#This Row],[Eldreandel]]&gt;=G$434,G$434,Tabell2[[#This Row],[Eldreandel]]))</f>
        <v>0.11401054306234992</v>
      </c>
      <c r="Q165" s="41">
        <f>IF(Tabell2[[#This Row],[Sysselsettingsvekst10]]&lt;=H$433,H$433,IF(Tabell2[[#This Row],[Sysselsettingsvekst10]]&gt;=H$434,H$434,Tabell2[[#This Row],[Sysselsettingsvekst10]]))</f>
        <v>0.24794749265568336</v>
      </c>
      <c r="R165" s="41">
        <f>IF(Tabell2[[#This Row],[Yrkesaktivandel]]&lt;=I$433,I$433,IF(Tabell2[[#This Row],[Yrkesaktivandel]]&gt;=I$434,I$434,Tabell2[[#This Row],[Yrkesaktivandel]]))</f>
        <v>0.84267782426778237</v>
      </c>
      <c r="S165" s="41">
        <f>IF(Tabell2[[#This Row],[Inntekt]]&lt;=J$433,J$433,IF(Tabell2[[#This Row],[Inntekt]]&gt;=J$434,J$434,Tabell2[[#This Row],[Inntekt]]))</f>
        <v>323300</v>
      </c>
      <c r="T165" s="44">
        <f>IF(Tabell2[[#This Row],[NIBR11-T]]&lt;=K$436,100,IF(Tabell2[[#This Row],[NIBR11-T]]&gt;=K$435,0,100*(K$435-Tabell2[[#This Row],[NIBR11-T]])/K$438))</f>
        <v>90</v>
      </c>
      <c r="U165" s="44">
        <f>(L$435-Tabell2[[#This Row],[ReisetidOslo-T]])*100/L$438</f>
        <v>47.896919003305108</v>
      </c>
      <c r="V165" s="44">
        <f>100-(M$435-Tabell2[[#This Row],[Beftettotal-T]])*100/M$438</f>
        <v>22.272279814012819</v>
      </c>
      <c r="W165" s="44">
        <f>100-(N$435-Tabell2[[#This Row],[Befvekst10-T]])*100/N$438</f>
        <v>87.88332820404807</v>
      </c>
      <c r="X165" s="44">
        <f>100-(O$435-Tabell2[[#This Row],[Kvinneandel-T]])*100/O$438</f>
        <v>100</v>
      </c>
      <c r="Y165" s="44">
        <f>(P$435-Tabell2[[#This Row],[Eldreandel-T]])*100/P$438</f>
        <v>100</v>
      </c>
      <c r="Z165" s="44">
        <f>100-(Q$435-Tabell2[[#This Row],[Sysselsettingsvekst10-T]])*100/Q$438</f>
        <v>100</v>
      </c>
      <c r="AA165" s="44">
        <f>100-(R$435-Tabell2[[#This Row],[Yrkesaktivandel-T]])*100/R$438</f>
        <v>12.133833273708632</v>
      </c>
      <c r="AB165" s="44">
        <f>100-(S$435-Tabell2[[#This Row],[Inntekt-T]])*100/S$438</f>
        <v>42.359978249048396</v>
      </c>
      <c r="AC165" s="44">
        <f>Tabell2[[#This Row],[NIBR11-I]]*Vekter!$B$3</f>
        <v>18</v>
      </c>
      <c r="AD165" s="44">
        <f>Tabell2[[#This Row],[ReisetidOslo-I]]*Vekter!$C$3</f>
        <v>4.789691900330511</v>
      </c>
      <c r="AE165" s="44">
        <f>Tabell2[[#This Row],[Beftettotal-I]]*Vekter!$E$4</f>
        <v>2.2272279814012821</v>
      </c>
      <c r="AF165" s="44">
        <f>Tabell2[[#This Row],[Befvekst10-I]]*Vekter!$F$3</f>
        <v>17.576665640809615</v>
      </c>
      <c r="AG165" s="44">
        <f>Tabell2[[#This Row],[Kvinneandel-I]]*Vekter!$G$3</f>
        <v>5</v>
      </c>
      <c r="AH165" s="44">
        <f>Tabell2[[#This Row],[Eldreandel-I]]*Vekter!$H$3</f>
        <v>5</v>
      </c>
      <c r="AI165" s="44">
        <f>Tabell2[[#This Row],[Sysselsettingsvekst10-I]]*Vekter!$I$3</f>
        <v>10</v>
      </c>
      <c r="AJ165" s="44">
        <f>Tabell2[[#This Row],[Yrkesaktivandel-I]]*Vekter!$K$3</f>
        <v>1.2133833273708632</v>
      </c>
      <c r="AK165" s="44">
        <f>Tabell2[[#This Row],[Inntekt-I]]*Vekter!$M$3</f>
        <v>4.2359978249048398</v>
      </c>
      <c r="AL16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68.042966674817109</v>
      </c>
    </row>
    <row r="166" spans="1:38" s="38" customFormat="1" ht="12.75">
      <c r="A166" s="42" t="s">
        <v>164</v>
      </c>
      <c r="B166" s="38">
        <f>'Rådata-K'!Q166</f>
        <v>2</v>
      </c>
      <c r="C166" s="44">
        <f>'Rådata-K'!P166</f>
        <v>172.7294660579</v>
      </c>
      <c r="D166" s="41">
        <f>'Rådata-K'!R166</f>
        <v>71.749619935223748</v>
      </c>
      <c r="E166" s="41">
        <f>'Rådata-K'!S166</f>
        <v>0.17618376855563977</v>
      </c>
      <c r="F166" s="41">
        <f>'Rådata-K'!T166</f>
        <v>0.12666973744818055</v>
      </c>
      <c r="G166" s="41">
        <f>'Rådata-K'!U166</f>
        <v>0.11404882542607093</v>
      </c>
      <c r="H166" s="41">
        <f>'Rådata-K'!V166</f>
        <v>0.27381818181818174</v>
      </c>
      <c r="I166" s="41">
        <f>'Rådata-K'!W166</f>
        <v>0.87582541472056696</v>
      </c>
      <c r="J166" s="41">
        <f>'Rådata-K'!O166</f>
        <v>355500</v>
      </c>
      <c r="K166" s="41">
        <f>Tabell2[[#This Row],[NIBR11]]</f>
        <v>2</v>
      </c>
      <c r="L166" s="41">
        <f>IF(Tabell2[[#This Row],[ReisetidOslo]]&lt;=C$433,C$433,IF(Tabell2[[#This Row],[ReisetidOslo]]&gt;=C$434,C$434,Tabell2[[#This Row],[ReisetidOslo]]))</f>
        <v>172.7294660579</v>
      </c>
      <c r="M166" s="41">
        <f>IF(Tabell2[[#This Row],[Beftettotal]]&lt;=D$433,D$433,IF(Tabell2[[#This Row],[Beftettotal]]&gt;=D$434,D$434,Tabell2[[#This Row],[Beftettotal]]))</f>
        <v>71.749619935223748</v>
      </c>
      <c r="N166" s="41">
        <f>IF(Tabell2[[#This Row],[Befvekst10]]&lt;=E$433,E$433,IF(Tabell2[[#This Row],[Befvekst10]]&gt;=E$434,E$434,Tabell2[[#This Row],[Befvekst10]]))</f>
        <v>0.149789129298837</v>
      </c>
      <c r="O166" s="41">
        <f>IF(Tabell2[[#This Row],[Kvinneandel]]&lt;=F$433,F$433,IF(Tabell2[[#This Row],[Kvinneandel]]&gt;=F$434,F$434,Tabell2[[#This Row],[Kvinneandel]]))</f>
        <v>0.12666973744818055</v>
      </c>
      <c r="P166" s="41">
        <f>IF(Tabell2[[#This Row],[Eldreandel]]&lt;=G$433,G$433,IF(Tabell2[[#This Row],[Eldreandel]]&gt;=G$434,G$434,Tabell2[[#This Row],[Eldreandel]]))</f>
        <v>0.11404882542607093</v>
      </c>
      <c r="Q166" s="41">
        <f>IF(Tabell2[[#This Row],[Sysselsettingsvekst10]]&lt;=H$433,H$433,IF(Tabell2[[#This Row],[Sysselsettingsvekst10]]&gt;=H$434,H$434,Tabell2[[#This Row],[Sysselsettingsvekst10]]))</f>
        <v>0.24794749265568336</v>
      </c>
      <c r="R166" s="41">
        <f>IF(Tabell2[[#This Row],[Yrkesaktivandel]]&lt;=I$433,I$433,IF(Tabell2[[#This Row],[Yrkesaktivandel]]&gt;=I$434,I$434,Tabell2[[#This Row],[Yrkesaktivandel]]))</f>
        <v>0.87582541472056696</v>
      </c>
      <c r="S166" s="41">
        <f>IF(Tabell2[[#This Row],[Inntekt]]&lt;=J$433,J$433,IF(Tabell2[[#This Row],[Inntekt]]&gt;=J$434,J$434,Tabell2[[#This Row],[Inntekt]]))</f>
        <v>355500</v>
      </c>
      <c r="T166" s="44">
        <f>IF(Tabell2[[#This Row],[NIBR11-T]]&lt;=K$436,100,IF(Tabell2[[#This Row],[NIBR11-T]]&gt;=K$435,0,100*(K$435-Tabell2[[#This Row],[NIBR11-T]])/K$438))</f>
        <v>90</v>
      </c>
      <c r="U166" s="44">
        <f>(L$435-Tabell2[[#This Row],[ReisetidOslo-T]])*100/L$438</f>
        <v>47.203539229530278</v>
      </c>
      <c r="V166" s="44">
        <f>100-(M$435-Tabell2[[#This Row],[Beftettotal-T]])*100/M$438</f>
        <v>57.611274229926877</v>
      </c>
      <c r="W166" s="44">
        <f>100-(N$435-Tabell2[[#This Row],[Befvekst10-T]])*100/N$438</f>
        <v>100</v>
      </c>
      <c r="X166" s="44">
        <f>100-(O$435-Tabell2[[#This Row],[Kvinneandel-T]])*100/O$438</f>
        <v>95.644594088431262</v>
      </c>
      <c r="Y166" s="44">
        <f>(P$435-Tabell2[[#This Row],[Eldreandel-T]])*100/P$438</f>
        <v>99.954926511415579</v>
      </c>
      <c r="Z166" s="44">
        <f>100-(Q$435-Tabell2[[#This Row],[Sysselsettingsvekst10-T]])*100/Q$438</f>
        <v>100</v>
      </c>
      <c r="AA166" s="44">
        <f>100-(R$435-Tabell2[[#This Row],[Yrkesaktivandel-T]])*100/R$438</f>
        <v>36.887844221736941</v>
      </c>
      <c r="AB166" s="44">
        <f>100-(S$435-Tabell2[[#This Row],[Inntekt-T]])*100/S$438</f>
        <v>86.133768352365422</v>
      </c>
      <c r="AC166" s="44">
        <f>Tabell2[[#This Row],[NIBR11-I]]*Vekter!$B$3</f>
        <v>18</v>
      </c>
      <c r="AD166" s="44">
        <f>Tabell2[[#This Row],[ReisetidOslo-I]]*Vekter!$C$3</f>
        <v>4.720353922953028</v>
      </c>
      <c r="AE166" s="44">
        <f>Tabell2[[#This Row],[Beftettotal-I]]*Vekter!$E$4</f>
        <v>5.7611274229926881</v>
      </c>
      <c r="AF166" s="44">
        <f>Tabell2[[#This Row],[Befvekst10-I]]*Vekter!$F$3</f>
        <v>20</v>
      </c>
      <c r="AG166" s="44">
        <f>Tabell2[[#This Row],[Kvinneandel-I]]*Vekter!$G$3</f>
        <v>4.7822297044215629</v>
      </c>
      <c r="AH166" s="44">
        <f>Tabell2[[#This Row],[Eldreandel-I]]*Vekter!$H$3</f>
        <v>4.9977463255707795</v>
      </c>
      <c r="AI166" s="44">
        <f>Tabell2[[#This Row],[Sysselsettingsvekst10-I]]*Vekter!$I$3</f>
        <v>10</v>
      </c>
      <c r="AJ166" s="44">
        <f>Tabell2[[#This Row],[Yrkesaktivandel-I]]*Vekter!$K$3</f>
        <v>3.6887844221736943</v>
      </c>
      <c r="AK166" s="44">
        <f>Tabell2[[#This Row],[Inntekt-I]]*Vekter!$M$3</f>
        <v>8.6133768352365419</v>
      </c>
      <c r="AL16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80.563618633348284</v>
      </c>
    </row>
    <row r="167" spans="1:38" s="38" customFormat="1" ht="12.75">
      <c r="A167" s="42" t="s">
        <v>165</v>
      </c>
      <c r="B167" s="38">
        <f>'Rådata-K'!Q167</f>
        <v>5</v>
      </c>
      <c r="C167" s="44">
        <f>'Rådata-K'!P167</f>
        <v>193.35977505689999</v>
      </c>
      <c r="D167" s="41">
        <f>'Rådata-K'!R167</f>
        <v>5.7870487570249614</v>
      </c>
      <c r="E167" s="41">
        <f>'Rådata-K'!S167</f>
        <v>4.6703296703296759E-2</v>
      </c>
      <c r="F167" s="41">
        <f>'Rådata-K'!T167</f>
        <v>0.11461067366579178</v>
      </c>
      <c r="G167" s="41">
        <f>'Rådata-K'!U167</f>
        <v>0.12554680664916884</v>
      </c>
      <c r="H167" s="41">
        <f>'Rådata-K'!V167</f>
        <v>-0.17092866756392999</v>
      </c>
      <c r="I167" s="41">
        <f>'Rådata-K'!W167</f>
        <v>0.84597701149425286</v>
      </c>
      <c r="J167" s="41">
        <f>'Rådata-K'!O167</f>
        <v>316100</v>
      </c>
      <c r="K167" s="41">
        <f>Tabell2[[#This Row],[NIBR11]]</f>
        <v>5</v>
      </c>
      <c r="L167" s="41">
        <f>IF(Tabell2[[#This Row],[ReisetidOslo]]&lt;=C$433,C$433,IF(Tabell2[[#This Row],[ReisetidOslo]]&gt;=C$434,C$434,Tabell2[[#This Row],[ReisetidOslo]]))</f>
        <v>193.35977505689999</v>
      </c>
      <c r="M167" s="41">
        <f>IF(Tabell2[[#This Row],[Beftettotal]]&lt;=D$433,D$433,IF(Tabell2[[#This Row],[Beftettotal]]&gt;=D$434,D$434,Tabell2[[#This Row],[Beftettotal]]))</f>
        <v>5.7870487570249614</v>
      </c>
      <c r="N167" s="41">
        <f>IF(Tabell2[[#This Row],[Befvekst10]]&lt;=E$433,E$433,IF(Tabell2[[#This Row],[Befvekst10]]&gt;=E$434,E$434,Tabell2[[#This Row],[Befvekst10]]))</f>
        <v>4.6703296703296759E-2</v>
      </c>
      <c r="O167" s="41">
        <f>IF(Tabell2[[#This Row],[Kvinneandel]]&lt;=F$433,F$433,IF(Tabell2[[#This Row],[Kvinneandel]]&gt;=F$434,F$434,Tabell2[[#This Row],[Kvinneandel]]))</f>
        <v>0.11461067366579178</v>
      </c>
      <c r="P167" s="41">
        <f>IF(Tabell2[[#This Row],[Eldreandel]]&lt;=G$433,G$433,IF(Tabell2[[#This Row],[Eldreandel]]&gt;=G$434,G$434,Tabell2[[#This Row],[Eldreandel]]))</f>
        <v>0.12554680664916884</v>
      </c>
      <c r="Q167" s="41">
        <f>IF(Tabell2[[#This Row],[Sysselsettingsvekst10]]&lt;=H$433,H$433,IF(Tabell2[[#This Row],[Sysselsettingsvekst10]]&gt;=H$434,H$434,Tabell2[[#This Row],[Sysselsettingsvekst10]]))</f>
        <v>-9.2168803558721979E-2</v>
      </c>
      <c r="R167" s="41">
        <f>IF(Tabell2[[#This Row],[Yrkesaktivandel]]&lt;=I$433,I$433,IF(Tabell2[[#This Row],[Yrkesaktivandel]]&gt;=I$434,I$434,Tabell2[[#This Row],[Yrkesaktivandel]]))</f>
        <v>0.84597701149425286</v>
      </c>
      <c r="S167" s="41">
        <f>IF(Tabell2[[#This Row],[Inntekt]]&lt;=J$433,J$433,IF(Tabell2[[#This Row],[Inntekt]]&gt;=J$434,J$434,Tabell2[[#This Row],[Inntekt]]))</f>
        <v>316100</v>
      </c>
      <c r="T167" s="44">
        <f>IF(Tabell2[[#This Row],[NIBR11-T]]&lt;=K$436,100,IF(Tabell2[[#This Row],[NIBR11-T]]&gt;=K$435,0,100*(K$435-Tabell2[[#This Row],[NIBR11-T]])/K$438))</f>
        <v>60</v>
      </c>
      <c r="U167" s="44">
        <f>(L$435-Tabell2[[#This Row],[ReisetidOslo-T]])*100/L$438</f>
        <v>38.044701339357864</v>
      </c>
      <c r="V167" s="44">
        <f>100-(M$435-Tabell2[[#This Row],[Beftettotal-T]])*100/M$438</f>
        <v>3.6534416333607851</v>
      </c>
      <c r="W167" s="44">
        <f>100-(N$435-Tabell2[[#This Row],[Befvekst10-T]])*100/N$438</f>
        <v>57.351857403158604</v>
      </c>
      <c r="X167" s="44">
        <f>100-(O$435-Tabell2[[#This Row],[Kvinneandel-T]])*100/O$438</f>
        <v>62.645434931074782</v>
      </c>
      <c r="Y167" s="44">
        <f>(P$435-Tabell2[[#This Row],[Eldreandel-T]])*100/P$438</f>
        <v>86.417253415258941</v>
      </c>
      <c r="Z167" s="44">
        <f>100-(Q$435-Tabell2[[#This Row],[Sysselsettingsvekst10-T]])*100/Q$438</f>
        <v>0</v>
      </c>
      <c r="AA167" s="44">
        <f>100-(R$435-Tabell2[[#This Row],[Yrkesaktivandel-T]])*100/R$438</f>
        <v>14.597605620599822</v>
      </c>
      <c r="AB167" s="44">
        <f>100-(S$435-Tabell2[[#This Row],[Inntekt-T]])*100/S$438</f>
        <v>32.572050027188695</v>
      </c>
      <c r="AC167" s="44">
        <f>Tabell2[[#This Row],[NIBR11-I]]*Vekter!$B$3</f>
        <v>12</v>
      </c>
      <c r="AD167" s="44">
        <f>Tabell2[[#This Row],[ReisetidOslo-I]]*Vekter!$C$3</f>
        <v>3.8044701339357867</v>
      </c>
      <c r="AE167" s="44">
        <f>Tabell2[[#This Row],[Beftettotal-I]]*Vekter!$E$4</f>
        <v>0.36534416333607855</v>
      </c>
      <c r="AF167" s="44">
        <f>Tabell2[[#This Row],[Befvekst10-I]]*Vekter!$F$3</f>
        <v>11.470371480631721</v>
      </c>
      <c r="AG167" s="44">
        <f>Tabell2[[#This Row],[Kvinneandel-I]]*Vekter!$G$3</f>
        <v>3.1322717465537391</v>
      </c>
      <c r="AH167" s="44">
        <f>Tabell2[[#This Row],[Eldreandel-I]]*Vekter!$H$3</f>
        <v>4.3208626707629474</v>
      </c>
      <c r="AI167" s="44">
        <f>Tabell2[[#This Row],[Sysselsettingsvekst10-I]]*Vekter!$I$3</f>
        <v>0</v>
      </c>
      <c r="AJ167" s="44">
        <f>Tabell2[[#This Row],[Yrkesaktivandel-I]]*Vekter!$K$3</f>
        <v>1.4597605620599823</v>
      </c>
      <c r="AK167" s="44">
        <f>Tabell2[[#This Row],[Inntekt-I]]*Vekter!$M$3</f>
        <v>3.2572050027188695</v>
      </c>
      <c r="AL16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39.810285759999132</v>
      </c>
    </row>
    <row r="168" spans="1:38" s="38" customFormat="1" ht="12.75">
      <c r="A168" s="42" t="s">
        <v>166</v>
      </c>
      <c r="B168" s="38">
        <f>'Rådata-K'!Q168</f>
        <v>5</v>
      </c>
      <c r="C168" s="44">
        <f>'Rådata-K'!P168</f>
        <v>220.3435747648</v>
      </c>
      <c r="D168" s="41">
        <f>'Rådata-K'!R168</f>
        <v>1.0275824770146025</v>
      </c>
      <c r="E168" s="41">
        <f>'Rådata-K'!S168</f>
        <v>1.1086474501108556E-2</v>
      </c>
      <c r="F168" s="41">
        <f>'Rådata-K'!T168</f>
        <v>9.1008771929824567E-2</v>
      </c>
      <c r="G168" s="41">
        <f>'Rådata-K'!U168</f>
        <v>0.14144736842105263</v>
      </c>
      <c r="H168" s="41">
        <f>'Rådata-K'!V168</f>
        <v>0.34560327198364016</v>
      </c>
      <c r="I168" s="41">
        <f>'Rådata-K'!W168</f>
        <v>0.9651639344262295</v>
      </c>
      <c r="J168" s="41">
        <f>'Rådata-K'!O168</f>
        <v>336000</v>
      </c>
      <c r="K168" s="41">
        <f>Tabell2[[#This Row],[NIBR11]]</f>
        <v>5</v>
      </c>
      <c r="L168" s="41">
        <f>IF(Tabell2[[#This Row],[ReisetidOslo]]&lt;=C$433,C$433,IF(Tabell2[[#This Row],[ReisetidOslo]]&gt;=C$434,C$434,Tabell2[[#This Row],[ReisetidOslo]]))</f>
        <v>220.3435747648</v>
      </c>
      <c r="M168" s="41">
        <f>IF(Tabell2[[#This Row],[Beftettotal]]&lt;=D$433,D$433,IF(Tabell2[[#This Row],[Beftettotal]]&gt;=D$434,D$434,Tabell2[[#This Row],[Beftettotal]]))</f>
        <v>1.3207758882127238</v>
      </c>
      <c r="N168" s="41">
        <f>IF(Tabell2[[#This Row],[Befvekst10]]&lt;=E$433,E$433,IF(Tabell2[[#This Row],[Befvekst10]]&gt;=E$434,E$434,Tabell2[[#This Row],[Befvekst10]]))</f>
        <v>1.1086474501108556E-2</v>
      </c>
      <c r="O168" s="41">
        <f>IF(Tabell2[[#This Row],[Kvinneandel]]&lt;=F$433,F$433,IF(Tabell2[[#This Row],[Kvinneandel]]&gt;=F$434,F$434,Tabell2[[#This Row],[Kvinneandel]]))</f>
        <v>9.1717808671657367E-2</v>
      </c>
      <c r="P168" s="41">
        <f>IF(Tabell2[[#This Row],[Eldreandel]]&lt;=G$433,G$433,IF(Tabell2[[#This Row],[Eldreandel]]&gt;=G$434,G$434,Tabell2[[#This Row],[Eldreandel]]))</f>
        <v>0.14144736842105263</v>
      </c>
      <c r="Q168" s="41">
        <f>IF(Tabell2[[#This Row],[Sysselsettingsvekst10]]&lt;=H$433,H$433,IF(Tabell2[[#This Row],[Sysselsettingsvekst10]]&gt;=H$434,H$434,Tabell2[[#This Row],[Sysselsettingsvekst10]]))</f>
        <v>0.24794749265568336</v>
      </c>
      <c r="R168" s="41">
        <f>IF(Tabell2[[#This Row],[Yrkesaktivandel]]&lt;=I$433,I$433,IF(Tabell2[[#This Row],[Yrkesaktivandel]]&gt;=I$434,I$434,Tabell2[[#This Row],[Yrkesaktivandel]]))</f>
        <v>0.96033761343949164</v>
      </c>
      <c r="S168" s="41">
        <f>IF(Tabell2[[#This Row],[Inntekt]]&lt;=J$433,J$433,IF(Tabell2[[#This Row],[Inntekt]]&gt;=J$434,J$434,Tabell2[[#This Row],[Inntekt]]))</f>
        <v>336000</v>
      </c>
      <c r="T168" s="44">
        <f>IF(Tabell2[[#This Row],[NIBR11-T]]&lt;=K$436,100,IF(Tabell2[[#This Row],[NIBR11-T]]&gt;=K$435,0,100*(K$435-Tabell2[[#This Row],[NIBR11-T]])/K$438))</f>
        <v>60</v>
      </c>
      <c r="U168" s="44">
        <f>(L$435-Tabell2[[#This Row],[ReisetidOslo-T]])*100/L$438</f>
        <v>26.065227488650276</v>
      </c>
      <c r="V168" s="44">
        <f>100-(M$435-Tabell2[[#This Row],[Beftettotal-T]])*100/M$438</f>
        <v>0</v>
      </c>
      <c r="W168" s="44">
        <f>100-(N$435-Tabell2[[#This Row],[Befvekst10-T]])*100/N$438</f>
        <v>42.616648171400556</v>
      </c>
      <c r="X168" s="44">
        <f>100-(O$435-Tabell2[[#This Row],[Kvinneandel-T]])*100/O$438</f>
        <v>0</v>
      </c>
      <c r="Y168" s="44">
        <f>(P$435-Tabell2[[#This Row],[Eldreandel-T]])*100/P$438</f>
        <v>67.696001124414536</v>
      </c>
      <c r="Z168" s="44">
        <f>100-(Q$435-Tabell2[[#This Row],[Sysselsettingsvekst10-T]])*100/Q$438</f>
        <v>100</v>
      </c>
      <c r="AA168" s="44">
        <f>100-(R$435-Tabell2[[#This Row],[Yrkesaktivandel-T]])*100/R$438</f>
        <v>100</v>
      </c>
      <c r="AB168" s="44">
        <f>100-(S$435-Tabell2[[#This Row],[Inntekt-T]])*100/S$438</f>
        <v>59.624796084828709</v>
      </c>
      <c r="AC168" s="44">
        <f>Tabell2[[#This Row],[NIBR11-I]]*Vekter!$B$3</f>
        <v>12</v>
      </c>
      <c r="AD168" s="44">
        <f>Tabell2[[#This Row],[ReisetidOslo-I]]*Vekter!$C$3</f>
        <v>2.6065227488650278</v>
      </c>
      <c r="AE168" s="44">
        <f>Tabell2[[#This Row],[Beftettotal-I]]*Vekter!$E$4</f>
        <v>0</v>
      </c>
      <c r="AF168" s="44">
        <f>Tabell2[[#This Row],[Befvekst10-I]]*Vekter!$F$3</f>
        <v>8.5233296342801115</v>
      </c>
      <c r="AG168" s="44">
        <f>Tabell2[[#This Row],[Kvinneandel-I]]*Vekter!$G$3</f>
        <v>0</v>
      </c>
      <c r="AH168" s="44">
        <f>Tabell2[[#This Row],[Eldreandel-I]]*Vekter!$H$3</f>
        <v>3.384800056220727</v>
      </c>
      <c r="AI168" s="44">
        <f>Tabell2[[#This Row],[Sysselsettingsvekst10-I]]*Vekter!$I$3</f>
        <v>10</v>
      </c>
      <c r="AJ168" s="44">
        <f>Tabell2[[#This Row],[Yrkesaktivandel-I]]*Vekter!$K$3</f>
        <v>10</v>
      </c>
      <c r="AK168" s="44">
        <f>Tabell2[[#This Row],[Inntekt-I]]*Vekter!$M$3</f>
        <v>5.9624796084828713</v>
      </c>
      <c r="AL16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52.477132047848741</v>
      </c>
    </row>
    <row r="169" spans="1:38" s="38" customFormat="1" ht="12.75">
      <c r="A169" s="42" t="s">
        <v>167</v>
      </c>
      <c r="B169" s="38">
        <f>'Rådata-K'!Q169</f>
        <v>5</v>
      </c>
      <c r="C169" s="44">
        <f>'Rådata-K'!P169</f>
        <v>203.20316415510001</v>
      </c>
      <c r="D169" s="41">
        <f>'Rådata-K'!R169</f>
        <v>6.7167740396086852</v>
      </c>
      <c r="E169" s="41">
        <f>'Rådata-K'!S169</f>
        <v>8.687258687258681E-2</v>
      </c>
      <c r="F169" s="41">
        <f>'Rådata-K'!T169</f>
        <v>0.11782119597394908</v>
      </c>
      <c r="G169" s="41">
        <f>'Rådata-K'!U169</f>
        <v>0.13558318531675548</v>
      </c>
      <c r="H169" s="41">
        <f>'Rådata-K'!V169</f>
        <v>0.16247906197654949</v>
      </c>
      <c r="I169" s="41">
        <f>'Rådata-K'!W169</f>
        <v>0.92513368983957223</v>
      </c>
      <c r="J169" s="41">
        <f>'Rådata-K'!O169</f>
        <v>321900</v>
      </c>
      <c r="K169" s="41">
        <f>Tabell2[[#This Row],[NIBR11]]</f>
        <v>5</v>
      </c>
      <c r="L169" s="41">
        <f>IF(Tabell2[[#This Row],[ReisetidOslo]]&lt;=C$433,C$433,IF(Tabell2[[#This Row],[ReisetidOslo]]&gt;=C$434,C$434,Tabell2[[#This Row],[ReisetidOslo]]))</f>
        <v>203.20316415510001</v>
      </c>
      <c r="M169" s="41">
        <f>IF(Tabell2[[#This Row],[Beftettotal]]&lt;=D$433,D$433,IF(Tabell2[[#This Row],[Beftettotal]]&gt;=D$434,D$434,Tabell2[[#This Row],[Beftettotal]]))</f>
        <v>6.7167740396086852</v>
      </c>
      <c r="N169" s="41">
        <f>IF(Tabell2[[#This Row],[Befvekst10]]&lt;=E$433,E$433,IF(Tabell2[[#This Row],[Befvekst10]]&gt;=E$434,E$434,Tabell2[[#This Row],[Befvekst10]]))</f>
        <v>8.687258687258681E-2</v>
      </c>
      <c r="O169" s="41">
        <f>IF(Tabell2[[#This Row],[Kvinneandel]]&lt;=F$433,F$433,IF(Tabell2[[#This Row],[Kvinneandel]]&gt;=F$434,F$434,Tabell2[[#This Row],[Kvinneandel]]))</f>
        <v>0.11782119597394908</v>
      </c>
      <c r="P169" s="41">
        <f>IF(Tabell2[[#This Row],[Eldreandel]]&lt;=G$433,G$433,IF(Tabell2[[#This Row],[Eldreandel]]&gt;=G$434,G$434,Tabell2[[#This Row],[Eldreandel]]))</f>
        <v>0.13558318531675548</v>
      </c>
      <c r="Q169" s="41">
        <f>IF(Tabell2[[#This Row],[Sysselsettingsvekst10]]&lt;=H$433,H$433,IF(Tabell2[[#This Row],[Sysselsettingsvekst10]]&gt;=H$434,H$434,Tabell2[[#This Row],[Sysselsettingsvekst10]]))</f>
        <v>0.16247906197654949</v>
      </c>
      <c r="R169" s="41">
        <f>IF(Tabell2[[#This Row],[Yrkesaktivandel]]&lt;=I$433,I$433,IF(Tabell2[[#This Row],[Yrkesaktivandel]]&gt;=I$434,I$434,Tabell2[[#This Row],[Yrkesaktivandel]]))</f>
        <v>0.92513368983957223</v>
      </c>
      <c r="S169" s="41">
        <f>IF(Tabell2[[#This Row],[Inntekt]]&lt;=J$433,J$433,IF(Tabell2[[#This Row],[Inntekt]]&gt;=J$434,J$434,Tabell2[[#This Row],[Inntekt]]))</f>
        <v>321900</v>
      </c>
      <c r="T169" s="44">
        <f>IF(Tabell2[[#This Row],[NIBR11-T]]&lt;=K$436,100,IF(Tabell2[[#This Row],[NIBR11-T]]&gt;=K$435,0,100*(K$435-Tabell2[[#This Row],[NIBR11-T]])/K$438))</f>
        <v>60</v>
      </c>
      <c r="U169" s="44">
        <f>(L$435-Tabell2[[#This Row],[ReisetidOslo-T]])*100/L$438</f>
        <v>33.674722923393546</v>
      </c>
      <c r="V169" s="44">
        <f>100-(M$435-Tabell2[[#This Row],[Beftettotal-T]])*100/M$438</f>
        <v>4.4139632483069988</v>
      </c>
      <c r="W169" s="44">
        <f>100-(N$435-Tabell2[[#This Row],[Befvekst10-T]])*100/N$438</f>
        <v>73.970490361921719</v>
      </c>
      <c r="X169" s="44">
        <f>100-(O$435-Tabell2[[#This Row],[Kvinneandel-T]])*100/O$438</f>
        <v>71.430904395118006</v>
      </c>
      <c r="Y169" s="44">
        <f>(P$435-Tabell2[[#This Row],[Eldreandel-T]])*100/P$438</f>
        <v>74.600464812570607</v>
      </c>
      <c r="Z169" s="44">
        <f>100-(Q$435-Tabell2[[#This Row],[Sysselsettingsvekst10-T]])*100/Q$438</f>
        <v>74.870821648235406</v>
      </c>
      <c r="AA169" s="44">
        <f>100-(R$435-Tabell2[[#This Row],[Yrkesaktivandel-T]])*100/R$438</f>
        <v>73.710357274769819</v>
      </c>
      <c r="AB169" s="44">
        <f>100-(S$435-Tabell2[[#This Row],[Inntekt-T]])*100/S$438</f>
        <v>40.456769983686783</v>
      </c>
      <c r="AC169" s="44">
        <f>Tabell2[[#This Row],[NIBR11-I]]*Vekter!$B$3</f>
        <v>12</v>
      </c>
      <c r="AD169" s="44">
        <f>Tabell2[[#This Row],[ReisetidOslo-I]]*Vekter!$C$3</f>
        <v>3.3674722923393547</v>
      </c>
      <c r="AE169" s="44">
        <f>Tabell2[[#This Row],[Beftettotal-I]]*Vekter!$E$4</f>
        <v>0.4413963248306999</v>
      </c>
      <c r="AF169" s="44">
        <f>Tabell2[[#This Row],[Befvekst10-I]]*Vekter!$F$3</f>
        <v>14.794098072384344</v>
      </c>
      <c r="AG169" s="44">
        <f>Tabell2[[#This Row],[Kvinneandel-I]]*Vekter!$G$3</f>
        <v>3.5715452197559006</v>
      </c>
      <c r="AH169" s="44">
        <f>Tabell2[[#This Row],[Eldreandel-I]]*Vekter!$H$3</f>
        <v>3.7300232406285305</v>
      </c>
      <c r="AI169" s="44">
        <f>Tabell2[[#This Row],[Sysselsettingsvekst10-I]]*Vekter!$I$3</f>
        <v>7.4870821648235406</v>
      </c>
      <c r="AJ169" s="44">
        <f>Tabell2[[#This Row],[Yrkesaktivandel-I]]*Vekter!$K$3</f>
        <v>7.3710357274769827</v>
      </c>
      <c r="AK169" s="44">
        <f>Tabell2[[#This Row],[Inntekt-I]]*Vekter!$M$3</f>
        <v>4.0456769983686787</v>
      </c>
      <c r="AL16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56.808330040608027</v>
      </c>
    </row>
    <row r="170" spans="1:38" s="38" customFormat="1" ht="12.75">
      <c r="A170" s="42" t="s">
        <v>168</v>
      </c>
      <c r="B170" s="38">
        <f>'Rådata-K'!Q170</f>
        <v>5</v>
      </c>
      <c r="C170" s="44">
        <f>'Rådata-K'!P170</f>
        <v>202.8812841079</v>
      </c>
      <c r="D170" s="41">
        <f>'Rådata-K'!R170</f>
        <v>15.022123893805311</v>
      </c>
      <c r="E170" s="41">
        <f>'Rådata-K'!S170</f>
        <v>7.7045094040335327E-2</v>
      </c>
      <c r="F170" s="41">
        <f>'Rådata-K'!T170</f>
        <v>0.11150852093414686</v>
      </c>
      <c r="G170" s="41">
        <f>'Rådata-K'!U170</f>
        <v>0.14138438880706922</v>
      </c>
      <c r="H170" s="41">
        <f>'Rådata-K'!V170</f>
        <v>0.19087403598971719</v>
      </c>
      <c r="I170" s="41">
        <f>'Rådata-K'!W170</f>
        <v>0.8677347242921013</v>
      </c>
      <c r="J170" s="41">
        <f>'Rådata-K'!O170</f>
        <v>305400</v>
      </c>
      <c r="K170" s="41">
        <f>Tabell2[[#This Row],[NIBR11]]</f>
        <v>5</v>
      </c>
      <c r="L170" s="41">
        <f>IF(Tabell2[[#This Row],[ReisetidOslo]]&lt;=C$433,C$433,IF(Tabell2[[#This Row],[ReisetidOslo]]&gt;=C$434,C$434,Tabell2[[#This Row],[ReisetidOslo]]))</f>
        <v>202.8812841079</v>
      </c>
      <c r="M170" s="41">
        <f>IF(Tabell2[[#This Row],[Beftettotal]]&lt;=D$433,D$433,IF(Tabell2[[#This Row],[Beftettotal]]&gt;=D$434,D$434,Tabell2[[#This Row],[Beftettotal]]))</f>
        <v>15.022123893805311</v>
      </c>
      <c r="N170" s="41">
        <f>IF(Tabell2[[#This Row],[Befvekst10]]&lt;=E$433,E$433,IF(Tabell2[[#This Row],[Befvekst10]]&gt;=E$434,E$434,Tabell2[[#This Row],[Befvekst10]]))</f>
        <v>7.7045094040335327E-2</v>
      </c>
      <c r="O170" s="41">
        <f>IF(Tabell2[[#This Row],[Kvinneandel]]&lt;=F$433,F$433,IF(Tabell2[[#This Row],[Kvinneandel]]&gt;=F$434,F$434,Tabell2[[#This Row],[Kvinneandel]]))</f>
        <v>0.11150852093414686</v>
      </c>
      <c r="P170" s="41">
        <f>IF(Tabell2[[#This Row],[Eldreandel]]&lt;=G$433,G$433,IF(Tabell2[[#This Row],[Eldreandel]]&gt;=G$434,G$434,Tabell2[[#This Row],[Eldreandel]]))</f>
        <v>0.14138438880706922</v>
      </c>
      <c r="Q170" s="41">
        <f>IF(Tabell2[[#This Row],[Sysselsettingsvekst10]]&lt;=H$433,H$433,IF(Tabell2[[#This Row],[Sysselsettingsvekst10]]&gt;=H$434,H$434,Tabell2[[#This Row],[Sysselsettingsvekst10]]))</f>
        <v>0.19087403598971719</v>
      </c>
      <c r="R170" s="41">
        <f>IF(Tabell2[[#This Row],[Yrkesaktivandel]]&lt;=I$433,I$433,IF(Tabell2[[#This Row],[Yrkesaktivandel]]&gt;=I$434,I$434,Tabell2[[#This Row],[Yrkesaktivandel]]))</f>
        <v>0.8677347242921013</v>
      </c>
      <c r="S170" s="41">
        <f>IF(Tabell2[[#This Row],[Inntekt]]&lt;=J$433,J$433,IF(Tabell2[[#This Row],[Inntekt]]&gt;=J$434,J$434,Tabell2[[#This Row],[Inntekt]]))</f>
        <v>305400</v>
      </c>
      <c r="T170" s="44">
        <f>IF(Tabell2[[#This Row],[NIBR11-T]]&lt;=K$436,100,IF(Tabell2[[#This Row],[NIBR11-T]]&gt;=K$435,0,100*(K$435-Tabell2[[#This Row],[NIBR11-T]])/K$438))</f>
        <v>60</v>
      </c>
      <c r="U170" s="44">
        <f>(L$435-Tabell2[[#This Row],[ReisetidOslo-T]])*100/L$438</f>
        <v>33.81762176085298</v>
      </c>
      <c r="V170" s="44">
        <f>100-(M$435-Tabell2[[#This Row],[Beftettotal-T]])*100/M$438</f>
        <v>11.207796009586161</v>
      </c>
      <c r="W170" s="44">
        <f>100-(N$435-Tabell2[[#This Row],[Befvekst10-T]])*100/N$438</f>
        <v>69.904710369400902</v>
      </c>
      <c r="X170" s="44">
        <f>100-(O$435-Tabell2[[#This Row],[Kvinneandel-T]])*100/O$438</f>
        <v>54.156514599508135</v>
      </c>
      <c r="Y170" s="44">
        <f>(P$435-Tabell2[[#This Row],[Eldreandel-T]])*100/P$438</f>
        <v>67.770153048068465</v>
      </c>
      <c r="Z170" s="44">
        <f>100-(Q$435-Tabell2[[#This Row],[Sysselsettingsvekst10-T]])*100/Q$438</f>
        <v>83.219428971439896</v>
      </c>
      <c r="AA170" s="44">
        <f>100-(R$435-Tabell2[[#This Row],[Yrkesaktivandel-T]])*100/R$438</f>
        <v>30.845865401930368</v>
      </c>
      <c r="AB170" s="44">
        <f>100-(S$435-Tabell2[[#This Row],[Inntekt-T]])*100/S$438</f>
        <v>18.026101141924954</v>
      </c>
      <c r="AC170" s="44">
        <f>Tabell2[[#This Row],[NIBR11-I]]*Vekter!$B$3</f>
        <v>12</v>
      </c>
      <c r="AD170" s="44">
        <f>Tabell2[[#This Row],[ReisetidOslo-I]]*Vekter!$C$3</f>
        <v>3.3817621760852981</v>
      </c>
      <c r="AE170" s="44">
        <f>Tabell2[[#This Row],[Beftettotal-I]]*Vekter!$E$4</f>
        <v>1.1207796009586162</v>
      </c>
      <c r="AF170" s="44">
        <f>Tabell2[[#This Row],[Befvekst10-I]]*Vekter!$F$3</f>
        <v>13.980942073880181</v>
      </c>
      <c r="AG170" s="44">
        <f>Tabell2[[#This Row],[Kvinneandel-I]]*Vekter!$G$3</f>
        <v>2.7078257299754069</v>
      </c>
      <c r="AH170" s="44">
        <f>Tabell2[[#This Row],[Eldreandel-I]]*Vekter!$H$3</f>
        <v>3.3885076524034234</v>
      </c>
      <c r="AI170" s="44">
        <f>Tabell2[[#This Row],[Sysselsettingsvekst10-I]]*Vekter!$I$3</f>
        <v>8.3219428971439893</v>
      </c>
      <c r="AJ170" s="44">
        <f>Tabell2[[#This Row],[Yrkesaktivandel-I]]*Vekter!$K$3</f>
        <v>3.0845865401930368</v>
      </c>
      <c r="AK170" s="44">
        <f>Tabell2[[#This Row],[Inntekt-I]]*Vekter!$M$3</f>
        <v>1.8026101141924955</v>
      </c>
      <c r="AL17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49.78895678483245</v>
      </c>
    </row>
    <row r="171" spans="1:38" s="38" customFormat="1" ht="12.75">
      <c r="A171" s="42" t="s">
        <v>169</v>
      </c>
      <c r="B171" s="38">
        <f>'Rådata-K'!Q171</f>
        <v>5</v>
      </c>
      <c r="C171" s="44">
        <f>'Rådata-K'!P171</f>
        <v>220.60799680370002</v>
      </c>
      <c r="D171" s="41">
        <f>'Rådata-K'!R171</f>
        <v>20.190783080149355</v>
      </c>
      <c r="E171" s="41">
        <f>'Rådata-K'!S171</f>
        <v>9.774749721913234E-2</v>
      </c>
      <c r="F171" s="41">
        <f>'Rådata-K'!T171</f>
        <v>0.12311589613679544</v>
      </c>
      <c r="G171" s="41">
        <f>'Rådata-K'!U171</f>
        <v>0.1240025332488917</v>
      </c>
      <c r="H171" s="41">
        <f>'Rådata-K'!V171</f>
        <v>0.28730212192657456</v>
      </c>
      <c r="I171" s="41">
        <f>'Rådata-K'!W171</f>
        <v>0.86754665452890301</v>
      </c>
      <c r="J171" s="41">
        <f>'Rådata-K'!O171</f>
        <v>322400</v>
      </c>
      <c r="K171" s="41">
        <f>Tabell2[[#This Row],[NIBR11]]</f>
        <v>5</v>
      </c>
      <c r="L171" s="41">
        <f>IF(Tabell2[[#This Row],[ReisetidOslo]]&lt;=C$433,C$433,IF(Tabell2[[#This Row],[ReisetidOslo]]&gt;=C$434,C$434,Tabell2[[#This Row],[ReisetidOslo]]))</f>
        <v>220.60799680370002</v>
      </c>
      <c r="M171" s="41">
        <f>IF(Tabell2[[#This Row],[Beftettotal]]&lt;=D$433,D$433,IF(Tabell2[[#This Row],[Beftettotal]]&gt;=D$434,D$434,Tabell2[[#This Row],[Beftettotal]]))</f>
        <v>20.190783080149355</v>
      </c>
      <c r="N171" s="41">
        <f>IF(Tabell2[[#This Row],[Befvekst10]]&lt;=E$433,E$433,IF(Tabell2[[#This Row],[Befvekst10]]&gt;=E$434,E$434,Tabell2[[#This Row],[Befvekst10]]))</f>
        <v>9.774749721913234E-2</v>
      </c>
      <c r="O171" s="41">
        <f>IF(Tabell2[[#This Row],[Kvinneandel]]&lt;=F$433,F$433,IF(Tabell2[[#This Row],[Kvinneandel]]&gt;=F$434,F$434,Tabell2[[#This Row],[Kvinneandel]]))</f>
        <v>0.12311589613679544</v>
      </c>
      <c r="P171" s="41">
        <f>IF(Tabell2[[#This Row],[Eldreandel]]&lt;=G$433,G$433,IF(Tabell2[[#This Row],[Eldreandel]]&gt;=G$434,G$434,Tabell2[[#This Row],[Eldreandel]]))</f>
        <v>0.1240025332488917</v>
      </c>
      <c r="Q171" s="41">
        <f>IF(Tabell2[[#This Row],[Sysselsettingsvekst10]]&lt;=H$433,H$433,IF(Tabell2[[#This Row],[Sysselsettingsvekst10]]&gt;=H$434,H$434,Tabell2[[#This Row],[Sysselsettingsvekst10]]))</f>
        <v>0.24794749265568336</v>
      </c>
      <c r="R171" s="41">
        <f>IF(Tabell2[[#This Row],[Yrkesaktivandel]]&lt;=I$433,I$433,IF(Tabell2[[#This Row],[Yrkesaktivandel]]&gt;=I$434,I$434,Tabell2[[#This Row],[Yrkesaktivandel]]))</f>
        <v>0.86754665452890301</v>
      </c>
      <c r="S171" s="41">
        <f>IF(Tabell2[[#This Row],[Inntekt]]&lt;=J$433,J$433,IF(Tabell2[[#This Row],[Inntekt]]&gt;=J$434,J$434,Tabell2[[#This Row],[Inntekt]]))</f>
        <v>322400</v>
      </c>
      <c r="T171" s="44">
        <f>IF(Tabell2[[#This Row],[NIBR11-T]]&lt;=K$436,100,IF(Tabell2[[#This Row],[NIBR11-T]]&gt;=K$435,0,100*(K$435-Tabell2[[#This Row],[NIBR11-T]])/K$438))</f>
        <v>60</v>
      </c>
      <c r="U171" s="44">
        <f>(L$435-Tabell2[[#This Row],[ReisetidOslo-T]])*100/L$438</f>
        <v>25.947837167982197</v>
      </c>
      <c r="V171" s="44">
        <f>100-(M$435-Tabell2[[#This Row],[Beftettotal-T]])*100/M$438</f>
        <v>15.435794435724404</v>
      </c>
      <c r="W171" s="44">
        <f>100-(N$435-Tabell2[[#This Row],[Befvekst10-T]])*100/N$438</f>
        <v>78.469602562984775</v>
      </c>
      <c r="X171" s="44">
        <f>100-(O$435-Tabell2[[#This Row],[Kvinneandel-T]])*100/O$438</f>
        <v>85.91964552105955</v>
      </c>
      <c r="Y171" s="44">
        <f>(P$435-Tabell2[[#This Row],[Eldreandel-T]])*100/P$438</f>
        <v>88.235474201882354</v>
      </c>
      <c r="Z171" s="44">
        <f>100-(Q$435-Tabell2[[#This Row],[Sysselsettingsvekst10-T]])*100/Q$438</f>
        <v>100</v>
      </c>
      <c r="AA171" s="44">
        <f>100-(R$435-Tabell2[[#This Row],[Yrkesaktivandel-T]])*100/R$438</f>
        <v>30.705418361478522</v>
      </c>
      <c r="AB171" s="44">
        <f>100-(S$435-Tabell2[[#This Row],[Inntekt-T]])*100/S$438</f>
        <v>41.136487221315932</v>
      </c>
      <c r="AC171" s="44">
        <f>Tabell2[[#This Row],[NIBR11-I]]*Vekter!$B$3</f>
        <v>12</v>
      </c>
      <c r="AD171" s="44">
        <f>Tabell2[[#This Row],[ReisetidOslo-I]]*Vekter!$C$3</f>
        <v>2.59478371679822</v>
      </c>
      <c r="AE171" s="44">
        <f>Tabell2[[#This Row],[Beftettotal-I]]*Vekter!$E$4</f>
        <v>1.5435794435724404</v>
      </c>
      <c r="AF171" s="44">
        <f>Tabell2[[#This Row],[Befvekst10-I]]*Vekter!$F$3</f>
        <v>15.693920512596955</v>
      </c>
      <c r="AG171" s="44">
        <f>Tabell2[[#This Row],[Kvinneandel-I]]*Vekter!$G$3</f>
        <v>4.2959822760529773</v>
      </c>
      <c r="AH171" s="44">
        <f>Tabell2[[#This Row],[Eldreandel-I]]*Vekter!$H$3</f>
        <v>4.4117737100941179</v>
      </c>
      <c r="AI171" s="44">
        <f>Tabell2[[#This Row],[Sysselsettingsvekst10-I]]*Vekter!$I$3</f>
        <v>10</v>
      </c>
      <c r="AJ171" s="44">
        <f>Tabell2[[#This Row],[Yrkesaktivandel-I]]*Vekter!$K$3</f>
        <v>3.0705418361478523</v>
      </c>
      <c r="AK171" s="44">
        <f>Tabell2[[#This Row],[Inntekt-I]]*Vekter!$M$3</f>
        <v>4.1136487221315932</v>
      </c>
      <c r="AL17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57.724230217394151</v>
      </c>
    </row>
    <row r="172" spans="1:38" s="38" customFormat="1" ht="12.75">
      <c r="A172" s="42" t="s">
        <v>170</v>
      </c>
      <c r="B172" s="38">
        <f>'Rådata-K'!Q172</f>
        <v>5</v>
      </c>
      <c r="C172" s="44">
        <f>'Rådata-K'!P172</f>
        <v>214.71333862310001</v>
      </c>
      <c r="D172" s="41">
        <f>'Rådata-K'!R172</f>
        <v>3.6092083586230816</v>
      </c>
      <c r="E172" s="41">
        <f>'Rådata-K'!S172</f>
        <v>3.9325842696629199E-2</v>
      </c>
      <c r="F172" s="41">
        <f>'Rådata-K'!T172</f>
        <v>0.12372372372372373</v>
      </c>
      <c r="G172" s="41">
        <f>'Rådata-K'!U172</f>
        <v>0.13753753753753753</v>
      </c>
      <c r="H172" s="41">
        <f>'Rådata-K'!V172</f>
        <v>0.18511796733212349</v>
      </c>
      <c r="I172" s="41">
        <f>'Rådata-K'!W172</f>
        <v>0.92667375132837404</v>
      </c>
      <c r="J172" s="41">
        <f>'Rådata-K'!O172</f>
        <v>340400</v>
      </c>
      <c r="K172" s="41">
        <f>Tabell2[[#This Row],[NIBR11]]</f>
        <v>5</v>
      </c>
      <c r="L172" s="41">
        <f>IF(Tabell2[[#This Row],[ReisetidOslo]]&lt;=C$433,C$433,IF(Tabell2[[#This Row],[ReisetidOslo]]&gt;=C$434,C$434,Tabell2[[#This Row],[ReisetidOslo]]))</f>
        <v>214.71333862310001</v>
      </c>
      <c r="M172" s="41">
        <f>IF(Tabell2[[#This Row],[Beftettotal]]&lt;=D$433,D$433,IF(Tabell2[[#This Row],[Beftettotal]]&gt;=D$434,D$434,Tabell2[[#This Row],[Beftettotal]]))</f>
        <v>3.6092083586230816</v>
      </c>
      <c r="N172" s="41">
        <f>IF(Tabell2[[#This Row],[Befvekst10]]&lt;=E$433,E$433,IF(Tabell2[[#This Row],[Befvekst10]]&gt;=E$434,E$434,Tabell2[[#This Row],[Befvekst10]]))</f>
        <v>3.9325842696629199E-2</v>
      </c>
      <c r="O172" s="41">
        <f>IF(Tabell2[[#This Row],[Kvinneandel]]&lt;=F$433,F$433,IF(Tabell2[[#This Row],[Kvinneandel]]&gt;=F$434,F$434,Tabell2[[#This Row],[Kvinneandel]]))</f>
        <v>0.12372372372372373</v>
      </c>
      <c r="P172" s="41">
        <f>IF(Tabell2[[#This Row],[Eldreandel]]&lt;=G$433,G$433,IF(Tabell2[[#This Row],[Eldreandel]]&gt;=G$434,G$434,Tabell2[[#This Row],[Eldreandel]]))</f>
        <v>0.13753753753753753</v>
      </c>
      <c r="Q172" s="41">
        <f>IF(Tabell2[[#This Row],[Sysselsettingsvekst10]]&lt;=H$433,H$433,IF(Tabell2[[#This Row],[Sysselsettingsvekst10]]&gt;=H$434,H$434,Tabell2[[#This Row],[Sysselsettingsvekst10]]))</f>
        <v>0.18511796733212349</v>
      </c>
      <c r="R172" s="41">
        <f>IF(Tabell2[[#This Row],[Yrkesaktivandel]]&lt;=I$433,I$433,IF(Tabell2[[#This Row],[Yrkesaktivandel]]&gt;=I$434,I$434,Tabell2[[#This Row],[Yrkesaktivandel]]))</f>
        <v>0.92667375132837404</v>
      </c>
      <c r="S172" s="41">
        <f>IF(Tabell2[[#This Row],[Inntekt]]&lt;=J$433,J$433,IF(Tabell2[[#This Row],[Inntekt]]&gt;=J$434,J$434,Tabell2[[#This Row],[Inntekt]]))</f>
        <v>340400</v>
      </c>
      <c r="T172" s="44">
        <f>IF(Tabell2[[#This Row],[NIBR11-T]]&lt;=K$436,100,IF(Tabell2[[#This Row],[NIBR11-T]]&gt;=K$435,0,100*(K$435-Tabell2[[#This Row],[NIBR11-T]])/K$438))</f>
        <v>60</v>
      </c>
      <c r="U172" s="44">
        <f>(L$435-Tabell2[[#This Row],[ReisetidOslo-T]])*100/L$438</f>
        <v>28.564774156018153</v>
      </c>
      <c r="V172" s="44">
        <f>100-(M$435-Tabell2[[#This Row],[Beftettotal-T]])*100/M$438</f>
        <v>1.8719533508384387</v>
      </c>
      <c r="W172" s="44">
        <f>100-(N$435-Tabell2[[#This Row],[Befvekst10-T]])*100/N$438</f>
        <v>54.299694923058418</v>
      </c>
      <c r="X172" s="44">
        <f>100-(O$435-Tabell2[[#This Row],[Kvinneandel-T]])*100/O$438</f>
        <v>87.582942079003899</v>
      </c>
      <c r="Y172" s="44">
        <f>(P$435-Tabell2[[#This Row],[Eldreandel-T]])*100/P$438</f>
        <v>72.2994190058036</v>
      </c>
      <c r="Z172" s="44">
        <f>100-(Q$435-Tabell2[[#This Row],[Sysselsettingsvekst10-T]])*100/Q$438</f>
        <v>81.527046477081214</v>
      </c>
      <c r="AA172" s="44">
        <f>100-(R$435-Tabell2[[#This Row],[Yrkesaktivandel-T]])*100/R$438</f>
        <v>74.860446872043525</v>
      </c>
      <c r="AB172" s="44">
        <f>100-(S$435-Tabell2[[#This Row],[Inntekt-T]])*100/S$438</f>
        <v>65.606307775965206</v>
      </c>
      <c r="AC172" s="44">
        <f>Tabell2[[#This Row],[NIBR11-I]]*Vekter!$B$3</f>
        <v>12</v>
      </c>
      <c r="AD172" s="44">
        <f>Tabell2[[#This Row],[ReisetidOslo-I]]*Vekter!$C$3</f>
        <v>2.8564774156018156</v>
      </c>
      <c r="AE172" s="44">
        <f>Tabell2[[#This Row],[Beftettotal-I]]*Vekter!$E$4</f>
        <v>0.18719533508384389</v>
      </c>
      <c r="AF172" s="44">
        <f>Tabell2[[#This Row],[Befvekst10-I]]*Vekter!$F$3</f>
        <v>10.859938984611684</v>
      </c>
      <c r="AG172" s="44">
        <f>Tabell2[[#This Row],[Kvinneandel-I]]*Vekter!$G$3</f>
        <v>4.3791471039501948</v>
      </c>
      <c r="AH172" s="44">
        <f>Tabell2[[#This Row],[Eldreandel-I]]*Vekter!$H$3</f>
        <v>3.6149709502901803</v>
      </c>
      <c r="AI172" s="44">
        <f>Tabell2[[#This Row],[Sysselsettingsvekst10-I]]*Vekter!$I$3</f>
        <v>8.1527046477081218</v>
      </c>
      <c r="AJ172" s="44">
        <f>Tabell2[[#This Row],[Yrkesaktivandel-I]]*Vekter!$K$3</f>
        <v>7.4860446872043527</v>
      </c>
      <c r="AK172" s="44">
        <f>Tabell2[[#This Row],[Inntekt-I]]*Vekter!$M$3</f>
        <v>6.5606307775965211</v>
      </c>
      <c r="AL17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56.097109902046718</v>
      </c>
    </row>
    <row r="173" spans="1:38" s="38" customFormat="1" ht="12.75">
      <c r="A173" s="42" t="s">
        <v>171</v>
      </c>
      <c r="B173" s="38">
        <f>'Rådata-K'!Q173</f>
        <v>6</v>
      </c>
      <c r="C173" s="44">
        <f>'Rådata-K'!P173</f>
        <v>232.85211337140001</v>
      </c>
      <c r="D173" s="41">
        <f>'Rådata-K'!R173</f>
        <v>6.0569565713929761</v>
      </c>
      <c r="E173" s="41">
        <f>'Rådata-K'!S173</f>
        <v>5.4972875226039886E-2</v>
      </c>
      <c r="F173" s="41">
        <f>'Rådata-K'!T173</f>
        <v>0.10987315735344531</v>
      </c>
      <c r="G173" s="41">
        <f>'Rådata-K'!U173</f>
        <v>0.14826876928351046</v>
      </c>
      <c r="H173" s="41">
        <f>'Rådata-K'!V173</f>
        <v>3.8224956063268811E-2</v>
      </c>
      <c r="I173" s="41">
        <f>'Rådata-K'!W173</f>
        <v>0.87621359223300976</v>
      </c>
      <c r="J173" s="41">
        <f>'Rådata-K'!O173</f>
        <v>318700</v>
      </c>
      <c r="K173" s="41">
        <f>Tabell2[[#This Row],[NIBR11]]</f>
        <v>6</v>
      </c>
      <c r="L173" s="41">
        <f>IF(Tabell2[[#This Row],[ReisetidOslo]]&lt;=C$433,C$433,IF(Tabell2[[#This Row],[ReisetidOslo]]&gt;=C$434,C$434,Tabell2[[#This Row],[ReisetidOslo]]))</f>
        <v>232.85211337140001</v>
      </c>
      <c r="M173" s="41">
        <f>IF(Tabell2[[#This Row],[Beftettotal]]&lt;=D$433,D$433,IF(Tabell2[[#This Row],[Beftettotal]]&gt;=D$434,D$434,Tabell2[[#This Row],[Beftettotal]]))</f>
        <v>6.0569565713929761</v>
      </c>
      <c r="N173" s="41">
        <f>IF(Tabell2[[#This Row],[Befvekst10]]&lt;=E$433,E$433,IF(Tabell2[[#This Row],[Befvekst10]]&gt;=E$434,E$434,Tabell2[[#This Row],[Befvekst10]]))</f>
        <v>5.4972875226039886E-2</v>
      </c>
      <c r="O173" s="41">
        <f>IF(Tabell2[[#This Row],[Kvinneandel]]&lt;=F$433,F$433,IF(Tabell2[[#This Row],[Kvinneandel]]&gt;=F$434,F$434,Tabell2[[#This Row],[Kvinneandel]]))</f>
        <v>0.10987315735344531</v>
      </c>
      <c r="P173" s="41">
        <f>IF(Tabell2[[#This Row],[Eldreandel]]&lt;=G$433,G$433,IF(Tabell2[[#This Row],[Eldreandel]]&gt;=G$434,G$434,Tabell2[[#This Row],[Eldreandel]]))</f>
        <v>0.14826876928351046</v>
      </c>
      <c r="Q173" s="41">
        <f>IF(Tabell2[[#This Row],[Sysselsettingsvekst10]]&lt;=H$433,H$433,IF(Tabell2[[#This Row],[Sysselsettingsvekst10]]&gt;=H$434,H$434,Tabell2[[#This Row],[Sysselsettingsvekst10]]))</f>
        <v>3.8224956063268811E-2</v>
      </c>
      <c r="R173" s="41">
        <f>IF(Tabell2[[#This Row],[Yrkesaktivandel]]&lt;=I$433,I$433,IF(Tabell2[[#This Row],[Yrkesaktivandel]]&gt;=I$434,I$434,Tabell2[[#This Row],[Yrkesaktivandel]]))</f>
        <v>0.87621359223300976</v>
      </c>
      <c r="S173" s="41">
        <f>IF(Tabell2[[#This Row],[Inntekt]]&lt;=J$433,J$433,IF(Tabell2[[#This Row],[Inntekt]]&gt;=J$434,J$434,Tabell2[[#This Row],[Inntekt]]))</f>
        <v>318700</v>
      </c>
      <c r="T173" s="44">
        <f>IF(Tabell2[[#This Row],[NIBR11-T]]&lt;=K$436,100,IF(Tabell2[[#This Row],[NIBR11-T]]&gt;=K$435,0,100*(K$435-Tabell2[[#This Row],[NIBR11-T]])/K$438))</f>
        <v>50</v>
      </c>
      <c r="U173" s="44">
        <f>(L$435-Tabell2[[#This Row],[ReisetidOslo-T]])*100/L$438</f>
        <v>20.512054371060728</v>
      </c>
      <c r="V173" s="44">
        <f>100-(M$435-Tabell2[[#This Row],[Beftettotal-T]])*100/M$438</f>
        <v>3.874228064272188</v>
      </c>
      <c r="W173" s="44">
        <f>100-(N$435-Tabell2[[#This Row],[Befvekst10-T]])*100/N$438</f>
        <v>60.773105068077633</v>
      </c>
      <c r="X173" s="44">
        <f>100-(O$435-Tabell2[[#This Row],[Kvinneandel-T]])*100/O$438</f>
        <v>49.681405747482096</v>
      </c>
      <c r="Y173" s="44">
        <f>(P$435-Tabell2[[#This Row],[Eldreandel-T]])*100/P$438</f>
        <v>59.66451341000738</v>
      </c>
      <c r="Z173" s="44">
        <f>100-(Q$435-Tabell2[[#This Row],[Sysselsettingsvekst10-T]])*100/Q$438</f>
        <v>38.337992349473325</v>
      </c>
      <c r="AA173" s="44">
        <f>100-(R$435-Tabell2[[#This Row],[Yrkesaktivandel-T]])*100/R$438</f>
        <v>37.177728049234879</v>
      </c>
      <c r="AB173" s="44">
        <f>100-(S$435-Tabell2[[#This Row],[Inntekt-T]])*100/S$438</f>
        <v>36.106579662860248</v>
      </c>
      <c r="AC173" s="44">
        <f>Tabell2[[#This Row],[NIBR11-I]]*Vekter!$B$3</f>
        <v>10</v>
      </c>
      <c r="AD173" s="44">
        <f>Tabell2[[#This Row],[ReisetidOslo-I]]*Vekter!$C$3</f>
        <v>2.0512054371060731</v>
      </c>
      <c r="AE173" s="44">
        <f>Tabell2[[#This Row],[Beftettotal-I]]*Vekter!$E$4</f>
        <v>0.38742280642721882</v>
      </c>
      <c r="AF173" s="44">
        <f>Tabell2[[#This Row],[Befvekst10-I]]*Vekter!$F$3</f>
        <v>12.154621013615527</v>
      </c>
      <c r="AG173" s="44">
        <f>Tabell2[[#This Row],[Kvinneandel-I]]*Vekter!$G$3</f>
        <v>2.484070287374105</v>
      </c>
      <c r="AH173" s="44">
        <f>Tabell2[[#This Row],[Eldreandel-I]]*Vekter!$H$3</f>
        <v>2.983225670500369</v>
      </c>
      <c r="AI173" s="44">
        <f>Tabell2[[#This Row],[Sysselsettingsvekst10-I]]*Vekter!$I$3</f>
        <v>3.8337992349473327</v>
      </c>
      <c r="AJ173" s="44">
        <f>Tabell2[[#This Row],[Yrkesaktivandel-I]]*Vekter!$K$3</f>
        <v>3.7177728049234879</v>
      </c>
      <c r="AK173" s="44">
        <f>Tabell2[[#This Row],[Inntekt-I]]*Vekter!$M$3</f>
        <v>3.6106579662860252</v>
      </c>
      <c r="AL17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41.222775221180143</v>
      </c>
    </row>
    <row r="174" spans="1:38" s="38" customFormat="1" ht="12.75">
      <c r="A174" s="42" t="s">
        <v>172</v>
      </c>
      <c r="B174" s="38">
        <f>'Rådata-K'!Q174</f>
        <v>7</v>
      </c>
      <c r="C174" s="44">
        <f>'Rådata-K'!P174</f>
        <v>237.8116612961</v>
      </c>
      <c r="D174" s="41">
        <f>'Rådata-K'!R174</f>
        <v>1.1679733475685443</v>
      </c>
      <c r="E174" s="41">
        <f>'Rådata-K'!S174</f>
        <v>3.2992036405005587E-2</v>
      </c>
      <c r="F174" s="41">
        <f>'Rådata-K'!T174</f>
        <v>0.12004405286343613</v>
      </c>
      <c r="G174" s="41">
        <f>'Rådata-K'!U174</f>
        <v>0.14977973568281938</v>
      </c>
      <c r="H174" s="41">
        <f>'Rådata-K'!V174</f>
        <v>0.15342163355408389</v>
      </c>
      <c r="I174" s="41">
        <f>'Rådata-K'!W174</f>
        <v>0.98247322297955209</v>
      </c>
      <c r="J174" s="41">
        <f>'Rådata-K'!O174</f>
        <v>367200</v>
      </c>
      <c r="K174" s="41">
        <f>Tabell2[[#This Row],[NIBR11]]</f>
        <v>7</v>
      </c>
      <c r="L174" s="41">
        <f>IF(Tabell2[[#This Row],[ReisetidOslo]]&lt;=C$433,C$433,IF(Tabell2[[#This Row],[ReisetidOslo]]&gt;=C$434,C$434,Tabell2[[#This Row],[ReisetidOslo]]))</f>
        <v>237.8116612961</v>
      </c>
      <c r="M174" s="41">
        <f>IF(Tabell2[[#This Row],[Beftettotal]]&lt;=D$433,D$433,IF(Tabell2[[#This Row],[Beftettotal]]&gt;=D$434,D$434,Tabell2[[#This Row],[Beftettotal]]))</f>
        <v>1.3207758882127238</v>
      </c>
      <c r="N174" s="41">
        <f>IF(Tabell2[[#This Row],[Befvekst10]]&lt;=E$433,E$433,IF(Tabell2[[#This Row],[Befvekst10]]&gt;=E$434,E$434,Tabell2[[#This Row],[Befvekst10]]))</f>
        <v>3.2992036405005587E-2</v>
      </c>
      <c r="O174" s="41">
        <f>IF(Tabell2[[#This Row],[Kvinneandel]]&lt;=F$433,F$433,IF(Tabell2[[#This Row],[Kvinneandel]]&gt;=F$434,F$434,Tabell2[[#This Row],[Kvinneandel]]))</f>
        <v>0.12004405286343613</v>
      </c>
      <c r="P174" s="41">
        <f>IF(Tabell2[[#This Row],[Eldreandel]]&lt;=G$433,G$433,IF(Tabell2[[#This Row],[Eldreandel]]&gt;=G$434,G$434,Tabell2[[#This Row],[Eldreandel]]))</f>
        <v>0.14977973568281938</v>
      </c>
      <c r="Q174" s="41">
        <f>IF(Tabell2[[#This Row],[Sysselsettingsvekst10]]&lt;=H$433,H$433,IF(Tabell2[[#This Row],[Sysselsettingsvekst10]]&gt;=H$434,H$434,Tabell2[[#This Row],[Sysselsettingsvekst10]]))</f>
        <v>0.15342163355408389</v>
      </c>
      <c r="R174" s="41">
        <f>IF(Tabell2[[#This Row],[Yrkesaktivandel]]&lt;=I$433,I$433,IF(Tabell2[[#This Row],[Yrkesaktivandel]]&gt;=I$434,I$434,Tabell2[[#This Row],[Yrkesaktivandel]]))</f>
        <v>0.96033761343949164</v>
      </c>
      <c r="S174" s="41">
        <f>IF(Tabell2[[#This Row],[Inntekt]]&lt;=J$433,J$433,IF(Tabell2[[#This Row],[Inntekt]]&gt;=J$434,J$434,Tabell2[[#This Row],[Inntekt]]))</f>
        <v>365700</v>
      </c>
      <c r="T174" s="44">
        <f>IF(Tabell2[[#This Row],[NIBR11-T]]&lt;=K$436,100,IF(Tabell2[[#This Row],[NIBR11-T]]&gt;=K$435,0,100*(K$435-Tabell2[[#This Row],[NIBR11-T]])/K$438))</f>
        <v>40</v>
      </c>
      <c r="U174" s="44">
        <f>(L$435-Tabell2[[#This Row],[ReisetidOslo-T]])*100/L$438</f>
        <v>18.310260134577405</v>
      </c>
      <c r="V174" s="44">
        <f>100-(M$435-Tabell2[[#This Row],[Beftettotal-T]])*100/M$438</f>
        <v>0</v>
      </c>
      <c r="W174" s="44">
        <f>100-(N$435-Tabell2[[#This Row],[Befvekst10-T]])*100/N$438</f>
        <v>51.679305029465787</v>
      </c>
      <c r="X174" s="44">
        <f>100-(O$435-Tabell2[[#This Row],[Kvinneandel-T]])*100/O$438</f>
        <v>77.513665843592506</v>
      </c>
      <c r="Y174" s="44">
        <f>(P$435-Tabell2[[#This Row],[Eldreandel-T]])*100/P$438</f>
        <v>57.885508141497304</v>
      </c>
      <c r="Z174" s="44">
        <f>100-(Q$435-Tabell2[[#This Row],[Sysselsettingsvekst10-T]])*100/Q$438</f>
        <v>72.207782998433146</v>
      </c>
      <c r="AA174" s="44">
        <f>100-(R$435-Tabell2[[#This Row],[Yrkesaktivandel-T]])*100/R$438</f>
        <v>100</v>
      </c>
      <c r="AB174" s="44">
        <f>100-(S$435-Tabell2[[#This Row],[Inntekt-T]])*100/S$438</f>
        <v>100</v>
      </c>
      <c r="AC174" s="44">
        <f>Tabell2[[#This Row],[NIBR11-I]]*Vekter!$B$3</f>
        <v>8</v>
      </c>
      <c r="AD174" s="44">
        <f>Tabell2[[#This Row],[ReisetidOslo-I]]*Vekter!$C$3</f>
        <v>1.8310260134577405</v>
      </c>
      <c r="AE174" s="44">
        <f>Tabell2[[#This Row],[Beftettotal-I]]*Vekter!$E$4</f>
        <v>0</v>
      </c>
      <c r="AF174" s="44">
        <f>Tabell2[[#This Row],[Befvekst10-I]]*Vekter!$F$3</f>
        <v>10.335861005893157</v>
      </c>
      <c r="AG174" s="44">
        <f>Tabell2[[#This Row],[Kvinneandel-I]]*Vekter!$G$3</f>
        <v>3.8756832921796254</v>
      </c>
      <c r="AH174" s="44">
        <f>Tabell2[[#This Row],[Eldreandel-I]]*Vekter!$H$3</f>
        <v>2.8942754070748653</v>
      </c>
      <c r="AI174" s="44">
        <f>Tabell2[[#This Row],[Sysselsettingsvekst10-I]]*Vekter!$I$3</f>
        <v>7.2207782998433148</v>
      </c>
      <c r="AJ174" s="44">
        <f>Tabell2[[#This Row],[Yrkesaktivandel-I]]*Vekter!$K$3</f>
        <v>10</v>
      </c>
      <c r="AK174" s="44">
        <f>Tabell2[[#This Row],[Inntekt-I]]*Vekter!$M$3</f>
        <v>10</v>
      </c>
      <c r="AL17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54.157624018448708</v>
      </c>
    </row>
    <row r="175" spans="1:38" s="38" customFormat="1" ht="12.75">
      <c r="A175" s="42" t="s">
        <v>173</v>
      </c>
      <c r="B175" s="38">
        <f>'Rådata-K'!Q175</f>
        <v>5</v>
      </c>
      <c r="C175" s="44">
        <f>'Rådata-K'!P175</f>
        <v>211.1310995696</v>
      </c>
      <c r="D175" s="41">
        <f>'Rådata-K'!R175</f>
        <v>33.530229325920772</v>
      </c>
      <c r="E175" s="41">
        <f>'Rådata-K'!S175</f>
        <v>8.6385469828880179E-2</v>
      </c>
      <c r="F175" s="41">
        <f>'Rådata-K'!T175</f>
        <v>0.1166839378238342</v>
      </c>
      <c r="G175" s="41">
        <f>'Rådata-K'!U175</f>
        <v>0.12822107081174439</v>
      </c>
      <c r="H175" s="41">
        <f>'Rådata-K'!V175</f>
        <v>8.4767994753238263E-2</v>
      </c>
      <c r="I175" s="41">
        <f>'Rådata-K'!W175</f>
        <v>0.91374146399904155</v>
      </c>
      <c r="J175" s="41">
        <f>'Rådata-K'!O175</f>
        <v>359600</v>
      </c>
      <c r="K175" s="41">
        <f>Tabell2[[#This Row],[NIBR11]]</f>
        <v>5</v>
      </c>
      <c r="L175" s="41">
        <f>IF(Tabell2[[#This Row],[ReisetidOslo]]&lt;=C$433,C$433,IF(Tabell2[[#This Row],[ReisetidOslo]]&gt;=C$434,C$434,Tabell2[[#This Row],[ReisetidOslo]]))</f>
        <v>211.1310995696</v>
      </c>
      <c r="M175" s="41">
        <f>IF(Tabell2[[#This Row],[Beftettotal]]&lt;=D$433,D$433,IF(Tabell2[[#This Row],[Beftettotal]]&gt;=D$434,D$434,Tabell2[[#This Row],[Beftettotal]]))</f>
        <v>33.530229325920772</v>
      </c>
      <c r="N175" s="41">
        <f>IF(Tabell2[[#This Row],[Befvekst10]]&lt;=E$433,E$433,IF(Tabell2[[#This Row],[Befvekst10]]&gt;=E$434,E$434,Tabell2[[#This Row],[Befvekst10]]))</f>
        <v>8.6385469828880179E-2</v>
      </c>
      <c r="O175" s="41">
        <f>IF(Tabell2[[#This Row],[Kvinneandel]]&lt;=F$433,F$433,IF(Tabell2[[#This Row],[Kvinneandel]]&gt;=F$434,F$434,Tabell2[[#This Row],[Kvinneandel]]))</f>
        <v>0.1166839378238342</v>
      </c>
      <c r="P175" s="41">
        <f>IF(Tabell2[[#This Row],[Eldreandel]]&lt;=G$433,G$433,IF(Tabell2[[#This Row],[Eldreandel]]&gt;=G$434,G$434,Tabell2[[#This Row],[Eldreandel]]))</f>
        <v>0.12822107081174439</v>
      </c>
      <c r="Q175" s="41">
        <f>IF(Tabell2[[#This Row],[Sysselsettingsvekst10]]&lt;=H$433,H$433,IF(Tabell2[[#This Row],[Sysselsettingsvekst10]]&gt;=H$434,H$434,Tabell2[[#This Row],[Sysselsettingsvekst10]]))</f>
        <v>8.4767994753238263E-2</v>
      </c>
      <c r="R175" s="41">
        <f>IF(Tabell2[[#This Row],[Yrkesaktivandel]]&lt;=I$433,I$433,IF(Tabell2[[#This Row],[Yrkesaktivandel]]&gt;=I$434,I$434,Tabell2[[#This Row],[Yrkesaktivandel]]))</f>
        <v>0.91374146399904155</v>
      </c>
      <c r="S175" s="41">
        <f>IF(Tabell2[[#This Row],[Inntekt]]&lt;=J$433,J$433,IF(Tabell2[[#This Row],[Inntekt]]&gt;=J$434,J$434,Tabell2[[#This Row],[Inntekt]]))</f>
        <v>359600</v>
      </c>
      <c r="T175" s="44">
        <f>IF(Tabell2[[#This Row],[NIBR11-T]]&lt;=K$436,100,IF(Tabell2[[#This Row],[NIBR11-T]]&gt;=K$435,0,100*(K$435-Tabell2[[#This Row],[NIBR11-T]])/K$438))</f>
        <v>60</v>
      </c>
      <c r="U175" s="44">
        <f>(L$435-Tabell2[[#This Row],[ReisetidOslo-T]])*100/L$438</f>
        <v>30.155111303970791</v>
      </c>
      <c r="V175" s="44">
        <f>100-(M$435-Tabell2[[#This Row],[Beftettotal-T]])*100/M$438</f>
        <v>26.347552340305839</v>
      </c>
      <c r="W175" s="44">
        <f>100-(N$435-Tabell2[[#This Row],[Befvekst10-T]])*100/N$438</f>
        <v>73.768962793891461</v>
      </c>
      <c r="X175" s="44">
        <f>100-(O$435-Tabell2[[#This Row],[Kvinneandel-T]])*100/O$438</f>
        <v>68.31884168644828</v>
      </c>
      <c r="Y175" s="44">
        <f>(P$435-Tabell2[[#This Row],[Eldreandel-T]])*100/P$438</f>
        <v>83.268586418570237</v>
      </c>
      <c r="Z175" s="44">
        <f>100-(Q$435-Tabell2[[#This Row],[Sysselsettingsvekst10-T]])*100/Q$438</f>
        <v>52.022440642015383</v>
      </c>
      <c r="AA175" s="44">
        <f>100-(R$435-Tabell2[[#This Row],[Yrkesaktivandel-T]])*100/R$438</f>
        <v>65.202852526254446</v>
      </c>
      <c r="AB175" s="44">
        <f>100-(S$435-Tabell2[[#This Row],[Inntekt-T]])*100/S$438</f>
        <v>91.707449700924414</v>
      </c>
      <c r="AC175" s="44">
        <f>Tabell2[[#This Row],[NIBR11-I]]*Vekter!$B$3</f>
        <v>12</v>
      </c>
      <c r="AD175" s="44">
        <f>Tabell2[[#This Row],[ReisetidOslo-I]]*Vekter!$C$3</f>
        <v>3.0155111303970794</v>
      </c>
      <c r="AE175" s="44">
        <f>Tabell2[[#This Row],[Beftettotal-I]]*Vekter!$E$4</f>
        <v>2.634755234030584</v>
      </c>
      <c r="AF175" s="44">
        <f>Tabell2[[#This Row],[Befvekst10-I]]*Vekter!$F$3</f>
        <v>14.753792558778294</v>
      </c>
      <c r="AG175" s="44">
        <f>Tabell2[[#This Row],[Kvinneandel-I]]*Vekter!$G$3</f>
        <v>3.4159420843224142</v>
      </c>
      <c r="AH175" s="44">
        <f>Tabell2[[#This Row],[Eldreandel-I]]*Vekter!$H$3</f>
        <v>4.163429320928512</v>
      </c>
      <c r="AI175" s="44">
        <f>Tabell2[[#This Row],[Sysselsettingsvekst10-I]]*Vekter!$I$3</f>
        <v>5.2022440642015386</v>
      </c>
      <c r="AJ175" s="44">
        <f>Tabell2[[#This Row],[Yrkesaktivandel-I]]*Vekter!$K$3</f>
        <v>6.5202852526254453</v>
      </c>
      <c r="AK175" s="44">
        <f>Tabell2[[#This Row],[Inntekt-I]]*Vekter!$M$3</f>
        <v>9.1707449700924411</v>
      </c>
      <c r="AL17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60.876704615376312</v>
      </c>
    </row>
    <row r="176" spans="1:38" s="38" customFormat="1" ht="12.75">
      <c r="A176" s="42" t="s">
        <v>174</v>
      </c>
      <c r="B176" s="38">
        <f>'Rådata-K'!Q176</f>
        <v>2</v>
      </c>
      <c r="C176" s="44">
        <f>'Rådata-K'!P176</f>
        <v>162.3933241945</v>
      </c>
      <c r="D176" s="41">
        <f>'Rådata-K'!R176</f>
        <v>222.62565247365484</v>
      </c>
      <c r="E176" s="41">
        <f>'Rådata-K'!S176</f>
        <v>0.2345755429736569</v>
      </c>
      <c r="F176" s="41">
        <f>'Rådata-K'!T176</f>
        <v>0.14163742000176954</v>
      </c>
      <c r="G176" s="41">
        <f>'Rådata-K'!U176</f>
        <v>9.5393281623263632E-2</v>
      </c>
      <c r="H176" s="41">
        <f>'Rådata-K'!V176</f>
        <v>0.41819923371647505</v>
      </c>
      <c r="I176" s="41">
        <f>'Rådata-K'!W176</f>
        <v>0.90128136156893435</v>
      </c>
      <c r="J176" s="41">
        <f>'Rådata-K'!O176</f>
        <v>403900</v>
      </c>
      <c r="K176" s="41">
        <f>Tabell2[[#This Row],[NIBR11]]</f>
        <v>2</v>
      </c>
      <c r="L176" s="41">
        <f>IF(Tabell2[[#This Row],[ReisetidOslo]]&lt;=C$433,C$433,IF(Tabell2[[#This Row],[ReisetidOslo]]&gt;=C$434,C$434,Tabell2[[#This Row],[ReisetidOslo]]))</f>
        <v>162.3933241945</v>
      </c>
      <c r="M176" s="41">
        <f>IF(Tabell2[[#This Row],[Beftettotal]]&lt;=D$433,D$433,IF(Tabell2[[#This Row],[Beftettotal]]&gt;=D$434,D$434,Tabell2[[#This Row],[Beftettotal]]))</f>
        <v>123.5691465212405</v>
      </c>
      <c r="N176" s="41">
        <f>IF(Tabell2[[#This Row],[Befvekst10]]&lt;=E$433,E$433,IF(Tabell2[[#This Row],[Befvekst10]]&gt;=E$434,E$434,Tabell2[[#This Row],[Befvekst10]]))</f>
        <v>0.149789129298837</v>
      </c>
      <c r="O176" s="41">
        <f>IF(Tabell2[[#This Row],[Kvinneandel]]&lt;=F$433,F$433,IF(Tabell2[[#This Row],[Kvinneandel]]&gt;=F$434,F$434,Tabell2[[#This Row],[Kvinneandel]]))</f>
        <v>0.12826135732659469</v>
      </c>
      <c r="P176" s="41">
        <f>IF(Tabell2[[#This Row],[Eldreandel]]&lt;=G$433,G$433,IF(Tabell2[[#This Row],[Eldreandel]]&gt;=G$434,G$434,Tabell2[[#This Row],[Eldreandel]]))</f>
        <v>0.11401054306234992</v>
      </c>
      <c r="Q176" s="41">
        <f>IF(Tabell2[[#This Row],[Sysselsettingsvekst10]]&lt;=H$433,H$433,IF(Tabell2[[#This Row],[Sysselsettingsvekst10]]&gt;=H$434,H$434,Tabell2[[#This Row],[Sysselsettingsvekst10]]))</f>
        <v>0.24794749265568336</v>
      </c>
      <c r="R176" s="41">
        <f>IF(Tabell2[[#This Row],[Yrkesaktivandel]]&lt;=I$433,I$433,IF(Tabell2[[#This Row],[Yrkesaktivandel]]&gt;=I$434,I$434,Tabell2[[#This Row],[Yrkesaktivandel]]))</f>
        <v>0.90128136156893435</v>
      </c>
      <c r="S176" s="41">
        <f>IF(Tabell2[[#This Row],[Inntekt]]&lt;=J$433,J$433,IF(Tabell2[[#This Row],[Inntekt]]&gt;=J$434,J$434,Tabell2[[#This Row],[Inntekt]]))</f>
        <v>365700</v>
      </c>
      <c r="T176" s="44">
        <f>IF(Tabell2[[#This Row],[NIBR11-T]]&lt;=K$436,100,IF(Tabell2[[#This Row],[NIBR11-T]]&gt;=K$435,0,100*(K$435-Tabell2[[#This Row],[NIBR11-T]])/K$438))</f>
        <v>90</v>
      </c>
      <c r="U176" s="44">
        <f>(L$435-Tabell2[[#This Row],[ReisetidOslo-T]])*100/L$438</f>
        <v>51.792275527241273</v>
      </c>
      <c r="V176" s="44">
        <f>100-(M$435-Tabell2[[#This Row],[Beftettotal-T]])*100/M$438</f>
        <v>100</v>
      </c>
      <c r="W176" s="44">
        <f>100-(N$435-Tabell2[[#This Row],[Befvekst10-T]])*100/N$438</f>
        <v>100</v>
      </c>
      <c r="X176" s="44">
        <f>100-(O$435-Tabell2[[#This Row],[Kvinneandel-T]])*100/O$438</f>
        <v>100</v>
      </c>
      <c r="Y176" s="44">
        <f>(P$435-Tabell2[[#This Row],[Eldreandel-T]])*100/P$438</f>
        <v>100</v>
      </c>
      <c r="Z176" s="44">
        <f>100-(Q$435-Tabell2[[#This Row],[Sysselsettingsvekst10-T]])*100/Q$438</f>
        <v>100</v>
      </c>
      <c r="AA176" s="44">
        <f>100-(R$435-Tabell2[[#This Row],[Yrkesaktivandel-T]])*100/R$438</f>
        <v>55.897877179471223</v>
      </c>
      <c r="AB176" s="44">
        <f>100-(S$435-Tabell2[[#This Row],[Inntekt-T]])*100/S$438</f>
        <v>100</v>
      </c>
      <c r="AC176" s="44">
        <f>Tabell2[[#This Row],[NIBR11-I]]*Vekter!$B$3</f>
        <v>18</v>
      </c>
      <c r="AD176" s="44">
        <f>Tabell2[[#This Row],[ReisetidOslo-I]]*Vekter!$C$3</f>
        <v>5.1792275527241278</v>
      </c>
      <c r="AE176" s="44">
        <f>Tabell2[[#This Row],[Beftettotal-I]]*Vekter!$E$4</f>
        <v>10</v>
      </c>
      <c r="AF176" s="44">
        <f>Tabell2[[#This Row],[Befvekst10-I]]*Vekter!$F$3</f>
        <v>20</v>
      </c>
      <c r="AG176" s="44">
        <f>Tabell2[[#This Row],[Kvinneandel-I]]*Vekter!$G$3</f>
        <v>5</v>
      </c>
      <c r="AH176" s="44">
        <f>Tabell2[[#This Row],[Eldreandel-I]]*Vekter!$H$3</f>
        <v>5</v>
      </c>
      <c r="AI176" s="44">
        <f>Tabell2[[#This Row],[Sysselsettingsvekst10-I]]*Vekter!$I$3</f>
        <v>10</v>
      </c>
      <c r="AJ176" s="44">
        <f>Tabell2[[#This Row],[Yrkesaktivandel-I]]*Vekter!$K$3</f>
        <v>5.5897877179471225</v>
      </c>
      <c r="AK176" s="44">
        <f>Tabell2[[#This Row],[Inntekt-I]]*Vekter!$M$3</f>
        <v>10</v>
      </c>
      <c r="AL17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88.769015270671247</v>
      </c>
    </row>
    <row r="177" spans="1:38" s="38" customFormat="1" ht="12.75">
      <c r="A177" s="42" t="s">
        <v>175</v>
      </c>
      <c r="B177" s="38">
        <f>'Rådata-K'!Q177</f>
        <v>2</v>
      </c>
      <c r="C177" s="44">
        <f>'Rådata-K'!P177</f>
        <v>163.6584520923</v>
      </c>
      <c r="D177" s="41">
        <f>'Rådata-K'!R177</f>
        <v>1784.5486354093771</v>
      </c>
      <c r="E177" s="41">
        <f>'Rådata-K'!S177</f>
        <v>0.16220946130708236</v>
      </c>
      <c r="F177" s="41">
        <f>'Rådata-K'!T177</f>
        <v>0.14874594136746505</v>
      </c>
      <c r="G177" s="41">
        <f>'Rådata-K'!U177</f>
        <v>0.1037755086035167</v>
      </c>
      <c r="H177" s="41">
        <f>'Rådata-K'!V177</f>
        <v>0.20200833085391245</v>
      </c>
      <c r="I177" s="41">
        <f>'Rådata-K'!W177</f>
        <v>0.87750688410808364</v>
      </c>
      <c r="J177" s="41">
        <f>'Rådata-K'!O177</f>
        <v>445500</v>
      </c>
      <c r="K177" s="41">
        <f>Tabell2[[#This Row],[NIBR11]]</f>
        <v>2</v>
      </c>
      <c r="L177" s="41">
        <f>IF(Tabell2[[#This Row],[ReisetidOslo]]&lt;=C$433,C$433,IF(Tabell2[[#This Row],[ReisetidOslo]]&gt;=C$434,C$434,Tabell2[[#This Row],[ReisetidOslo]]))</f>
        <v>163.6584520923</v>
      </c>
      <c r="M177" s="41">
        <f>IF(Tabell2[[#This Row],[Beftettotal]]&lt;=D$433,D$433,IF(Tabell2[[#This Row],[Beftettotal]]&gt;=D$434,D$434,Tabell2[[#This Row],[Beftettotal]]))</f>
        <v>123.5691465212405</v>
      </c>
      <c r="N177" s="41">
        <f>IF(Tabell2[[#This Row],[Befvekst10]]&lt;=E$433,E$433,IF(Tabell2[[#This Row],[Befvekst10]]&gt;=E$434,E$434,Tabell2[[#This Row],[Befvekst10]]))</f>
        <v>0.149789129298837</v>
      </c>
      <c r="O177" s="41">
        <f>IF(Tabell2[[#This Row],[Kvinneandel]]&lt;=F$433,F$433,IF(Tabell2[[#This Row],[Kvinneandel]]&gt;=F$434,F$434,Tabell2[[#This Row],[Kvinneandel]]))</f>
        <v>0.12826135732659469</v>
      </c>
      <c r="P177" s="41">
        <f>IF(Tabell2[[#This Row],[Eldreandel]]&lt;=G$433,G$433,IF(Tabell2[[#This Row],[Eldreandel]]&gt;=G$434,G$434,Tabell2[[#This Row],[Eldreandel]]))</f>
        <v>0.11401054306234992</v>
      </c>
      <c r="Q177" s="41">
        <f>IF(Tabell2[[#This Row],[Sysselsettingsvekst10]]&lt;=H$433,H$433,IF(Tabell2[[#This Row],[Sysselsettingsvekst10]]&gt;=H$434,H$434,Tabell2[[#This Row],[Sysselsettingsvekst10]]))</f>
        <v>0.20200833085391245</v>
      </c>
      <c r="R177" s="41">
        <f>IF(Tabell2[[#This Row],[Yrkesaktivandel]]&lt;=I$433,I$433,IF(Tabell2[[#This Row],[Yrkesaktivandel]]&gt;=I$434,I$434,Tabell2[[#This Row],[Yrkesaktivandel]]))</f>
        <v>0.87750688410808364</v>
      </c>
      <c r="S177" s="41">
        <f>IF(Tabell2[[#This Row],[Inntekt]]&lt;=J$433,J$433,IF(Tabell2[[#This Row],[Inntekt]]&gt;=J$434,J$434,Tabell2[[#This Row],[Inntekt]]))</f>
        <v>365700</v>
      </c>
      <c r="T177" s="44">
        <f>IF(Tabell2[[#This Row],[NIBR11-T]]&lt;=K$436,100,IF(Tabell2[[#This Row],[NIBR11-T]]&gt;=K$435,0,100*(K$435-Tabell2[[#This Row],[NIBR11-T]])/K$438))</f>
        <v>90</v>
      </c>
      <c r="U177" s="44">
        <f>(L$435-Tabell2[[#This Row],[ReisetidOslo-T]])*100/L$438</f>
        <v>51.230621248245917</v>
      </c>
      <c r="V177" s="44">
        <f>100-(M$435-Tabell2[[#This Row],[Beftettotal-T]])*100/M$438</f>
        <v>100</v>
      </c>
      <c r="W177" s="44">
        <f>100-(N$435-Tabell2[[#This Row],[Befvekst10-T]])*100/N$438</f>
        <v>100</v>
      </c>
      <c r="X177" s="44">
        <f>100-(O$435-Tabell2[[#This Row],[Kvinneandel-T]])*100/O$438</f>
        <v>100</v>
      </c>
      <c r="Y177" s="44">
        <f>(P$435-Tabell2[[#This Row],[Eldreandel-T]])*100/P$438</f>
        <v>100</v>
      </c>
      <c r="Z177" s="44">
        <f>100-(Q$435-Tabell2[[#This Row],[Sysselsettingsvekst10-T]])*100/Q$438</f>
        <v>86.493101826320199</v>
      </c>
      <c r="AA177" s="44">
        <f>100-(R$435-Tabell2[[#This Row],[Yrkesaktivandel-T]])*100/R$438</f>
        <v>38.143534637203189</v>
      </c>
      <c r="AB177" s="44">
        <f>100-(S$435-Tabell2[[#This Row],[Inntekt-T]])*100/S$438</f>
        <v>100</v>
      </c>
      <c r="AC177" s="44">
        <f>Tabell2[[#This Row],[NIBR11-I]]*Vekter!$B$3</f>
        <v>18</v>
      </c>
      <c r="AD177" s="44">
        <f>Tabell2[[#This Row],[ReisetidOslo-I]]*Vekter!$C$3</f>
        <v>5.1230621248245924</v>
      </c>
      <c r="AE177" s="44">
        <f>Tabell2[[#This Row],[Beftettotal-I]]*Vekter!$E$4</f>
        <v>10</v>
      </c>
      <c r="AF177" s="44">
        <f>Tabell2[[#This Row],[Befvekst10-I]]*Vekter!$F$3</f>
        <v>20</v>
      </c>
      <c r="AG177" s="44">
        <f>Tabell2[[#This Row],[Kvinneandel-I]]*Vekter!$G$3</f>
        <v>5</v>
      </c>
      <c r="AH177" s="44">
        <f>Tabell2[[#This Row],[Eldreandel-I]]*Vekter!$H$3</f>
        <v>5</v>
      </c>
      <c r="AI177" s="44">
        <f>Tabell2[[#This Row],[Sysselsettingsvekst10-I]]*Vekter!$I$3</f>
        <v>8.6493101826320196</v>
      </c>
      <c r="AJ177" s="44">
        <f>Tabell2[[#This Row],[Yrkesaktivandel-I]]*Vekter!$K$3</f>
        <v>3.8143534637203191</v>
      </c>
      <c r="AK177" s="44">
        <f>Tabell2[[#This Row],[Inntekt-I]]*Vekter!$M$3</f>
        <v>10</v>
      </c>
      <c r="AL17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85.58672577117693</v>
      </c>
    </row>
    <row r="178" spans="1:38" s="38" customFormat="1" ht="12.75">
      <c r="A178" s="42" t="s">
        <v>176</v>
      </c>
      <c r="B178" s="38">
        <f>'Rådata-K'!Q178</f>
        <v>4</v>
      </c>
      <c r="C178" s="44">
        <f>'Rådata-K'!P178</f>
        <v>163.7287982348</v>
      </c>
      <c r="D178" s="41">
        <f>'Rådata-K'!R178</f>
        <v>482.65951595159515</v>
      </c>
      <c r="E178" s="41">
        <f>'Rådata-K'!S178</f>
        <v>0.14172792921735744</v>
      </c>
      <c r="F178" s="41">
        <f>'Rådata-K'!T178</f>
        <v>0.13419185731787231</v>
      </c>
      <c r="G178" s="41">
        <f>'Rådata-K'!U178</f>
        <v>0.12604347702213739</v>
      </c>
      <c r="H178" s="41">
        <f>'Rådata-K'!V178</f>
        <v>0.21418994413407821</v>
      </c>
      <c r="I178" s="41">
        <f>'Rådata-K'!W178</f>
        <v>0.84532917729290635</v>
      </c>
      <c r="J178" s="41">
        <f>'Rådata-K'!O178</f>
        <v>359700</v>
      </c>
      <c r="K178" s="41">
        <f>Tabell2[[#This Row],[NIBR11]]</f>
        <v>4</v>
      </c>
      <c r="L178" s="41">
        <f>IF(Tabell2[[#This Row],[ReisetidOslo]]&lt;=C$433,C$433,IF(Tabell2[[#This Row],[ReisetidOslo]]&gt;=C$434,C$434,Tabell2[[#This Row],[ReisetidOslo]]))</f>
        <v>163.7287982348</v>
      </c>
      <c r="M178" s="41">
        <f>IF(Tabell2[[#This Row],[Beftettotal]]&lt;=D$433,D$433,IF(Tabell2[[#This Row],[Beftettotal]]&gt;=D$434,D$434,Tabell2[[#This Row],[Beftettotal]]))</f>
        <v>123.5691465212405</v>
      </c>
      <c r="N178" s="41">
        <f>IF(Tabell2[[#This Row],[Befvekst10]]&lt;=E$433,E$433,IF(Tabell2[[#This Row],[Befvekst10]]&gt;=E$434,E$434,Tabell2[[#This Row],[Befvekst10]]))</f>
        <v>0.14172792921735744</v>
      </c>
      <c r="O178" s="41">
        <f>IF(Tabell2[[#This Row],[Kvinneandel]]&lt;=F$433,F$433,IF(Tabell2[[#This Row],[Kvinneandel]]&gt;=F$434,F$434,Tabell2[[#This Row],[Kvinneandel]]))</f>
        <v>0.12826135732659469</v>
      </c>
      <c r="P178" s="41">
        <f>IF(Tabell2[[#This Row],[Eldreandel]]&lt;=G$433,G$433,IF(Tabell2[[#This Row],[Eldreandel]]&gt;=G$434,G$434,Tabell2[[#This Row],[Eldreandel]]))</f>
        <v>0.12604347702213739</v>
      </c>
      <c r="Q178" s="41">
        <f>IF(Tabell2[[#This Row],[Sysselsettingsvekst10]]&lt;=H$433,H$433,IF(Tabell2[[#This Row],[Sysselsettingsvekst10]]&gt;=H$434,H$434,Tabell2[[#This Row],[Sysselsettingsvekst10]]))</f>
        <v>0.21418994413407821</v>
      </c>
      <c r="R178" s="41">
        <f>IF(Tabell2[[#This Row],[Yrkesaktivandel]]&lt;=I$433,I$433,IF(Tabell2[[#This Row],[Yrkesaktivandel]]&gt;=I$434,I$434,Tabell2[[#This Row],[Yrkesaktivandel]]))</f>
        <v>0.84532917729290635</v>
      </c>
      <c r="S178" s="41">
        <f>IF(Tabell2[[#This Row],[Inntekt]]&lt;=J$433,J$433,IF(Tabell2[[#This Row],[Inntekt]]&gt;=J$434,J$434,Tabell2[[#This Row],[Inntekt]]))</f>
        <v>359700</v>
      </c>
      <c r="T178" s="44">
        <f>IF(Tabell2[[#This Row],[NIBR11-T]]&lt;=K$436,100,IF(Tabell2[[#This Row],[NIBR11-T]]&gt;=K$435,0,100*(K$435-Tabell2[[#This Row],[NIBR11-T]])/K$438))</f>
        <v>70</v>
      </c>
      <c r="U178" s="44">
        <f>(L$435-Tabell2[[#This Row],[ReisetidOslo-T]])*100/L$438</f>
        <v>51.199391036648613</v>
      </c>
      <c r="V178" s="44">
        <f>100-(M$435-Tabell2[[#This Row],[Beftettotal-T]])*100/M$438</f>
        <v>100</v>
      </c>
      <c r="W178" s="44">
        <f>100-(N$435-Tabell2[[#This Row],[Befvekst10-T]])*100/N$438</f>
        <v>96.664961596366993</v>
      </c>
      <c r="X178" s="44">
        <f>100-(O$435-Tabell2[[#This Row],[Kvinneandel-T]])*100/O$438</f>
        <v>100</v>
      </c>
      <c r="Y178" s="44">
        <f>(P$435-Tabell2[[#This Row],[Eldreandel-T]])*100/P$438</f>
        <v>85.832475877765035</v>
      </c>
      <c r="Z178" s="44">
        <f>100-(Q$435-Tabell2[[#This Row],[Sysselsettingsvekst10-T]])*100/Q$438</f>
        <v>90.074704182852571</v>
      </c>
      <c r="AA178" s="44">
        <f>100-(R$435-Tabell2[[#This Row],[Yrkesaktivandel-T]])*100/R$438</f>
        <v>14.11381495305551</v>
      </c>
      <c r="AB178" s="44">
        <f>100-(S$435-Tabell2[[#This Row],[Inntekt-T]])*100/S$438</f>
        <v>91.843393148450247</v>
      </c>
      <c r="AC178" s="44">
        <f>Tabell2[[#This Row],[NIBR11-I]]*Vekter!$B$3</f>
        <v>14</v>
      </c>
      <c r="AD178" s="44">
        <f>Tabell2[[#This Row],[ReisetidOslo-I]]*Vekter!$C$3</f>
        <v>5.119939103664862</v>
      </c>
      <c r="AE178" s="44">
        <f>Tabell2[[#This Row],[Beftettotal-I]]*Vekter!$E$4</f>
        <v>10</v>
      </c>
      <c r="AF178" s="44">
        <f>Tabell2[[#This Row],[Befvekst10-I]]*Vekter!$F$3</f>
        <v>19.332992319273401</v>
      </c>
      <c r="AG178" s="44">
        <f>Tabell2[[#This Row],[Kvinneandel-I]]*Vekter!$G$3</f>
        <v>5</v>
      </c>
      <c r="AH178" s="44">
        <f>Tabell2[[#This Row],[Eldreandel-I]]*Vekter!$H$3</f>
        <v>4.2916237938882515</v>
      </c>
      <c r="AI178" s="44">
        <f>Tabell2[[#This Row],[Sysselsettingsvekst10-I]]*Vekter!$I$3</f>
        <v>9.0074704182852567</v>
      </c>
      <c r="AJ178" s="44">
        <f>Tabell2[[#This Row],[Yrkesaktivandel-I]]*Vekter!$K$3</f>
        <v>1.411381495305551</v>
      </c>
      <c r="AK178" s="44">
        <f>Tabell2[[#This Row],[Inntekt-I]]*Vekter!$M$3</f>
        <v>9.1843393148450243</v>
      </c>
      <c r="AL17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77.347746445262331</v>
      </c>
    </row>
    <row r="179" spans="1:38" s="38" customFormat="1" ht="12.75">
      <c r="A179" s="42" t="s">
        <v>177</v>
      </c>
      <c r="B179" s="38">
        <f>'Rådata-K'!Q179</f>
        <v>5</v>
      </c>
      <c r="C179" s="44">
        <f>'Rådata-K'!P179</f>
        <v>227.12412678430002</v>
      </c>
      <c r="D179" s="41">
        <f>'Rådata-K'!R179</f>
        <v>11.048543030631974</v>
      </c>
      <c r="E179" s="41">
        <f>'Rådata-K'!S179</f>
        <v>-1.5714717437292247E-2</v>
      </c>
      <c r="F179" s="41">
        <f>'Rådata-K'!T179</f>
        <v>0.10899600859686828</v>
      </c>
      <c r="G179" s="41">
        <f>'Rådata-K'!U179</f>
        <v>0.16487565244089653</v>
      </c>
      <c r="H179" s="41">
        <f>'Rådata-K'!V179</f>
        <v>7.3038773669972912E-2</v>
      </c>
      <c r="I179" s="41">
        <f>'Rådata-K'!W179</f>
        <v>0.89074693422519513</v>
      </c>
      <c r="J179" s="41">
        <f>'Rådata-K'!O179</f>
        <v>333400</v>
      </c>
      <c r="K179" s="41">
        <f>Tabell2[[#This Row],[NIBR11]]</f>
        <v>5</v>
      </c>
      <c r="L179" s="41">
        <f>IF(Tabell2[[#This Row],[ReisetidOslo]]&lt;=C$433,C$433,IF(Tabell2[[#This Row],[ReisetidOslo]]&gt;=C$434,C$434,Tabell2[[#This Row],[ReisetidOslo]]))</f>
        <v>227.12412678430002</v>
      </c>
      <c r="M179" s="41">
        <f>IF(Tabell2[[#This Row],[Beftettotal]]&lt;=D$433,D$433,IF(Tabell2[[#This Row],[Beftettotal]]&gt;=D$434,D$434,Tabell2[[#This Row],[Beftettotal]]))</f>
        <v>11.048543030631974</v>
      </c>
      <c r="N179" s="41">
        <f>IF(Tabell2[[#This Row],[Befvekst10]]&lt;=E$433,E$433,IF(Tabell2[[#This Row],[Befvekst10]]&gt;=E$434,E$434,Tabell2[[#This Row],[Befvekst10]]))</f>
        <v>-1.5714717437292247E-2</v>
      </c>
      <c r="O179" s="41">
        <f>IF(Tabell2[[#This Row],[Kvinneandel]]&lt;=F$433,F$433,IF(Tabell2[[#This Row],[Kvinneandel]]&gt;=F$434,F$434,Tabell2[[#This Row],[Kvinneandel]]))</f>
        <v>0.10899600859686828</v>
      </c>
      <c r="P179" s="41">
        <f>IF(Tabell2[[#This Row],[Eldreandel]]&lt;=G$433,G$433,IF(Tabell2[[#This Row],[Eldreandel]]&gt;=G$434,G$434,Tabell2[[#This Row],[Eldreandel]]))</f>
        <v>0.16487565244089653</v>
      </c>
      <c r="Q179" s="41">
        <f>IF(Tabell2[[#This Row],[Sysselsettingsvekst10]]&lt;=H$433,H$433,IF(Tabell2[[#This Row],[Sysselsettingsvekst10]]&gt;=H$434,H$434,Tabell2[[#This Row],[Sysselsettingsvekst10]]))</f>
        <v>7.3038773669972912E-2</v>
      </c>
      <c r="R179" s="41">
        <f>IF(Tabell2[[#This Row],[Yrkesaktivandel]]&lt;=I$433,I$433,IF(Tabell2[[#This Row],[Yrkesaktivandel]]&gt;=I$434,I$434,Tabell2[[#This Row],[Yrkesaktivandel]]))</f>
        <v>0.89074693422519513</v>
      </c>
      <c r="S179" s="41">
        <f>IF(Tabell2[[#This Row],[Inntekt]]&lt;=J$433,J$433,IF(Tabell2[[#This Row],[Inntekt]]&gt;=J$434,J$434,Tabell2[[#This Row],[Inntekt]]))</f>
        <v>333400</v>
      </c>
      <c r="T179" s="44">
        <f>IF(Tabell2[[#This Row],[NIBR11-T]]&lt;=K$436,100,IF(Tabell2[[#This Row],[NIBR11-T]]&gt;=K$435,0,100*(K$435-Tabell2[[#This Row],[NIBR11-T]])/K$438))</f>
        <v>60</v>
      </c>
      <c r="U179" s="44">
        <f>(L$435-Tabell2[[#This Row],[ReisetidOslo-T]])*100/L$438</f>
        <v>23.054997406517622</v>
      </c>
      <c r="V179" s="44">
        <f>100-(M$435-Tabell2[[#This Row],[Beftettotal-T]])*100/M$438</f>
        <v>7.957379793323085</v>
      </c>
      <c r="W179" s="44">
        <f>100-(N$435-Tabell2[[#This Row],[Befvekst10-T]])*100/N$438</f>
        <v>31.5285963336771</v>
      </c>
      <c r="X179" s="44">
        <f>100-(O$435-Tabell2[[#This Row],[Kvinneandel-T]])*100/O$438</f>
        <v>47.281122280598481</v>
      </c>
      <c r="Y179" s="44">
        <f>(P$435-Tabell2[[#This Row],[Eldreandel-T]])*100/P$438</f>
        <v>40.111641391123612</v>
      </c>
      <c r="Z179" s="44">
        <f>100-(Q$435-Tabell2[[#This Row],[Sysselsettingsvekst10-T]])*100/Q$438</f>
        <v>48.573849317866838</v>
      </c>
      <c r="AA179" s="44">
        <f>100-(R$435-Tabell2[[#This Row],[Yrkesaktivandel-T]])*100/R$438</f>
        <v>48.030960572981549</v>
      </c>
      <c r="AB179" s="44">
        <f>100-(S$435-Tabell2[[#This Row],[Inntekt-T]])*100/S$438</f>
        <v>56.090266449157149</v>
      </c>
      <c r="AC179" s="44">
        <f>Tabell2[[#This Row],[NIBR11-I]]*Vekter!$B$3</f>
        <v>12</v>
      </c>
      <c r="AD179" s="44">
        <f>Tabell2[[#This Row],[ReisetidOslo-I]]*Vekter!$C$3</f>
        <v>2.3054997406517623</v>
      </c>
      <c r="AE179" s="44">
        <f>Tabell2[[#This Row],[Beftettotal-I]]*Vekter!$E$4</f>
        <v>0.7957379793323085</v>
      </c>
      <c r="AF179" s="44">
        <f>Tabell2[[#This Row],[Befvekst10-I]]*Vekter!$F$3</f>
        <v>6.3057192667354203</v>
      </c>
      <c r="AG179" s="44">
        <f>Tabell2[[#This Row],[Kvinneandel-I]]*Vekter!$G$3</f>
        <v>2.3640561140299243</v>
      </c>
      <c r="AH179" s="44">
        <f>Tabell2[[#This Row],[Eldreandel-I]]*Vekter!$H$3</f>
        <v>2.0055820695561808</v>
      </c>
      <c r="AI179" s="44">
        <f>Tabell2[[#This Row],[Sysselsettingsvekst10-I]]*Vekter!$I$3</f>
        <v>4.857384931786684</v>
      </c>
      <c r="AJ179" s="44">
        <f>Tabell2[[#This Row],[Yrkesaktivandel-I]]*Vekter!$K$3</f>
        <v>4.8030960572981556</v>
      </c>
      <c r="AK179" s="44">
        <f>Tabell2[[#This Row],[Inntekt-I]]*Vekter!$M$3</f>
        <v>5.6090266449157156</v>
      </c>
      <c r="AL17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41.046102804306145</v>
      </c>
    </row>
    <row r="180" spans="1:38" s="38" customFormat="1" ht="12.75">
      <c r="A180" s="42" t="s">
        <v>178</v>
      </c>
      <c r="B180" s="38">
        <f>'Rådata-K'!Q180</f>
        <v>6</v>
      </c>
      <c r="C180" s="44">
        <f>'Rådata-K'!P180</f>
        <v>232.28126672689999</v>
      </c>
      <c r="D180" s="41">
        <f>'Rådata-K'!R180</f>
        <v>7.7936387453784191</v>
      </c>
      <c r="E180" s="41">
        <f>'Rådata-K'!S180</f>
        <v>1.6932907348242709E-2</v>
      </c>
      <c r="F180" s="41">
        <f>'Rådata-K'!T180</f>
        <v>0.11812755262331134</v>
      </c>
      <c r="G180" s="41">
        <f>'Rådata-K'!U180</f>
        <v>0.13226515865535657</v>
      </c>
      <c r="H180" s="41">
        <f>'Rådata-K'!V180</f>
        <v>0.125</v>
      </c>
      <c r="I180" s="41">
        <f>'Rådata-K'!W180</f>
        <v>0.92056338028169016</v>
      </c>
      <c r="J180" s="41">
        <f>'Rådata-K'!O180</f>
        <v>324400</v>
      </c>
      <c r="K180" s="41">
        <f>Tabell2[[#This Row],[NIBR11]]</f>
        <v>6</v>
      </c>
      <c r="L180" s="41">
        <f>IF(Tabell2[[#This Row],[ReisetidOslo]]&lt;=C$433,C$433,IF(Tabell2[[#This Row],[ReisetidOslo]]&gt;=C$434,C$434,Tabell2[[#This Row],[ReisetidOslo]]))</f>
        <v>232.28126672689999</v>
      </c>
      <c r="M180" s="41">
        <f>IF(Tabell2[[#This Row],[Beftettotal]]&lt;=D$433,D$433,IF(Tabell2[[#This Row],[Beftettotal]]&gt;=D$434,D$434,Tabell2[[#This Row],[Beftettotal]]))</f>
        <v>7.7936387453784191</v>
      </c>
      <c r="N180" s="41">
        <f>IF(Tabell2[[#This Row],[Befvekst10]]&lt;=E$433,E$433,IF(Tabell2[[#This Row],[Befvekst10]]&gt;=E$434,E$434,Tabell2[[#This Row],[Befvekst10]]))</f>
        <v>1.6932907348242709E-2</v>
      </c>
      <c r="O180" s="41">
        <f>IF(Tabell2[[#This Row],[Kvinneandel]]&lt;=F$433,F$433,IF(Tabell2[[#This Row],[Kvinneandel]]&gt;=F$434,F$434,Tabell2[[#This Row],[Kvinneandel]]))</f>
        <v>0.11812755262331134</v>
      </c>
      <c r="P180" s="41">
        <f>IF(Tabell2[[#This Row],[Eldreandel]]&lt;=G$433,G$433,IF(Tabell2[[#This Row],[Eldreandel]]&gt;=G$434,G$434,Tabell2[[#This Row],[Eldreandel]]))</f>
        <v>0.13226515865535657</v>
      </c>
      <c r="Q180" s="41">
        <f>IF(Tabell2[[#This Row],[Sysselsettingsvekst10]]&lt;=H$433,H$433,IF(Tabell2[[#This Row],[Sysselsettingsvekst10]]&gt;=H$434,H$434,Tabell2[[#This Row],[Sysselsettingsvekst10]]))</f>
        <v>0.125</v>
      </c>
      <c r="R180" s="41">
        <f>IF(Tabell2[[#This Row],[Yrkesaktivandel]]&lt;=I$433,I$433,IF(Tabell2[[#This Row],[Yrkesaktivandel]]&gt;=I$434,I$434,Tabell2[[#This Row],[Yrkesaktivandel]]))</f>
        <v>0.92056338028169016</v>
      </c>
      <c r="S180" s="41">
        <f>IF(Tabell2[[#This Row],[Inntekt]]&lt;=J$433,J$433,IF(Tabell2[[#This Row],[Inntekt]]&gt;=J$434,J$434,Tabell2[[#This Row],[Inntekt]]))</f>
        <v>324400</v>
      </c>
      <c r="T180" s="44">
        <f>IF(Tabell2[[#This Row],[NIBR11-T]]&lt;=K$436,100,IF(Tabell2[[#This Row],[NIBR11-T]]&gt;=K$435,0,100*(K$435-Tabell2[[#This Row],[NIBR11-T]])/K$438))</f>
        <v>50</v>
      </c>
      <c r="U180" s="44">
        <f>(L$435-Tabell2[[#This Row],[ReisetidOslo-T]])*100/L$438</f>
        <v>20.765482076742593</v>
      </c>
      <c r="V180" s="44">
        <f>100-(M$435-Tabell2[[#This Row],[Beftettotal-T]])*100/M$438</f>
        <v>5.2948459138128783</v>
      </c>
      <c r="W180" s="44">
        <f>100-(N$435-Tabell2[[#This Row],[Befvekst10-T]])*100/N$438</f>
        <v>45.035404420144495</v>
      </c>
      <c r="X180" s="44">
        <f>100-(O$435-Tabell2[[#This Row],[Kvinneandel-T]])*100/O$438</f>
        <v>72.269237454271732</v>
      </c>
      <c r="Y180" s="44">
        <f>(P$435-Tabell2[[#This Row],[Eldreandel-T]])*100/P$438</f>
        <v>78.50709497614362</v>
      </c>
      <c r="Z180" s="44">
        <f>100-(Q$435-Tabell2[[#This Row],[Sysselsettingsvekst10-T]])*100/Q$438</f>
        <v>63.851337314875757</v>
      </c>
      <c r="AA180" s="44">
        <f>100-(R$435-Tabell2[[#This Row],[Yrkesaktivandel-T]])*100/R$438</f>
        <v>70.297334147407412</v>
      </c>
      <c r="AB180" s="44">
        <f>100-(S$435-Tabell2[[#This Row],[Inntekt-T]])*100/S$438</f>
        <v>43.855356171832518</v>
      </c>
      <c r="AC180" s="44">
        <f>Tabell2[[#This Row],[NIBR11-I]]*Vekter!$B$3</f>
        <v>10</v>
      </c>
      <c r="AD180" s="44">
        <f>Tabell2[[#This Row],[ReisetidOslo-I]]*Vekter!$C$3</f>
        <v>2.0765482076742594</v>
      </c>
      <c r="AE180" s="44">
        <f>Tabell2[[#This Row],[Beftettotal-I]]*Vekter!$E$4</f>
        <v>0.52948459138128789</v>
      </c>
      <c r="AF180" s="44">
        <f>Tabell2[[#This Row],[Befvekst10-I]]*Vekter!$F$3</f>
        <v>9.0070808840289001</v>
      </c>
      <c r="AG180" s="44">
        <f>Tabell2[[#This Row],[Kvinneandel-I]]*Vekter!$G$3</f>
        <v>3.6134618727135868</v>
      </c>
      <c r="AH180" s="44">
        <f>Tabell2[[#This Row],[Eldreandel-I]]*Vekter!$H$3</f>
        <v>3.9253547488071812</v>
      </c>
      <c r="AI180" s="44">
        <f>Tabell2[[#This Row],[Sysselsettingsvekst10-I]]*Vekter!$I$3</f>
        <v>6.385133731487576</v>
      </c>
      <c r="AJ180" s="44">
        <f>Tabell2[[#This Row],[Yrkesaktivandel-I]]*Vekter!$K$3</f>
        <v>7.0297334147407415</v>
      </c>
      <c r="AK180" s="44">
        <f>Tabell2[[#This Row],[Inntekt-I]]*Vekter!$M$3</f>
        <v>4.385535617183252</v>
      </c>
      <c r="AL18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46.952333068016777</v>
      </c>
    </row>
    <row r="181" spans="1:38" s="38" customFormat="1" ht="12.75">
      <c r="A181" s="42" t="s">
        <v>179</v>
      </c>
      <c r="B181" s="38">
        <f>'Rådata-K'!Q181</f>
        <v>2</v>
      </c>
      <c r="C181" s="44">
        <f>'Rådata-K'!P181</f>
        <v>191.23009832079998</v>
      </c>
      <c r="D181" s="41">
        <f>'Rådata-K'!R181</f>
        <v>4.2102188883423519</v>
      </c>
      <c r="E181" s="41">
        <f>'Rådata-K'!S181</f>
        <v>0.11025537089582493</v>
      </c>
      <c r="F181" s="41">
        <f>'Rådata-K'!T181</f>
        <v>0.12194231471339904</v>
      </c>
      <c r="G181" s="41">
        <f>'Rådata-K'!U181</f>
        <v>0.11646586345381527</v>
      </c>
      <c r="H181" s="41">
        <f>'Rådata-K'!V181</f>
        <v>0.15492957746478875</v>
      </c>
      <c r="I181" s="41">
        <f>'Rådata-K'!W181</f>
        <v>0.98133848133848134</v>
      </c>
      <c r="J181" s="41">
        <f>'Rådata-K'!O181</f>
        <v>357200</v>
      </c>
      <c r="K181" s="41">
        <f>Tabell2[[#This Row],[NIBR11]]</f>
        <v>2</v>
      </c>
      <c r="L181" s="41">
        <f>IF(Tabell2[[#This Row],[ReisetidOslo]]&lt;=C$433,C$433,IF(Tabell2[[#This Row],[ReisetidOslo]]&gt;=C$434,C$434,Tabell2[[#This Row],[ReisetidOslo]]))</f>
        <v>191.23009832079998</v>
      </c>
      <c r="M181" s="41">
        <f>IF(Tabell2[[#This Row],[Beftettotal]]&lt;=D$433,D$433,IF(Tabell2[[#This Row],[Beftettotal]]&gt;=D$434,D$434,Tabell2[[#This Row],[Beftettotal]]))</f>
        <v>4.2102188883423519</v>
      </c>
      <c r="N181" s="41">
        <f>IF(Tabell2[[#This Row],[Befvekst10]]&lt;=E$433,E$433,IF(Tabell2[[#This Row],[Befvekst10]]&gt;=E$434,E$434,Tabell2[[#This Row],[Befvekst10]]))</f>
        <v>0.11025537089582493</v>
      </c>
      <c r="O181" s="41">
        <f>IF(Tabell2[[#This Row],[Kvinneandel]]&lt;=F$433,F$433,IF(Tabell2[[#This Row],[Kvinneandel]]&gt;=F$434,F$434,Tabell2[[#This Row],[Kvinneandel]]))</f>
        <v>0.12194231471339904</v>
      </c>
      <c r="P181" s="41">
        <f>IF(Tabell2[[#This Row],[Eldreandel]]&lt;=G$433,G$433,IF(Tabell2[[#This Row],[Eldreandel]]&gt;=G$434,G$434,Tabell2[[#This Row],[Eldreandel]]))</f>
        <v>0.11646586345381527</v>
      </c>
      <c r="Q181" s="41">
        <f>IF(Tabell2[[#This Row],[Sysselsettingsvekst10]]&lt;=H$433,H$433,IF(Tabell2[[#This Row],[Sysselsettingsvekst10]]&gt;=H$434,H$434,Tabell2[[#This Row],[Sysselsettingsvekst10]]))</f>
        <v>0.15492957746478875</v>
      </c>
      <c r="R181" s="41">
        <f>IF(Tabell2[[#This Row],[Yrkesaktivandel]]&lt;=I$433,I$433,IF(Tabell2[[#This Row],[Yrkesaktivandel]]&gt;=I$434,I$434,Tabell2[[#This Row],[Yrkesaktivandel]]))</f>
        <v>0.96033761343949164</v>
      </c>
      <c r="S181" s="41">
        <f>IF(Tabell2[[#This Row],[Inntekt]]&lt;=J$433,J$433,IF(Tabell2[[#This Row],[Inntekt]]&gt;=J$434,J$434,Tabell2[[#This Row],[Inntekt]]))</f>
        <v>357200</v>
      </c>
      <c r="T181" s="44">
        <f>IF(Tabell2[[#This Row],[NIBR11-T]]&lt;=K$436,100,IF(Tabell2[[#This Row],[NIBR11-T]]&gt;=K$435,0,100*(K$435-Tabell2[[#This Row],[NIBR11-T]])/K$438))</f>
        <v>90</v>
      </c>
      <c r="U181" s="44">
        <f>(L$435-Tabell2[[#This Row],[ReisetidOslo-T]])*100/L$438</f>
        <v>38.990172586800497</v>
      </c>
      <c r="V181" s="44">
        <f>100-(M$435-Tabell2[[#This Row],[Beftettotal-T]])*100/M$438</f>
        <v>2.363584058558402</v>
      </c>
      <c r="W181" s="44">
        <f>100-(N$435-Tabell2[[#This Row],[Befvekst10-T]])*100/N$438</f>
        <v>83.644295988024282</v>
      </c>
      <c r="X181" s="44">
        <f>100-(O$435-Tabell2[[#This Row],[Kvinneandel-T]])*100/O$438</f>
        <v>82.708185587384406</v>
      </c>
      <c r="Y181" s="44">
        <f>(P$435-Tabell2[[#This Row],[Eldreandel-T]])*100/P$438</f>
        <v>97.109116447397568</v>
      </c>
      <c r="Z181" s="44">
        <f>100-(Q$435-Tabell2[[#This Row],[Sysselsettingsvekst10-T]])*100/Q$438</f>
        <v>72.65114426265032</v>
      </c>
      <c r="AA181" s="44">
        <f>100-(R$435-Tabell2[[#This Row],[Yrkesaktivandel-T]])*100/R$438</f>
        <v>100</v>
      </c>
      <c r="AB181" s="44">
        <f>100-(S$435-Tabell2[[#This Row],[Inntekt-T]])*100/S$438</f>
        <v>88.444806960304518</v>
      </c>
      <c r="AC181" s="44">
        <f>Tabell2[[#This Row],[NIBR11-I]]*Vekter!$B$3</f>
        <v>18</v>
      </c>
      <c r="AD181" s="44">
        <f>Tabell2[[#This Row],[ReisetidOslo-I]]*Vekter!$C$3</f>
        <v>3.89901725868005</v>
      </c>
      <c r="AE181" s="44">
        <f>Tabell2[[#This Row],[Beftettotal-I]]*Vekter!$E$4</f>
        <v>0.23635840585584023</v>
      </c>
      <c r="AF181" s="44">
        <f>Tabell2[[#This Row],[Befvekst10-I]]*Vekter!$F$3</f>
        <v>16.728859197604859</v>
      </c>
      <c r="AG181" s="44">
        <f>Tabell2[[#This Row],[Kvinneandel-I]]*Vekter!$G$3</f>
        <v>4.1354092793692203</v>
      </c>
      <c r="AH181" s="44">
        <f>Tabell2[[#This Row],[Eldreandel-I]]*Vekter!$H$3</f>
        <v>4.8554558223698789</v>
      </c>
      <c r="AI181" s="44">
        <f>Tabell2[[#This Row],[Sysselsettingsvekst10-I]]*Vekter!$I$3</f>
        <v>7.2651144262650327</v>
      </c>
      <c r="AJ181" s="44">
        <f>Tabell2[[#This Row],[Yrkesaktivandel-I]]*Vekter!$K$3</f>
        <v>10</v>
      </c>
      <c r="AK181" s="44">
        <f>Tabell2[[#This Row],[Inntekt-I]]*Vekter!$M$3</f>
        <v>8.8444806960304518</v>
      </c>
      <c r="AL18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73.96469508617534</v>
      </c>
    </row>
    <row r="182" spans="1:38" s="38" customFormat="1" ht="12.75">
      <c r="A182" s="42" t="s">
        <v>180</v>
      </c>
      <c r="B182" s="38">
        <f>'Rådata-K'!Q182</f>
        <v>2</v>
      </c>
      <c r="C182" s="44">
        <f>'Rådata-K'!P182</f>
        <v>186.00411608580001</v>
      </c>
      <c r="D182" s="41">
        <f>'Rådata-K'!R182</f>
        <v>66.834618813224296</v>
      </c>
      <c r="E182" s="41">
        <f>'Rådata-K'!S182</f>
        <v>0.21410969513483069</v>
      </c>
      <c r="F182" s="41">
        <f>'Rådata-K'!T182</f>
        <v>0.13517745302713988</v>
      </c>
      <c r="G182" s="41">
        <f>'Rådata-K'!U182</f>
        <v>0.10165854790071908</v>
      </c>
      <c r="H182" s="41">
        <f>'Rådata-K'!V182</f>
        <v>0.30873651235642185</v>
      </c>
      <c r="I182" s="41">
        <f>'Rådata-K'!W182</f>
        <v>0.97144293614881849</v>
      </c>
      <c r="J182" s="41">
        <f>'Rådata-K'!O182</f>
        <v>363700</v>
      </c>
      <c r="K182" s="41">
        <f>Tabell2[[#This Row],[NIBR11]]</f>
        <v>2</v>
      </c>
      <c r="L182" s="41">
        <f>IF(Tabell2[[#This Row],[ReisetidOslo]]&lt;=C$433,C$433,IF(Tabell2[[#This Row],[ReisetidOslo]]&gt;=C$434,C$434,Tabell2[[#This Row],[ReisetidOslo]]))</f>
        <v>186.00411608580001</v>
      </c>
      <c r="M182" s="41">
        <f>IF(Tabell2[[#This Row],[Beftettotal]]&lt;=D$433,D$433,IF(Tabell2[[#This Row],[Beftettotal]]&gt;=D$434,D$434,Tabell2[[#This Row],[Beftettotal]]))</f>
        <v>66.834618813224296</v>
      </c>
      <c r="N182" s="41">
        <f>IF(Tabell2[[#This Row],[Befvekst10]]&lt;=E$433,E$433,IF(Tabell2[[#This Row],[Befvekst10]]&gt;=E$434,E$434,Tabell2[[#This Row],[Befvekst10]]))</f>
        <v>0.149789129298837</v>
      </c>
      <c r="O182" s="41">
        <f>IF(Tabell2[[#This Row],[Kvinneandel]]&lt;=F$433,F$433,IF(Tabell2[[#This Row],[Kvinneandel]]&gt;=F$434,F$434,Tabell2[[#This Row],[Kvinneandel]]))</f>
        <v>0.12826135732659469</v>
      </c>
      <c r="P182" s="41">
        <f>IF(Tabell2[[#This Row],[Eldreandel]]&lt;=G$433,G$433,IF(Tabell2[[#This Row],[Eldreandel]]&gt;=G$434,G$434,Tabell2[[#This Row],[Eldreandel]]))</f>
        <v>0.11401054306234992</v>
      </c>
      <c r="Q182" s="41">
        <f>IF(Tabell2[[#This Row],[Sysselsettingsvekst10]]&lt;=H$433,H$433,IF(Tabell2[[#This Row],[Sysselsettingsvekst10]]&gt;=H$434,H$434,Tabell2[[#This Row],[Sysselsettingsvekst10]]))</f>
        <v>0.24794749265568336</v>
      </c>
      <c r="R182" s="41">
        <f>IF(Tabell2[[#This Row],[Yrkesaktivandel]]&lt;=I$433,I$433,IF(Tabell2[[#This Row],[Yrkesaktivandel]]&gt;=I$434,I$434,Tabell2[[#This Row],[Yrkesaktivandel]]))</f>
        <v>0.96033761343949164</v>
      </c>
      <c r="S182" s="41">
        <f>IF(Tabell2[[#This Row],[Inntekt]]&lt;=J$433,J$433,IF(Tabell2[[#This Row],[Inntekt]]&gt;=J$434,J$434,Tabell2[[#This Row],[Inntekt]]))</f>
        <v>363700</v>
      </c>
      <c r="T182" s="44">
        <f>IF(Tabell2[[#This Row],[NIBR11-T]]&lt;=K$436,100,IF(Tabell2[[#This Row],[NIBR11-T]]&gt;=K$435,0,100*(K$435-Tabell2[[#This Row],[NIBR11-T]])/K$438))</f>
        <v>90</v>
      </c>
      <c r="U182" s="44">
        <f>(L$435-Tabell2[[#This Row],[ReisetidOslo-T]])*100/L$438</f>
        <v>41.310250493030878</v>
      </c>
      <c r="V182" s="44">
        <f>100-(M$435-Tabell2[[#This Row],[Beftettotal-T]])*100/M$438</f>
        <v>53.590769828478791</v>
      </c>
      <c r="W182" s="44">
        <f>100-(N$435-Tabell2[[#This Row],[Befvekst10-T]])*100/N$438</f>
        <v>100</v>
      </c>
      <c r="X182" s="44">
        <f>100-(O$435-Tabell2[[#This Row],[Kvinneandel-T]])*100/O$438</f>
        <v>100</v>
      </c>
      <c r="Y182" s="44">
        <f>(P$435-Tabell2[[#This Row],[Eldreandel-T]])*100/P$438</f>
        <v>100</v>
      </c>
      <c r="Z182" s="44">
        <f>100-(Q$435-Tabell2[[#This Row],[Sysselsettingsvekst10-T]])*100/Q$438</f>
        <v>100</v>
      </c>
      <c r="AA182" s="44">
        <f>100-(R$435-Tabell2[[#This Row],[Yrkesaktivandel-T]])*100/R$438</f>
        <v>100</v>
      </c>
      <c r="AB182" s="44">
        <f>100-(S$435-Tabell2[[#This Row],[Inntekt-T]])*100/S$438</f>
        <v>97.28113104948342</v>
      </c>
      <c r="AC182" s="44">
        <f>Tabell2[[#This Row],[NIBR11-I]]*Vekter!$B$3</f>
        <v>18</v>
      </c>
      <c r="AD182" s="44">
        <f>Tabell2[[#This Row],[ReisetidOslo-I]]*Vekter!$C$3</f>
        <v>4.131025049303088</v>
      </c>
      <c r="AE182" s="44">
        <f>Tabell2[[#This Row],[Beftettotal-I]]*Vekter!$E$4</f>
        <v>5.3590769828478795</v>
      </c>
      <c r="AF182" s="44">
        <f>Tabell2[[#This Row],[Befvekst10-I]]*Vekter!$F$3</f>
        <v>20</v>
      </c>
      <c r="AG182" s="44">
        <f>Tabell2[[#This Row],[Kvinneandel-I]]*Vekter!$G$3</f>
        <v>5</v>
      </c>
      <c r="AH182" s="44">
        <f>Tabell2[[#This Row],[Eldreandel-I]]*Vekter!$H$3</f>
        <v>5</v>
      </c>
      <c r="AI182" s="44">
        <f>Tabell2[[#This Row],[Sysselsettingsvekst10-I]]*Vekter!$I$3</f>
        <v>10</v>
      </c>
      <c r="AJ182" s="44">
        <f>Tabell2[[#This Row],[Yrkesaktivandel-I]]*Vekter!$K$3</f>
        <v>10</v>
      </c>
      <c r="AK182" s="44">
        <f>Tabell2[[#This Row],[Inntekt-I]]*Vekter!$M$3</f>
        <v>9.728113104948342</v>
      </c>
      <c r="AL18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87.218215137099293</v>
      </c>
    </row>
    <row r="183" spans="1:38" s="38" customFormat="1" ht="12.75">
      <c r="A183" s="42" t="s">
        <v>181</v>
      </c>
      <c r="B183" s="38">
        <f>'Rådata-K'!Q183</f>
        <v>2</v>
      </c>
      <c r="C183" s="44">
        <f>'Rådata-K'!P183</f>
        <v>168.0772505681</v>
      </c>
      <c r="D183" s="41">
        <f>'Rådata-K'!R183</f>
        <v>156.352422907489</v>
      </c>
      <c r="E183" s="41">
        <f>'Rådata-K'!S183</f>
        <v>0.26675708473124415</v>
      </c>
      <c r="F183" s="41">
        <f>'Rådata-K'!T183</f>
        <v>0.13845373605319508</v>
      </c>
      <c r="G183" s="41">
        <f>'Rådata-K'!U183</f>
        <v>9.2302490702130063E-2</v>
      </c>
      <c r="H183" s="41">
        <f>'Rådata-K'!V183</f>
        <v>0.46412037037037046</v>
      </c>
      <c r="I183" s="41">
        <f>'Rådata-K'!W183</f>
        <v>0.95455866679585311</v>
      </c>
      <c r="J183" s="41">
        <f>'Rådata-K'!O183</f>
        <v>384300</v>
      </c>
      <c r="K183" s="41">
        <f>Tabell2[[#This Row],[NIBR11]]</f>
        <v>2</v>
      </c>
      <c r="L183" s="41">
        <f>IF(Tabell2[[#This Row],[ReisetidOslo]]&lt;=C$433,C$433,IF(Tabell2[[#This Row],[ReisetidOslo]]&gt;=C$434,C$434,Tabell2[[#This Row],[ReisetidOslo]]))</f>
        <v>168.0772505681</v>
      </c>
      <c r="M183" s="41">
        <f>IF(Tabell2[[#This Row],[Beftettotal]]&lt;=D$433,D$433,IF(Tabell2[[#This Row],[Beftettotal]]&gt;=D$434,D$434,Tabell2[[#This Row],[Beftettotal]]))</f>
        <v>123.5691465212405</v>
      </c>
      <c r="N183" s="41">
        <f>IF(Tabell2[[#This Row],[Befvekst10]]&lt;=E$433,E$433,IF(Tabell2[[#This Row],[Befvekst10]]&gt;=E$434,E$434,Tabell2[[#This Row],[Befvekst10]]))</f>
        <v>0.149789129298837</v>
      </c>
      <c r="O183" s="41">
        <f>IF(Tabell2[[#This Row],[Kvinneandel]]&lt;=F$433,F$433,IF(Tabell2[[#This Row],[Kvinneandel]]&gt;=F$434,F$434,Tabell2[[#This Row],[Kvinneandel]]))</f>
        <v>0.12826135732659469</v>
      </c>
      <c r="P183" s="41">
        <f>IF(Tabell2[[#This Row],[Eldreandel]]&lt;=G$433,G$433,IF(Tabell2[[#This Row],[Eldreandel]]&gt;=G$434,G$434,Tabell2[[#This Row],[Eldreandel]]))</f>
        <v>0.11401054306234992</v>
      </c>
      <c r="Q183" s="41">
        <f>IF(Tabell2[[#This Row],[Sysselsettingsvekst10]]&lt;=H$433,H$433,IF(Tabell2[[#This Row],[Sysselsettingsvekst10]]&gt;=H$434,H$434,Tabell2[[#This Row],[Sysselsettingsvekst10]]))</f>
        <v>0.24794749265568336</v>
      </c>
      <c r="R183" s="41">
        <f>IF(Tabell2[[#This Row],[Yrkesaktivandel]]&lt;=I$433,I$433,IF(Tabell2[[#This Row],[Yrkesaktivandel]]&gt;=I$434,I$434,Tabell2[[#This Row],[Yrkesaktivandel]]))</f>
        <v>0.95455866679585311</v>
      </c>
      <c r="S183" s="41">
        <f>IF(Tabell2[[#This Row],[Inntekt]]&lt;=J$433,J$433,IF(Tabell2[[#This Row],[Inntekt]]&gt;=J$434,J$434,Tabell2[[#This Row],[Inntekt]]))</f>
        <v>365700</v>
      </c>
      <c r="T183" s="44">
        <f>IF(Tabell2[[#This Row],[NIBR11-T]]&lt;=K$436,100,IF(Tabell2[[#This Row],[NIBR11-T]]&gt;=K$435,0,100*(K$435-Tabell2[[#This Row],[NIBR11-T]])/K$438))</f>
        <v>90</v>
      </c>
      <c r="U183" s="44">
        <f>(L$435-Tabell2[[#This Row],[ReisetidOslo-T]])*100/L$438</f>
        <v>49.268893049644781</v>
      </c>
      <c r="V183" s="44">
        <f>100-(M$435-Tabell2[[#This Row],[Beftettotal-T]])*100/M$438</f>
        <v>100</v>
      </c>
      <c r="W183" s="44">
        <f>100-(N$435-Tabell2[[#This Row],[Befvekst10-T]])*100/N$438</f>
        <v>100</v>
      </c>
      <c r="X183" s="44">
        <f>100-(O$435-Tabell2[[#This Row],[Kvinneandel-T]])*100/O$438</f>
        <v>100</v>
      </c>
      <c r="Y183" s="44">
        <f>(P$435-Tabell2[[#This Row],[Eldreandel-T]])*100/P$438</f>
        <v>100</v>
      </c>
      <c r="Z183" s="44">
        <f>100-(Q$435-Tabell2[[#This Row],[Sysselsettingsvekst10-T]])*100/Q$438</f>
        <v>100</v>
      </c>
      <c r="AA183" s="44">
        <f>100-(R$435-Tabell2[[#This Row],[Yrkesaktivandel-T]])*100/R$438</f>
        <v>95.684388924484168</v>
      </c>
      <c r="AB183" s="44">
        <f>100-(S$435-Tabell2[[#This Row],[Inntekt-T]])*100/S$438</f>
        <v>100</v>
      </c>
      <c r="AC183" s="44">
        <f>Tabell2[[#This Row],[NIBR11-I]]*Vekter!$B$3</f>
        <v>18</v>
      </c>
      <c r="AD183" s="44">
        <f>Tabell2[[#This Row],[ReisetidOslo-I]]*Vekter!$C$3</f>
        <v>4.9268893049644786</v>
      </c>
      <c r="AE183" s="44">
        <f>Tabell2[[#This Row],[Beftettotal-I]]*Vekter!$E$4</f>
        <v>10</v>
      </c>
      <c r="AF183" s="44">
        <f>Tabell2[[#This Row],[Befvekst10-I]]*Vekter!$F$3</f>
        <v>20</v>
      </c>
      <c r="AG183" s="44">
        <f>Tabell2[[#This Row],[Kvinneandel-I]]*Vekter!$G$3</f>
        <v>5</v>
      </c>
      <c r="AH183" s="44">
        <f>Tabell2[[#This Row],[Eldreandel-I]]*Vekter!$H$3</f>
        <v>5</v>
      </c>
      <c r="AI183" s="44">
        <f>Tabell2[[#This Row],[Sysselsettingsvekst10-I]]*Vekter!$I$3</f>
        <v>10</v>
      </c>
      <c r="AJ183" s="44">
        <f>Tabell2[[#This Row],[Yrkesaktivandel-I]]*Vekter!$K$3</f>
        <v>9.5684388924484178</v>
      </c>
      <c r="AK183" s="44">
        <f>Tabell2[[#This Row],[Inntekt-I]]*Vekter!$M$3</f>
        <v>10</v>
      </c>
      <c r="AL18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92.495328197412888</v>
      </c>
    </row>
    <row r="184" spans="1:38" s="38" customFormat="1" ht="12.75">
      <c r="A184" s="42" t="s">
        <v>182</v>
      </c>
      <c r="B184" s="38">
        <f>'Rådata-K'!Q184</f>
        <v>2</v>
      </c>
      <c r="C184" s="44">
        <f>'Rådata-K'!P184</f>
        <v>172.35607635719998</v>
      </c>
      <c r="D184" s="41">
        <f>'Rådata-K'!R184</f>
        <v>91.29961343714271</v>
      </c>
      <c r="E184" s="41">
        <f>'Rådata-K'!S184</f>
        <v>0.23364967262561609</v>
      </c>
      <c r="F184" s="41">
        <f>'Rådata-K'!T184</f>
        <v>0.13572663843997854</v>
      </c>
      <c r="G184" s="41">
        <f>'Rådata-K'!U184</f>
        <v>0.10090047110740057</v>
      </c>
      <c r="H184" s="41">
        <f>'Rådata-K'!V184</f>
        <v>0.21213125621478279</v>
      </c>
      <c r="I184" s="41">
        <f>'Rådata-K'!W184</f>
        <v>0.94762435416877722</v>
      </c>
      <c r="J184" s="41">
        <f>'Rådata-K'!O184</f>
        <v>390800</v>
      </c>
      <c r="K184" s="41">
        <f>Tabell2[[#This Row],[NIBR11]]</f>
        <v>2</v>
      </c>
      <c r="L184" s="41">
        <f>IF(Tabell2[[#This Row],[ReisetidOslo]]&lt;=C$433,C$433,IF(Tabell2[[#This Row],[ReisetidOslo]]&gt;=C$434,C$434,Tabell2[[#This Row],[ReisetidOslo]]))</f>
        <v>172.35607635719998</v>
      </c>
      <c r="M184" s="41">
        <f>IF(Tabell2[[#This Row],[Beftettotal]]&lt;=D$433,D$433,IF(Tabell2[[#This Row],[Beftettotal]]&gt;=D$434,D$434,Tabell2[[#This Row],[Beftettotal]]))</f>
        <v>91.29961343714271</v>
      </c>
      <c r="N184" s="41">
        <f>IF(Tabell2[[#This Row],[Befvekst10]]&lt;=E$433,E$433,IF(Tabell2[[#This Row],[Befvekst10]]&gt;=E$434,E$434,Tabell2[[#This Row],[Befvekst10]]))</f>
        <v>0.149789129298837</v>
      </c>
      <c r="O184" s="41">
        <f>IF(Tabell2[[#This Row],[Kvinneandel]]&lt;=F$433,F$433,IF(Tabell2[[#This Row],[Kvinneandel]]&gt;=F$434,F$434,Tabell2[[#This Row],[Kvinneandel]]))</f>
        <v>0.12826135732659469</v>
      </c>
      <c r="P184" s="41">
        <f>IF(Tabell2[[#This Row],[Eldreandel]]&lt;=G$433,G$433,IF(Tabell2[[#This Row],[Eldreandel]]&gt;=G$434,G$434,Tabell2[[#This Row],[Eldreandel]]))</f>
        <v>0.11401054306234992</v>
      </c>
      <c r="Q184" s="41">
        <f>IF(Tabell2[[#This Row],[Sysselsettingsvekst10]]&lt;=H$433,H$433,IF(Tabell2[[#This Row],[Sysselsettingsvekst10]]&gt;=H$434,H$434,Tabell2[[#This Row],[Sysselsettingsvekst10]]))</f>
        <v>0.21213125621478279</v>
      </c>
      <c r="R184" s="41">
        <f>IF(Tabell2[[#This Row],[Yrkesaktivandel]]&lt;=I$433,I$433,IF(Tabell2[[#This Row],[Yrkesaktivandel]]&gt;=I$434,I$434,Tabell2[[#This Row],[Yrkesaktivandel]]))</f>
        <v>0.94762435416877722</v>
      </c>
      <c r="S184" s="41">
        <f>IF(Tabell2[[#This Row],[Inntekt]]&lt;=J$433,J$433,IF(Tabell2[[#This Row],[Inntekt]]&gt;=J$434,J$434,Tabell2[[#This Row],[Inntekt]]))</f>
        <v>365700</v>
      </c>
      <c r="T184" s="44">
        <f>IF(Tabell2[[#This Row],[NIBR11-T]]&lt;=K$436,100,IF(Tabell2[[#This Row],[NIBR11-T]]&gt;=K$435,0,100*(K$435-Tabell2[[#This Row],[NIBR11-T]])/K$438))</f>
        <v>90</v>
      </c>
      <c r="U184" s="44">
        <f>(L$435-Tabell2[[#This Row],[ReisetidOslo-T]])*100/L$438</f>
        <v>47.369305808147061</v>
      </c>
      <c r="V184" s="44">
        <f>100-(M$435-Tabell2[[#This Row],[Beftettotal-T]])*100/M$438</f>
        <v>73.60330209965224</v>
      </c>
      <c r="W184" s="44">
        <f>100-(N$435-Tabell2[[#This Row],[Befvekst10-T]])*100/N$438</f>
        <v>100</v>
      </c>
      <c r="X184" s="44">
        <f>100-(O$435-Tabell2[[#This Row],[Kvinneandel-T]])*100/O$438</f>
        <v>100</v>
      </c>
      <c r="Y184" s="44">
        <f>(P$435-Tabell2[[#This Row],[Eldreandel-T]])*100/P$438</f>
        <v>100</v>
      </c>
      <c r="Z184" s="44">
        <f>100-(Q$435-Tabell2[[#This Row],[Sysselsettingsvekst10-T]])*100/Q$438</f>
        <v>89.469414773844761</v>
      </c>
      <c r="AA184" s="44">
        <f>100-(R$435-Tabell2[[#This Row],[Yrkesaktivandel-T]])*100/R$438</f>
        <v>90.505971780342463</v>
      </c>
      <c r="AB184" s="44">
        <f>100-(S$435-Tabell2[[#This Row],[Inntekt-T]])*100/S$438</f>
        <v>100</v>
      </c>
      <c r="AC184" s="44">
        <f>Tabell2[[#This Row],[NIBR11-I]]*Vekter!$B$3</f>
        <v>18</v>
      </c>
      <c r="AD184" s="44">
        <f>Tabell2[[#This Row],[ReisetidOslo-I]]*Vekter!$C$3</f>
        <v>4.7369305808147066</v>
      </c>
      <c r="AE184" s="44">
        <f>Tabell2[[#This Row],[Beftettotal-I]]*Vekter!$E$4</f>
        <v>7.3603302099652241</v>
      </c>
      <c r="AF184" s="44">
        <f>Tabell2[[#This Row],[Befvekst10-I]]*Vekter!$F$3</f>
        <v>20</v>
      </c>
      <c r="AG184" s="44">
        <f>Tabell2[[#This Row],[Kvinneandel-I]]*Vekter!$G$3</f>
        <v>5</v>
      </c>
      <c r="AH184" s="44">
        <f>Tabell2[[#This Row],[Eldreandel-I]]*Vekter!$H$3</f>
        <v>5</v>
      </c>
      <c r="AI184" s="44">
        <f>Tabell2[[#This Row],[Sysselsettingsvekst10-I]]*Vekter!$I$3</f>
        <v>8.9469414773844758</v>
      </c>
      <c r="AJ184" s="44">
        <f>Tabell2[[#This Row],[Yrkesaktivandel-I]]*Vekter!$K$3</f>
        <v>9.0505971780342467</v>
      </c>
      <c r="AK184" s="44">
        <f>Tabell2[[#This Row],[Inntekt-I]]*Vekter!$M$3</f>
        <v>10</v>
      </c>
      <c r="AL18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88.09479944619865</v>
      </c>
    </row>
    <row r="185" spans="1:38" s="38" customFormat="1" ht="12.75">
      <c r="A185" s="42" t="s">
        <v>183</v>
      </c>
      <c r="B185" s="38">
        <f>'Rådata-K'!Q185</f>
        <v>2</v>
      </c>
      <c r="C185" s="44">
        <f>'Rådata-K'!P185</f>
        <v>172.67071374099999</v>
      </c>
      <c r="D185" s="41">
        <f>'Rådata-K'!R185</f>
        <v>17.45425101214575</v>
      </c>
      <c r="E185" s="41">
        <f>'Rådata-K'!S185</f>
        <v>0.1838752196836555</v>
      </c>
      <c r="F185" s="41">
        <f>'Rådata-K'!T185</f>
        <v>0.14093523844869177</v>
      </c>
      <c r="G185" s="41">
        <f>'Rådata-K'!U185</f>
        <v>7.2462423455186498E-2</v>
      </c>
      <c r="H185" s="41">
        <f>'Rådata-K'!V185</f>
        <v>0.29040590405904054</v>
      </c>
      <c r="I185" s="41">
        <f>'Rådata-K'!W185</f>
        <v>0.94961360123647609</v>
      </c>
      <c r="J185" s="41">
        <f>'Rådata-K'!O185</f>
        <v>371000</v>
      </c>
      <c r="K185" s="41">
        <f>Tabell2[[#This Row],[NIBR11]]</f>
        <v>2</v>
      </c>
      <c r="L185" s="41">
        <f>IF(Tabell2[[#This Row],[ReisetidOslo]]&lt;=C$433,C$433,IF(Tabell2[[#This Row],[ReisetidOslo]]&gt;=C$434,C$434,Tabell2[[#This Row],[ReisetidOslo]]))</f>
        <v>172.67071374099999</v>
      </c>
      <c r="M185" s="41">
        <f>IF(Tabell2[[#This Row],[Beftettotal]]&lt;=D$433,D$433,IF(Tabell2[[#This Row],[Beftettotal]]&gt;=D$434,D$434,Tabell2[[#This Row],[Beftettotal]]))</f>
        <v>17.45425101214575</v>
      </c>
      <c r="N185" s="41">
        <f>IF(Tabell2[[#This Row],[Befvekst10]]&lt;=E$433,E$433,IF(Tabell2[[#This Row],[Befvekst10]]&gt;=E$434,E$434,Tabell2[[#This Row],[Befvekst10]]))</f>
        <v>0.149789129298837</v>
      </c>
      <c r="O185" s="41">
        <f>IF(Tabell2[[#This Row],[Kvinneandel]]&lt;=F$433,F$433,IF(Tabell2[[#This Row],[Kvinneandel]]&gt;=F$434,F$434,Tabell2[[#This Row],[Kvinneandel]]))</f>
        <v>0.12826135732659469</v>
      </c>
      <c r="P185" s="41">
        <f>IF(Tabell2[[#This Row],[Eldreandel]]&lt;=G$433,G$433,IF(Tabell2[[#This Row],[Eldreandel]]&gt;=G$434,G$434,Tabell2[[#This Row],[Eldreandel]]))</f>
        <v>0.11401054306234992</v>
      </c>
      <c r="Q185" s="41">
        <f>IF(Tabell2[[#This Row],[Sysselsettingsvekst10]]&lt;=H$433,H$433,IF(Tabell2[[#This Row],[Sysselsettingsvekst10]]&gt;=H$434,H$434,Tabell2[[#This Row],[Sysselsettingsvekst10]]))</f>
        <v>0.24794749265568336</v>
      </c>
      <c r="R185" s="41">
        <f>IF(Tabell2[[#This Row],[Yrkesaktivandel]]&lt;=I$433,I$433,IF(Tabell2[[#This Row],[Yrkesaktivandel]]&gt;=I$434,I$434,Tabell2[[#This Row],[Yrkesaktivandel]]))</f>
        <v>0.94961360123647609</v>
      </c>
      <c r="S185" s="41">
        <f>IF(Tabell2[[#This Row],[Inntekt]]&lt;=J$433,J$433,IF(Tabell2[[#This Row],[Inntekt]]&gt;=J$434,J$434,Tabell2[[#This Row],[Inntekt]]))</f>
        <v>365700</v>
      </c>
      <c r="T185" s="44">
        <f>IF(Tabell2[[#This Row],[NIBR11-T]]&lt;=K$436,100,IF(Tabell2[[#This Row],[NIBR11-T]]&gt;=K$435,0,100*(K$435-Tabell2[[#This Row],[NIBR11-T]])/K$438))</f>
        <v>90</v>
      </c>
      <c r="U185" s="44">
        <f>(L$435-Tabell2[[#This Row],[ReisetidOslo-T]])*100/L$438</f>
        <v>47.229622355390646</v>
      </c>
      <c r="V185" s="44">
        <f>100-(M$435-Tabell2[[#This Row],[Beftettotal-T]])*100/M$438</f>
        <v>13.197292561357258</v>
      </c>
      <c r="W185" s="44">
        <f>100-(N$435-Tabell2[[#This Row],[Befvekst10-T]])*100/N$438</f>
        <v>100</v>
      </c>
      <c r="X185" s="44">
        <f>100-(O$435-Tabell2[[#This Row],[Kvinneandel-T]])*100/O$438</f>
        <v>100</v>
      </c>
      <c r="Y185" s="44">
        <f>(P$435-Tabell2[[#This Row],[Eldreandel-T]])*100/P$438</f>
        <v>100</v>
      </c>
      <c r="Z185" s="44">
        <f>100-(Q$435-Tabell2[[#This Row],[Sysselsettingsvekst10-T]])*100/Q$438</f>
        <v>100</v>
      </c>
      <c r="AA185" s="44">
        <f>100-(R$435-Tabell2[[#This Row],[Yrkesaktivandel-T]])*100/R$438</f>
        <v>91.991504907170835</v>
      </c>
      <c r="AB185" s="44">
        <f>100-(S$435-Tabell2[[#This Row],[Inntekt-T]])*100/S$438</f>
        <v>100</v>
      </c>
      <c r="AC185" s="44">
        <f>Tabell2[[#This Row],[NIBR11-I]]*Vekter!$B$3</f>
        <v>18</v>
      </c>
      <c r="AD185" s="44">
        <f>Tabell2[[#This Row],[ReisetidOslo-I]]*Vekter!$C$3</f>
        <v>4.7229622355390646</v>
      </c>
      <c r="AE185" s="44">
        <f>Tabell2[[#This Row],[Beftettotal-I]]*Vekter!$E$4</f>
        <v>1.3197292561357259</v>
      </c>
      <c r="AF185" s="44">
        <f>Tabell2[[#This Row],[Befvekst10-I]]*Vekter!$F$3</f>
        <v>20</v>
      </c>
      <c r="AG185" s="44">
        <f>Tabell2[[#This Row],[Kvinneandel-I]]*Vekter!$G$3</f>
        <v>5</v>
      </c>
      <c r="AH185" s="44">
        <f>Tabell2[[#This Row],[Eldreandel-I]]*Vekter!$H$3</f>
        <v>5</v>
      </c>
      <c r="AI185" s="44">
        <f>Tabell2[[#This Row],[Sysselsettingsvekst10-I]]*Vekter!$I$3</f>
        <v>10</v>
      </c>
      <c r="AJ185" s="44">
        <f>Tabell2[[#This Row],[Yrkesaktivandel-I]]*Vekter!$K$3</f>
        <v>9.1991504907170842</v>
      </c>
      <c r="AK185" s="44">
        <f>Tabell2[[#This Row],[Inntekt-I]]*Vekter!$M$3</f>
        <v>10</v>
      </c>
      <c r="AL18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83.241841982391875</v>
      </c>
    </row>
    <row r="186" spans="1:38" s="38" customFormat="1" ht="12.75">
      <c r="A186" s="42" t="s">
        <v>184</v>
      </c>
      <c r="B186" s="38">
        <f>'Rådata-K'!Q186</f>
        <v>2</v>
      </c>
      <c r="C186" s="44">
        <f>'Rådata-K'!P186</f>
        <v>154.23509961164001</v>
      </c>
      <c r="D186" s="41">
        <f>'Rådata-K'!R186</f>
        <v>345.39273831910896</v>
      </c>
      <c r="E186" s="41">
        <f>'Rådata-K'!S186</f>
        <v>0.24158910093078889</v>
      </c>
      <c r="F186" s="41">
        <f>'Rådata-K'!T186</f>
        <v>0.13682623445156428</v>
      </c>
      <c r="G186" s="41">
        <f>'Rådata-K'!U186</f>
        <v>9.5405620471583533E-2</v>
      </c>
      <c r="H186" s="41">
        <f>'Rådata-K'!V186</f>
        <v>0.48514121377479547</v>
      </c>
      <c r="I186" s="41">
        <f>'Rådata-K'!W186</f>
        <v>0.92536785512167519</v>
      </c>
      <c r="J186" s="41">
        <f>'Rådata-K'!O186</f>
        <v>448600</v>
      </c>
      <c r="K186" s="41">
        <f>Tabell2[[#This Row],[NIBR11]]</f>
        <v>2</v>
      </c>
      <c r="L186" s="41">
        <f>IF(Tabell2[[#This Row],[ReisetidOslo]]&lt;=C$433,C$433,IF(Tabell2[[#This Row],[ReisetidOslo]]&gt;=C$434,C$434,Tabell2[[#This Row],[ReisetidOslo]]))</f>
        <v>154.23509961164001</v>
      </c>
      <c r="M186" s="41">
        <f>IF(Tabell2[[#This Row],[Beftettotal]]&lt;=D$433,D$433,IF(Tabell2[[#This Row],[Beftettotal]]&gt;=D$434,D$434,Tabell2[[#This Row],[Beftettotal]]))</f>
        <v>123.5691465212405</v>
      </c>
      <c r="N186" s="41">
        <f>IF(Tabell2[[#This Row],[Befvekst10]]&lt;=E$433,E$433,IF(Tabell2[[#This Row],[Befvekst10]]&gt;=E$434,E$434,Tabell2[[#This Row],[Befvekst10]]))</f>
        <v>0.149789129298837</v>
      </c>
      <c r="O186" s="41">
        <f>IF(Tabell2[[#This Row],[Kvinneandel]]&lt;=F$433,F$433,IF(Tabell2[[#This Row],[Kvinneandel]]&gt;=F$434,F$434,Tabell2[[#This Row],[Kvinneandel]]))</f>
        <v>0.12826135732659469</v>
      </c>
      <c r="P186" s="41">
        <f>IF(Tabell2[[#This Row],[Eldreandel]]&lt;=G$433,G$433,IF(Tabell2[[#This Row],[Eldreandel]]&gt;=G$434,G$434,Tabell2[[#This Row],[Eldreandel]]))</f>
        <v>0.11401054306234992</v>
      </c>
      <c r="Q186" s="41">
        <f>IF(Tabell2[[#This Row],[Sysselsettingsvekst10]]&lt;=H$433,H$433,IF(Tabell2[[#This Row],[Sysselsettingsvekst10]]&gt;=H$434,H$434,Tabell2[[#This Row],[Sysselsettingsvekst10]]))</f>
        <v>0.24794749265568336</v>
      </c>
      <c r="R186" s="41">
        <f>IF(Tabell2[[#This Row],[Yrkesaktivandel]]&lt;=I$433,I$433,IF(Tabell2[[#This Row],[Yrkesaktivandel]]&gt;=I$434,I$434,Tabell2[[#This Row],[Yrkesaktivandel]]))</f>
        <v>0.92536785512167519</v>
      </c>
      <c r="S186" s="41">
        <f>IF(Tabell2[[#This Row],[Inntekt]]&lt;=J$433,J$433,IF(Tabell2[[#This Row],[Inntekt]]&gt;=J$434,J$434,Tabell2[[#This Row],[Inntekt]]))</f>
        <v>365700</v>
      </c>
      <c r="T186" s="44">
        <f>IF(Tabell2[[#This Row],[NIBR11-T]]&lt;=K$436,100,IF(Tabell2[[#This Row],[NIBR11-T]]&gt;=K$435,0,100*(K$435-Tabell2[[#This Row],[NIBR11-T]])/K$438))</f>
        <v>90</v>
      </c>
      <c r="U186" s="44">
        <f>(L$435-Tabell2[[#This Row],[ReisetidOslo-T]])*100/L$438</f>
        <v>55.4141241592543</v>
      </c>
      <c r="V186" s="44">
        <f>100-(M$435-Tabell2[[#This Row],[Beftettotal-T]])*100/M$438</f>
        <v>100</v>
      </c>
      <c r="W186" s="44">
        <f>100-(N$435-Tabell2[[#This Row],[Befvekst10-T]])*100/N$438</f>
        <v>100</v>
      </c>
      <c r="X186" s="44">
        <f>100-(O$435-Tabell2[[#This Row],[Kvinneandel-T]])*100/O$438</f>
        <v>100</v>
      </c>
      <c r="Y186" s="44">
        <f>(P$435-Tabell2[[#This Row],[Eldreandel-T]])*100/P$438</f>
        <v>100</v>
      </c>
      <c r="Z186" s="44">
        <f>100-(Q$435-Tabell2[[#This Row],[Sysselsettingsvekst10-T]])*100/Q$438</f>
        <v>100</v>
      </c>
      <c r="AA186" s="44">
        <f>100-(R$435-Tabell2[[#This Row],[Yrkesaktivandel-T]])*100/R$438</f>
        <v>73.885227601018158</v>
      </c>
      <c r="AB186" s="44">
        <f>100-(S$435-Tabell2[[#This Row],[Inntekt-T]])*100/S$438</f>
        <v>100</v>
      </c>
      <c r="AC186" s="44">
        <f>Tabell2[[#This Row],[NIBR11-I]]*Vekter!$B$3</f>
        <v>18</v>
      </c>
      <c r="AD186" s="44">
        <f>Tabell2[[#This Row],[ReisetidOslo-I]]*Vekter!$C$3</f>
        <v>5.5414124159254303</v>
      </c>
      <c r="AE186" s="44">
        <f>Tabell2[[#This Row],[Beftettotal-I]]*Vekter!$E$4</f>
        <v>10</v>
      </c>
      <c r="AF186" s="44">
        <f>Tabell2[[#This Row],[Befvekst10-I]]*Vekter!$F$3</f>
        <v>20</v>
      </c>
      <c r="AG186" s="44">
        <f>Tabell2[[#This Row],[Kvinneandel-I]]*Vekter!$G$3</f>
        <v>5</v>
      </c>
      <c r="AH186" s="44">
        <f>Tabell2[[#This Row],[Eldreandel-I]]*Vekter!$H$3</f>
        <v>5</v>
      </c>
      <c r="AI186" s="44">
        <f>Tabell2[[#This Row],[Sysselsettingsvekst10-I]]*Vekter!$I$3</f>
        <v>10</v>
      </c>
      <c r="AJ186" s="44">
        <f>Tabell2[[#This Row],[Yrkesaktivandel-I]]*Vekter!$K$3</f>
        <v>7.3885227601018162</v>
      </c>
      <c r="AK186" s="44">
        <f>Tabell2[[#This Row],[Inntekt-I]]*Vekter!$M$3</f>
        <v>10</v>
      </c>
      <c r="AL18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90.929935176027257</v>
      </c>
    </row>
    <row r="187" spans="1:38" s="38" customFormat="1" ht="12.75">
      <c r="A187" s="42" t="s">
        <v>185</v>
      </c>
      <c r="B187" s="38">
        <f>'Rådata-K'!Q187</f>
        <v>2</v>
      </c>
      <c r="C187" s="44">
        <f>'Rådata-K'!P187</f>
        <v>167.16741645830001</v>
      </c>
      <c r="D187" s="41">
        <f>'Rådata-K'!R187</f>
        <v>415.58704453441294</v>
      </c>
      <c r="E187" s="41">
        <f>'Rådata-K'!S187</f>
        <v>0.15596846846846857</v>
      </c>
      <c r="F187" s="41">
        <f>'Rådata-K'!T187</f>
        <v>0.12654651729176813</v>
      </c>
      <c r="G187" s="41">
        <f>'Rådata-K'!U187</f>
        <v>0.10472479298587432</v>
      </c>
      <c r="H187" s="41">
        <f>'Rådata-K'!V187</f>
        <v>0.4059875867104783</v>
      </c>
      <c r="I187" s="41">
        <f>'Rådata-K'!W187</f>
        <v>0.92200746015598511</v>
      </c>
      <c r="J187" s="41">
        <f>'Rådata-K'!O187</f>
        <v>423500</v>
      </c>
      <c r="K187" s="41">
        <f>Tabell2[[#This Row],[NIBR11]]</f>
        <v>2</v>
      </c>
      <c r="L187" s="41">
        <f>IF(Tabell2[[#This Row],[ReisetidOslo]]&lt;=C$433,C$433,IF(Tabell2[[#This Row],[ReisetidOslo]]&gt;=C$434,C$434,Tabell2[[#This Row],[ReisetidOslo]]))</f>
        <v>167.16741645830001</v>
      </c>
      <c r="M187" s="41">
        <f>IF(Tabell2[[#This Row],[Beftettotal]]&lt;=D$433,D$433,IF(Tabell2[[#This Row],[Beftettotal]]&gt;=D$434,D$434,Tabell2[[#This Row],[Beftettotal]]))</f>
        <v>123.5691465212405</v>
      </c>
      <c r="N187" s="41">
        <f>IF(Tabell2[[#This Row],[Befvekst10]]&lt;=E$433,E$433,IF(Tabell2[[#This Row],[Befvekst10]]&gt;=E$434,E$434,Tabell2[[#This Row],[Befvekst10]]))</f>
        <v>0.149789129298837</v>
      </c>
      <c r="O187" s="41">
        <f>IF(Tabell2[[#This Row],[Kvinneandel]]&lt;=F$433,F$433,IF(Tabell2[[#This Row],[Kvinneandel]]&gt;=F$434,F$434,Tabell2[[#This Row],[Kvinneandel]]))</f>
        <v>0.12654651729176813</v>
      </c>
      <c r="P187" s="41">
        <f>IF(Tabell2[[#This Row],[Eldreandel]]&lt;=G$433,G$433,IF(Tabell2[[#This Row],[Eldreandel]]&gt;=G$434,G$434,Tabell2[[#This Row],[Eldreandel]]))</f>
        <v>0.11401054306234992</v>
      </c>
      <c r="Q187" s="41">
        <f>IF(Tabell2[[#This Row],[Sysselsettingsvekst10]]&lt;=H$433,H$433,IF(Tabell2[[#This Row],[Sysselsettingsvekst10]]&gt;=H$434,H$434,Tabell2[[#This Row],[Sysselsettingsvekst10]]))</f>
        <v>0.24794749265568336</v>
      </c>
      <c r="R187" s="41">
        <f>IF(Tabell2[[#This Row],[Yrkesaktivandel]]&lt;=I$433,I$433,IF(Tabell2[[#This Row],[Yrkesaktivandel]]&gt;=I$434,I$434,Tabell2[[#This Row],[Yrkesaktivandel]]))</f>
        <v>0.92200746015598511</v>
      </c>
      <c r="S187" s="41">
        <f>IF(Tabell2[[#This Row],[Inntekt]]&lt;=J$433,J$433,IF(Tabell2[[#This Row],[Inntekt]]&gt;=J$434,J$434,Tabell2[[#This Row],[Inntekt]]))</f>
        <v>365700</v>
      </c>
      <c r="T187" s="44">
        <f>IF(Tabell2[[#This Row],[NIBR11-T]]&lt;=K$436,100,IF(Tabell2[[#This Row],[NIBR11-T]]&gt;=K$435,0,100*(K$435-Tabell2[[#This Row],[NIBR11-T]])/K$438))</f>
        <v>90</v>
      </c>
      <c r="U187" s="44">
        <f>(L$435-Tabell2[[#This Row],[ReisetidOslo-T]])*100/L$438</f>
        <v>49.672814441176591</v>
      </c>
      <c r="V187" s="44">
        <f>100-(M$435-Tabell2[[#This Row],[Beftettotal-T]])*100/M$438</f>
        <v>100</v>
      </c>
      <c r="W187" s="44">
        <f>100-(N$435-Tabell2[[#This Row],[Befvekst10-T]])*100/N$438</f>
        <v>100</v>
      </c>
      <c r="X187" s="44">
        <f>100-(O$435-Tabell2[[#This Row],[Kvinneandel-T]])*100/O$438</f>
        <v>95.307406921481714</v>
      </c>
      <c r="Y187" s="44">
        <f>(P$435-Tabell2[[#This Row],[Eldreandel-T]])*100/P$438</f>
        <v>100</v>
      </c>
      <c r="Z187" s="44">
        <f>100-(Q$435-Tabell2[[#This Row],[Sysselsettingsvekst10-T]])*100/Q$438</f>
        <v>100</v>
      </c>
      <c r="AA187" s="44">
        <f>100-(R$435-Tabell2[[#This Row],[Yrkesaktivandel-T]])*100/R$438</f>
        <v>71.375746440121191</v>
      </c>
      <c r="AB187" s="44">
        <f>100-(S$435-Tabell2[[#This Row],[Inntekt-T]])*100/S$438</f>
        <v>100</v>
      </c>
      <c r="AC187" s="44">
        <f>Tabell2[[#This Row],[NIBR11-I]]*Vekter!$B$3</f>
        <v>18</v>
      </c>
      <c r="AD187" s="44">
        <f>Tabell2[[#This Row],[ReisetidOslo-I]]*Vekter!$C$3</f>
        <v>4.9672814441176598</v>
      </c>
      <c r="AE187" s="44">
        <f>Tabell2[[#This Row],[Beftettotal-I]]*Vekter!$E$4</f>
        <v>10</v>
      </c>
      <c r="AF187" s="44">
        <f>Tabell2[[#This Row],[Befvekst10-I]]*Vekter!$F$3</f>
        <v>20</v>
      </c>
      <c r="AG187" s="44">
        <f>Tabell2[[#This Row],[Kvinneandel-I]]*Vekter!$G$3</f>
        <v>4.7653703460740857</v>
      </c>
      <c r="AH187" s="44">
        <f>Tabell2[[#This Row],[Eldreandel-I]]*Vekter!$H$3</f>
        <v>5</v>
      </c>
      <c r="AI187" s="44">
        <f>Tabell2[[#This Row],[Sysselsettingsvekst10-I]]*Vekter!$I$3</f>
        <v>10</v>
      </c>
      <c r="AJ187" s="44">
        <f>Tabell2[[#This Row],[Yrkesaktivandel-I]]*Vekter!$K$3</f>
        <v>7.1375746440121191</v>
      </c>
      <c r="AK187" s="44">
        <f>Tabell2[[#This Row],[Inntekt-I]]*Vekter!$M$3</f>
        <v>10</v>
      </c>
      <c r="AL18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89.870226434203857</v>
      </c>
    </row>
    <row r="188" spans="1:38" s="38" customFormat="1" ht="12.75">
      <c r="A188" s="42" t="s">
        <v>186</v>
      </c>
      <c r="B188" s="38">
        <f>'Rådata-K'!Q188</f>
        <v>2</v>
      </c>
      <c r="C188" s="44">
        <f>'Rådata-K'!P188</f>
        <v>199.67011548409999</v>
      </c>
      <c r="D188" s="41">
        <f>'Rådata-K'!R188</f>
        <v>1.5255041214250005</v>
      </c>
      <c r="E188" s="41">
        <f>'Rådata-K'!S188</f>
        <v>0.12796208530805697</v>
      </c>
      <c r="F188" s="41">
        <f>'Rådata-K'!T188</f>
        <v>0.10168067226890756</v>
      </c>
      <c r="G188" s="41">
        <f>'Rådata-K'!U188</f>
        <v>0.13781512605042018</v>
      </c>
      <c r="H188" s="41">
        <f>'Rådata-K'!V188</f>
        <v>7.9754601226993849E-2</v>
      </c>
      <c r="I188" s="41">
        <f>'Rådata-K'!W188</f>
        <v>0.97067901234567899</v>
      </c>
      <c r="J188" s="41">
        <f>'Rådata-K'!O188</f>
        <v>353900</v>
      </c>
      <c r="K188" s="41">
        <f>Tabell2[[#This Row],[NIBR11]]</f>
        <v>2</v>
      </c>
      <c r="L188" s="41">
        <f>IF(Tabell2[[#This Row],[ReisetidOslo]]&lt;=C$433,C$433,IF(Tabell2[[#This Row],[ReisetidOslo]]&gt;=C$434,C$434,Tabell2[[#This Row],[ReisetidOslo]]))</f>
        <v>199.67011548409999</v>
      </c>
      <c r="M188" s="41">
        <f>IF(Tabell2[[#This Row],[Beftettotal]]&lt;=D$433,D$433,IF(Tabell2[[#This Row],[Beftettotal]]&gt;=D$434,D$434,Tabell2[[#This Row],[Beftettotal]]))</f>
        <v>1.5255041214250005</v>
      </c>
      <c r="N188" s="41">
        <f>IF(Tabell2[[#This Row],[Befvekst10]]&lt;=E$433,E$433,IF(Tabell2[[#This Row],[Befvekst10]]&gt;=E$434,E$434,Tabell2[[#This Row],[Befvekst10]]))</f>
        <v>0.12796208530805697</v>
      </c>
      <c r="O188" s="41">
        <f>IF(Tabell2[[#This Row],[Kvinneandel]]&lt;=F$433,F$433,IF(Tabell2[[#This Row],[Kvinneandel]]&gt;=F$434,F$434,Tabell2[[#This Row],[Kvinneandel]]))</f>
        <v>0.10168067226890756</v>
      </c>
      <c r="P188" s="41">
        <f>IF(Tabell2[[#This Row],[Eldreandel]]&lt;=G$433,G$433,IF(Tabell2[[#This Row],[Eldreandel]]&gt;=G$434,G$434,Tabell2[[#This Row],[Eldreandel]]))</f>
        <v>0.13781512605042018</v>
      </c>
      <c r="Q188" s="41">
        <f>IF(Tabell2[[#This Row],[Sysselsettingsvekst10]]&lt;=H$433,H$433,IF(Tabell2[[#This Row],[Sysselsettingsvekst10]]&gt;=H$434,H$434,Tabell2[[#This Row],[Sysselsettingsvekst10]]))</f>
        <v>7.9754601226993849E-2</v>
      </c>
      <c r="R188" s="41">
        <f>IF(Tabell2[[#This Row],[Yrkesaktivandel]]&lt;=I$433,I$433,IF(Tabell2[[#This Row],[Yrkesaktivandel]]&gt;=I$434,I$434,Tabell2[[#This Row],[Yrkesaktivandel]]))</f>
        <v>0.96033761343949164</v>
      </c>
      <c r="S188" s="41">
        <f>IF(Tabell2[[#This Row],[Inntekt]]&lt;=J$433,J$433,IF(Tabell2[[#This Row],[Inntekt]]&gt;=J$434,J$434,Tabell2[[#This Row],[Inntekt]]))</f>
        <v>353900</v>
      </c>
      <c r="T188" s="44">
        <f>IF(Tabell2[[#This Row],[NIBR11-T]]&lt;=K$436,100,IF(Tabell2[[#This Row],[NIBR11-T]]&gt;=K$435,0,100*(K$435-Tabell2[[#This Row],[NIBR11-T]])/K$438))</f>
        <v>90</v>
      </c>
      <c r="U188" s="44">
        <f>(L$435-Tabell2[[#This Row],[ReisetidOslo-T]])*100/L$438</f>
        <v>35.24322197192194</v>
      </c>
      <c r="V188" s="44">
        <f>100-(M$435-Tabell2[[#This Row],[Beftettotal-T]])*100/M$438</f>
        <v>0.16746908948738337</v>
      </c>
      <c r="W188" s="44">
        <f>100-(N$435-Tabell2[[#This Row],[Befvekst10-T]])*100/N$438</f>
        <v>90.969827170735883</v>
      </c>
      <c r="X188" s="44">
        <f>100-(O$435-Tabell2[[#This Row],[Kvinneandel-T]])*100/O$438</f>
        <v>27.262988855637957</v>
      </c>
      <c r="Y188" s="44">
        <f>(P$435-Tabell2[[#This Row],[Eldreandel-T]])*100/P$438</f>
        <v>71.972587497755526</v>
      </c>
      <c r="Z188" s="44">
        <f>100-(Q$435-Tabell2[[#This Row],[Sysselsettingsvekst10-T]])*100/Q$438</f>
        <v>50.548417320567701</v>
      </c>
      <c r="AA188" s="44">
        <f>100-(R$435-Tabell2[[#This Row],[Yrkesaktivandel-T]])*100/R$438</f>
        <v>100</v>
      </c>
      <c r="AB188" s="44">
        <f>100-(S$435-Tabell2[[#This Row],[Inntekt-T]])*100/S$438</f>
        <v>83.958673191952144</v>
      </c>
      <c r="AC188" s="44">
        <f>Tabell2[[#This Row],[NIBR11-I]]*Vekter!$B$3</f>
        <v>18</v>
      </c>
      <c r="AD188" s="44">
        <f>Tabell2[[#This Row],[ReisetidOslo-I]]*Vekter!$C$3</f>
        <v>3.5243221971921943</v>
      </c>
      <c r="AE188" s="44">
        <f>Tabell2[[#This Row],[Beftettotal-I]]*Vekter!$E$4</f>
        <v>1.6746908948738339E-2</v>
      </c>
      <c r="AF188" s="44">
        <f>Tabell2[[#This Row],[Befvekst10-I]]*Vekter!$F$3</f>
        <v>18.193965434147177</v>
      </c>
      <c r="AG188" s="44">
        <f>Tabell2[[#This Row],[Kvinneandel-I]]*Vekter!$G$3</f>
        <v>1.363149442781898</v>
      </c>
      <c r="AH188" s="44">
        <f>Tabell2[[#This Row],[Eldreandel-I]]*Vekter!$H$3</f>
        <v>3.5986293748877767</v>
      </c>
      <c r="AI188" s="44">
        <f>Tabell2[[#This Row],[Sysselsettingsvekst10-I]]*Vekter!$I$3</f>
        <v>5.0548417320567705</v>
      </c>
      <c r="AJ188" s="44">
        <f>Tabell2[[#This Row],[Yrkesaktivandel-I]]*Vekter!$K$3</f>
        <v>10</v>
      </c>
      <c r="AK188" s="44">
        <f>Tabell2[[#This Row],[Inntekt-I]]*Vekter!$M$3</f>
        <v>8.3958673191952151</v>
      </c>
      <c r="AL18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68.14752240920977</v>
      </c>
    </row>
    <row r="189" spans="1:38" s="38" customFormat="1" ht="12.75">
      <c r="A189" s="42" t="s">
        <v>187</v>
      </c>
      <c r="B189" s="38">
        <f>'Rådata-K'!Q189</f>
        <v>2</v>
      </c>
      <c r="C189" s="44">
        <f>'Rådata-K'!P189</f>
        <v>208.71012144549999</v>
      </c>
      <c r="D189" s="41">
        <f>'Rådata-K'!R189</f>
        <v>52.862446715863776</v>
      </c>
      <c r="E189" s="41">
        <f>'Rådata-K'!S189</f>
        <v>0.13201806046329012</v>
      </c>
      <c r="F189" s="41">
        <f>'Rådata-K'!T189</f>
        <v>0.13170900893089396</v>
      </c>
      <c r="G189" s="41">
        <f>'Rådata-K'!U189</f>
        <v>0.11887626810023411</v>
      </c>
      <c r="H189" s="41">
        <f>'Rådata-K'!V189</f>
        <v>0.30167427701674288</v>
      </c>
      <c r="I189" s="41">
        <f>'Rådata-K'!W189</f>
        <v>0.91421157075255688</v>
      </c>
      <c r="J189" s="41">
        <f>'Rådata-K'!O189</f>
        <v>364000</v>
      </c>
      <c r="K189" s="41">
        <f>Tabell2[[#This Row],[NIBR11]]</f>
        <v>2</v>
      </c>
      <c r="L189" s="41">
        <f>IF(Tabell2[[#This Row],[ReisetidOslo]]&lt;=C$433,C$433,IF(Tabell2[[#This Row],[ReisetidOslo]]&gt;=C$434,C$434,Tabell2[[#This Row],[ReisetidOslo]]))</f>
        <v>208.71012144549999</v>
      </c>
      <c r="M189" s="41">
        <f>IF(Tabell2[[#This Row],[Beftettotal]]&lt;=D$433,D$433,IF(Tabell2[[#This Row],[Beftettotal]]&gt;=D$434,D$434,Tabell2[[#This Row],[Beftettotal]]))</f>
        <v>52.862446715863776</v>
      </c>
      <c r="N189" s="41">
        <f>IF(Tabell2[[#This Row],[Befvekst10]]&lt;=E$433,E$433,IF(Tabell2[[#This Row],[Befvekst10]]&gt;=E$434,E$434,Tabell2[[#This Row],[Befvekst10]]))</f>
        <v>0.13201806046329012</v>
      </c>
      <c r="O189" s="41">
        <f>IF(Tabell2[[#This Row],[Kvinneandel]]&lt;=F$433,F$433,IF(Tabell2[[#This Row],[Kvinneandel]]&gt;=F$434,F$434,Tabell2[[#This Row],[Kvinneandel]]))</f>
        <v>0.12826135732659469</v>
      </c>
      <c r="P189" s="41">
        <f>IF(Tabell2[[#This Row],[Eldreandel]]&lt;=G$433,G$433,IF(Tabell2[[#This Row],[Eldreandel]]&gt;=G$434,G$434,Tabell2[[#This Row],[Eldreandel]]))</f>
        <v>0.11887626810023411</v>
      </c>
      <c r="Q189" s="41">
        <f>IF(Tabell2[[#This Row],[Sysselsettingsvekst10]]&lt;=H$433,H$433,IF(Tabell2[[#This Row],[Sysselsettingsvekst10]]&gt;=H$434,H$434,Tabell2[[#This Row],[Sysselsettingsvekst10]]))</f>
        <v>0.24794749265568336</v>
      </c>
      <c r="R189" s="41">
        <f>IF(Tabell2[[#This Row],[Yrkesaktivandel]]&lt;=I$433,I$433,IF(Tabell2[[#This Row],[Yrkesaktivandel]]&gt;=I$434,I$434,Tabell2[[#This Row],[Yrkesaktivandel]]))</f>
        <v>0.91421157075255688</v>
      </c>
      <c r="S189" s="41">
        <f>IF(Tabell2[[#This Row],[Inntekt]]&lt;=J$433,J$433,IF(Tabell2[[#This Row],[Inntekt]]&gt;=J$434,J$434,Tabell2[[#This Row],[Inntekt]]))</f>
        <v>364000</v>
      </c>
      <c r="T189" s="44">
        <f>IF(Tabell2[[#This Row],[NIBR11-T]]&lt;=K$436,100,IF(Tabell2[[#This Row],[NIBR11-T]]&gt;=K$435,0,100*(K$435-Tabell2[[#This Row],[NIBR11-T]])/K$438))</f>
        <v>90</v>
      </c>
      <c r="U189" s="44">
        <f>(L$435-Tabell2[[#This Row],[ReisetidOslo-T]])*100/L$438</f>
        <v>31.229905975023001</v>
      </c>
      <c r="V189" s="44">
        <f>100-(M$435-Tabell2[[#This Row],[Beftettotal-T]])*100/M$438</f>
        <v>42.161437866825899</v>
      </c>
      <c r="W189" s="44">
        <f>100-(N$435-Tabell2[[#This Row],[Befvekst10-T]])*100/N$438</f>
        <v>92.64784443493474</v>
      </c>
      <c r="X189" s="44">
        <f>100-(O$435-Tabell2[[#This Row],[Kvinneandel-T]])*100/O$438</f>
        <v>100</v>
      </c>
      <c r="Y189" s="44">
        <f>(P$435-Tabell2[[#This Row],[Eldreandel-T]])*100/P$438</f>
        <v>94.271116497708718</v>
      </c>
      <c r="Z189" s="44">
        <f>100-(Q$435-Tabell2[[#This Row],[Sysselsettingsvekst10-T]])*100/Q$438</f>
        <v>100</v>
      </c>
      <c r="AA189" s="44">
        <f>100-(R$435-Tabell2[[#This Row],[Yrkesaktivandel-T]])*100/R$438</f>
        <v>65.553919604262319</v>
      </c>
      <c r="AB189" s="44">
        <f>100-(S$435-Tabell2[[#This Row],[Inntekt-T]])*100/S$438</f>
        <v>97.688961392060904</v>
      </c>
      <c r="AC189" s="44">
        <f>Tabell2[[#This Row],[NIBR11-I]]*Vekter!$B$3</f>
        <v>18</v>
      </c>
      <c r="AD189" s="44">
        <f>Tabell2[[#This Row],[ReisetidOslo-I]]*Vekter!$C$3</f>
        <v>3.1229905975023002</v>
      </c>
      <c r="AE189" s="44">
        <f>Tabell2[[#This Row],[Beftettotal-I]]*Vekter!$E$4</f>
        <v>4.2161437866825899</v>
      </c>
      <c r="AF189" s="44">
        <f>Tabell2[[#This Row],[Befvekst10-I]]*Vekter!$F$3</f>
        <v>18.529568886986947</v>
      </c>
      <c r="AG189" s="44">
        <f>Tabell2[[#This Row],[Kvinneandel-I]]*Vekter!$G$3</f>
        <v>5</v>
      </c>
      <c r="AH189" s="44">
        <f>Tabell2[[#This Row],[Eldreandel-I]]*Vekter!$H$3</f>
        <v>4.7135558248854359</v>
      </c>
      <c r="AI189" s="44">
        <f>Tabell2[[#This Row],[Sysselsettingsvekst10-I]]*Vekter!$I$3</f>
        <v>10</v>
      </c>
      <c r="AJ189" s="44">
        <f>Tabell2[[#This Row],[Yrkesaktivandel-I]]*Vekter!$K$3</f>
        <v>6.5553919604262321</v>
      </c>
      <c r="AK189" s="44">
        <f>Tabell2[[#This Row],[Inntekt-I]]*Vekter!$M$3</f>
        <v>9.7688961392060918</v>
      </c>
      <c r="AL18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79.906547195689598</v>
      </c>
    </row>
    <row r="190" spans="1:38" s="38" customFormat="1" ht="12.75">
      <c r="A190" s="42" t="s">
        <v>188</v>
      </c>
      <c r="B190" s="38">
        <f>'Rådata-K'!Q190</f>
        <v>11</v>
      </c>
      <c r="C190" s="44">
        <f>'Rådata-K'!P190</f>
        <v>252.69941515799999</v>
      </c>
      <c r="D190" s="41">
        <f>'Rådata-K'!R190</f>
        <v>2.5776888039964736</v>
      </c>
      <c r="E190" s="41">
        <f>'Rådata-K'!S190</f>
        <v>3.6558345642540679E-2</v>
      </c>
      <c r="F190" s="41">
        <f>'Rådata-K'!T190</f>
        <v>0.11435696473102958</v>
      </c>
      <c r="G190" s="41">
        <f>'Rådata-K'!U190</f>
        <v>0.14641966512290702</v>
      </c>
      <c r="H190" s="41">
        <f>'Rådata-K'!V190</f>
        <v>8.8278931750741751E-2</v>
      </c>
      <c r="I190" s="41">
        <f>'Rådata-K'!W190</f>
        <v>0.96353166986564298</v>
      </c>
      <c r="J190" s="41">
        <f>'Rådata-K'!O190</f>
        <v>350700</v>
      </c>
      <c r="K190" s="41">
        <f>Tabell2[[#This Row],[NIBR11]]</f>
        <v>11</v>
      </c>
      <c r="L190" s="41">
        <f>IF(Tabell2[[#This Row],[ReisetidOslo]]&lt;=C$433,C$433,IF(Tabell2[[#This Row],[ReisetidOslo]]&gt;=C$434,C$434,Tabell2[[#This Row],[ReisetidOslo]]))</f>
        <v>252.69941515799999</v>
      </c>
      <c r="M190" s="41">
        <f>IF(Tabell2[[#This Row],[Beftettotal]]&lt;=D$433,D$433,IF(Tabell2[[#This Row],[Beftettotal]]&gt;=D$434,D$434,Tabell2[[#This Row],[Beftettotal]]))</f>
        <v>2.5776888039964736</v>
      </c>
      <c r="N190" s="41">
        <f>IF(Tabell2[[#This Row],[Befvekst10]]&lt;=E$433,E$433,IF(Tabell2[[#This Row],[Befvekst10]]&gt;=E$434,E$434,Tabell2[[#This Row],[Befvekst10]]))</f>
        <v>3.6558345642540679E-2</v>
      </c>
      <c r="O190" s="41">
        <f>IF(Tabell2[[#This Row],[Kvinneandel]]&lt;=F$433,F$433,IF(Tabell2[[#This Row],[Kvinneandel]]&gt;=F$434,F$434,Tabell2[[#This Row],[Kvinneandel]]))</f>
        <v>0.11435696473102958</v>
      </c>
      <c r="P190" s="41">
        <f>IF(Tabell2[[#This Row],[Eldreandel]]&lt;=G$433,G$433,IF(Tabell2[[#This Row],[Eldreandel]]&gt;=G$434,G$434,Tabell2[[#This Row],[Eldreandel]]))</f>
        <v>0.14641966512290702</v>
      </c>
      <c r="Q190" s="41">
        <f>IF(Tabell2[[#This Row],[Sysselsettingsvekst10]]&lt;=H$433,H$433,IF(Tabell2[[#This Row],[Sysselsettingsvekst10]]&gt;=H$434,H$434,Tabell2[[#This Row],[Sysselsettingsvekst10]]))</f>
        <v>8.8278931750741751E-2</v>
      </c>
      <c r="R190" s="41">
        <f>IF(Tabell2[[#This Row],[Yrkesaktivandel]]&lt;=I$433,I$433,IF(Tabell2[[#This Row],[Yrkesaktivandel]]&gt;=I$434,I$434,Tabell2[[#This Row],[Yrkesaktivandel]]))</f>
        <v>0.96033761343949164</v>
      </c>
      <c r="S190" s="41">
        <f>IF(Tabell2[[#This Row],[Inntekt]]&lt;=J$433,J$433,IF(Tabell2[[#This Row],[Inntekt]]&gt;=J$434,J$434,Tabell2[[#This Row],[Inntekt]]))</f>
        <v>350700</v>
      </c>
      <c r="T190" s="44">
        <f>IF(Tabell2[[#This Row],[NIBR11-T]]&lt;=K$436,100,IF(Tabell2[[#This Row],[NIBR11-T]]&gt;=K$435,0,100*(K$435-Tabell2[[#This Row],[NIBR11-T]])/K$438))</f>
        <v>0</v>
      </c>
      <c r="U190" s="44">
        <f>(L$435-Tabell2[[#This Row],[ReisetidOslo-T]])*100/L$438</f>
        <v>11.7008329962568</v>
      </c>
      <c r="V190" s="44">
        <f>100-(M$435-Tabell2[[#This Row],[Beftettotal-T]])*100/M$438</f>
        <v>1.0281633278833908</v>
      </c>
      <c r="W190" s="44">
        <f>100-(N$435-Tabell2[[#This Row],[Befvekst10-T]])*100/N$438</f>
        <v>53.154740218543452</v>
      </c>
      <c r="X190" s="44">
        <f>100-(O$435-Tabell2[[#This Row],[Kvinneandel-T]])*100/O$438</f>
        <v>61.951170295864195</v>
      </c>
      <c r="Y190" s="44">
        <f>(P$435-Tabell2[[#This Row],[Eldreandel-T]])*100/P$438</f>
        <v>61.841640608363328</v>
      </c>
      <c r="Z190" s="44">
        <f>100-(Q$435-Tabell2[[#This Row],[Sysselsettingsvekst10-T]])*100/Q$438</f>
        <v>53.054716083263344</v>
      </c>
      <c r="AA190" s="44">
        <f>100-(R$435-Tabell2[[#This Row],[Yrkesaktivandel-T]])*100/R$438</f>
        <v>100</v>
      </c>
      <c r="AB190" s="44">
        <f>100-(S$435-Tabell2[[#This Row],[Inntekt-T]])*100/S$438</f>
        <v>79.608482871125616</v>
      </c>
      <c r="AC190" s="44">
        <f>Tabell2[[#This Row],[NIBR11-I]]*Vekter!$B$3</f>
        <v>0</v>
      </c>
      <c r="AD190" s="44">
        <f>Tabell2[[#This Row],[ReisetidOslo-I]]*Vekter!$C$3</f>
        <v>1.17008329962568</v>
      </c>
      <c r="AE190" s="44">
        <f>Tabell2[[#This Row],[Beftettotal-I]]*Vekter!$E$4</f>
        <v>0.10281633278833908</v>
      </c>
      <c r="AF190" s="44">
        <f>Tabell2[[#This Row],[Befvekst10-I]]*Vekter!$F$3</f>
        <v>10.630948043708692</v>
      </c>
      <c r="AG190" s="44">
        <f>Tabell2[[#This Row],[Kvinneandel-I]]*Vekter!$G$3</f>
        <v>3.0975585147932101</v>
      </c>
      <c r="AH190" s="44">
        <f>Tabell2[[#This Row],[Eldreandel-I]]*Vekter!$H$3</f>
        <v>3.0920820304181666</v>
      </c>
      <c r="AI190" s="44">
        <f>Tabell2[[#This Row],[Sysselsettingsvekst10-I]]*Vekter!$I$3</f>
        <v>5.3054716083263349</v>
      </c>
      <c r="AJ190" s="44">
        <f>Tabell2[[#This Row],[Yrkesaktivandel-I]]*Vekter!$K$3</f>
        <v>10</v>
      </c>
      <c r="AK190" s="44">
        <f>Tabell2[[#This Row],[Inntekt-I]]*Vekter!$M$3</f>
        <v>7.9608482871125616</v>
      </c>
      <c r="AL19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41.359808116772989</v>
      </c>
    </row>
    <row r="191" spans="1:38" s="38" customFormat="1" ht="12.75">
      <c r="A191" s="42" t="s">
        <v>189</v>
      </c>
      <c r="B191" s="38">
        <f>'Rådata-K'!Q191</f>
        <v>10</v>
      </c>
      <c r="C191" s="44">
        <f>'Rådata-K'!P191</f>
        <v>239.61046894770001</v>
      </c>
      <c r="D191" s="41">
        <f>'Rådata-K'!R191</f>
        <v>2.2133827626701055</v>
      </c>
      <c r="E191" s="41">
        <f>'Rådata-K'!S191</f>
        <v>-3.4889558232931717E-2</v>
      </c>
      <c r="F191" s="41">
        <f>'Rådata-K'!T191</f>
        <v>0.10559167750325098</v>
      </c>
      <c r="G191" s="41">
        <f>'Rådata-K'!U191</f>
        <v>0.1625487646293888</v>
      </c>
      <c r="H191" s="41">
        <f>'Rådata-K'!V191</f>
        <v>0.10025706940874035</v>
      </c>
      <c r="I191" s="41">
        <f>'Rådata-K'!W191</f>
        <v>0.96550094517958407</v>
      </c>
      <c r="J191" s="41">
        <f>'Rådata-K'!O191</f>
        <v>335000</v>
      </c>
      <c r="K191" s="41">
        <f>Tabell2[[#This Row],[NIBR11]]</f>
        <v>10</v>
      </c>
      <c r="L191" s="41">
        <f>IF(Tabell2[[#This Row],[ReisetidOslo]]&lt;=C$433,C$433,IF(Tabell2[[#This Row],[ReisetidOslo]]&gt;=C$434,C$434,Tabell2[[#This Row],[ReisetidOslo]]))</f>
        <v>239.61046894770001</v>
      </c>
      <c r="M191" s="41">
        <f>IF(Tabell2[[#This Row],[Beftettotal]]&lt;=D$433,D$433,IF(Tabell2[[#This Row],[Beftettotal]]&gt;=D$434,D$434,Tabell2[[#This Row],[Beftettotal]]))</f>
        <v>2.2133827626701055</v>
      </c>
      <c r="N191" s="41">
        <f>IF(Tabell2[[#This Row],[Befvekst10]]&lt;=E$433,E$433,IF(Tabell2[[#This Row],[Befvekst10]]&gt;=E$434,E$434,Tabell2[[#This Row],[Befvekst10]]))</f>
        <v>-3.4889558232931717E-2</v>
      </c>
      <c r="O191" s="41">
        <f>IF(Tabell2[[#This Row],[Kvinneandel]]&lt;=F$433,F$433,IF(Tabell2[[#This Row],[Kvinneandel]]&gt;=F$434,F$434,Tabell2[[#This Row],[Kvinneandel]]))</f>
        <v>0.10559167750325098</v>
      </c>
      <c r="P191" s="41">
        <f>IF(Tabell2[[#This Row],[Eldreandel]]&lt;=G$433,G$433,IF(Tabell2[[#This Row],[Eldreandel]]&gt;=G$434,G$434,Tabell2[[#This Row],[Eldreandel]]))</f>
        <v>0.1625487646293888</v>
      </c>
      <c r="Q191" s="41">
        <f>IF(Tabell2[[#This Row],[Sysselsettingsvekst10]]&lt;=H$433,H$433,IF(Tabell2[[#This Row],[Sysselsettingsvekst10]]&gt;=H$434,H$434,Tabell2[[#This Row],[Sysselsettingsvekst10]]))</f>
        <v>0.10025706940874035</v>
      </c>
      <c r="R191" s="41">
        <f>IF(Tabell2[[#This Row],[Yrkesaktivandel]]&lt;=I$433,I$433,IF(Tabell2[[#This Row],[Yrkesaktivandel]]&gt;=I$434,I$434,Tabell2[[#This Row],[Yrkesaktivandel]]))</f>
        <v>0.96033761343949164</v>
      </c>
      <c r="S191" s="41">
        <f>IF(Tabell2[[#This Row],[Inntekt]]&lt;=J$433,J$433,IF(Tabell2[[#This Row],[Inntekt]]&gt;=J$434,J$434,Tabell2[[#This Row],[Inntekt]]))</f>
        <v>335000</v>
      </c>
      <c r="T191" s="44">
        <f>IF(Tabell2[[#This Row],[NIBR11-T]]&lt;=K$436,100,IF(Tabell2[[#This Row],[NIBR11-T]]&gt;=K$435,0,100*(K$435-Tabell2[[#This Row],[NIBR11-T]])/K$438))</f>
        <v>10</v>
      </c>
      <c r="U191" s="44">
        <f>(L$435-Tabell2[[#This Row],[ReisetidOslo-T]])*100/L$438</f>
        <v>17.511678413023699</v>
      </c>
      <c r="V191" s="44">
        <f>100-(M$435-Tabell2[[#This Row],[Beftettotal-T]])*100/M$438</f>
        <v>0.73015850422812889</v>
      </c>
      <c r="W191" s="44">
        <f>100-(N$435-Tabell2[[#This Row],[Befvekst10-T]])*100/N$438</f>
        <v>23.595679424205059</v>
      </c>
      <c r="X191" s="44">
        <f>100-(O$435-Tabell2[[#This Row],[Kvinneandel-T]])*100/O$438</f>
        <v>37.965302610859453</v>
      </c>
      <c r="Y191" s="44">
        <f>(P$435-Tabell2[[#This Row],[Eldreandel-T]])*100/P$438</f>
        <v>42.851308982538896</v>
      </c>
      <c r="Z191" s="44">
        <f>100-(Q$435-Tabell2[[#This Row],[Sysselsettingsvekst10-T]])*100/Q$438</f>
        <v>56.576493131678497</v>
      </c>
      <c r="AA191" s="44">
        <f>100-(R$435-Tabell2[[#This Row],[Yrkesaktivandel-T]])*100/R$438</f>
        <v>100</v>
      </c>
      <c r="AB191" s="44">
        <f>100-(S$435-Tabell2[[#This Row],[Inntekt-T]])*100/S$438</f>
        <v>58.265361609570419</v>
      </c>
      <c r="AC191" s="44">
        <f>Tabell2[[#This Row],[NIBR11-I]]*Vekter!$B$3</f>
        <v>2</v>
      </c>
      <c r="AD191" s="44">
        <f>Tabell2[[#This Row],[ReisetidOslo-I]]*Vekter!$C$3</f>
        <v>1.7511678413023699</v>
      </c>
      <c r="AE191" s="44">
        <f>Tabell2[[#This Row],[Beftettotal-I]]*Vekter!$E$4</f>
        <v>7.3015850422812889E-2</v>
      </c>
      <c r="AF191" s="44">
        <f>Tabell2[[#This Row],[Befvekst10-I]]*Vekter!$F$3</f>
        <v>4.7191358848410117</v>
      </c>
      <c r="AG191" s="44">
        <f>Tabell2[[#This Row],[Kvinneandel-I]]*Vekter!$G$3</f>
        <v>1.8982651305429727</v>
      </c>
      <c r="AH191" s="44">
        <f>Tabell2[[#This Row],[Eldreandel-I]]*Vekter!$H$3</f>
        <v>2.1425654491269448</v>
      </c>
      <c r="AI191" s="44">
        <f>Tabell2[[#This Row],[Sysselsettingsvekst10-I]]*Vekter!$I$3</f>
        <v>5.65764931316785</v>
      </c>
      <c r="AJ191" s="44">
        <f>Tabell2[[#This Row],[Yrkesaktivandel-I]]*Vekter!$K$3</f>
        <v>10</v>
      </c>
      <c r="AK191" s="44">
        <f>Tabell2[[#This Row],[Inntekt-I]]*Vekter!$M$3</f>
        <v>5.8265361609570423</v>
      </c>
      <c r="AL19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34.068335630361005</v>
      </c>
    </row>
    <row r="192" spans="1:38" s="38" customFormat="1" ht="12.75">
      <c r="A192" s="42" t="s">
        <v>190</v>
      </c>
      <c r="B192" s="38">
        <f>'Rådata-K'!Q192</f>
        <v>9</v>
      </c>
      <c r="C192" s="44">
        <f>'Rådata-K'!P192</f>
        <v>251.86443753</v>
      </c>
      <c r="D192" s="41">
        <f>'Rådata-K'!R192</f>
        <v>8.7012226370890993</v>
      </c>
      <c r="E192" s="41">
        <f>'Rådata-K'!S192</f>
        <v>-3.491676816889977E-2</v>
      </c>
      <c r="F192" s="41">
        <f>'Rådata-K'!T192</f>
        <v>0.1110643668489693</v>
      </c>
      <c r="G192" s="41">
        <f>'Rådata-K'!U192</f>
        <v>0.18047959612957509</v>
      </c>
      <c r="H192" s="41">
        <f>'Rådata-K'!V192</f>
        <v>4.4607843137254966E-2</v>
      </c>
      <c r="I192" s="41">
        <f>'Rådata-K'!W192</f>
        <v>0.906636670416198</v>
      </c>
      <c r="J192" s="41">
        <f>'Rådata-K'!O192</f>
        <v>337900</v>
      </c>
      <c r="K192" s="41">
        <f>Tabell2[[#This Row],[NIBR11]]</f>
        <v>9</v>
      </c>
      <c r="L192" s="41">
        <f>IF(Tabell2[[#This Row],[ReisetidOslo]]&lt;=C$433,C$433,IF(Tabell2[[#This Row],[ReisetidOslo]]&gt;=C$434,C$434,Tabell2[[#This Row],[ReisetidOslo]]))</f>
        <v>251.86443753</v>
      </c>
      <c r="M192" s="41">
        <f>IF(Tabell2[[#This Row],[Beftettotal]]&lt;=D$433,D$433,IF(Tabell2[[#This Row],[Beftettotal]]&gt;=D$434,D$434,Tabell2[[#This Row],[Beftettotal]]))</f>
        <v>8.7012226370890993</v>
      </c>
      <c r="N192" s="41">
        <f>IF(Tabell2[[#This Row],[Befvekst10]]&lt;=E$433,E$433,IF(Tabell2[[#This Row],[Befvekst10]]&gt;=E$434,E$434,Tabell2[[#This Row],[Befvekst10]]))</f>
        <v>-3.491676816889977E-2</v>
      </c>
      <c r="O192" s="41">
        <f>IF(Tabell2[[#This Row],[Kvinneandel]]&lt;=F$433,F$433,IF(Tabell2[[#This Row],[Kvinneandel]]&gt;=F$434,F$434,Tabell2[[#This Row],[Kvinneandel]]))</f>
        <v>0.1110643668489693</v>
      </c>
      <c r="P192" s="41">
        <f>IF(Tabell2[[#This Row],[Eldreandel]]&lt;=G$433,G$433,IF(Tabell2[[#This Row],[Eldreandel]]&gt;=G$434,G$434,Tabell2[[#This Row],[Eldreandel]]))</f>
        <v>0.18047959612957509</v>
      </c>
      <c r="Q192" s="41">
        <f>IF(Tabell2[[#This Row],[Sysselsettingsvekst10]]&lt;=H$433,H$433,IF(Tabell2[[#This Row],[Sysselsettingsvekst10]]&gt;=H$434,H$434,Tabell2[[#This Row],[Sysselsettingsvekst10]]))</f>
        <v>4.4607843137254966E-2</v>
      </c>
      <c r="R192" s="41">
        <f>IF(Tabell2[[#This Row],[Yrkesaktivandel]]&lt;=I$433,I$433,IF(Tabell2[[#This Row],[Yrkesaktivandel]]&gt;=I$434,I$434,Tabell2[[#This Row],[Yrkesaktivandel]]))</f>
        <v>0.906636670416198</v>
      </c>
      <c r="S192" s="41">
        <f>IF(Tabell2[[#This Row],[Inntekt]]&lt;=J$433,J$433,IF(Tabell2[[#This Row],[Inntekt]]&gt;=J$434,J$434,Tabell2[[#This Row],[Inntekt]]))</f>
        <v>337900</v>
      </c>
      <c r="T192" s="44">
        <f>IF(Tabell2[[#This Row],[NIBR11-T]]&lt;=K$436,100,IF(Tabell2[[#This Row],[NIBR11-T]]&gt;=K$435,0,100*(K$435-Tabell2[[#This Row],[NIBR11-T]])/K$438))</f>
        <v>20</v>
      </c>
      <c r="U192" s="44">
        <f>(L$435-Tabell2[[#This Row],[ReisetidOslo-T]])*100/L$438</f>
        <v>12.071521808389631</v>
      </c>
      <c r="V192" s="44">
        <f>100-(M$435-Tabell2[[#This Row],[Beftettotal-T]])*100/M$438</f>
        <v>6.037255720185783</v>
      </c>
      <c r="W192" s="44">
        <f>100-(N$435-Tabell2[[#This Row],[Befvekst10-T]])*100/N$438</f>
        <v>23.584422268881227</v>
      </c>
      <c r="X192" s="44">
        <f>100-(O$435-Tabell2[[#This Row],[Kvinneandel-T]])*100/O$438</f>
        <v>52.941104215115836</v>
      </c>
      <c r="Y192" s="44">
        <f>(P$435-Tabell2[[#This Row],[Eldreandel-T]])*100/P$438</f>
        <v>21.739625941680032</v>
      </c>
      <c r="Z192" s="44">
        <f>100-(Q$435-Tabell2[[#This Row],[Sysselsettingsvekst10-T]])*100/Q$438</f>
        <v>40.214670163806119</v>
      </c>
      <c r="AA192" s="44">
        <f>100-(R$435-Tabell2[[#This Row],[Yrkesaktivandel-T]])*100/R$438</f>
        <v>59.897123339582414</v>
      </c>
      <c r="AB192" s="44">
        <f>100-(S$435-Tabell2[[#This Row],[Inntekt-T]])*100/S$438</f>
        <v>62.207721587819464</v>
      </c>
      <c r="AC192" s="44">
        <f>Tabell2[[#This Row],[NIBR11-I]]*Vekter!$B$3</f>
        <v>4</v>
      </c>
      <c r="AD192" s="44">
        <f>Tabell2[[#This Row],[ReisetidOslo-I]]*Vekter!$C$3</f>
        <v>1.2071521808389631</v>
      </c>
      <c r="AE192" s="44">
        <f>Tabell2[[#This Row],[Beftettotal-I]]*Vekter!$E$4</f>
        <v>0.60372557201857835</v>
      </c>
      <c r="AF192" s="44">
        <f>Tabell2[[#This Row],[Befvekst10-I]]*Vekter!$F$3</f>
        <v>4.7168844537762453</v>
      </c>
      <c r="AG192" s="44">
        <f>Tabell2[[#This Row],[Kvinneandel-I]]*Vekter!$G$3</f>
        <v>2.6470552107557919</v>
      </c>
      <c r="AH192" s="44">
        <f>Tabell2[[#This Row],[Eldreandel-I]]*Vekter!$H$3</f>
        <v>1.0869812970840016</v>
      </c>
      <c r="AI192" s="44">
        <f>Tabell2[[#This Row],[Sysselsettingsvekst10-I]]*Vekter!$I$3</f>
        <v>4.0214670163806119</v>
      </c>
      <c r="AJ192" s="44">
        <f>Tabell2[[#This Row],[Yrkesaktivandel-I]]*Vekter!$K$3</f>
        <v>5.9897123339582414</v>
      </c>
      <c r="AK192" s="44">
        <f>Tabell2[[#This Row],[Inntekt-I]]*Vekter!$M$3</f>
        <v>6.2207721587819469</v>
      </c>
      <c r="AL19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30.493750223594379</v>
      </c>
    </row>
    <row r="193" spans="1:38" s="38" customFormat="1" ht="12.75">
      <c r="A193" s="42" t="s">
        <v>191</v>
      </c>
      <c r="B193" s="38">
        <f>'Rådata-K'!Q193</f>
        <v>2</v>
      </c>
      <c r="C193" s="44">
        <f>'Rådata-K'!P193</f>
        <v>194.4205606006</v>
      </c>
      <c r="D193" s="41">
        <f>'Rådata-K'!R193</f>
        <v>28.310021076834644</v>
      </c>
      <c r="E193" s="41">
        <f>'Rådata-K'!S193</f>
        <v>4.7129695251594717E-2</v>
      </c>
      <c r="F193" s="41">
        <f>'Rådata-K'!T193</f>
        <v>0.11065989847715736</v>
      </c>
      <c r="G193" s="41">
        <f>'Rådata-K'!U193</f>
        <v>0.1478849407783418</v>
      </c>
      <c r="H193" s="41">
        <f>'Rådata-K'!V193</f>
        <v>0.16773162939297115</v>
      </c>
      <c r="I193" s="41">
        <f>'Rådata-K'!W193</f>
        <v>0.99880668257756566</v>
      </c>
      <c r="J193" s="41">
        <f>'Rådata-K'!O193</f>
        <v>365700</v>
      </c>
      <c r="K193" s="41">
        <f>Tabell2[[#This Row],[NIBR11]]</f>
        <v>2</v>
      </c>
      <c r="L193" s="41">
        <f>IF(Tabell2[[#This Row],[ReisetidOslo]]&lt;=C$433,C$433,IF(Tabell2[[#This Row],[ReisetidOslo]]&gt;=C$434,C$434,Tabell2[[#This Row],[ReisetidOslo]]))</f>
        <v>194.4205606006</v>
      </c>
      <c r="M193" s="41">
        <f>IF(Tabell2[[#This Row],[Beftettotal]]&lt;=D$433,D$433,IF(Tabell2[[#This Row],[Beftettotal]]&gt;=D$434,D$434,Tabell2[[#This Row],[Beftettotal]]))</f>
        <v>28.310021076834644</v>
      </c>
      <c r="N193" s="41">
        <f>IF(Tabell2[[#This Row],[Befvekst10]]&lt;=E$433,E$433,IF(Tabell2[[#This Row],[Befvekst10]]&gt;=E$434,E$434,Tabell2[[#This Row],[Befvekst10]]))</f>
        <v>4.7129695251594717E-2</v>
      </c>
      <c r="O193" s="41">
        <f>IF(Tabell2[[#This Row],[Kvinneandel]]&lt;=F$433,F$433,IF(Tabell2[[#This Row],[Kvinneandel]]&gt;=F$434,F$434,Tabell2[[#This Row],[Kvinneandel]]))</f>
        <v>0.11065989847715736</v>
      </c>
      <c r="P193" s="41">
        <f>IF(Tabell2[[#This Row],[Eldreandel]]&lt;=G$433,G$433,IF(Tabell2[[#This Row],[Eldreandel]]&gt;=G$434,G$434,Tabell2[[#This Row],[Eldreandel]]))</f>
        <v>0.1478849407783418</v>
      </c>
      <c r="Q193" s="41">
        <f>IF(Tabell2[[#This Row],[Sysselsettingsvekst10]]&lt;=H$433,H$433,IF(Tabell2[[#This Row],[Sysselsettingsvekst10]]&gt;=H$434,H$434,Tabell2[[#This Row],[Sysselsettingsvekst10]]))</f>
        <v>0.16773162939297115</v>
      </c>
      <c r="R193" s="41">
        <f>IF(Tabell2[[#This Row],[Yrkesaktivandel]]&lt;=I$433,I$433,IF(Tabell2[[#This Row],[Yrkesaktivandel]]&gt;=I$434,I$434,Tabell2[[#This Row],[Yrkesaktivandel]]))</f>
        <v>0.96033761343949164</v>
      </c>
      <c r="S193" s="41">
        <f>IF(Tabell2[[#This Row],[Inntekt]]&lt;=J$433,J$433,IF(Tabell2[[#This Row],[Inntekt]]&gt;=J$434,J$434,Tabell2[[#This Row],[Inntekt]]))</f>
        <v>365700</v>
      </c>
      <c r="T193" s="44">
        <f>IF(Tabell2[[#This Row],[NIBR11-T]]&lt;=K$436,100,IF(Tabell2[[#This Row],[NIBR11-T]]&gt;=K$435,0,100*(K$435-Tabell2[[#This Row],[NIBR11-T]])/K$438))</f>
        <v>90</v>
      </c>
      <c r="U193" s="44">
        <f>(L$435-Tabell2[[#This Row],[ReisetidOslo-T]])*100/L$438</f>
        <v>37.573764969405396</v>
      </c>
      <c r="V193" s="44">
        <f>100-(M$435-Tabell2[[#This Row],[Beftettotal-T]])*100/M$438</f>
        <v>22.077386429664401</v>
      </c>
      <c r="W193" s="44">
        <f>100-(N$435-Tabell2[[#This Row],[Befvekst10-T]])*100/N$438</f>
        <v>57.528264826303229</v>
      </c>
      <c r="X193" s="44">
        <f>100-(O$435-Tabell2[[#This Row],[Kvinneandel-T]])*100/O$438</f>
        <v>51.834292242280007</v>
      </c>
      <c r="Y193" s="44">
        <f>(P$435-Tabell2[[#This Row],[Eldreandel-T]])*100/P$438</f>
        <v>60.116431423016593</v>
      </c>
      <c r="Z193" s="44">
        <f>100-(Q$435-Tabell2[[#This Row],[Sysselsettingsvekst10-T]])*100/Q$438</f>
        <v>76.415166178293006</v>
      </c>
      <c r="AA193" s="44">
        <f>100-(R$435-Tabell2[[#This Row],[Yrkesaktivandel-T]])*100/R$438</f>
        <v>100</v>
      </c>
      <c r="AB193" s="44">
        <f>100-(S$435-Tabell2[[#This Row],[Inntekt-T]])*100/S$438</f>
        <v>100</v>
      </c>
      <c r="AC193" s="44">
        <f>Tabell2[[#This Row],[NIBR11-I]]*Vekter!$B$3</f>
        <v>18</v>
      </c>
      <c r="AD193" s="44">
        <f>Tabell2[[#This Row],[ReisetidOslo-I]]*Vekter!$C$3</f>
        <v>3.7573764969405397</v>
      </c>
      <c r="AE193" s="44">
        <f>Tabell2[[#This Row],[Beftettotal-I]]*Vekter!$E$4</f>
        <v>2.2077386429664401</v>
      </c>
      <c r="AF193" s="44">
        <f>Tabell2[[#This Row],[Befvekst10-I]]*Vekter!$F$3</f>
        <v>11.505652965260646</v>
      </c>
      <c r="AG193" s="44">
        <f>Tabell2[[#This Row],[Kvinneandel-I]]*Vekter!$G$3</f>
        <v>2.5917146121140004</v>
      </c>
      <c r="AH193" s="44">
        <f>Tabell2[[#This Row],[Eldreandel-I]]*Vekter!$H$3</f>
        <v>3.0058215711508298</v>
      </c>
      <c r="AI193" s="44">
        <f>Tabell2[[#This Row],[Sysselsettingsvekst10-I]]*Vekter!$I$3</f>
        <v>7.6415166178293008</v>
      </c>
      <c r="AJ193" s="44">
        <f>Tabell2[[#This Row],[Yrkesaktivandel-I]]*Vekter!$K$3</f>
        <v>10</v>
      </c>
      <c r="AK193" s="44">
        <f>Tabell2[[#This Row],[Inntekt-I]]*Vekter!$M$3</f>
        <v>10</v>
      </c>
      <c r="AL19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68.709820906261768</v>
      </c>
    </row>
    <row r="194" spans="1:38" s="38" customFormat="1" ht="12.75">
      <c r="A194" s="42" t="s">
        <v>192</v>
      </c>
      <c r="B194" s="38">
        <f>'Rådata-K'!Q194</f>
        <v>2</v>
      </c>
      <c r="C194" s="44">
        <f>'Rådata-K'!P194</f>
        <v>180.61545932019999</v>
      </c>
      <c r="D194" s="41">
        <f>'Rådata-K'!R194</f>
        <v>67.197549770290962</v>
      </c>
      <c r="E194" s="41">
        <f>'Rådata-K'!S194</f>
        <v>0.350569405971068</v>
      </c>
      <c r="F194" s="41">
        <f>'Rådata-K'!T194</f>
        <v>0.13195077484047402</v>
      </c>
      <c r="G194" s="41">
        <f>'Rådata-K'!U194</f>
        <v>9.5031905195989058E-2</v>
      </c>
      <c r="H194" s="41">
        <f>'Rådata-K'!V194</f>
        <v>0.14573346116970276</v>
      </c>
      <c r="I194" s="41">
        <f>'Rådata-K'!W194</f>
        <v>0.96015936254980083</v>
      </c>
      <c r="J194" s="41">
        <f>'Rådata-K'!O194</f>
        <v>421600</v>
      </c>
      <c r="K194" s="41">
        <f>Tabell2[[#This Row],[NIBR11]]</f>
        <v>2</v>
      </c>
      <c r="L194" s="41">
        <f>IF(Tabell2[[#This Row],[ReisetidOslo]]&lt;=C$433,C$433,IF(Tabell2[[#This Row],[ReisetidOslo]]&gt;=C$434,C$434,Tabell2[[#This Row],[ReisetidOslo]]))</f>
        <v>180.61545932019999</v>
      </c>
      <c r="M194" s="41">
        <f>IF(Tabell2[[#This Row],[Beftettotal]]&lt;=D$433,D$433,IF(Tabell2[[#This Row],[Beftettotal]]&gt;=D$434,D$434,Tabell2[[#This Row],[Beftettotal]]))</f>
        <v>67.197549770290962</v>
      </c>
      <c r="N194" s="41">
        <f>IF(Tabell2[[#This Row],[Befvekst10]]&lt;=E$433,E$433,IF(Tabell2[[#This Row],[Befvekst10]]&gt;=E$434,E$434,Tabell2[[#This Row],[Befvekst10]]))</f>
        <v>0.149789129298837</v>
      </c>
      <c r="O194" s="41">
        <f>IF(Tabell2[[#This Row],[Kvinneandel]]&lt;=F$433,F$433,IF(Tabell2[[#This Row],[Kvinneandel]]&gt;=F$434,F$434,Tabell2[[#This Row],[Kvinneandel]]))</f>
        <v>0.12826135732659469</v>
      </c>
      <c r="P194" s="41">
        <f>IF(Tabell2[[#This Row],[Eldreandel]]&lt;=G$433,G$433,IF(Tabell2[[#This Row],[Eldreandel]]&gt;=G$434,G$434,Tabell2[[#This Row],[Eldreandel]]))</f>
        <v>0.11401054306234992</v>
      </c>
      <c r="Q194" s="41">
        <f>IF(Tabell2[[#This Row],[Sysselsettingsvekst10]]&lt;=H$433,H$433,IF(Tabell2[[#This Row],[Sysselsettingsvekst10]]&gt;=H$434,H$434,Tabell2[[#This Row],[Sysselsettingsvekst10]]))</f>
        <v>0.14573346116970276</v>
      </c>
      <c r="R194" s="41">
        <f>IF(Tabell2[[#This Row],[Yrkesaktivandel]]&lt;=I$433,I$433,IF(Tabell2[[#This Row],[Yrkesaktivandel]]&gt;=I$434,I$434,Tabell2[[#This Row],[Yrkesaktivandel]]))</f>
        <v>0.96015936254980083</v>
      </c>
      <c r="S194" s="41">
        <f>IF(Tabell2[[#This Row],[Inntekt]]&lt;=J$433,J$433,IF(Tabell2[[#This Row],[Inntekt]]&gt;=J$434,J$434,Tabell2[[#This Row],[Inntekt]]))</f>
        <v>365700</v>
      </c>
      <c r="T194" s="44">
        <f>IF(Tabell2[[#This Row],[NIBR11-T]]&lt;=K$436,100,IF(Tabell2[[#This Row],[NIBR11-T]]&gt;=K$435,0,100*(K$435-Tabell2[[#This Row],[NIBR11-T]])/K$438))</f>
        <v>90</v>
      </c>
      <c r="U194" s="44">
        <f>(L$435-Tabell2[[#This Row],[ReisetidOslo-T]])*100/L$438</f>
        <v>43.702547853400205</v>
      </c>
      <c r="V194" s="44">
        <f>100-(M$435-Tabell2[[#This Row],[Beftettotal-T]])*100/M$438</f>
        <v>53.887649823841777</v>
      </c>
      <c r="W194" s="44">
        <f>100-(N$435-Tabell2[[#This Row],[Befvekst10-T]])*100/N$438</f>
        <v>100</v>
      </c>
      <c r="X194" s="44">
        <f>100-(O$435-Tabell2[[#This Row],[Kvinneandel-T]])*100/O$438</f>
        <v>100</v>
      </c>
      <c r="Y194" s="44">
        <f>(P$435-Tabell2[[#This Row],[Eldreandel-T]])*100/P$438</f>
        <v>100</v>
      </c>
      <c r="Z194" s="44">
        <f>100-(Q$435-Tabell2[[#This Row],[Sysselsettingsvekst10-T]])*100/Q$438</f>
        <v>69.947329009620262</v>
      </c>
      <c r="AA194" s="44">
        <f>100-(R$435-Tabell2[[#This Row],[Yrkesaktivandel-T]])*100/R$438</f>
        <v>99.86688551370915</v>
      </c>
      <c r="AB194" s="44">
        <f>100-(S$435-Tabell2[[#This Row],[Inntekt-T]])*100/S$438</f>
        <v>100</v>
      </c>
      <c r="AC194" s="44">
        <f>Tabell2[[#This Row],[NIBR11-I]]*Vekter!$B$3</f>
        <v>18</v>
      </c>
      <c r="AD194" s="44">
        <f>Tabell2[[#This Row],[ReisetidOslo-I]]*Vekter!$C$3</f>
        <v>4.3702547853400207</v>
      </c>
      <c r="AE194" s="44">
        <f>Tabell2[[#This Row],[Beftettotal-I]]*Vekter!$E$4</f>
        <v>5.3887649823841777</v>
      </c>
      <c r="AF194" s="44">
        <f>Tabell2[[#This Row],[Befvekst10-I]]*Vekter!$F$3</f>
        <v>20</v>
      </c>
      <c r="AG194" s="44">
        <f>Tabell2[[#This Row],[Kvinneandel-I]]*Vekter!$G$3</f>
        <v>5</v>
      </c>
      <c r="AH194" s="44">
        <f>Tabell2[[#This Row],[Eldreandel-I]]*Vekter!$H$3</f>
        <v>5</v>
      </c>
      <c r="AI194" s="44">
        <f>Tabell2[[#This Row],[Sysselsettingsvekst10-I]]*Vekter!$I$3</f>
        <v>6.9947329009620267</v>
      </c>
      <c r="AJ194" s="44">
        <f>Tabell2[[#This Row],[Yrkesaktivandel-I]]*Vekter!$K$3</f>
        <v>9.986688551370916</v>
      </c>
      <c r="AK194" s="44">
        <f>Tabell2[[#This Row],[Inntekt-I]]*Vekter!$M$3</f>
        <v>10</v>
      </c>
      <c r="AL19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84.740441220057136</v>
      </c>
    </row>
    <row r="195" spans="1:38" s="38" customFormat="1" ht="12.75">
      <c r="A195" s="42" t="s">
        <v>193</v>
      </c>
      <c r="B195" s="38">
        <f>'Rådata-K'!Q195</f>
        <v>2</v>
      </c>
      <c r="C195" s="44">
        <f>'Rådata-K'!P195</f>
        <v>224.42987368960002</v>
      </c>
      <c r="D195" s="41">
        <f>'Rådata-K'!R195</f>
        <v>84.116693679092378</v>
      </c>
      <c r="E195" s="41">
        <f>'Rådata-K'!S195</f>
        <v>-1.9230769230769162E-3</v>
      </c>
      <c r="F195" s="41">
        <f>'Rådata-K'!T195</f>
        <v>9.6339113680154145E-2</v>
      </c>
      <c r="G195" s="41">
        <f>'Rådata-K'!U195</f>
        <v>0.20231213872832371</v>
      </c>
      <c r="H195" s="41">
        <f>'Rådata-K'!V195</f>
        <v>0.28629032258064524</v>
      </c>
      <c r="I195" s="41">
        <f>'Rådata-K'!W195</f>
        <v>0.97744360902255634</v>
      </c>
      <c r="J195" s="41">
        <f>'Rådata-K'!O195</f>
        <v>341400</v>
      </c>
      <c r="K195" s="41">
        <f>Tabell2[[#This Row],[NIBR11]]</f>
        <v>2</v>
      </c>
      <c r="L195" s="41">
        <f>IF(Tabell2[[#This Row],[ReisetidOslo]]&lt;=C$433,C$433,IF(Tabell2[[#This Row],[ReisetidOslo]]&gt;=C$434,C$434,Tabell2[[#This Row],[ReisetidOslo]]))</f>
        <v>224.42987368960002</v>
      </c>
      <c r="M195" s="41">
        <f>IF(Tabell2[[#This Row],[Beftettotal]]&lt;=D$433,D$433,IF(Tabell2[[#This Row],[Beftettotal]]&gt;=D$434,D$434,Tabell2[[#This Row],[Beftettotal]]))</f>
        <v>84.116693679092378</v>
      </c>
      <c r="N195" s="41">
        <f>IF(Tabell2[[#This Row],[Befvekst10]]&lt;=E$433,E$433,IF(Tabell2[[#This Row],[Befvekst10]]&gt;=E$434,E$434,Tabell2[[#This Row],[Befvekst10]]))</f>
        <v>-1.9230769230769162E-3</v>
      </c>
      <c r="O195" s="41">
        <f>IF(Tabell2[[#This Row],[Kvinneandel]]&lt;=F$433,F$433,IF(Tabell2[[#This Row],[Kvinneandel]]&gt;=F$434,F$434,Tabell2[[#This Row],[Kvinneandel]]))</f>
        <v>9.6339113680154145E-2</v>
      </c>
      <c r="P195" s="41">
        <f>IF(Tabell2[[#This Row],[Eldreandel]]&lt;=G$433,G$433,IF(Tabell2[[#This Row],[Eldreandel]]&gt;=G$434,G$434,Tabell2[[#This Row],[Eldreandel]]))</f>
        <v>0.1989437597342919</v>
      </c>
      <c r="Q195" s="41">
        <f>IF(Tabell2[[#This Row],[Sysselsettingsvekst10]]&lt;=H$433,H$433,IF(Tabell2[[#This Row],[Sysselsettingsvekst10]]&gt;=H$434,H$434,Tabell2[[#This Row],[Sysselsettingsvekst10]]))</f>
        <v>0.24794749265568336</v>
      </c>
      <c r="R195" s="41">
        <f>IF(Tabell2[[#This Row],[Yrkesaktivandel]]&lt;=I$433,I$433,IF(Tabell2[[#This Row],[Yrkesaktivandel]]&gt;=I$434,I$434,Tabell2[[#This Row],[Yrkesaktivandel]]))</f>
        <v>0.96033761343949164</v>
      </c>
      <c r="S195" s="41">
        <f>IF(Tabell2[[#This Row],[Inntekt]]&lt;=J$433,J$433,IF(Tabell2[[#This Row],[Inntekt]]&gt;=J$434,J$434,Tabell2[[#This Row],[Inntekt]]))</f>
        <v>341400</v>
      </c>
      <c r="T195" s="44">
        <f>IF(Tabell2[[#This Row],[NIBR11-T]]&lt;=K$436,100,IF(Tabell2[[#This Row],[NIBR11-T]]&gt;=K$435,0,100*(K$435-Tabell2[[#This Row],[NIBR11-T]])/K$438))</f>
        <v>90</v>
      </c>
      <c r="U195" s="44">
        <f>(L$435-Tabell2[[#This Row],[ReisetidOslo-T]])*100/L$438</f>
        <v>24.251112662505729</v>
      </c>
      <c r="V195" s="44">
        <f>100-(M$435-Tabell2[[#This Row],[Beftettotal-T]])*100/M$438</f>
        <v>67.727624803623129</v>
      </c>
      <c r="W195" s="44">
        <f>100-(N$435-Tabell2[[#This Row],[Befvekst10-T]])*100/N$438</f>
        <v>37.23440319854862</v>
      </c>
      <c r="X195" s="44">
        <f>100-(O$435-Tabell2[[#This Row],[Kvinneandel-T]])*100/O$438</f>
        <v>12.646021469161298</v>
      </c>
      <c r="Y195" s="44">
        <f>(P$435-Tabell2[[#This Row],[Eldreandel-T]])*100/P$438</f>
        <v>0</v>
      </c>
      <c r="Z195" s="44">
        <f>100-(Q$435-Tabell2[[#This Row],[Sysselsettingsvekst10-T]])*100/Q$438</f>
        <v>100</v>
      </c>
      <c r="AA195" s="44">
        <f>100-(R$435-Tabell2[[#This Row],[Yrkesaktivandel-T]])*100/R$438</f>
        <v>100</v>
      </c>
      <c r="AB195" s="44">
        <f>100-(S$435-Tabell2[[#This Row],[Inntekt-T]])*100/S$438</f>
        <v>66.965742251223489</v>
      </c>
      <c r="AC195" s="44">
        <f>Tabell2[[#This Row],[NIBR11-I]]*Vekter!$B$3</f>
        <v>18</v>
      </c>
      <c r="AD195" s="44">
        <f>Tabell2[[#This Row],[ReisetidOslo-I]]*Vekter!$C$3</f>
        <v>2.4251112662505729</v>
      </c>
      <c r="AE195" s="44">
        <f>Tabell2[[#This Row],[Beftettotal-I]]*Vekter!$E$4</f>
        <v>6.7727624803623137</v>
      </c>
      <c r="AF195" s="44">
        <f>Tabell2[[#This Row],[Befvekst10-I]]*Vekter!$F$3</f>
        <v>7.4468806397097245</v>
      </c>
      <c r="AG195" s="44">
        <f>Tabell2[[#This Row],[Kvinneandel-I]]*Vekter!$G$3</f>
        <v>0.63230107345806497</v>
      </c>
      <c r="AH195" s="44">
        <f>Tabell2[[#This Row],[Eldreandel-I]]*Vekter!$H$3</f>
        <v>0</v>
      </c>
      <c r="AI195" s="44">
        <f>Tabell2[[#This Row],[Sysselsettingsvekst10-I]]*Vekter!$I$3</f>
        <v>10</v>
      </c>
      <c r="AJ195" s="44">
        <f>Tabell2[[#This Row],[Yrkesaktivandel-I]]*Vekter!$K$3</f>
        <v>10</v>
      </c>
      <c r="AK195" s="44">
        <f>Tabell2[[#This Row],[Inntekt-I]]*Vekter!$M$3</f>
        <v>6.6965742251223492</v>
      </c>
      <c r="AL19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61.973629684903024</v>
      </c>
    </row>
    <row r="196" spans="1:38" s="38" customFormat="1" ht="12.75">
      <c r="A196" s="42" t="s">
        <v>194</v>
      </c>
      <c r="B196" s="38">
        <f>'Rådata-K'!Q196</f>
        <v>4</v>
      </c>
      <c r="C196" s="44">
        <f>'Rådata-K'!P196</f>
        <v>195.3012530446</v>
      </c>
      <c r="D196" s="41">
        <f>'Rådata-K'!R196</f>
        <v>18.041127835488659</v>
      </c>
      <c r="E196" s="41">
        <f>'Rådata-K'!S196</f>
        <v>0.11241830065359482</v>
      </c>
      <c r="F196" s="41">
        <f>'Rådata-K'!T196</f>
        <v>0.11515863689776733</v>
      </c>
      <c r="G196" s="41">
        <f>'Rådata-K'!U196</f>
        <v>0.15863689776733256</v>
      </c>
      <c r="H196" s="41">
        <f>'Rådata-K'!V196</f>
        <v>-9.5975232198142413E-2</v>
      </c>
      <c r="I196" s="41">
        <f>'Rådata-K'!W196</f>
        <v>0.94285714285714284</v>
      </c>
      <c r="J196" s="41">
        <f>'Rådata-K'!O196</f>
        <v>351300</v>
      </c>
      <c r="K196" s="41">
        <f>Tabell2[[#This Row],[NIBR11]]</f>
        <v>4</v>
      </c>
      <c r="L196" s="41">
        <f>IF(Tabell2[[#This Row],[ReisetidOslo]]&lt;=C$433,C$433,IF(Tabell2[[#This Row],[ReisetidOslo]]&gt;=C$434,C$434,Tabell2[[#This Row],[ReisetidOslo]]))</f>
        <v>195.3012530446</v>
      </c>
      <c r="M196" s="41">
        <f>IF(Tabell2[[#This Row],[Beftettotal]]&lt;=D$433,D$433,IF(Tabell2[[#This Row],[Beftettotal]]&gt;=D$434,D$434,Tabell2[[#This Row],[Beftettotal]]))</f>
        <v>18.041127835488659</v>
      </c>
      <c r="N196" s="41">
        <f>IF(Tabell2[[#This Row],[Befvekst10]]&lt;=E$433,E$433,IF(Tabell2[[#This Row],[Befvekst10]]&gt;=E$434,E$434,Tabell2[[#This Row],[Befvekst10]]))</f>
        <v>0.11241830065359482</v>
      </c>
      <c r="O196" s="41">
        <f>IF(Tabell2[[#This Row],[Kvinneandel]]&lt;=F$433,F$433,IF(Tabell2[[#This Row],[Kvinneandel]]&gt;=F$434,F$434,Tabell2[[#This Row],[Kvinneandel]]))</f>
        <v>0.11515863689776733</v>
      </c>
      <c r="P196" s="41">
        <f>IF(Tabell2[[#This Row],[Eldreandel]]&lt;=G$433,G$433,IF(Tabell2[[#This Row],[Eldreandel]]&gt;=G$434,G$434,Tabell2[[#This Row],[Eldreandel]]))</f>
        <v>0.15863689776733256</v>
      </c>
      <c r="Q196" s="41">
        <f>IF(Tabell2[[#This Row],[Sysselsettingsvekst10]]&lt;=H$433,H$433,IF(Tabell2[[#This Row],[Sysselsettingsvekst10]]&gt;=H$434,H$434,Tabell2[[#This Row],[Sysselsettingsvekst10]]))</f>
        <v>-9.2168803558721979E-2</v>
      </c>
      <c r="R196" s="41">
        <f>IF(Tabell2[[#This Row],[Yrkesaktivandel]]&lt;=I$433,I$433,IF(Tabell2[[#This Row],[Yrkesaktivandel]]&gt;=I$434,I$434,Tabell2[[#This Row],[Yrkesaktivandel]]))</f>
        <v>0.94285714285714284</v>
      </c>
      <c r="S196" s="41">
        <f>IF(Tabell2[[#This Row],[Inntekt]]&lt;=J$433,J$433,IF(Tabell2[[#This Row],[Inntekt]]&gt;=J$434,J$434,Tabell2[[#This Row],[Inntekt]]))</f>
        <v>351300</v>
      </c>
      <c r="T196" s="44">
        <f>IF(Tabell2[[#This Row],[NIBR11-T]]&lt;=K$436,100,IF(Tabell2[[#This Row],[NIBR11-T]]&gt;=K$435,0,100*(K$435-Tabell2[[#This Row],[NIBR11-T]])/K$438))</f>
        <v>70</v>
      </c>
      <c r="U196" s="44">
        <f>(L$435-Tabell2[[#This Row],[ReisetidOslo-T]])*100/L$438</f>
        <v>37.182781037653001</v>
      </c>
      <c r="V196" s="44">
        <f>100-(M$435-Tabell2[[#This Row],[Beftettotal-T]])*100/M$438</f>
        <v>13.677361800974879</v>
      </c>
      <c r="W196" s="44">
        <f>100-(N$435-Tabell2[[#This Row],[Befvekst10-T]])*100/N$438</f>
        <v>84.539132207645707</v>
      </c>
      <c r="X196" s="44">
        <f>100-(O$435-Tabell2[[#This Row],[Kvinneandel-T]])*100/O$438</f>
        <v>64.144915009349859</v>
      </c>
      <c r="Y196" s="44">
        <f>(P$435-Tabell2[[#This Row],[Eldreandel-T]])*100/P$438</f>
        <v>47.457124016209399</v>
      </c>
      <c r="Z196" s="44">
        <f>100-(Q$435-Tabell2[[#This Row],[Sysselsettingsvekst10-T]])*100/Q$438</f>
        <v>0</v>
      </c>
      <c r="AA196" s="44">
        <f>100-(R$435-Tabell2[[#This Row],[Yrkesaktivandel-T]])*100/R$438</f>
        <v>86.94590604440755</v>
      </c>
      <c r="AB196" s="44">
        <f>100-(S$435-Tabell2[[#This Row],[Inntekt-T]])*100/S$438</f>
        <v>80.424143556280583</v>
      </c>
      <c r="AC196" s="44">
        <f>Tabell2[[#This Row],[NIBR11-I]]*Vekter!$B$3</f>
        <v>14</v>
      </c>
      <c r="AD196" s="44">
        <f>Tabell2[[#This Row],[ReisetidOslo-I]]*Vekter!$C$3</f>
        <v>3.7182781037653001</v>
      </c>
      <c r="AE196" s="44">
        <f>Tabell2[[#This Row],[Beftettotal-I]]*Vekter!$E$4</f>
        <v>1.3677361800974879</v>
      </c>
      <c r="AF196" s="44">
        <f>Tabell2[[#This Row],[Befvekst10-I]]*Vekter!$F$3</f>
        <v>16.907826441529142</v>
      </c>
      <c r="AG196" s="44">
        <f>Tabell2[[#This Row],[Kvinneandel-I]]*Vekter!$G$3</f>
        <v>3.2072457504674929</v>
      </c>
      <c r="AH196" s="44">
        <f>Tabell2[[#This Row],[Eldreandel-I]]*Vekter!$H$3</f>
        <v>2.3728562008104701</v>
      </c>
      <c r="AI196" s="44">
        <f>Tabell2[[#This Row],[Sysselsettingsvekst10-I]]*Vekter!$I$3</f>
        <v>0</v>
      </c>
      <c r="AJ196" s="44">
        <f>Tabell2[[#This Row],[Yrkesaktivandel-I]]*Vekter!$K$3</f>
        <v>8.694590604440755</v>
      </c>
      <c r="AK196" s="44">
        <f>Tabell2[[#This Row],[Inntekt-I]]*Vekter!$M$3</f>
        <v>8.0424143556280594</v>
      </c>
      <c r="AL19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58.31094763673871</v>
      </c>
    </row>
    <row r="197" spans="1:38" s="38" customFormat="1" ht="12.75">
      <c r="A197" s="42" t="s">
        <v>195</v>
      </c>
      <c r="B197" s="38">
        <f>'Rådata-K'!Q197</f>
        <v>4</v>
      </c>
      <c r="C197" s="44">
        <f>'Rådata-K'!P197</f>
        <v>170.3523457014</v>
      </c>
      <c r="D197" s="41">
        <f>'Rådata-K'!R197</f>
        <v>24.253249042325681</v>
      </c>
      <c r="E197" s="41">
        <f>'Rådata-K'!S197</f>
        <v>0.14209827357237725</v>
      </c>
      <c r="F197" s="41">
        <f>'Rådata-K'!T197</f>
        <v>0.12131782945736434</v>
      </c>
      <c r="G197" s="41">
        <f>'Rådata-K'!U197</f>
        <v>0.1125968992248062</v>
      </c>
      <c r="H197" s="41">
        <f>'Rådata-K'!V197</f>
        <v>0.29634994206257237</v>
      </c>
      <c r="I197" s="41">
        <f>'Rådata-K'!W197</f>
        <v>0.9552545859763415</v>
      </c>
      <c r="J197" s="41">
        <f>'Rådata-K'!O197</f>
        <v>415000</v>
      </c>
      <c r="K197" s="41">
        <f>Tabell2[[#This Row],[NIBR11]]</f>
        <v>4</v>
      </c>
      <c r="L197" s="41">
        <f>IF(Tabell2[[#This Row],[ReisetidOslo]]&lt;=C$433,C$433,IF(Tabell2[[#This Row],[ReisetidOslo]]&gt;=C$434,C$434,Tabell2[[#This Row],[ReisetidOslo]]))</f>
        <v>170.3523457014</v>
      </c>
      <c r="M197" s="41">
        <f>IF(Tabell2[[#This Row],[Beftettotal]]&lt;=D$433,D$433,IF(Tabell2[[#This Row],[Beftettotal]]&gt;=D$434,D$434,Tabell2[[#This Row],[Beftettotal]]))</f>
        <v>24.253249042325681</v>
      </c>
      <c r="N197" s="41">
        <f>IF(Tabell2[[#This Row],[Befvekst10]]&lt;=E$433,E$433,IF(Tabell2[[#This Row],[Befvekst10]]&gt;=E$434,E$434,Tabell2[[#This Row],[Befvekst10]]))</f>
        <v>0.14209827357237725</v>
      </c>
      <c r="O197" s="41">
        <f>IF(Tabell2[[#This Row],[Kvinneandel]]&lt;=F$433,F$433,IF(Tabell2[[#This Row],[Kvinneandel]]&gt;=F$434,F$434,Tabell2[[#This Row],[Kvinneandel]]))</f>
        <v>0.12131782945736434</v>
      </c>
      <c r="P197" s="41">
        <f>IF(Tabell2[[#This Row],[Eldreandel]]&lt;=G$433,G$433,IF(Tabell2[[#This Row],[Eldreandel]]&gt;=G$434,G$434,Tabell2[[#This Row],[Eldreandel]]))</f>
        <v>0.11401054306234992</v>
      </c>
      <c r="Q197" s="41">
        <f>IF(Tabell2[[#This Row],[Sysselsettingsvekst10]]&lt;=H$433,H$433,IF(Tabell2[[#This Row],[Sysselsettingsvekst10]]&gt;=H$434,H$434,Tabell2[[#This Row],[Sysselsettingsvekst10]]))</f>
        <v>0.24794749265568336</v>
      </c>
      <c r="R197" s="41">
        <f>IF(Tabell2[[#This Row],[Yrkesaktivandel]]&lt;=I$433,I$433,IF(Tabell2[[#This Row],[Yrkesaktivandel]]&gt;=I$434,I$434,Tabell2[[#This Row],[Yrkesaktivandel]]))</f>
        <v>0.9552545859763415</v>
      </c>
      <c r="S197" s="41">
        <f>IF(Tabell2[[#This Row],[Inntekt]]&lt;=J$433,J$433,IF(Tabell2[[#This Row],[Inntekt]]&gt;=J$434,J$434,Tabell2[[#This Row],[Inntekt]]))</f>
        <v>365700</v>
      </c>
      <c r="T197" s="44">
        <f>IF(Tabell2[[#This Row],[NIBR11-T]]&lt;=K$436,100,IF(Tabell2[[#This Row],[NIBR11-T]]&gt;=K$435,0,100*(K$435-Tabell2[[#This Row],[NIBR11-T]])/K$438))</f>
        <v>70</v>
      </c>
      <c r="U197" s="44">
        <f>(L$435-Tabell2[[#This Row],[ReisetidOslo-T]])*100/L$438</f>
        <v>48.258863218699204</v>
      </c>
      <c r="V197" s="44">
        <f>100-(M$435-Tabell2[[#This Row],[Beftettotal-T]])*100/M$438</f>
        <v>18.758919268505409</v>
      </c>
      <c r="W197" s="44">
        <f>100-(N$435-Tabell2[[#This Row],[Befvekst10-T]])*100/N$438</f>
        <v>96.818178565810214</v>
      </c>
      <c r="X197" s="44">
        <f>100-(O$435-Tabell2[[#This Row],[Kvinneandel-T]])*100/O$438</f>
        <v>80.999305965617481</v>
      </c>
      <c r="Y197" s="44">
        <f>(P$435-Tabell2[[#This Row],[Eldreandel-T]])*100/P$438</f>
        <v>100</v>
      </c>
      <c r="Z197" s="44">
        <f>100-(Q$435-Tabell2[[#This Row],[Sysselsettingsvekst10-T]])*100/Q$438</f>
        <v>100</v>
      </c>
      <c r="AA197" s="44">
        <f>100-(R$435-Tabell2[[#This Row],[Yrkesaktivandel-T]])*100/R$438</f>
        <v>96.204088570142886</v>
      </c>
      <c r="AB197" s="44">
        <f>100-(S$435-Tabell2[[#This Row],[Inntekt-T]])*100/S$438</f>
        <v>100</v>
      </c>
      <c r="AC197" s="44">
        <f>Tabell2[[#This Row],[NIBR11-I]]*Vekter!$B$3</f>
        <v>14</v>
      </c>
      <c r="AD197" s="44">
        <f>Tabell2[[#This Row],[ReisetidOslo-I]]*Vekter!$C$3</f>
        <v>4.8258863218699206</v>
      </c>
      <c r="AE197" s="44">
        <f>Tabell2[[#This Row],[Beftettotal-I]]*Vekter!$E$4</f>
        <v>1.875891926850541</v>
      </c>
      <c r="AF197" s="44">
        <f>Tabell2[[#This Row],[Befvekst10-I]]*Vekter!$F$3</f>
        <v>19.363635713162044</v>
      </c>
      <c r="AG197" s="44">
        <f>Tabell2[[#This Row],[Kvinneandel-I]]*Vekter!$G$3</f>
        <v>4.049965298280874</v>
      </c>
      <c r="AH197" s="44">
        <f>Tabell2[[#This Row],[Eldreandel-I]]*Vekter!$H$3</f>
        <v>5</v>
      </c>
      <c r="AI197" s="44">
        <f>Tabell2[[#This Row],[Sysselsettingsvekst10-I]]*Vekter!$I$3</f>
        <v>10</v>
      </c>
      <c r="AJ197" s="44">
        <f>Tabell2[[#This Row],[Yrkesaktivandel-I]]*Vekter!$K$3</f>
        <v>9.62040885701429</v>
      </c>
      <c r="AK197" s="44">
        <f>Tabell2[[#This Row],[Inntekt-I]]*Vekter!$M$3</f>
        <v>10</v>
      </c>
      <c r="AL19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78.735788117177663</v>
      </c>
    </row>
    <row r="198" spans="1:38" s="38" customFormat="1" ht="12.75">
      <c r="A198" s="42" t="s">
        <v>196</v>
      </c>
      <c r="B198" s="38">
        <f>'Rådata-K'!Q198</f>
        <v>4</v>
      </c>
      <c r="C198" s="44">
        <f>'Rådata-K'!P198</f>
        <v>160.56813710329999</v>
      </c>
      <c r="D198" s="41">
        <f>'Rådata-K'!R198</f>
        <v>176.48902821316614</v>
      </c>
      <c r="E198" s="41">
        <f>'Rådata-K'!S198</f>
        <v>9.2820747849998719E-2</v>
      </c>
      <c r="F198" s="41">
        <f>'Rådata-K'!T198</f>
        <v>0.12655417406749556</v>
      </c>
      <c r="G198" s="41">
        <f>'Rådata-K'!U198</f>
        <v>0.12191632129465167</v>
      </c>
      <c r="H198" s="41">
        <f>'Rådata-K'!V198</f>
        <v>0.11884935654806972</v>
      </c>
      <c r="I198" s="41">
        <f>'Rådata-K'!W198</f>
        <v>0.8554283761851883</v>
      </c>
      <c r="J198" s="41">
        <f>'Rådata-K'!O198</f>
        <v>351200</v>
      </c>
      <c r="K198" s="41">
        <f>Tabell2[[#This Row],[NIBR11]]</f>
        <v>4</v>
      </c>
      <c r="L198" s="41">
        <f>IF(Tabell2[[#This Row],[ReisetidOslo]]&lt;=C$433,C$433,IF(Tabell2[[#This Row],[ReisetidOslo]]&gt;=C$434,C$434,Tabell2[[#This Row],[ReisetidOslo]]))</f>
        <v>160.56813710329999</v>
      </c>
      <c r="M198" s="41">
        <f>IF(Tabell2[[#This Row],[Beftettotal]]&lt;=D$433,D$433,IF(Tabell2[[#This Row],[Beftettotal]]&gt;=D$434,D$434,Tabell2[[#This Row],[Beftettotal]]))</f>
        <v>123.5691465212405</v>
      </c>
      <c r="N198" s="41">
        <f>IF(Tabell2[[#This Row],[Befvekst10]]&lt;=E$433,E$433,IF(Tabell2[[#This Row],[Befvekst10]]&gt;=E$434,E$434,Tabell2[[#This Row],[Befvekst10]]))</f>
        <v>9.2820747849998719E-2</v>
      </c>
      <c r="O198" s="41">
        <f>IF(Tabell2[[#This Row],[Kvinneandel]]&lt;=F$433,F$433,IF(Tabell2[[#This Row],[Kvinneandel]]&gt;=F$434,F$434,Tabell2[[#This Row],[Kvinneandel]]))</f>
        <v>0.12655417406749556</v>
      </c>
      <c r="P198" s="41">
        <f>IF(Tabell2[[#This Row],[Eldreandel]]&lt;=G$433,G$433,IF(Tabell2[[#This Row],[Eldreandel]]&gt;=G$434,G$434,Tabell2[[#This Row],[Eldreandel]]))</f>
        <v>0.12191632129465167</v>
      </c>
      <c r="Q198" s="41">
        <f>IF(Tabell2[[#This Row],[Sysselsettingsvekst10]]&lt;=H$433,H$433,IF(Tabell2[[#This Row],[Sysselsettingsvekst10]]&gt;=H$434,H$434,Tabell2[[#This Row],[Sysselsettingsvekst10]]))</f>
        <v>0.11884935654806972</v>
      </c>
      <c r="R198" s="41">
        <f>IF(Tabell2[[#This Row],[Yrkesaktivandel]]&lt;=I$433,I$433,IF(Tabell2[[#This Row],[Yrkesaktivandel]]&gt;=I$434,I$434,Tabell2[[#This Row],[Yrkesaktivandel]]))</f>
        <v>0.8554283761851883</v>
      </c>
      <c r="S198" s="41">
        <f>IF(Tabell2[[#This Row],[Inntekt]]&lt;=J$433,J$433,IF(Tabell2[[#This Row],[Inntekt]]&gt;=J$434,J$434,Tabell2[[#This Row],[Inntekt]]))</f>
        <v>351200</v>
      </c>
      <c r="T198" s="44">
        <f>IF(Tabell2[[#This Row],[NIBR11-T]]&lt;=K$436,100,IF(Tabell2[[#This Row],[NIBR11-T]]&gt;=K$435,0,100*(K$435-Tabell2[[#This Row],[NIBR11-T]])/K$438))</f>
        <v>70</v>
      </c>
      <c r="U198" s="44">
        <f>(L$435-Tabell2[[#This Row],[ReisetidOslo-T]])*100/L$438</f>
        <v>52.602568416618091</v>
      </c>
      <c r="V198" s="44">
        <f>100-(M$435-Tabell2[[#This Row],[Beftettotal-T]])*100/M$438</f>
        <v>100</v>
      </c>
      <c r="W198" s="44">
        <f>100-(N$435-Tabell2[[#This Row],[Befvekst10-T]])*100/N$438</f>
        <v>76.431333051614502</v>
      </c>
      <c r="X198" s="44">
        <f>100-(O$435-Tabell2[[#This Row],[Kvinneandel-T]])*100/O$438</f>
        <v>95.328359390547377</v>
      </c>
      <c r="Y198" s="44">
        <f>(P$435-Tabell2[[#This Row],[Eldreandel-T]])*100/P$438</f>
        <v>90.691771085465717</v>
      </c>
      <c r="Z198" s="44">
        <f>100-(Q$435-Tabell2[[#This Row],[Sysselsettingsvekst10-T]])*100/Q$438</f>
        <v>62.042943091961789</v>
      </c>
      <c r="AA198" s="44">
        <f>100-(R$435-Tabell2[[#This Row],[Yrkesaktivandel-T]])*100/R$438</f>
        <v>21.655710956083425</v>
      </c>
      <c r="AB198" s="44">
        <f>100-(S$435-Tabell2[[#This Row],[Inntekt-T]])*100/S$438</f>
        <v>80.288200108754751</v>
      </c>
      <c r="AC198" s="44">
        <f>Tabell2[[#This Row],[NIBR11-I]]*Vekter!$B$3</f>
        <v>14</v>
      </c>
      <c r="AD198" s="44">
        <f>Tabell2[[#This Row],[ReisetidOslo-I]]*Vekter!$C$3</f>
        <v>5.2602568416618096</v>
      </c>
      <c r="AE198" s="44">
        <f>Tabell2[[#This Row],[Beftettotal-I]]*Vekter!$E$4</f>
        <v>10</v>
      </c>
      <c r="AF198" s="44">
        <f>Tabell2[[#This Row],[Befvekst10-I]]*Vekter!$F$3</f>
        <v>15.286266610322901</v>
      </c>
      <c r="AG198" s="44">
        <f>Tabell2[[#This Row],[Kvinneandel-I]]*Vekter!$G$3</f>
        <v>4.7664179695273692</v>
      </c>
      <c r="AH198" s="44">
        <f>Tabell2[[#This Row],[Eldreandel-I]]*Vekter!$H$3</f>
        <v>4.5345885542732862</v>
      </c>
      <c r="AI198" s="44">
        <f>Tabell2[[#This Row],[Sysselsettingsvekst10-I]]*Vekter!$I$3</f>
        <v>6.2042943091961789</v>
      </c>
      <c r="AJ198" s="44">
        <f>Tabell2[[#This Row],[Yrkesaktivandel-I]]*Vekter!$K$3</f>
        <v>2.1655710956083425</v>
      </c>
      <c r="AK198" s="44">
        <f>Tabell2[[#This Row],[Inntekt-I]]*Vekter!$M$3</f>
        <v>8.0288200108754761</v>
      </c>
      <c r="AL19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70.246215391465356</v>
      </c>
    </row>
    <row r="199" spans="1:38" s="38" customFormat="1" ht="12.75">
      <c r="A199" s="42" t="s">
        <v>197</v>
      </c>
      <c r="B199" s="38">
        <f>'Rådata-K'!Q199</f>
        <v>11</v>
      </c>
      <c r="C199" s="44">
        <f>'Rådata-K'!P199</f>
        <v>233</v>
      </c>
      <c r="D199" s="41">
        <f>'Rådata-K'!R199</f>
        <v>34.603174603174601</v>
      </c>
      <c r="E199" s="41">
        <f>'Rådata-K'!S199</f>
        <v>-6.4377682403433445E-2</v>
      </c>
      <c r="F199" s="41">
        <f>'Rådata-K'!T199</f>
        <v>8.7155963302752298E-2</v>
      </c>
      <c r="G199" s="41">
        <f>'Rådata-K'!U199</f>
        <v>0.16972477064220184</v>
      </c>
      <c r="H199" s="41">
        <f>'Rådata-K'!V199</f>
        <v>-2.5210084033613467E-2</v>
      </c>
      <c r="I199" s="41">
        <f>'Rådata-K'!W199</f>
        <v>1.016</v>
      </c>
      <c r="J199" s="41">
        <f>'Rådata-K'!O199</f>
        <v>363700</v>
      </c>
      <c r="K199" s="41">
        <f>Tabell2[[#This Row],[NIBR11]]</f>
        <v>11</v>
      </c>
      <c r="L199" s="41">
        <f>IF(Tabell2[[#This Row],[ReisetidOslo]]&lt;=C$433,C$433,IF(Tabell2[[#This Row],[ReisetidOslo]]&gt;=C$434,C$434,Tabell2[[#This Row],[ReisetidOslo]]))</f>
        <v>233</v>
      </c>
      <c r="M199" s="41">
        <f>IF(Tabell2[[#This Row],[Beftettotal]]&lt;=D$433,D$433,IF(Tabell2[[#This Row],[Beftettotal]]&gt;=D$434,D$434,Tabell2[[#This Row],[Beftettotal]]))</f>
        <v>34.603174603174601</v>
      </c>
      <c r="N199" s="41">
        <f>IF(Tabell2[[#This Row],[Befvekst10]]&lt;=E$433,E$433,IF(Tabell2[[#This Row],[Befvekst10]]&gt;=E$434,E$434,Tabell2[[#This Row],[Befvekst10]]))</f>
        <v>-6.4377682403433445E-2</v>
      </c>
      <c r="O199" s="41">
        <f>IF(Tabell2[[#This Row],[Kvinneandel]]&lt;=F$433,F$433,IF(Tabell2[[#This Row],[Kvinneandel]]&gt;=F$434,F$434,Tabell2[[#This Row],[Kvinneandel]]))</f>
        <v>9.1717808671657367E-2</v>
      </c>
      <c r="P199" s="41">
        <f>IF(Tabell2[[#This Row],[Eldreandel]]&lt;=G$433,G$433,IF(Tabell2[[#This Row],[Eldreandel]]&gt;=G$434,G$434,Tabell2[[#This Row],[Eldreandel]]))</f>
        <v>0.16972477064220184</v>
      </c>
      <c r="Q199" s="41">
        <f>IF(Tabell2[[#This Row],[Sysselsettingsvekst10]]&lt;=H$433,H$433,IF(Tabell2[[#This Row],[Sysselsettingsvekst10]]&gt;=H$434,H$434,Tabell2[[#This Row],[Sysselsettingsvekst10]]))</f>
        <v>-2.5210084033613467E-2</v>
      </c>
      <c r="R199" s="41">
        <f>IF(Tabell2[[#This Row],[Yrkesaktivandel]]&lt;=I$433,I$433,IF(Tabell2[[#This Row],[Yrkesaktivandel]]&gt;=I$434,I$434,Tabell2[[#This Row],[Yrkesaktivandel]]))</f>
        <v>0.96033761343949164</v>
      </c>
      <c r="S199" s="41">
        <f>IF(Tabell2[[#This Row],[Inntekt]]&lt;=J$433,J$433,IF(Tabell2[[#This Row],[Inntekt]]&gt;=J$434,J$434,Tabell2[[#This Row],[Inntekt]]))</f>
        <v>363700</v>
      </c>
      <c r="T199" s="44">
        <f>IF(Tabell2[[#This Row],[NIBR11-T]]&lt;=K$436,100,IF(Tabell2[[#This Row],[NIBR11-T]]&gt;=K$435,0,100*(K$435-Tabell2[[#This Row],[NIBR11-T]])/K$438))</f>
        <v>0</v>
      </c>
      <c r="U199" s="44">
        <f>(L$435-Tabell2[[#This Row],[ReisetidOslo-T]])*100/L$438</f>
        <v>20.446400014766926</v>
      </c>
      <c r="V199" s="44">
        <f>100-(M$435-Tabell2[[#This Row],[Beftettotal-T]])*100/M$438</f>
        <v>27.225228886584432</v>
      </c>
      <c r="W199" s="44">
        <f>100-(N$435-Tabell2[[#This Row],[Befvekst10-T]])*100/N$438</f>
        <v>11.396003747420266</v>
      </c>
      <c r="X199" s="44">
        <f>100-(O$435-Tabell2[[#This Row],[Kvinneandel-T]])*100/O$438</f>
        <v>0</v>
      </c>
      <c r="Y199" s="44">
        <f>(P$435-Tabell2[[#This Row],[Eldreandel-T]])*100/P$438</f>
        <v>34.402310706009878</v>
      </c>
      <c r="Z199" s="44">
        <f>100-(Q$435-Tabell2[[#This Row],[Sysselsettingsvekst10-T]])*100/Q$438</f>
        <v>19.687007141492117</v>
      </c>
      <c r="AA199" s="44">
        <f>100-(R$435-Tabell2[[#This Row],[Yrkesaktivandel-T]])*100/R$438</f>
        <v>100</v>
      </c>
      <c r="AB199" s="44">
        <f>100-(S$435-Tabell2[[#This Row],[Inntekt-T]])*100/S$438</f>
        <v>97.28113104948342</v>
      </c>
      <c r="AC199" s="44">
        <f>Tabell2[[#This Row],[NIBR11-I]]*Vekter!$B$3</f>
        <v>0</v>
      </c>
      <c r="AD199" s="44">
        <f>Tabell2[[#This Row],[ReisetidOslo-I]]*Vekter!$C$3</f>
        <v>2.0446400014766928</v>
      </c>
      <c r="AE199" s="44">
        <f>Tabell2[[#This Row],[Beftettotal-I]]*Vekter!$E$4</f>
        <v>2.7225228886584434</v>
      </c>
      <c r="AF199" s="44">
        <f>Tabell2[[#This Row],[Befvekst10-I]]*Vekter!$F$3</f>
        <v>2.2792007494840534</v>
      </c>
      <c r="AG199" s="44">
        <f>Tabell2[[#This Row],[Kvinneandel-I]]*Vekter!$G$3</f>
        <v>0</v>
      </c>
      <c r="AH199" s="44">
        <f>Tabell2[[#This Row],[Eldreandel-I]]*Vekter!$H$3</f>
        <v>1.720115535300494</v>
      </c>
      <c r="AI199" s="44">
        <f>Tabell2[[#This Row],[Sysselsettingsvekst10-I]]*Vekter!$I$3</f>
        <v>1.9687007141492119</v>
      </c>
      <c r="AJ199" s="44">
        <f>Tabell2[[#This Row],[Yrkesaktivandel-I]]*Vekter!$K$3</f>
        <v>10</v>
      </c>
      <c r="AK199" s="44">
        <f>Tabell2[[#This Row],[Inntekt-I]]*Vekter!$M$3</f>
        <v>9.728113104948342</v>
      </c>
      <c r="AL19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30.463292994017237</v>
      </c>
    </row>
    <row r="200" spans="1:38" s="38" customFormat="1" ht="12.75">
      <c r="A200" s="42" t="s">
        <v>198</v>
      </c>
      <c r="B200" s="38">
        <f>'Rådata-K'!Q200</f>
        <v>4</v>
      </c>
      <c r="C200" s="44">
        <f>'Rådata-K'!P200</f>
        <v>200.6499809458</v>
      </c>
      <c r="D200" s="41">
        <f>'Rådata-K'!R200</f>
        <v>13.613434543667102</v>
      </c>
      <c r="E200" s="41">
        <f>'Rådata-K'!S200</f>
        <v>3.4537660747091303E-2</v>
      </c>
      <c r="F200" s="41">
        <f>'Rådata-K'!T200</f>
        <v>0.11447851308156742</v>
      </c>
      <c r="G200" s="41">
        <f>'Rådata-K'!U200</f>
        <v>0.14466674559015036</v>
      </c>
      <c r="H200" s="41">
        <f>'Rådata-K'!V200</f>
        <v>0.26512123634425788</v>
      </c>
      <c r="I200" s="41">
        <f>'Rådata-K'!W200</f>
        <v>0.96711921934662703</v>
      </c>
      <c r="J200" s="41">
        <f>'Rådata-K'!O200</f>
        <v>352000</v>
      </c>
      <c r="K200" s="41">
        <f>Tabell2[[#This Row],[NIBR11]]</f>
        <v>4</v>
      </c>
      <c r="L200" s="41">
        <f>IF(Tabell2[[#This Row],[ReisetidOslo]]&lt;=C$433,C$433,IF(Tabell2[[#This Row],[ReisetidOslo]]&gt;=C$434,C$434,Tabell2[[#This Row],[ReisetidOslo]]))</f>
        <v>200.6499809458</v>
      </c>
      <c r="M200" s="41">
        <f>IF(Tabell2[[#This Row],[Beftettotal]]&lt;=D$433,D$433,IF(Tabell2[[#This Row],[Beftettotal]]&gt;=D$434,D$434,Tabell2[[#This Row],[Beftettotal]]))</f>
        <v>13.613434543667102</v>
      </c>
      <c r="N200" s="41">
        <f>IF(Tabell2[[#This Row],[Befvekst10]]&lt;=E$433,E$433,IF(Tabell2[[#This Row],[Befvekst10]]&gt;=E$434,E$434,Tabell2[[#This Row],[Befvekst10]]))</f>
        <v>3.4537660747091303E-2</v>
      </c>
      <c r="O200" s="41">
        <f>IF(Tabell2[[#This Row],[Kvinneandel]]&lt;=F$433,F$433,IF(Tabell2[[#This Row],[Kvinneandel]]&gt;=F$434,F$434,Tabell2[[#This Row],[Kvinneandel]]))</f>
        <v>0.11447851308156742</v>
      </c>
      <c r="P200" s="41">
        <f>IF(Tabell2[[#This Row],[Eldreandel]]&lt;=G$433,G$433,IF(Tabell2[[#This Row],[Eldreandel]]&gt;=G$434,G$434,Tabell2[[#This Row],[Eldreandel]]))</f>
        <v>0.14466674559015036</v>
      </c>
      <c r="Q200" s="41">
        <f>IF(Tabell2[[#This Row],[Sysselsettingsvekst10]]&lt;=H$433,H$433,IF(Tabell2[[#This Row],[Sysselsettingsvekst10]]&gt;=H$434,H$434,Tabell2[[#This Row],[Sysselsettingsvekst10]]))</f>
        <v>0.24794749265568336</v>
      </c>
      <c r="R200" s="41">
        <f>IF(Tabell2[[#This Row],[Yrkesaktivandel]]&lt;=I$433,I$433,IF(Tabell2[[#This Row],[Yrkesaktivandel]]&gt;=I$434,I$434,Tabell2[[#This Row],[Yrkesaktivandel]]))</f>
        <v>0.96033761343949164</v>
      </c>
      <c r="S200" s="41">
        <f>IF(Tabell2[[#This Row],[Inntekt]]&lt;=J$433,J$433,IF(Tabell2[[#This Row],[Inntekt]]&gt;=J$434,J$434,Tabell2[[#This Row],[Inntekt]]))</f>
        <v>352000</v>
      </c>
      <c r="T200" s="44">
        <f>IF(Tabell2[[#This Row],[NIBR11-T]]&lt;=K$436,100,IF(Tabell2[[#This Row],[NIBR11-T]]&gt;=K$435,0,100*(K$435-Tabell2[[#This Row],[NIBR11-T]])/K$438))</f>
        <v>70</v>
      </c>
      <c r="U200" s="44">
        <f>(L$435-Tabell2[[#This Row],[ReisetidOslo-T]])*100/L$438</f>
        <v>34.808210120265997</v>
      </c>
      <c r="V200" s="44">
        <f>100-(M$435-Tabell2[[#This Row],[Beftettotal-T]])*100/M$438</f>
        <v>10.055478524417452</v>
      </c>
      <c r="W200" s="44">
        <f>100-(N$435-Tabell2[[#This Row],[Befvekst10-T]])*100/N$438</f>
        <v>52.318752814701725</v>
      </c>
      <c r="X200" s="44">
        <f>100-(O$435-Tabell2[[#This Row],[Kvinneandel-T]])*100/O$438</f>
        <v>62.283782631041511</v>
      </c>
      <c r="Y200" s="44">
        <f>(P$435-Tabell2[[#This Row],[Eldreandel-T]])*100/P$438</f>
        <v>63.905520444125798</v>
      </c>
      <c r="Z200" s="44">
        <f>100-(Q$435-Tabell2[[#This Row],[Sysselsettingsvekst10-T]])*100/Q$438</f>
        <v>100</v>
      </c>
      <c r="AA200" s="44">
        <f>100-(R$435-Tabell2[[#This Row],[Yrkesaktivandel-T]])*100/R$438</f>
        <v>100</v>
      </c>
      <c r="AB200" s="44">
        <f>100-(S$435-Tabell2[[#This Row],[Inntekt-T]])*100/S$438</f>
        <v>81.375747688961397</v>
      </c>
      <c r="AC200" s="44">
        <f>Tabell2[[#This Row],[NIBR11-I]]*Vekter!$B$3</f>
        <v>14</v>
      </c>
      <c r="AD200" s="44">
        <f>Tabell2[[#This Row],[ReisetidOslo-I]]*Vekter!$C$3</f>
        <v>3.4808210120265999</v>
      </c>
      <c r="AE200" s="44">
        <f>Tabell2[[#This Row],[Beftettotal-I]]*Vekter!$E$4</f>
        <v>1.0055478524417454</v>
      </c>
      <c r="AF200" s="44">
        <f>Tabell2[[#This Row],[Befvekst10-I]]*Vekter!$F$3</f>
        <v>10.463750562940346</v>
      </c>
      <c r="AG200" s="44">
        <f>Tabell2[[#This Row],[Kvinneandel-I]]*Vekter!$G$3</f>
        <v>3.1141891315520756</v>
      </c>
      <c r="AH200" s="44">
        <f>Tabell2[[#This Row],[Eldreandel-I]]*Vekter!$H$3</f>
        <v>3.1952760222062899</v>
      </c>
      <c r="AI200" s="44">
        <f>Tabell2[[#This Row],[Sysselsettingsvekst10-I]]*Vekter!$I$3</f>
        <v>10</v>
      </c>
      <c r="AJ200" s="44">
        <f>Tabell2[[#This Row],[Yrkesaktivandel-I]]*Vekter!$K$3</f>
        <v>10</v>
      </c>
      <c r="AK200" s="44">
        <f>Tabell2[[#This Row],[Inntekt-I]]*Vekter!$M$3</f>
        <v>8.1375747688961404</v>
      </c>
      <c r="AL20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63.397159350063191</v>
      </c>
    </row>
    <row r="201" spans="1:38" s="38" customFormat="1" ht="12.75">
      <c r="A201" s="42" t="s">
        <v>199</v>
      </c>
      <c r="B201" s="38">
        <f>'Rådata-K'!Q201</f>
        <v>1</v>
      </c>
      <c r="C201" s="44">
        <f>'Rådata-K'!P201</f>
        <v>165.9361952889</v>
      </c>
      <c r="D201" s="41">
        <f>'Rådata-K'!R201</f>
        <v>566.6817058760339</v>
      </c>
      <c r="E201" s="41">
        <f>'Rådata-K'!S201</f>
        <v>0.13061369705646597</v>
      </c>
      <c r="F201" s="41">
        <f>'Rådata-K'!T201</f>
        <v>0.14798189276696416</v>
      </c>
      <c r="G201" s="41">
        <f>'Rådata-K'!U201</f>
        <v>0.12363797666077751</v>
      </c>
      <c r="H201" s="41">
        <f>'Rådata-K'!V201</f>
        <v>0.19282113692877489</v>
      </c>
      <c r="I201" s="41">
        <f>'Rådata-K'!W201</f>
        <v>0.86022637698295401</v>
      </c>
      <c r="J201" s="41">
        <f>'Rådata-K'!O201</f>
        <v>375300</v>
      </c>
      <c r="K201" s="41">
        <f>Tabell2[[#This Row],[NIBR11]]</f>
        <v>1</v>
      </c>
      <c r="L201" s="41">
        <f>IF(Tabell2[[#This Row],[ReisetidOslo]]&lt;=C$433,C$433,IF(Tabell2[[#This Row],[ReisetidOslo]]&gt;=C$434,C$434,Tabell2[[#This Row],[ReisetidOslo]]))</f>
        <v>165.9361952889</v>
      </c>
      <c r="M201" s="41">
        <f>IF(Tabell2[[#This Row],[Beftettotal]]&lt;=D$433,D$433,IF(Tabell2[[#This Row],[Beftettotal]]&gt;=D$434,D$434,Tabell2[[#This Row],[Beftettotal]]))</f>
        <v>123.5691465212405</v>
      </c>
      <c r="N201" s="41">
        <f>IF(Tabell2[[#This Row],[Befvekst10]]&lt;=E$433,E$433,IF(Tabell2[[#This Row],[Befvekst10]]&gt;=E$434,E$434,Tabell2[[#This Row],[Befvekst10]]))</f>
        <v>0.13061369705646597</v>
      </c>
      <c r="O201" s="41">
        <f>IF(Tabell2[[#This Row],[Kvinneandel]]&lt;=F$433,F$433,IF(Tabell2[[#This Row],[Kvinneandel]]&gt;=F$434,F$434,Tabell2[[#This Row],[Kvinneandel]]))</f>
        <v>0.12826135732659469</v>
      </c>
      <c r="P201" s="41">
        <f>IF(Tabell2[[#This Row],[Eldreandel]]&lt;=G$433,G$433,IF(Tabell2[[#This Row],[Eldreandel]]&gt;=G$434,G$434,Tabell2[[#This Row],[Eldreandel]]))</f>
        <v>0.12363797666077751</v>
      </c>
      <c r="Q201" s="41">
        <f>IF(Tabell2[[#This Row],[Sysselsettingsvekst10]]&lt;=H$433,H$433,IF(Tabell2[[#This Row],[Sysselsettingsvekst10]]&gt;=H$434,H$434,Tabell2[[#This Row],[Sysselsettingsvekst10]]))</f>
        <v>0.19282113692877489</v>
      </c>
      <c r="R201" s="41">
        <f>IF(Tabell2[[#This Row],[Yrkesaktivandel]]&lt;=I$433,I$433,IF(Tabell2[[#This Row],[Yrkesaktivandel]]&gt;=I$434,I$434,Tabell2[[#This Row],[Yrkesaktivandel]]))</f>
        <v>0.86022637698295401</v>
      </c>
      <c r="S201" s="41">
        <f>IF(Tabell2[[#This Row],[Inntekt]]&lt;=J$433,J$433,IF(Tabell2[[#This Row],[Inntekt]]&gt;=J$434,J$434,Tabell2[[#This Row],[Inntekt]]))</f>
        <v>365700</v>
      </c>
      <c r="T201" s="44">
        <f>IF(Tabell2[[#This Row],[NIBR11-T]]&lt;=K$436,100,IF(Tabell2[[#This Row],[NIBR11-T]]&gt;=K$435,0,100*(K$435-Tabell2[[#This Row],[NIBR11-T]])/K$438))</f>
        <v>100</v>
      </c>
      <c r="U201" s="44">
        <f>(L$435-Tabell2[[#This Row],[ReisetidOslo-T]])*100/L$438</f>
        <v>50.219415808031044</v>
      </c>
      <c r="V201" s="44">
        <f>100-(M$435-Tabell2[[#This Row],[Beftettotal-T]])*100/M$438</f>
        <v>100</v>
      </c>
      <c r="W201" s="44">
        <f>100-(N$435-Tabell2[[#This Row],[Befvekst10-T]])*100/N$438</f>
        <v>92.066838400215914</v>
      </c>
      <c r="X201" s="44">
        <f>100-(O$435-Tabell2[[#This Row],[Kvinneandel-T]])*100/O$438</f>
        <v>100</v>
      </c>
      <c r="Y201" s="44">
        <f>(P$435-Tabell2[[#This Row],[Eldreandel-T]])*100/P$438</f>
        <v>88.66470154355045</v>
      </c>
      <c r="Z201" s="44">
        <f>100-(Q$435-Tabell2[[#This Row],[Sysselsettingsvekst10-T]])*100/Q$438</f>
        <v>83.791909902441887</v>
      </c>
      <c r="AA201" s="44">
        <f>100-(R$435-Tabell2[[#This Row],[Yrkesaktivandel-T]])*100/R$438</f>
        <v>25.238769714025935</v>
      </c>
      <c r="AB201" s="44">
        <f>100-(S$435-Tabell2[[#This Row],[Inntekt-T]])*100/S$438</f>
        <v>100</v>
      </c>
      <c r="AC201" s="44">
        <f>Tabell2[[#This Row],[NIBR11-I]]*Vekter!$B$3</f>
        <v>20</v>
      </c>
      <c r="AD201" s="44">
        <f>Tabell2[[#This Row],[ReisetidOslo-I]]*Vekter!$C$3</f>
        <v>5.0219415808031052</v>
      </c>
      <c r="AE201" s="44">
        <f>Tabell2[[#This Row],[Beftettotal-I]]*Vekter!$E$4</f>
        <v>10</v>
      </c>
      <c r="AF201" s="44">
        <f>Tabell2[[#This Row],[Befvekst10-I]]*Vekter!$F$3</f>
        <v>18.413367680043184</v>
      </c>
      <c r="AG201" s="44">
        <f>Tabell2[[#This Row],[Kvinneandel-I]]*Vekter!$G$3</f>
        <v>5</v>
      </c>
      <c r="AH201" s="44">
        <f>Tabell2[[#This Row],[Eldreandel-I]]*Vekter!$H$3</f>
        <v>4.4332350771775229</v>
      </c>
      <c r="AI201" s="44">
        <f>Tabell2[[#This Row],[Sysselsettingsvekst10-I]]*Vekter!$I$3</f>
        <v>8.3791909902441883</v>
      </c>
      <c r="AJ201" s="44">
        <f>Tabell2[[#This Row],[Yrkesaktivandel-I]]*Vekter!$K$3</f>
        <v>2.5238769714025935</v>
      </c>
      <c r="AK201" s="44">
        <f>Tabell2[[#This Row],[Inntekt-I]]*Vekter!$M$3</f>
        <v>10</v>
      </c>
      <c r="AL20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83.771612299670579</v>
      </c>
    </row>
    <row r="202" spans="1:38" s="38" customFormat="1" ht="12.75">
      <c r="A202" s="42" t="s">
        <v>200</v>
      </c>
      <c r="B202" s="38">
        <f>'Rådata-K'!Q202</f>
        <v>8</v>
      </c>
      <c r="C202" s="44">
        <f>'Rådata-K'!P202</f>
        <v>211.40325304460001</v>
      </c>
      <c r="D202" s="41">
        <f>'Rådata-K'!R202</f>
        <v>5.389343704952811</v>
      </c>
      <c r="E202" s="41">
        <f>'Rådata-K'!S202</f>
        <v>-7.5642965204236745E-4</v>
      </c>
      <c r="F202" s="41">
        <f>'Rådata-K'!T202</f>
        <v>0.11001766338632349</v>
      </c>
      <c r="G202" s="41">
        <f>'Rådata-K'!U202</f>
        <v>0.16426949280847841</v>
      </c>
      <c r="H202" s="41">
        <f>'Rådata-K'!V202</f>
        <v>0.1624099541584807</v>
      </c>
      <c r="I202" s="41">
        <f>'Rådata-K'!W202</f>
        <v>0.96983340837460608</v>
      </c>
      <c r="J202" s="41">
        <f>'Rådata-K'!O202</f>
        <v>334800</v>
      </c>
      <c r="K202" s="41">
        <f>Tabell2[[#This Row],[NIBR11]]</f>
        <v>8</v>
      </c>
      <c r="L202" s="41">
        <f>IF(Tabell2[[#This Row],[ReisetidOslo]]&lt;=C$433,C$433,IF(Tabell2[[#This Row],[ReisetidOslo]]&gt;=C$434,C$434,Tabell2[[#This Row],[ReisetidOslo]]))</f>
        <v>211.40325304460001</v>
      </c>
      <c r="M202" s="41">
        <f>IF(Tabell2[[#This Row],[Beftettotal]]&lt;=D$433,D$433,IF(Tabell2[[#This Row],[Beftettotal]]&gt;=D$434,D$434,Tabell2[[#This Row],[Beftettotal]]))</f>
        <v>5.389343704952811</v>
      </c>
      <c r="N202" s="41">
        <f>IF(Tabell2[[#This Row],[Befvekst10]]&lt;=E$433,E$433,IF(Tabell2[[#This Row],[Befvekst10]]&gt;=E$434,E$434,Tabell2[[#This Row],[Befvekst10]]))</f>
        <v>-7.5642965204236745E-4</v>
      </c>
      <c r="O202" s="41">
        <f>IF(Tabell2[[#This Row],[Kvinneandel]]&lt;=F$433,F$433,IF(Tabell2[[#This Row],[Kvinneandel]]&gt;=F$434,F$434,Tabell2[[#This Row],[Kvinneandel]]))</f>
        <v>0.11001766338632349</v>
      </c>
      <c r="P202" s="41">
        <f>IF(Tabell2[[#This Row],[Eldreandel]]&lt;=G$433,G$433,IF(Tabell2[[#This Row],[Eldreandel]]&gt;=G$434,G$434,Tabell2[[#This Row],[Eldreandel]]))</f>
        <v>0.16426949280847841</v>
      </c>
      <c r="Q202" s="41">
        <f>IF(Tabell2[[#This Row],[Sysselsettingsvekst10]]&lt;=H$433,H$433,IF(Tabell2[[#This Row],[Sysselsettingsvekst10]]&gt;=H$434,H$434,Tabell2[[#This Row],[Sysselsettingsvekst10]]))</f>
        <v>0.1624099541584807</v>
      </c>
      <c r="R202" s="41">
        <f>IF(Tabell2[[#This Row],[Yrkesaktivandel]]&lt;=I$433,I$433,IF(Tabell2[[#This Row],[Yrkesaktivandel]]&gt;=I$434,I$434,Tabell2[[#This Row],[Yrkesaktivandel]]))</f>
        <v>0.96033761343949164</v>
      </c>
      <c r="S202" s="41">
        <f>IF(Tabell2[[#This Row],[Inntekt]]&lt;=J$433,J$433,IF(Tabell2[[#This Row],[Inntekt]]&gt;=J$434,J$434,Tabell2[[#This Row],[Inntekt]]))</f>
        <v>334800</v>
      </c>
      <c r="T202" s="44">
        <f>IF(Tabell2[[#This Row],[NIBR11-T]]&lt;=K$436,100,IF(Tabell2[[#This Row],[NIBR11-T]]&gt;=K$435,0,100*(K$435-Tabell2[[#This Row],[NIBR11-T]])/K$438))</f>
        <v>30</v>
      </c>
      <c r="U202" s="44">
        <f>(L$435-Tabell2[[#This Row],[ReisetidOslo-T]])*100/L$438</f>
        <v>30.034288607670266</v>
      </c>
      <c r="V202" s="44">
        <f>100-(M$435-Tabell2[[#This Row],[Beftettotal-T]])*100/M$438</f>
        <v>3.3281161913833159</v>
      </c>
      <c r="W202" s="44">
        <f>100-(N$435-Tabell2[[#This Row],[Befvekst10-T]])*100/N$438</f>
        <v>37.717062531286551</v>
      </c>
      <c r="X202" s="44">
        <f>100-(O$435-Tabell2[[#This Row],[Kvinneandel-T]])*100/O$438</f>
        <v>50.076840887738108</v>
      </c>
      <c r="Y202" s="44">
        <f>(P$435-Tabell2[[#This Row],[Eldreandel-T]])*100/P$438</f>
        <v>40.825331106608459</v>
      </c>
      <c r="Z202" s="44">
        <f>100-(Q$435-Tabell2[[#This Row],[Sysselsettingsvekst10-T]])*100/Q$438</f>
        <v>74.850502769417204</v>
      </c>
      <c r="AA202" s="44">
        <f>100-(R$435-Tabell2[[#This Row],[Yrkesaktivandel-T]])*100/R$438</f>
        <v>100</v>
      </c>
      <c r="AB202" s="44">
        <f>100-(S$435-Tabell2[[#This Row],[Inntekt-T]])*100/S$438</f>
        <v>57.993474714518761</v>
      </c>
      <c r="AC202" s="44">
        <f>Tabell2[[#This Row],[NIBR11-I]]*Vekter!$B$3</f>
        <v>6</v>
      </c>
      <c r="AD202" s="44">
        <f>Tabell2[[#This Row],[ReisetidOslo-I]]*Vekter!$C$3</f>
        <v>3.003428860767027</v>
      </c>
      <c r="AE202" s="44">
        <f>Tabell2[[#This Row],[Beftettotal-I]]*Vekter!$E$4</f>
        <v>0.33281161913833163</v>
      </c>
      <c r="AF202" s="44">
        <f>Tabell2[[#This Row],[Befvekst10-I]]*Vekter!$F$3</f>
        <v>7.5434125062573107</v>
      </c>
      <c r="AG202" s="44">
        <f>Tabell2[[#This Row],[Kvinneandel-I]]*Vekter!$G$3</f>
        <v>2.5038420443869054</v>
      </c>
      <c r="AH202" s="44">
        <f>Tabell2[[#This Row],[Eldreandel-I]]*Vekter!$H$3</f>
        <v>2.0412665553304232</v>
      </c>
      <c r="AI202" s="44">
        <f>Tabell2[[#This Row],[Sysselsettingsvekst10-I]]*Vekter!$I$3</f>
        <v>7.4850502769417204</v>
      </c>
      <c r="AJ202" s="44">
        <f>Tabell2[[#This Row],[Yrkesaktivandel-I]]*Vekter!$K$3</f>
        <v>10</v>
      </c>
      <c r="AK202" s="44">
        <f>Tabell2[[#This Row],[Inntekt-I]]*Vekter!$M$3</f>
        <v>5.7993474714518767</v>
      </c>
      <c r="AL20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44.709159334273593</v>
      </c>
    </row>
    <row r="203" spans="1:38" s="38" customFormat="1" ht="12.75">
      <c r="A203" s="42" t="s">
        <v>201</v>
      </c>
      <c r="B203" s="38">
        <f>'Rådata-K'!Q203</f>
        <v>4</v>
      </c>
      <c r="C203" s="44">
        <f>'Rådata-K'!P203</f>
        <v>179.69353327940001</v>
      </c>
      <c r="D203" s="41">
        <f>'Rådata-K'!R203</f>
        <v>21.272786458333336</v>
      </c>
      <c r="E203" s="41">
        <f>'Rådata-K'!S203</f>
        <v>0.11637838992099092</v>
      </c>
      <c r="F203" s="41">
        <f>'Rådata-K'!T203</f>
        <v>0.117061973986228</v>
      </c>
      <c r="G203" s="41">
        <f>'Rådata-K'!U203</f>
        <v>0.11763580719204285</v>
      </c>
      <c r="H203" s="41">
        <f>'Rådata-K'!V203</f>
        <v>0.24472960586617787</v>
      </c>
      <c r="I203" s="41">
        <f>'Rådata-K'!W203</f>
        <v>0.89422431161853588</v>
      </c>
      <c r="J203" s="41">
        <f>'Rådata-K'!O203</f>
        <v>349300</v>
      </c>
      <c r="K203" s="41">
        <f>Tabell2[[#This Row],[NIBR11]]</f>
        <v>4</v>
      </c>
      <c r="L203" s="41">
        <f>IF(Tabell2[[#This Row],[ReisetidOslo]]&lt;=C$433,C$433,IF(Tabell2[[#This Row],[ReisetidOslo]]&gt;=C$434,C$434,Tabell2[[#This Row],[ReisetidOslo]]))</f>
        <v>179.69353327940001</v>
      </c>
      <c r="M203" s="41">
        <f>IF(Tabell2[[#This Row],[Beftettotal]]&lt;=D$433,D$433,IF(Tabell2[[#This Row],[Beftettotal]]&gt;=D$434,D$434,Tabell2[[#This Row],[Beftettotal]]))</f>
        <v>21.272786458333336</v>
      </c>
      <c r="N203" s="41">
        <f>IF(Tabell2[[#This Row],[Befvekst10]]&lt;=E$433,E$433,IF(Tabell2[[#This Row],[Befvekst10]]&gt;=E$434,E$434,Tabell2[[#This Row],[Befvekst10]]))</f>
        <v>0.11637838992099092</v>
      </c>
      <c r="O203" s="41">
        <f>IF(Tabell2[[#This Row],[Kvinneandel]]&lt;=F$433,F$433,IF(Tabell2[[#This Row],[Kvinneandel]]&gt;=F$434,F$434,Tabell2[[#This Row],[Kvinneandel]]))</f>
        <v>0.117061973986228</v>
      </c>
      <c r="P203" s="41">
        <f>IF(Tabell2[[#This Row],[Eldreandel]]&lt;=G$433,G$433,IF(Tabell2[[#This Row],[Eldreandel]]&gt;=G$434,G$434,Tabell2[[#This Row],[Eldreandel]]))</f>
        <v>0.11763580719204285</v>
      </c>
      <c r="Q203" s="41">
        <f>IF(Tabell2[[#This Row],[Sysselsettingsvekst10]]&lt;=H$433,H$433,IF(Tabell2[[#This Row],[Sysselsettingsvekst10]]&gt;=H$434,H$434,Tabell2[[#This Row],[Sysselsettingsvekst10]]))</f>
        <v>0.24472960586617787</v>
      </c>
      <c r="R203" s="41">
        <f>IF(Tabell2[[#This Row],[Yrkesaktivandel]]&lt;=I$433,I$433,IF(Tabell2[[#This Row],[Yrkesaktivandel]]&gt;=I$434,I$434,Tabell2[[#This Row],[Yrkesaktivandel]]))</f>
        <v>0.89422431161853588</v>
      </c>
      <c r="S203" s="41">
        <f>IF(Tabell2[[#This Row],[Inntekt]]&lt;=J$433,J$433,IF(Tabell2[[#This Row],[Inntekt]]&gt;=J$434,J$434,Tabell2[[#This Row],[Inntekt]]))</f>
        <v>349300</v>
      </c>
      <c r="T203" s="44">
        <f>IF(Tabell2[[#This Row],[NIBR11-T]]&lt;=K$436,100,IF(Tabell2[[#This Row],[NIBR11-T]]&gt;=K$435,0,100*(K$435-Tabell2[[#This Row],[NIBR11-T]])/K$438))</f>
        <v>70</v>
      </c>
      <c r="U203" s="44">
        <f>(L$435-Tabell2[[#This Row],[ReisetidOslo-T]])*100/L$438</f>
        <v>44.11183746485608</v>
      </c>
      <c r="V203" s="44">
        <f>100-(M$435-Tabell2[[#This Row],[Beftettotal-T]])*100/M$438</f>
        <v>16.320880570272564</v>
      </c>
      <c r="W203" s="44">
        <f>100-(N$435-Tabell2[[#This Row],[Befvekst10-T]])*100/N$438</f>
        <v>86.177480053510976</v>
      </c>
      <c r="X203" s="44">
        <f>100-(O$435-Tabell2[[#This Row],[Kvinneandel-T]])*100/O$438</f>
        <v>69.353322945954346</v>
      </c>
      <c r="Y203" s="44">
        <f>(P$435-Tabell2[[#This Row],[Eldreandel-T]])*100/P$438</f>
        <v>95.731629777198179</v>
      </c>
      <c r="Z203" s="44">
        <f>100-(Q$435-Tabell2[[#This Row],[Sysselsettingsvekst10-T]])*100/Q$438</f>
        <v>99.053886324965461</v>
      </c>
      <c r="AA203" s="44">
        <f>100-(R$435-Tabell2[[#This Row],[Yrkesaktivandel-T]])*100/R$438</f>
        <v>50.627802059477951</v>
      </c>
      <c r="AB203" s="44">
        <f>100-(S$435-Tabell2[[#This Row],[Inntekt-T]])*100/S$438</f>
        <v>77.705274605764004</v>
      </c>
      <c r="AC203" s="44">
        <f>Tabell2[[#This Row],[NIBR11-I]]*Vekter!$B$3</f>
        <v>14</v>
      </c>
      <c r="AD203" s="44">
        <f>Tabell2[[#This Row],[ReisetidOslo-I]]*Vekter!$C$3</f>
        <v>4.4111837464856078</v>
      </c>
      <c r="AE203" s="44">
        <f>Tabell2[[#This Row],[Beftettotal-I]]*Vekter!$E$4</f>
        <v>1.6320880570272565</v>
      </c>
      <c r="AF203" s="44">
        <f>Tabell2[[#This Row],[Befvekst10-I]]*Vekter!$F$3</f>
        <v>17.235496010702196</v>
      </c>
      <c r="AG203" s="44">
        <f>Tabell2[[#This Row],[Kvinneandel-I]]*Vekter!$G$3</f>
        <v>3.4676661472977175</v>
      </c>
      <c r="AH203" s="44">
        <f>Tabell2[[#This Row],[Eldreandel-I]]*Vekter!$H$3</f>
        <v>4.786581488859909</v>
      </c>
      <c r="AI203" s="44">
        <f>Tabell2[[#This Row],[Sysselsettingsvekst10-I]]*Vekter!$I$3</f>
        <v>9.9053886324965461</v>
      </c>
      <c r="AJ203" s="44">
        <f>Tabell2[[#This Row],[Yrkesaktivandel-I]]*Vekter!$K$3</f>
        <v>5.0627802059477958</v>
      </c>
      <c r="AK203" s="44">
        <f>Tabell2[[#This Row],[Inntekt-I]]*Vekter!$M$3</f>
        <v>7.7705274605764005</v>
      </c>
      <c r="AL20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68.271711749393432</v>
      </c>
    </row>
    <row r="204" spans="1:38" s="38" customFormat="1" ht="12.75">
      <c r="A204" s="42" t="s">
        <v>202</v>
      </c>
      <c r="B204" s="38">
        <f>'Rådata-K'!Q204</f>
        <v>6</v>
      </c>
      <c r="C204" s="44">
        <f>'Rådata-K'!P204</f>
        <v>186.0814002134</v>
      </c>
      <c r="D204" s="41">
        <f>'Rådata-K'!R204</f>
        <v>46.7354649981717</v>
      </c>
      <c r="E204" s="41">
        <f>'Rådata-K'!S204</f>
        <v>5.6096217407271443E-2</v>
      </c>
      <c r="F204" s="41">
        <f>'Rådata-K'!T204</f>
        <v>0.11927323306963401</v>
      </c>
      <c r="G204" s="41">
        <f>'Rådata-K'!U204</f>
        <v>0.12448926367034686</v>
      </c>
      <c r="H204" s="41">
        <f>'Rådata-K'!V204</f>
        <v>0.10492845786963434</v>
      </c>
      <c r="I204" s="41">
        <f>'Rådata-K'!W204</f>
        <v>0.90377417342482846</v>
      </c>
      <c r="J204" s="41">
        <f>'Rådata-K'!O204</f>
        <v>359500</v>
      </c>
      <c r="K204" s="41">
        <f>Tabell2[[#This Row],[NIBR11]]</f>
        <v>6</v>
      </c>
      <c r="L204" s="41">
        <f>IF(Tabell2[[#This Row],[ReisetidOslo]]&lt;=C$433,C$433,IF(Tabell2[[#This Row],[ReisetidOslo]]&gt;=C$434,C$434,Tabell2[[#This Row],[ReisetidOslo]]))</f>
        <v>186.0814002134</v>
      </c>
      <c r="M204" s="41">
        <f>IF(Tabell2[[#This Row],[Beftettotal]]&lt;=D$433,D$433,IF(Tabell2[[#This Row],[Beftettotal]]&gt;=D$434,D$434,Tabell2[[#This Row],[Beftettotal]]))</f>
        <v>46.7354649981717</v>
      </c>
      <c r="N204" s="41">
        <f>IF(Tabell2[[#This Row],[Befvekst10]]&lt;=E$433,E$433,IF(Tabell2[[#This Row],[Befvekst10]]&gt;=E$434,E$434,Tabell2[[#This Row],[Befvekst10]]))</f>
        <v>5.6096217407271443E-2</v>
      </c>
      <c r="O204" s="41">
        <f>IF(Tabell2[[#This Row],[Kvinneandel]]&lt;=F$433,F$433,IF(Tabell2[[#This Row],[Kvinneandel]]&gt;=F$434,F$434,Tabell2[[#This Row],[Kvinneandel]]))</f>
        <v>0.11927323306963401</v>
      </c>
      <c r="P204" s="41">
        <f>IF(Tabell2[[#This Row],[Eldreandel]]&lt;=G$433,G$433,IF(Tabell2[[#This Row],[Eldreandel]]&gt;=G$434,G$434,Tabell2[[#This Row],[Eldreandel]]))</f>
        <v>0.12448926367034686</v>
      </c>
      <c r="Q204" s="41">
        <f>IF(Tabell2[[#This Row],[Sysselsettingsvekst10]]&lt;=H$433,H$433,IF(Tabell2[[#This Row],[Sysselsettingsvekst10]]&gt;=H$434,H$434,Tabell2[[#This Row],[Sysselsettingsvekst10]]))</f>
        <v>0.10492845786963434</v>
      </c>
      <c r="R204" s="41">
        <f>IF(Tabell2[[#This Row],[Yrkesaktivandel]]&lt;=I$433,I$433,IF(Tabell2[[#This Row],[Yrkesaktivandel]]&gt;=I$434,I$434,Tabell2[[#This Row],[Yrkesaktivandel]]))</f>
        <v>0.90377417342482846</v>
      </c>
      <c r="S204" s="41">
        <f>IF(Tabell2[[#This Row],[Inntekt]]&lt;=J$433,J$433,IF(Tabell2[[#This Row],[Inntekt]]&gt;=J$434,J$434,Tabell2[[#This Row],[Inntekt]]))</f>
        <v>359500</v>
      </c>
      <c r="T204" s="44">
        <f>IF(Tabell2[[#This Row],[NIBR11-T]]&lt;=K$436,100,IF(Tabell2[[#This Row],[NIBR11-T]]&gt;=K$435,0,100*(K$435-Tabell2[[#This Row],[NIBR11-T]])/K$438))</f>
        <v>50</v>
      </c>
      <c r="U204" s="44">
        <f>(L$435-Tabell2[[#This Row],[ReisetidOslo-T]])*100/L$438</f>
        <v>41.275940158842182</v>
      </c>
      <c r="V204" s="44">
        <f>100-(M$435-Tabell2[[#This Row],[Beftettotal-T]])*100/M$438</f>
        <v>37.149525081432294</v>
      </c>
      <c r="W204" s="44">
        <f>100-(N$435-Tabell2[[#This Row],[Befvekst10-T]])*100/N$438</f>
        <v>61.237848440895704</v>
      </c>
      <c r="X204" s="44">
        <f>100-(O$435-Tabell2[[#This Row],[Kvinneandel-T]])*100/O$438</f>
        <v>75.404347449036521</v>
      </c>
      <c r="Y204" s="44">
        <f>(P$435-Tabell2[[#This Row],[Eldreandel-T]])*100/P$438</f>
        <v>87.662399920079054</v>
      </c>
      <c r="Z204" s="44">
        <f>100-(Q$435-Tabell2[[#This Row],[Sysselsettingsvekst10-T]])*100/Q$438</f>
        <v>57.949961122741527</v>
      </c>
      <c r="AA204" s="44">
        <f>100-(R$435-Tabell2[[#This Row],[Yrkesaktivandel-T]])*100/R$438</f>
        <v>57.759463229295065</v>
      </c>
      <c r="AB204" s="44">
        <f>100-(S$435-Tabell2[[#This Row],[Inntekt-T]])*100/S$438</f>
        <v>91.571506253398582</v>
      </c>
      <c r="AC204" s="44">
        <f>Tabell2[[#This Row],[NIBR11-I]]*Vekter!$B$3</f>
        <v>10</v>
      </c>
      <c r="AD204" s="44">
        <f>Tabell2[[#This Row],[ReisetidOslo-I]]*Vekter!$C$3</f>
        <v>4.1275940158842186</v>
      </c>
      <c r="AE204" s="44">
        <f>Tabell2[[#This Row],[Beftettotal-I]]*Vekter!$E$4</f>
        <v>3.7149525081432295</v>
      </c>
      <c r="AF204" s="44">
        <f>Tabell2[[#This Row],[Befvekst10-I]]*Vekter!$F$3</f>
        <v>12.247569688179141</v>
      </c>
      <c r="AG204" s="44">
        <f>Tabell2[[#This Row],[Kvinneandel-I]]*Vekter!$G$3</f>
        <v>3.7702173724518264</v>
      </c>
      <c r="AH204" s="44">
        <f>Tabell2[[#This Row],[Eldreandel-I]]*Vekter!$H$3</f>
        <v>4.3831199960039529</v>
      </c>
      <c r="AI204" s="44">
        <f>Tabell2[[#This Row],[Sysselsettingsvekst10-I]]*Vekter!$I$3</f>
        <v>5.7949961122741529</v>
      </c>
      <c r="AJ204" s="44">
        <f>Tabell2[[#This Row],[Yrkesaktivandel-I]]*Vekter!$K$3</f>
        <v>5.7759463229295065</v>
      </c>
      <c r="AK204" s="44">
        <f>Tabell2[[#This Row],[Inntekt-I]]*Vekter!$M$3</f>
        <v>9.1571506253398578</v>
      </c>
      <c r="AL20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58.97154664120589</v>
      </c>
    </row>
    <row r="205" spans="1:38" s="38" customFormat="1" ht="12.75">
      <c r="A205" s="42" t="s">
        <v>203</v>
      </c>
      <c r="B205" s="38">
        <f>'Rådata-K'!Q205</f>
        <v>6</v>
      </c>
      <c r="C205" s="44">
        <f>'Rådata-K'!P205</f>
        <v>167.7926574599</v>
      </c>
      <c r="D205" s="41">
        <f>'Rådata-K'!R205</f>
        <v>124.98781930813671</v>
      </c>
      <c r="E205" s="41">
        <f>'Rådata-K'!S205</f>
        <v>0.10715827116345022</v>
      </c>
      <c r="F205" s="41">
        <f>'Rådata-K'!T205</f>
        <v>0.12490950604221195</v>
      </c>
      <c r="G205" s="41">
        <f>'Rådata-K'!U205</f>
        <v>0.11577657737929498</v>
      </c>
      <c r="H205" s="41">
        <f>'Rådata-K'!V205</f>
        <v>0.10014306151645203</v>
      </c>
      <c r="I205" s="41">
        <f>'Rådata-K'!W205</f>
        <v>0.89023094018745774</v>
      </c>
      <c r="J205" s="41">
        <f>'Rådata-K'!O205</f>
        <v>360300</v>
      </c>
      <c r="K205" s="41">
        <f>Tabell2[[#This Row],[NIBR11]]</f>
        <v>6</v>
      </c>
      <c r="L205" s="41">
        <f>IF(Tabell2[[#This Row],[ReisetidOslo]]&lt;=C$433,C$433,IF(Tabell2[[#This Row],[ReisetidOslo]]&gt;=C$434,C$434,Tabell2[[#This Row],[ReisetidOslo]]))</f>
        <v>167.7926574599</v>
      </c>
      <c r="M205" s="41">
        <f>IF(Tabell2[[#This Row],[Beftettotal]]&lt;=D$433,D$433,IF(Tabell2[[#This Row],[Beftettotal]]&gt;=D$434,D$434,Tabell2[[#This Row],[Beftettotal]]))</f>
        <v>123.5691465212405</v>
      </c>
      <c r="N205" s="41">
        <f>IF(Tabell2[[#This Row],[Befvekst10]]&lt;=E$433,E$433,IF(Tabell2[[#This Row],[Befvekst10]]&gt;=E$434,E$434,Tabell2[[#This Row],[Befvekst10]]))</f>
        <v>0.10715827116345022</v>
      </c>
      <c r="O205" s="41">
        <f>IF(Tabell2[[#This Row],[Kvinneandel]]&lt;=F$433,F$433,IF(Tabell2[[#This Row],[Kvinneandel]]&gt;=F$434,F$434,Tabell2[[#This Row],[Kvinneandel]]))</f>
        <v>0.12490950604221195</v>
      </c>
      <c r="P205" s="41">
        <f>IF(Tabell2[[#This Row],[Eldreandel]]&lt;=G$433,G$433,IF(Tabell2[[#This Row],[Eldreandel]]&gt;=G$434,G$434,Tabell2[[#This Row],[Eldreandel]]))</f>
        <v>0.11577657737929498</v>
      </c>
      <c r="Q205" s="41">
        <f>IF(Tabell2[[#This Row],[Sysselsettingsvekst10]]&lt;=H$433,H$433,IF(Tabell2[[#This Row],[Sysselsettingsvekst10]]&gt;=H$434,H$434,Tabell2[[#This Row],[Sysselsettingsvekst10]]))</f>
        <v>0.10014306151645203</v>
      </c>
      <c r="R205" s="41">
        <f>IF(Tabell2[[#This Row],[Yrkesaktivandel]]&lt;=I$433,I$433,IF(Tabell2[[#This Row],[Yrkesaktivandel]]&gt;=I$434,I$434,Tabell2[[#This Row],[Yrkesaktivandel]]))</f>
        <v>0.89023094018745774</v>
      </c>
      <c r="S205" s="41">
        <f>IF(Tabell2[[#This Row],[Inntekt]]&lt;=J$433,J$433,IF(Tabell2[[#This Row],[Inntekt]]&gt;=J$434,J$434,Tabell2[[#This Row],[Inntekt]]))</f>
        <v>360300</v>
      </c>
      <c r="T205" s="44">
        <f>IF(Tabell2[[#This Row],[NIBR11-T]]&lt;=K$436,100,IF(Tabell2[[#This Row],[NIBR11-T]]&gt;=K$435,0,100*(K$435-Tabell2[[#This Row],[NIBR11-T]])/K$438))</f>
        <v>50</v>
      </c>
      <c r="U205" s="44">
        <f>(L$435-Tabell2[[#This Row],[ReisetidOslo-T]])*100/L$438</f>
        <v>49.395238328466839</v>
      </c>
      <c r="V205" s="44">
        <f>100-(M$435-Tabell2[[#This Row],[Beftettotal-T]])*100/M$438</f>
        <v>100</v>
      </c>
      <c r="W205" s="44">
        <f>100-(N$435-Tabell2[[#This Row],[Befvekst10-T]])*100/N$438</f>
        <v>82.362979751862156</v>
      </c>
      <c r="X205" s="44">
        <f>100-(O$435-Tabell2[[#This Row],[Kvinneandel-T]])*100/O$438</f>
        <v>90.827789287699943</v>
      </c>
      <c r="Y205" s="44">
        <f>(P$435-Tabell2[[#This Row],[Eldreandel-T]])*100/P$438</f>
        <v>97.920678874360263</v>
      </c>
      <c r="Z205" s="44">
        <f>100-(Q$435-Tabell2[[#This Row],[Sysselsettingsvekst10-T]])*100/Q$438</f>
        <v>56.542972864182559</v>
      </c>
      <c r="AA205" s="44">
        <f>100-(R$435-Tabell2[[#This Row],[Yrkesaktivandel-T]])*100/R$438</f>
        <v>47.64562571500862</v>
      </c>
      <c r="AB205" s="44">
        <f>100-(S$435-Tabell2[[#This Row],[Inntekt-T]])*100/S$438</f>
        <v>92.659053833605213</v>
      </c>
      <c r="AC205" s="44">
        <f>Tabell2[[#This Row],[NIBR11-I]]*Vekter!$B$3</f>
        <v>10</v>
      </c>
      <c r="AD205" s="44">
        <f>Tabell2[[#This Row],[ReisetidOslo-I]]*Vekter!$C$3</f>
        <v>4.9395238328466844</v>
      </c>
      <c r="AE205" s="44">
        <f>Tabell2[[#This Row],[Beftettotal-I]]*Vekter!$E$4</f>
        <v>10</v>
      </c>
      <c r="AF205" s="44">
        <f>Tabell2[[#This Row],[Befvekst10-I]]*Vekter!$F$3</f>
        <v>16.472595950372433</v>
      </c>
      <c r="AG205" s="44">
        <f>Tabell2[[#This Row],[Kvinneandel-I]]*Vekter!$G$3</f>
        <v>4.5413894643849977</v>
      </c>
      <c r="AH205" s="44">
        <f>Tabell2[[#This Row],[Eldreandel-I]]*Vekter!$H$3</f>
        <v>4.8960339437180131</v>
      </c>
      <c r="AI205" s="44">
        <f>Tabell2[[#This Row],[Sysselsettingsvekst10-I]]*Vekter!$I$3</f>
        <v>5.6542972864182559</v>
      </c>
      <c r="AJ205" s="44">
        <f>Tabell2[[#This Row],[Yrkesaktivandel-I]]*Vekter!$K$3</f>
        <v>4.7645625715008624</v>
      </c>
      <c r="AK205" s="44">
        <f>Tabell2[[#This Row],[Inntekt-I]]*Vekter!$M$3</f>
        <v>9.2659053833605221</v>
      </c>
      <c r="AL20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70.534308432601762</v>
      </c>
    </row>
    <row r="206" spans="1:38" s="38" customFormat="1" ht="12.75">
      <c r="A206" s="42" t="s">
        <v>204</v>
      </c>
      <c r="B206" s="38">
        <f>'Rådata-K'!Q206</f>
        <v>6</v>
      </c>
      <c r="C206" s="44">
        <f>'Rådata-K'!P206</f>
        <v>171.59349923880001</v>
      </c>
      <c r="D206" s="41">
        <f>'Rådata-K'!R206</f>
        <v>20.66690066690067</v>
      </c>
      <c r="E206" s="41">
        <f>'Rådata-K'!S206</f>
        <v>7.8740157480314821E-3</v>
      </c>
      <c r="F206" s="41">
        <f>'Rådata-K'!T206</f>
        <v>0.11752717391304347</v>
      </c>
      <c r="G206" s="41">
        <f>'Rådata-K'!U206</f>
        <v>0.125</v>
      </c>
      <c r="H206" s="41">
        <f>'Rådata-K'!V206</f>
        <v>0.10691823899371067</v>
      </c>
      <c r="I206" s="41">
        <f>'Rådata-K'!W206</f>
        <v>0.92124105011933177</v>
      </c>
      <c r="J206" s="41">
        <f>'Rådata-K'!O206</f>
        <v>376300</v>
      </c>
      <c r="K206" s="41">
        <f>Tabell2[[#This Row],[NIBR11]]</f>
        <v>6</v>
      </c>
      <c r="L206" s="41">
        <f>IF(Tabell2[[#This Row],[ReisetidOslo]]&lt;=C$433,C$433,IF(Tabell2[[#This Row],[ReisetidOslo]]&gt;=C$434,C$434,Tabell2[[#This Row],[ReisetidOslo]]))</f>
        <v>171.59349923880001</v>
      </c>
      <c r="M206" s="41">
        <f>IF(Tabell2[[#This Row],[Beftettotal]]&lt;=D$433,D$433,IF(Tabell2[[#This Row],[Beftettotal]]&gt;=D$434,D$434,Tabell2[[#This Row],[Beftettotal]]))</f>
        <v>20.66690066690067</v>
      </c>
      <c r="N206" s="41">
        <f>IF(Tabell2[[#This Row],[Befvekst10]]&lt;=E$433,E$433,IF(Tabell2[[#This Row],[Befvekst10]]&gt;=E$434,E$434,Tabell2[[#This Row],[Befvekst10]]))</f>
        <v>7.8740157480314821E-3</v>
      </c>
      <c r="O206" s="41">
        <f>IF(Tabell2[[#This Row],[Kvinneandel]]&lt;=F$433,F$433,IF(Tabell2[[#This Row],[Kvinneandel]]&gt;=F$434,F$434,Tabell2[[#This Row],[Kvinneandel]]))</f>
        <v>0.11752717391304347</v>
      </c>
      <c r="P206" s="41">
        <f>IF(Tabell2[[#This Row],[Eldreandel]]&lt;=G$433,G$433,IF(Tabell2[[#This Row],[Eldreandel]]&gt;=G$434,G$434,Tabell2[[#This Row],[Eldreandel]]))</f>
        <v>0.125</v>
      </c>
      <c r="Q206" s="41">
        <f>IF(Tabell2[[#This Row],[Sysselsettingsvekst10]]&lt;=H$433,H$433,IF(Tabell2[[#This Row],[Sysselsettingsvekst10]]&gt;=H$434,H$434,Tabell2[[#This Row],[Sysselsettingsvekst10]]))</f>
        <v>0.10691823899371067</v>
      </c>
      <c r="R206" s="41">
        <f>IF(Tabell2[[#This Row],[Yrkesaktivandel]]&lt;=I$433,I$433,IF(Tabell2[[#This Row],[Yrkesaktivandel]]&gt;=I$434,I$434,Tabell2[[#This Row],[Yrkesaktivandel]]))</f>
        <v>0.92124105011933177</v>
      </c>
      <c r="S206" s="41">
        <f>IF(Tabell2[[#This Row],[Inntekt]]&lt;=J$433,J$433,IF(Tabell2[[#This Row],[Inntekt]]&gt;=J$434,J$434,Tabell2[[#This Row],[Inntekt]]))</f>
        <v>365700</v>
      </c>
      <c r="T206" s="44">
        <f>IF(Tabell2[[#This Row],[NIBR11-T]]&lt;=K$436,100,IF(Tabell2[[#This Row],[NIBR11-T]]&gt;=K$435,0,100*(K$435-Tabell2[[#This Row],[NIBR11-T]])/K$438))</f>
        <v>50</v>
      </c>
      <c r="U206" s="44">
        <f>(L$435-Tabell2[[#This Row],[ReisetidOslo-T]])*100/L$438</f>
        <v>47.707852371192672</v>
      </c>
      <c r="V206" s="44">
        <f>100-(M$435-Tabell2[[#This Row],[Beftettotal-T]])*100/M$438</f>
        <v>15.825261865258128</v>
      </c>
      <c r="W206" s="44">
        <f>100-(N$435-Tabell2[[#This Row],[Befvekst10-T]])*100/N$438</f>
        <v>41.287606192128329</v>
      </c>
      <c r="X206" s="44">
        <f>100-(O$435-Tabell2[[#This Row],[Kvinneandel-T]])*100/O$438</f>
        <v>70.626324457679772</v>
      </c>
      <c r="Y206" s="44">
        <f>(P$435-Tabell2[[#This Row],[Eldreandel-T]])*100/P$438</f>
        <v>87.061061186346791</v>
      </c>
      <c r="Z206" s="44">
        <f>100-(Q$435-Tabell2[[#This Row],[Sysselsettingsvekst10-T]])*100/Q$438</f>
        <v>58.534990757082248</v>
      </c>
      <c r="AA206" s="44">
        <f>100-(R$435-Tabell2[[#This Row],[Yrkesaktivandel-T]])*100/R$438</f>
        <v>70.803405519443444</v>
      </c>
      <c r="AB206" s="44">
        <f>100-(S$435-Tabell2[[#This Row],[Inntekt-T]])*100/S$438</f>
        <v>100</v>
      </c>
      <c r="AC206" s="44">
        <f>Tabell2[[#This Row],[NIBR11-I]]*Vekter!$B$3</f>
        <v>10</v>
      </c>
      <c r="AD206" s="44">
        <f>Tabell2[[#This Row],[ReisetidOslo-I]]*Vekter!$C$3</f>
        <v>4.7707852371192674</v>
      </c>
      <c r="AE206" s="44">
        <f>Tabell2[[#This Row],[Beftettotal-I]]*Vekter!$E$4</f>
        <v>1.5825261865258129</v>
      </c>
      <c r="AF206" s="44">
        <f>Tabell2[[#This Row],[Befvekst10-I]]*Vekter!$F$3</f>
        <v>8.2575212384256655</v>
      </c>
      <c r="AG206" s="44">
        <f>Tabell2[[#This Row],[Kvinneandel-I]]*Vekter!$G$3</f>
        <v>3.5313162228839889</v>
      </c>
      <c r="AH206" s="44">
        <f>Tabell2[[#This Row],[Eldreandel-I]]*Vekter!$H$3</f>
        <v>4.3530530593173395</v>
      </c>
      <c r="AI206" s="44">
        <f>Tabell2[[#This Row],[Sysselsettingsvekst10-I]]*Vekter!$I$3</f>
        <v>5.8534990757082248</v>
      </c>
      <c r="AJ206" s="44">
        <f>Tabell2[[#This Row],[Yrkesaktivandel-I]]*Vekter!$K$3</f>
        <v>7.080340551944345</v>
      </c>
      <c r="AK206" s="44">
        <f>Tabell2[[#This Row],[Inntekt-I]]*Vekter!$M$3</f>
        <v>10</v>
      </c>
      <c r="AL20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55.429041571924643</v>
      </c>
    </row>
    <row r="207" spans="1:38" s="38" customFormat="1" ht="12.75">
      <c r="A207" s="42" t="s">
        <v>205</v>
      </c>
      <c r="B207" s="38">
        <f>'Rådata-K'!Q207</f>
        <v>6</v>
      </c>
      <c r="C207" s="44">
        <f>'Rådata-K'!P207</f>
        <v>199.9430332709</v>
      </c>
      <c r="D207" s="41">
        <f>'Rådata-K'!R207</f>
        <v>10.837708643523236</v>
      </c>
      <c r="E207" s="41">
        <f>'Rådata-K'!S207</f>
        <v>-2.7084066127330275E-2</v>
      </c>
      <c r="F207" s="41">
        <f>'Rådata-K'!T207</f>
        <v>9.5444685466377438E-2</v>
      </c>
      <c r="G207" s="41">
        <f>'Rådata-K'!U207</f>
        <v>0.19775849602313811</v>
      </c>
      <c r="H207" s="41">
        <f>'Rådata-K'!V207</f>
        <v>8.7613293051359564E-2</v>
      </c>
      <c r="I207" s="41">
        <f>'Rådata-K'!W207</f>
        <v>0.91459314055144592</v>
      </c>
      <c r="J207" s="41">
        <f>'Rådata-K'!O207</f>
        <v>330400</v>
      </c>
      <c r="K207" s="41">
        <f>Tabell2[[#This Row],[NIBR11]]</f>
        <v>6</v>
      </c>
      <c r="L207" s="41">
        <f>IF(Tabell2[[#This Row],[ReisetidOslo]]&lt;=C$433,C$433,IF(Tabell2[[#This Row],[ReisetidOslo]]&gt;=C$434,C$434,Tabell2[[#This Row],[ReisetidOslo]]))</f>
        <v>199.9430332709</v>
      </c>
      <c r="M207" s="41">
        <f>IF(Tabell2[[#This Row],[Beftettotal]]&lt;=D$433,D$433,IF(Tabell2[[#This Row],[Beftettotal]]&gt;=D$434,D$434,Tabell2[[#This Row],[Beftettotal]]))</f>
        <v>10.837708643523236</v>
      </c>
      <c r="N207" s="41">
        <f>IF(Tabell2[[#This Row],[Befvekst10]]&lt;=E$433,E$433,IF(Tabell2[[#This Row],[Befvekst10]]&gt;=E$434,E$434,Tabell2[[#This Row],[Befvekst10]]))</f>
        <v>-2.7084066127330275E-2</v>
      </c>
      <c r="O207" s="41">
        <f>IF(Tabell2[[#This Row],[Kvinneandel]]&lt;=F$433,F$433,IF(Tabell2[[#This Row],[Kvinneandel]]&gt;=F$434,F$434,Tabell2[[#This Row],[Kvinneandel]]))</f>
        <v>9.5444685466377438E-2</v>
      </c>
      <c r="P207" s="41">
        <f>IF(Tabell2[[#This Row],[Eldreandel]]&lt;=G$433,G$433,IF(Tabell2[[#This Row],[Eldreandel]]&gt;=G$434,G$434,Tabell2[[#This Row],[Eldreandel]]))</f>
        <v>0.19775849602313811</v>
      </c>
      <c r="Q207" s="41">
        <f>IF(Tabell2[[#This Row],[Sysselsettingsvekst10]]&lt;=H$433,H$433,IF(Tabell2[[#This Row],[Sysselsettingsvekst10]]&gt;=H$434,H$434,Tabell2[[#This Row],[Sysselsettingsvekst10]]))</f>
        <v>8.7613293051359564E-2</v>
      </c>
      <c r="R207" s="41">
        <f>IF(Tabell2[[#This Row],[Yrkesaktivandel]]&lt;=I$433,I$433,IF(Tabell2[[#This Row],[Yrkesaktivandel]]&gt;=I$434,I$434,Tabell2[[#This Row],[Yrkesaktivandel]]))</f>
        <v>0.91459314055144592</v>
      </c>
      <c r="S207" s="41">
        <f>IF(Tabell2[[#This Row],[Inntekt]]&lt;=J$433,J$433,IF(Tabell2[[#This Row],[Inntekt]]&gt;=J$434,J$434,Tabell2[[#This Row],[Inntekt]]))</f>
        <v>330400</v>
      </c>
      <c r="T207" s="44">
        <f>IF(Tabell2[[#This Row],[NIBR11-T]]&lt;=K$436,100,IF(Tabell2[[#This Row],[NIBR11-T]]&gt;=K$435,0,100*(K$435-Tabell2[[#This Row],[NIBR11-T]])/K$438))</f>
        <v>50</v>
      </c>
      <c r="U207" s="44">
        <f>(L$435-Tabell2[[#This Row],[ReisetidOslo-T]])*100/L$438</f>
        <v>35.122059958945449</v>
      </c>
      <c r="V207" s="44">
        <f>100-(M$435-Tabell2[[#This Row],[Beftettotal-T]])*100/M$438</f>
        <v>7.7849158283499662</v>
      </c>
      <c r="W207" s="44">
        <f>100-(N$435-Tabell2[[#This Row],[Befvekst10-T]])*100/N$438</f>
        <v>26.824927633940263</v>
      </c>
      <c r="X207" s="44">
        <f>100-(O$435-Tabell2[[#This Row],[Kvinneandel-T]])*100/O$438</f>
        <v>10.198453439514395</v>
      </c>
      <c r="Y207" s="44">
        <f>(P$435-Tabell2[[#This Row],[Eldreandel-T]])*100/P$438</f>
        <v>1.3955243397078954</v>
      </c>
      <c r="Z207" s="44">
        <f>100-(Q$435-Tabell2[[#This Row],[Sysselsettingsvekst10-T]])*100/Q$438</f>
        <v>52.859006937071015</v>
      </c>
      <c r="AA207" s="44">
        <f>100-(R$435-Tabell2[[#This Row],[Yrkesaktivandel-T]])*100/R$438</f>
        <v>65.83886891279775</v>
      </c>
      <c r="AB207" s="44">
        <f>100-(S$435-Tabell2[[#This Row],[Inntekt-T]])*100/S$438</f>
        <v>52.011963023382272</v>
      </c>
      <c r="AC207" s="44">
        <f>Tabell2[[#This Row],[NIBR11-I]]*Vekter!$B$3</f>
        <v>10</v>
      </c>
      <c r="AD207" s="44">
        <f>Tabell2[[#This Row],[ReisetidOslo-I]]*Vekter!$C$3</f>
        <v>3.5122059958945453</v>
      </c>
      <c r="AE207" s="44">
        <f>Tabell2[[#This Row],[Beftettotal-I]]*Vekter!$E$4</f>
        <v>0.77849158283499664</v>
      </c>
      <c r="AF207" s="44">
        <f>Tabell2[[#This Row],[Befvekst10-I]]*Vekter!$F$3</f>
        <v>5.3649855267880531</v>
      </c>
      <c r="AG207" s="44">
        <f>Tabell2[[#This Row],[Kvinneandel-I]]*Vekter!$G$3</f>
        <v>0.50992267197571983</v>
      </c>
      <c r="AH207" s="44">
        <f>Tabell2[[#This Row],[Eldreandel-I]]*Vekter!$H$3</f>
        <v>6.9776216985394768E-2</v>
      </c>
      <c r="AI207" s="44">
        <f>Tabell2[[#This Row],[Sysselsettingsvekst10-I]]*Vekter!$I$3</f>
        <v>5.2859006937071022</v>
      </c>
      <c r="AJ207" s="44">
        <f>Tabell2[[#This Row],[Yrkesaktivandel-I]]*Vekter!$K$3</f>
        <v>6.583886891279775</v>
      </c>
      <c r="AK207" s="44">
        <f>Tabell2[[#This Row],[Inntekt-I]]*Vekter!$M$3</f>
        <v>5.2011963023382277</v>
      </c>
      <c r="AL20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37.306365881803814</v>
      </c>
    </row>
    <row r="208" spans="1:38" s="38" customFormat="1" ht="12.75">
      <c r="A208" s="42" t="s">
        <v>206</v>
      </c>
      <c r="B208" s="38">
        <f>'Rådata-K'!Q208</f>
        <v>8</v>
      </c>
      <c r="C208" s="44">
        <f>'Rådata-K'!P208</f>
        <v>267.881399837</v>
      </c>
      <c r="D208" s="41">
        <f>'Rådata-K'!R208</f>
        <v>11.806528253045158</v>
      </c>
      <c r="E208" s="41">
        <f>'Rådata-K'!S208</f>
        <v>1.3546423135464281E-2</v>
      </c>
      <c r="F208" s="41">
        <f>'Rådata-K'!T208</f>
        <v>0.10797417029584022</v>
      </c>
      <c r="G208" s="41">
        <f>'Rådata-K'!U208</f>
        <v>0.15730590178705511</v>
      </c>
      <c r="H208" s="41">
        <f>'Rådata-K'!V208</f>
        <v>6.5582464203641555E-2</v>
      </c>
      <c r="I208" s="41">
        <f>'Rådata-K'!W208</f>
        <v>0.89774272504759312</v>
      </c>
      <c r="J208" s="41">
        <f>'Rådata-K'!O208</f>
        <v>335600</v>
      </c>
      <c r="K208" s="41">
        <f>Tabell2[[#This Row],[NIBR11]]</f>
        <v>8</v>
      </c>
      <c r="L208" s="41">
        <f>IF(Tabell2[[#This Row],[ReisetidOslo]]&lt;=C$433,C$433,IF(Tabell2[[#This Row],[ReisetidOslo]]&gt;=C$434,C$434,Tabell2[[#This Row],[ReisetidOslo]]))</f>
        <v>267.881399837</v>
      </c>
      <c r="M208" s="41">
        <f>IF(Tabell2[[#This Row],[Beftettotal]]&lt;=D$433,D$433,IF(Tabell2[[#This Row],[Beftettotal]]&gt;=D$434,D$434,Tabell2[[#This Row],[Beftettotal]]))</f>
        <v>11.806528253045158</v>
      </c>
      <c r="N208" s="41">
        <f>IF(Tabell2[[#This Row],[Befvekst10]]&lt;=E$433,E$433,IF(Tabell2[[#This Row],[Befvekst10]]&gt;=E$434,E$434,Tabell2[[#This Row],[Befvekst10]]))</f>
        <v>1.3546423135464281E-2</v>
      </c>
      <c r="O208" s="41">
        <f>IF(Tabell2[[#This Row],[Kvinneandel]]&lt;=F$433,F$433,IF(Tabell2[[#This Row],[Kvinneandel]]&gt;=F$434,F$434,Tabell2[[#This Row],[Kvinneandel]]))</f>
        <v>0.10797417029584022</v>
      </c>
      <c r="P208" s="41">
        <f>IF(Tabell2[[#This Row],[Eldreandel]]&lt;=G$433,G$433,IF(Tabell2[[#This Row],[Eldreandel]]&gt;=G$434,G$434,Tabell2[[#This Row],[Eldreandel]]))</f>
        <v>0.15730590178705511</v>
      </c>
      <c r="Q208" s="41">
        <f>IF(Tabell2[[#This Row],[Sysselsettingsvekst10]]&lt;=H$433,H$433,IF(Tabell2[[#This Row],[Sysselsettingsvekst10]]&gt;=H$434,H$434,Tabell2[[#This Row],[Sysselsettingsvekst10]]))</f>
        <v>6.5582464203641555E-2</v>
      </c>
      <c r="R208" s="41">
        <f>IF(Tabell2[[#This Row],[Yrkesaktivandel]]&lt;=I$433,I$433,IF(Tabell2[[#This Row],[Yrkesaktivandel]]&gt;=I$434,I$434,Tabell2[[#This Row],[Yrkesaktivandel]]))</f>
        <v>0.89774272504759312</v>
      </c>
      <c r="S208" s="41">
        <f>IF(Tabell2[[#This Row],[Inntekt]]&lt;=J$433,J$433,IF(Tabell2[[#This Row],[Inntekt]]&gt;=J$434,J$434,Tabell2[[#This Row],[Inntekt]]))</f>
        <v>335600</v>
      </c>
      <c r="T208" s="44">
        <f>IF(Tabell2[[#This Row],[NIBR11-T]]&lt;=K$436,100,IF(Tabell2[[#This Row],[NIBR11-T]]&gt;=K$435,0,100*(K$435-Tabell2[[#This Row],[NIBR11-T]])/K$438))</f>
        <v>30</v>
      </c>
      <c r="U208" s="44">
        <f>(L$435-Tabell2[[#This Row],[ReisetidOslo-T]])*100/L$438</f>
        <v>4.9607819125438795</v>
      </c>
      <c r="V208" s="44">
        <f>100-(M$435-Tabell2[[#This Row],[Beftettotal-T]])*100/M$438</f>
        <v>8.5774168690633701</v>
      </c>
      <c r="W208" s="44">
        <f>100-(N$435-Tabell2[[#This Row],[Befvekst10-T]])*100/N$438</f>
        <v>43.634365519142555</v>
      </c>
      <c r="X208" s="44">
        <f>100-(O$435-Tabell2[[#This Row],[Kvinneandel-T]])*100/O$438</f>
        <v>44.484901501175067</v>
      </c>
      <c r="Y208" s="44">
        <f>(P$435-Tabell2[[#This Row],[Eldreandel-T]])*100/P$438</f>
        <v>49.024232895905399</v>
      </c>
      <c r="Z208" s="44">
        <f>100-(Q$435-Tabell2[[#This Row],[Sysselsettingsvekst10-T]])*100/Q$438</f>
        <v>46.381566986992873</v>
      </c>
      <c r="AA208" s="44">
        <f>100-(R$435-Tabell2[[#This Row],[Yrkesaktivandel-T]])*100/R$438</f>
        <v>53.255288502772544</v>
      </c>
      <c r="AB208" s="44">
        <f>100-(S$435-Tabell2[[#This Row],[Inntekt-T]])*100/S$438</f>
        <v>59.081022294725393</v>
      </c>
      <c r="AC208" s="44">
        <f>Tabell2[[#This Row],[NIBR11-I]]*Vekter!$B$3</f>
        <v>6</v>
      </c>
      <c r="AD208" s="44">
        <f>Tabell2[[#This Row],[ReisetidOslo-I]]*Vekter!$C$3</f>
        <v>0.49607819125438796</v>
      </c>
      <c r="AE208" s="44">
        <f>Tabell2[[#This Row],[Beftettotal-I]]*Vekter!$E$4</f>
        <v>0.85774168690633701</v>
      </c>
      <c r="AF208" s="44">
        <f>Tabell2[[#This Row],[Befvekst10-I]]*Vekter!$F$3</f>
        <v>8.7268731038285114</v>
      </c>
      <c r="AG208" s="44">
        <f>Tabell2[[#This Row],[Kvinneandel-I]]*Vekter!$G$3</f>
        <v>2.2242450750587532</v>
      </c>
      <c r="AH208" s="44">
        <f>Tabell2[[#This Row],[Eldreandel-I]]*Vekter!$H$3</f>
        <v>2.4512116447952703</v>
      </c>
      <c r="AI208" s="44">
        <f>Tabell2[[#This Row],[Sysselsettingsvekst10-I]]*Vekter!$I$3</f>
        <v>4.6381566986992873</v>
      </c>
      <c r="AJ208" s="44">
        <f>Tabell2[[#This Row],[Yrkesaktivandel-I]]*Vekter!$K$3</f>
        <v>5.3255288502772551</v>
      </c>
      <c r="AK208" s="44">
        <f>Tabell2[[#This Row],[Inntekt-I]]*Vekter!$M$3</f>
        <v>5.90810222947254</v>
      </c>
      <c r="AL20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36.627937480292346</v>
      </c>
    </row>
    <row r="209" spans="1:38" s="38" customFormat="1" ht="12.75">
      <c r="A209" s="42" t="s">
        <v>207</v>
      </c>
      <c r="B209" s="38">
        <f>'Rådata-K'!Q209</f>
        <v>9</v>
      </c>
      <c r="C209" s="44">
        <f>'Rådata-K'!P209</f>
        <v>232.38977560059999</v>
      </c>
      <c r="D209" s="41">
        <f>'Rådata-K'!R209</f>
        <v>5.0011907597046923</v>
      </c>
      <c r="E209" s="41">
        <f>'Rådata-K'!S209</f>
        <v>-5.5755395683453224E-2</v>
      </c>
      <c r="F209" s="41">
        <f>'Rådata-K'!T209</f>
        <v>9.2380952380952383E-2</v>
      </c>
      <c r="G209" s="41">
        <f>'Rådata-K'!U209</f>
        <v>0.19714285714285715</v>
      </c>
      <c r="H209" s="41">
        <f>'Rådata-K'!V209</f>
        <v>-0.10775862068965514</v>
      </c>
      <c r="I209" s="41">
        <f>'Rådata-K'!W209</f>
        <v>0.95421245421245426</v>
      </c>
      <c r="J209" s="41">
        <f>'Rådata-K'!O209</f>
        <v>323800</v>
      </c>
      <c r="K209" s="41">
        <f>Tabell2[[#This Row],[NIBR11]]</f>
        <v>9</v>
      </c>
      <c r="L209" s="41">
        <f>IF(Tabell2[[#This Row],[ReisetidOslo]]&lt;=C$433,C$433,IF(Tabell2[[#This Row],[ReisetidOslo]]&gt;=C$434,C$434,Tabell2[[#This Row],[ReisetidOslo]]))</f>
        <v>232.38977560059999</v>
      </c>
      <c r="M209" s="41">
        <f>IF(Tabell2[[#This Row],[Beftettotal]]&lt;=D$433,D$433,IF(Tabell2[[#This Row],[Beftettotal]]&gt;=D$434,D$434,Tabell2[[#This Row],[Beftettotal]]))</f>
        <v>5.0011907597046923</v>
      </c>
      <c r="N209" s="41">
        <f>IF(Tabell2[[#This Row],[Befvekst10]]&lt;=E$433,E$433,IF(Tabell2[[#This Row],[Befvekst10]]&gt;=E$434,E$434,Tabell2[[#This Row],[Befvekst10]]))</f>
        <v>-5.5755395683453224E-2</v>
      </c>
      <c r="O209" s="41">
        <f>IF(Tabell2[[#This Row],[Kvinneandel]]&lt;=F$433,F$433,IF(Tabell2[[#This Row],[Kvinneandel]]&gt;=F$434,F$434,Tabell2[[#This Row],[Kvinneandel]]))</f>
        <v>9.2380952380952383E-2</v>
      </c>
      <c r="P209" s="41">
        <f>IF(Tabell2[[#This Row],[Eldreandel]]&lt;=G$433,G$433,IF(Tabell2[[#This Row],[Eldreandel]]&gt;=G$434,G$434,Tabell2[[#This Row],[Eldreandel]]))</f>
        <v>0.19714285714285715</v>
      </c>
      <c r="Q209" s="41">
        <f>IF(Tabell2[[#This Row],[Sysselsettingsvekst10]]&lt;=H$433,H$433,IF(Tabell2[[#This Row],[Sysselsettingsvekst10]]&gt;=H$434,H$434,Tabell2[[#This Row],[Sysselsettingsvekst10]]))</f>
        <v>-9.2168803558721979E-2</v>
      </c>
      <c r="R209" s="41">
        <f>IF(Tabell2[[#This Row],[Yrkesaktivandel]]&lt;=I$433,I$433,IF(Tabell2[[#This Row],[Yrkesaktivandel]]&gt;=I$434,I$434,Tabell2[[#This Row],[Yrkesaktivandel]]))</f>
        <v>0.95421245421245426</v>
      </c>
      <c r="S209" s="41">
        <f>IF(Tabell2[[#This Row],[Inntekt]]&lt;=J$433,J$433,IF(Tabell2[[#This Row],[Inntekt]]&gt;=J$434,J$434,Tabell2[[#This Row],[Inntekt]]))</f>
        <v>323800</v>
      </c>
      <c r="T209" s="44">
        <f>IF(Tabell2[[#This Row],[NIBR11-T]]&lt;=K$436,100,IF(Tabell2[[#This Row],[NIBR11-T]]&gt;=K$435,0,100*(K$435-Tabell2[[#This Row],[NIBR11-T]])/K$438))</f>
        <v>20</v>
      </c>
      <c r="U209" s="44">
        <f>(L$435-Tabell2[[#This Row],[ReisetidOslo-T]])*100/L$438</f>
        <v>20.717309498042404</v>
      </c>
      <c r="V209" s="44">
        <f>100-(M$435-Tabell2[[#This Row],[Beftettotal-T]])*100/M$438</f>
        <v>3.0106044378620425</v>
      </c>
      <c r="W209" s="44">
        <f>100-(N$435-Tabell2[[#This Row],[Befvekst10-T]])*100/N$438</f>
        <v>14.963172040927134</v>
      </c>
      <c r="X209" s="44">
        <f>100-(O$435-Tabell2[[#This Row],[Kvinneandel-T]])*100/O$438</f>
        <v>1.8146669759873504</v>
      </c>
      <c r="Y209" s="44">
        <f>(P$435-Tabell2[[#This Row],[Eldreandel-T]])*100/P$438</f>
        <v>2.1203748804084688</v>
      </c>
      <c r="Z209" s="44">
        <f>100-(Q$435-Tabell2[[#This Row],[Sysselsettingsvekst10-T]])*100/Q$438</f>
        <v>0</v>
      </c>
      <c r="AA209" s="44">
        <f>100-(R$435-Tabell2[[#This Row],[Yrkesaktivandel-T]])*100/R$438</f>
        <v>95.425843734238526</v>
      </c>
      <c r="AB209" s="44">
        <f>100-(S$435-Tabell2[[#This Row],[Inntekt-T]])*100/S$438</f>
        <v>43.039695486677545</v>
      </c>
      <c r="AC209" s="44">
        <f>Tabell2[[#This Row],[NIBR11-I]]*Vekter!$B$3</f>
        <v>4</v>
      </c>
      <c r="AD209" s="44">
        <f>Tabell2[[#This Row],[ReisetidOslo-I]]*Vekter!$C$3</f>
        <v>2.0717309498042407</v>
      </c>
      <c r="AE209" s="44">
        <f>Tabell2[[#This Row],[Beftettotal-I]]*Vekter!$E$4</f>
        <v>0.30106044378620428</v>
      </c>
      <c r="AF209" s="44">
        <f>Tabell2[[#This Row],[Befvekst10-I]]*Vekter!$F$3</f>
        <v>2.992634408185427</v>
      </c>
      <c r="AG209" s="44">
        <f>Tabell2[[#This Row],[Kvinneandel-I]]*Vekter!$G$3</f>
        <v>9.0733348799367522E-2</v>
      </c>
      <c r="AH209" s="44">
        <f>Tabell2[[#This Row],[Eldreandel-I]]*Vekter!$H$3</f>
        <v>0.10601874402042344</v>
      </c>
      <c r="AI209" s="44">
        <f>Tabell2[[#This Row],[Sysselsettingsvekst10-I]]*Vekter!$I$3</f>
        <v>0</v>
      </c>
      <c r="AJ209" s="44">
        <f>Tabell2[[#This Row],[Yrkesaktivandel-I]]*Vekter!$K$3</f>
        <v>9.5425843734238534</v>
      </c>
      <c r="AK209" s="44">
        <f>Tabell2[[#This Row],[Inntekt-I]]*Vekter!$M$3</f>
        <v>4.3039695486677543</v>
      </c>
      <c r="AL20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23.408731816687272</v>
      </c>
    </row>
    <row r="210" spans="1:38" s="38" customFormat="1" ht="12.75">
      <c r="A210" s="42" t="s">
        <v>208</v>
      </c>
      <c r="B210" s="38">
        <f>'Rådata-K'!Q210</f>
        <v>7</v>
      </c>
      <c r="C210" s="44">
        <f>'Rådata-K'!P210</f>
        <v>269.01517326499999</v>
      </c>
      <c r="D210" s="41">
        <f>'Rådata-K'!R210</f>
        <v>4.298453522120389</v>
      </c>
      <c r="E210" s="41">
        <f>'Rådata-K'!S210</f>
        <v>-8.3036303630363073E-2</v>
      </c>
      <c r="F210" s="41">
        <f>'Rådata-K'!T210</f>
        <v>0.10351281312985891</v>
      </c>
      <c r="G210" s="41">
        <f>'Rådata-K'!U210</f>
        <v>0.19219694788367406</v>
      </c>
      <c r="H210" s="41">
        <f>'Rådata-K'!V210</f>
        <v>-2.123655913978495E-2</v>
      </c>
      <c r="I210" s="41">
        <f>'Rådata-K'!W210</f>
        <v>0.89101239669421484</v>
      </c>
      <c r="J210" s="41">
        <f>'Rådata-K'!O210</f>
        <v>329100</v>
      </c>
      <c r="K210" s="41">
        <f>Tabell2[[#This Row],[NIBR11]]</f>
        <v>7</v>
      </c>
      <c r="L210" s="41">
        <f>IF(Tabell2[[#This Row],[ReisetidOslo]]&lt;=C$433,C$433,IF(Tabell2[[#This Row],[ReisetidOslo]]&gt;=C$434,C$434,Tabell2[[#This Row],[ReisetidOslo]]))</f>
        <v>269.01517326499999</v>
      </c>
      <c r="M210" s="41">
        <f>IF(Tabell2[[#This Row],[Beftettotal]]&lt;=D$433,D$433,IF(Tabell2[[#This Row],[Beftettotal]]&gt;=D$434,D$434,Tabell2[[#This Row],[Beftettotal]]))</f>
        <v>4.298453522120389</v>
      </c>
      <c r="N210" s="41">
        <f>IF(Tabell2[[#This Row],[Befvekst10]]&lt;=E$433,E$433,IF(Tabell2[[#This Row],[Befvekst10]]&gt;=E$434,E$434,Tabell2[[#This Row],[Befvekst10]]))</f>
        <v>-8.3036303630363073E-2</v>
      </c>
      <c r="O210" s="41">
        <f>IF(Tabell2[[#This Row],[Kvinneandel]]&lt;=F$433,F$433,IF(Tabell2[[#This Row],[Kvinneandel]]&gt;=F$434,F$434,Tabell2[[#This Row],[Kvinneandel]]))</f>
        <v>0.10351281312985891</v>
      </c>
      <c r="P210" s="41">
        <f>IF(Tabell2[[#This Row],[Eldreandel]]&lt;=G$433,G$433,IF(Tabell2[[#This Row],[Eldreandel]]&gt;=G$434,G$434,Tabell2[[#This Row],[Eldreandel]]))</f>
        <v>0.19219694788367406</v>
      </c>
      <c r="Q210" s="41">
        <f>IF(Tabell2[[#This Row],[Sysselsettingsvekst10]]&lt;=H$433,H$433,IF(Tabell2[[#This Row],[Sysselsettingsvekst10]]&gt;=H$434,H$434,Tabell2[[#This Row],[Sysselsettingsvekst10]]))</f>
        <v>-2.123655913978495E-2</v>
      </c>
      <c r="R210" s="41">
        <f>IF(Tabell2[[#This Row],[Yrkesaktivandel]]&lt;=I$433,I$433,IF(Tabell2[[#This Row],[Yrkesaktivandel]]&gt;=I$434,I$434,Tabell2[[#This Row],[Yrkesaktivandel]]))</f>
        <v>0.89101239669421484</v>
      </c>
      <c r="S210" s="41">
        <f>IF(Tabell2[[#This Row],[Inntekt]]&lt;=J$433,J$433,IF(Tabell2[[#This Row],[Inntekt]]&gt;=J$434,J$434,Tabell2[[#This Row],[Inntekt]]))</f>
        <v>329100</v>
      </c>
      <c r="T210" s="44">
        <f>IF(Tabell2[[#This Row],[NIBR11-T]]&lt;=K$436,100,IF(Tabell2[[#This Row],[NIBR11-T]]&gt;=K$435,0,100*(K$435-Tabell2[[#This Row],[NIBR11-T]])/K$438))</f>
        <v>40</v>
      </c>
      <c r="U210" s="44">
        <f>(L$435-Tabell2[[#This Row],[ReisetidOslo-T]])*100/L$438</f>
        <v>4.4574425281584951</v>
      </c>
      <c r="V210" s="44">
        <f>100-(M$435-Tabell2[[#This Row],[Beftettotal-T]])*100/M$438</f>
        <v>2.4357605900909931</v>
      </c>
      <c r="W210" s="44">
        <f>100-(N$435-Tabell2[[#This Row],[Befvekst10-T]])*100/N$438</f>
        <v>3.6766545535430311</v>
      </c>
      <c r="X210" s="44">
        <f>100-(O$435-Tabell2[[#This Row],[Kvinneandel-T]])*100/O$438</f>
        <v>32.276571083930421</v>
      </c>
      <c r="Y210" s="44">
        <f>(P$435-Tabell2[[#This Row],[Eldreandel-T]])*100/P$438</f>
        <v>7.9436669361972738</v>
      </c>
      <c r="Z210" s="44">
        <f>100-(Q$435-Tabell2[[#This Row],[Sysselsettingsvekst10-T]])*100/Q$438</f>
        <v>20.855291324889095</v>
      </c>
      <c r="AA210" s="44">
        <f>100-(R$435-Tabell2[[#This Row],[Yrkesaktivandel-T]])*100/R$438</f>
        <v>48.229203062847127</v>
      </c>
      <c r="AB210" s="44">
        <f>100-(S$435-Tabell2[[#This Row],[Inntekt-T]])*100/S$438</f>
        <v>50.244698205546491</v>
      </c>
      <c r="AC210" s="44">
        <f>Tabell2[[#This Row],[NIBR11-I]]*Vekter!$B$3</f>
        <v>8</v>
      </c>
      <c r="AD210" s="44">
        <f>Tabell2[[#This Row],[ReisetidOslo-I]]*Vekter!$C$3</f>
        <v>0.44574425281584951</v>
      </c>
      <c r="AE210" s="44">
        <f>Tabell2[[#This Row],[Beftettotal-I]]*Vekter!$E$4</f>
        <v>0.24357605900909932</v>
      </c>
      <c r="AF210" s="44">
        <f>Tabell2[[#This Row],[Befvekst10-I]]*Vekter!$F$3</f>
        <v>0.73533091070860623</v>
      </c>
      <c r="AG210" s="44">
        <f>Tabell2[[#This Row],[Kvinneandel-I]]*Vekter!$G$3</f>
        <v>1.6138285541965212</v>
      </c>
      <c r="AH210" s="44">
        <f>Tabell2[[#This Row],[Eldreandel-I]]*Vekter!$H$3</f>
        <v>0.39718334680986372</v>
      </c>
      <c r="AI210" s="44">
        <f>Tabell2[[#This Row],[Sysselsettingsvekst10-I]]*Vekter!$I$3</f>
        <v>2.0855291324889094</v>
      </c>
      <c r="AJ210" s="44">
        <f>Tabell2[[#This Row],[Yrkesaktivandel-I]]*Vekter!$K$3</f>
        <v>4.822920306284713</v>
      </c>
      <c r="AK210" s="44">
        <f>Tabell2[[#This Row],[Inntekt-I]]*Vekter!$M$3</f>
        <v>5.0244698205546499</v>
      </c>
      <c r="AL21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23.368582382868212</v>
      </c>
    </row>
    <row r="211" spans="1:38" s="38" customFormat="1" ht="12.75">
      <c r="A211" s="42" t="s">
        <v>209</v>
      </c>
      <c r="B211" s="38">
        <f>'Rådata-K'!Q211</f>
        <v>7</v>
      </c>
      <c r="C211" s="44">
        <f>'Rådata-K'!P211</f>
        <v>284.77290619600001</v>
      </c>
      <c r="D211" s="41">
        <f>'Rådata-K'!R211</f>
        <v>2.4427208063766663</v>
      </c>
      <c r="E211" s="41">
        <f>'Rådata-K'!S211</f>
        <v>-4.0168539325842745E-2</v>
      </c>
      <c r="F211" s="41">
        <f>'Rådata-K'!T211</f>
        <v>0.10213637693883523</v>
      </c>
      <c r="G211" s="41">
        <f>'Rådata-K'!U211</f>
        <v>0.19256657887035411</v>
      </c>
      <c r="H211" s="41">
        <f>'Rådata-K'!V211</f>
        <v>5.3584359160028905E-2</v>
      </c>
      <c r="I211" s="41">
        <f>'Rådata-K'!W211</f>
        <v>0.97399783315276278</v>
      </c>
      <c r="J211" s="41">
        <f>'Rådata-K'!O211</f>
        <v>327800</v>
      </c>
      <c r="K211" s="41">
        <f>Tabell2[[#This Row],[NIBR11]]</f>
        <v>7</v>
      </c>
      <c r="L211" s="41">
        <f>IF(Tabell2[[#This Row],[ReisetidOslo]]&lt;=C$433,C$433,IF(Tabell2[[#This Row],[ReisetidOslo]]&gt;=C$434,C$434,Tabell2[[#This Row],[ReisetidOslo]]))</f>
        <v>279.05557553043002</v>
      </c>
      <c r="M211" s="41">
        <f>IF(Tabell2[[#This Row],[Beftettotal]]&lt;=D$433,D$433,IF(Tabell2[[#This Row],[Beftettotal]]&gt;=D$434,D$434,Tabell2[[#This Row],[Beftettotal]]))</f>
        <v>2.4427208063766663</v>
      </c>
      <c r="N211" s="41">
        <f>IF(Tabell2[[#This Row],[Befvekst10]]&lt;=E$433,E$433,IF(Tabell2[[#This Row],[Befvekst10]]&gt;=E$434,E$434,Tabell2[[#This Row],[Befvekst10]]))</f>
        <v>-4.0168539325842745E-2</v>
      </c>
      <c r="O211" s="41">
        <f>IF(Tabell2[[#This Row],[Kvinneandel]]&lt;=F$433,F$433,IF(Tabell2[[#This Row],[Kvinneandel]]&gt;=F$434,F$434,Tabell2[[#This Row],[Kvinneandel]]))</f>
        <v>0.10213637693883523</v>
      </c>
      <c r="P211" s="41">
        <f>IF(Tabell2[[#This Row],[Eldreandel]]&lt;=G$433,G$433,IF(Tabell2[[#This Row],[Eldreandel]]&gt;=G$434,G$434,Tabell2[[#This Row],[Eldreandel]]))</f>
        <v>0.19256657887035411</v>
      </c>
      <c r="Q211" s="41">
        <f>IF(Tabell2[[#This Row],[Sysselsettingsvekst10]]&lt;=H$433,H$433,IF(Tabell2[[#This Row],[Sysselsettingsvekst10]]&gt;=H$434,H$434,Tabell2[[#This Row],[Sysselsettingsvekst10]]))</f>
        <v>5.3584359160028905E-2</v>
      </c>
      <c r="R211" s="41">
        <f>IF(Tabell2[[#This Row],[Yrkesaktivandel]]&lt;=I$433,I$433,IF(Tabell2[[#This Row],[Yrkesaktivandel]]&gt;=I$434,I$434,Tabell2[[#This Row],[Yrkesaktivandel]]))</f>
        <v>0.96033761343949164</v>
      </c>
      <c r="S211" s="41">
        <f>IF(Tabell2[[#This Row],[Inntekt]]&lt;=J$433,J$433,IF(Tabell2[[#This Row],[Inntekt]]&gt;=J$434,J$434,Tabell2[[#This Row],[Inntekt]]))</f>
        <v>327800</v>
      </c>
      <c r="T211" s="44">
        <f>IF(Tabell2[[#This Row],[NIBR11-T]]&lt;=K$436,100,IF(Tabell2[[#This Row],[NIBR11-T]]&gt;=K$435,0,100*(K$435-Tabell2[[#This Row],[NIBR11-T]])/K$438))</f>
        <v>40</v>
      </c>
      <c r="U211" s="44">
        <f>(L$435-Tabell2[[#This Row],[ReisetidOslo-T]])*100/L$438</f>
        <v>0</v>
      </c>
      <c r="V211" s="44">
        <f>100-(M$435-Tabell2[[#This Row],[Beftettotal-T]])*100/M$438</f>
        <v>0.91775858635520535</v>
      </c>
      <c r="W211" s="44">
        <f>100-(N$435-Tabell2[[#This Row],[Befvekst10-T]])*100/N$438</f>
        <v>21.411686408405927</v>
      </c>
      <c r="X211" s="44">
        <f>100-(O$435-Tabell2[[#This Row],[Kvinneandel-T]])*100/O$438</f>
        <v>28.510006966086578</v>
      </c>
      <c r="Y211" s="44">
        <f>(P$435-Tabell2[[#This Row],[Eldreandel-T]])*100/P$438</f>
        <v>7.5084650197223946</v>
      </c>
      <c r="Z211" s="44">
        <f>100-(Q$435-Tabell2[[#This Row],[Sysselsettingsvekst10-T]])*100/Q$438</f>
        <v>42.853919186180299</v>
      </c>
      <c r="AA211" s="44">
        <f>100-(R$435-Tabell2[[#This Row],[Yrkesaktivandel-T]])*100/R$438</f>
        <v>100</v>
      </c>
      <c r="AB211" s="44">
        <f>100-(S$435-Tabell2[[#This Row],[Inntekt-T]])*100/S$438</f>
        <v>48.477433387710711</v>
      </c>
      <c r="AC211" s="44">
        <f>Tabell2[[#This Row],[NIBR11-I]]*Vekter!$B$3</f>
        <v>8</v>
      </c>
      <c r="AD211" s="44">
        <f>Tabell2[[#This Row],[ReisetidOslo-I]]*Vekter!$C$3</f>
        <v>0</v>
      </c>
      <c r="AE211" s="44">
        <f>Tabell2[[#This Row],[Beftettotal-I]]*Vekter!$E$4</f>
        <v>9.1775858635520541E-2</v>
      </c>
      <c r="AF211" s="44">
        <f>Tabell2[[#This Row],[Befvekst10-I]]*Vekter!$F$3</f>
        <v>4.282337281681186</v>
      </c>
      <c r="AG211" s="44">
        <f>Tabell2[[#This Row],[Kvinneandel-I]]*Vekter!$G$3</f>
        <v>1.4255003483043289</v>
      </c>
      <c r="AH211" s="44">
        <f>Tabell2[[#This Row],[Eldreandel-I]]*Vekter!$H$3</f>
        <v>0.37542325098611973</v>
      </c>
      <c r="AI211" s="44">
        <f>Tabell2[[#This Row],[Sysselsettingsvekst10-I]]*Vekter!$I$3</f>
        <v>4.2853919186180303</v>
      </c>
      <c r="AJ211" s="44">
        <f>Tabell2[[#This Row],[Yrkesaktivandel-I]]*Vekter!$K$3</f>
        <v>10</v>
      </c>
      <c r="AK211" s="44">
        <f>Tabell2[[#This Row],[Inntekt-I]]*Vekter!$M$3</f>
        <v>4.8477433387710711</v>
      </c>
      <c r="AL21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33.308171996996251</v>
      </c>
    </row>
    <row r="212" spans="1:38" s="38" customFormat="1" ht="12.75">
      <c r="A212" s="42" t="s">
        <v>210</v>
      </c>
      <c r="B212" s="38">
        <f>'Rådata-K'!Q212</f>
        <v>9</v>
      </c>
      <c r="C212" s="44">
        <f>'Rådata-K'!P212</f>
        <v>260.496367023</v>
      </c>
      <c r="D212" s="41">
        <f>'Rådata-K'!R212</f>
        <v>0.64160152321699127</v>
      </c>
      <c r="E212" s="41">
        <f>'Rådata-K'!S212</f>
        <v>-2.0855057351407691E-3</v>
      </c>
      <c r="F212" s="41">
        <f>'Rådata-K'!T212</f>
        <v>0.10867293625914315</v>
      </c>
      <c r="G212" s="41">
        <f>'Rådata-K'!U212</f>
        <v>0.16509926854754442</v>
      </c>
      <c r="H212" s="41">
        <f>'Rådata-K'!V212</f>
        <v>-4.1474654377880227E-2</v>
      </c>
      <c r="I212" s="41">
        <f>'Rådata-K'!W212</f>
        <v>0.96779964221824688</v>
      </c>
      <c r="J212" s="41">
        <f>'Rådata-K'!O212</f>
        <v>333300</v>
      </c>
      <c r="K212" s="41">
        <f>Tabell2[[#This Row],[NIBR11]]</f>
        <v>9</v>
      </c>
      <c r="L212" s="41">
        <f>IF(Tabell2[[#This Row],[ReisetidOslo]]&lt;=C$433,C$433,IF(Tabell2[[#This Row],[ReisetidOslo]]&gt;=C$434,C$434,Tabell2[[#This Row],[ReisetidOslo]]))</f>
        <v>260.496367023</v>
      </c>
      <c r="M212" s="41">
        <f>IF(Tabell2[[#This Row],[Beftettotal]]&lt;=D$433,D$433,IF(Tabell2[[#This Row],[Beftettotal]]&gt;=D$434,D$434,Tabell2[[#This Row],[Beftettotal]]))</f>
        <v>1.3207758882127238</v>
      </c>
      <c r="N212" s="41">
        <f>IF(Tabell2[[#This Row],[Befvekst10]]&lt;=E$433,E$433,IF(Tabell2[[#This Row],[Befvekst10]]&gt;=E$434,E$434,Tabell2[[#This Row],[Befvekst10]]))</f>
        <v>-2.0855057351407691E-3</v>
      </c>
      <c r="O212" s="41">
        <f>IF(Tabell2[[#This Row],[Kvinneandel]]&lt;=F$433,F$433,IF(Tabell2[[#This Row],[Kvinneandel]]&gt;=F$434,F$434,Tabell2[[#This Row],[Kvinneandel]]))</f>
        <v>0.10867293625914315</v>
      </c>
      <c r="P212" s="41">
        <f>IF(Tabell2[[#This Row],[Eldreandel]]&lt;=G$433,G$433,IF(Tabell2[[#This Row],[Eldreandel]]&gt;=G$434,G$434,Tabell2[[#This Row],[Eldreandel]]))</f>
        <v>0.16509926854754442</v>
      </c>
      <c r="Q212" s="41">
        <f>IF(Tabell2[[#This Row],[Sysselsettingsvekst10]]&lt;=H$433,H$433,IF(Tabell2[[#This Row],[Sysselsettingsvekst10]]&gt;=H$434,H$434,Tabell2[[#This Row],[Sysselsettingsvekst10]]))</f>
        <v>-4.1474654377880227E-2</v>
      </c>
      <c r="R212" s="41">
        <f>IF(Tabell2[[#This Row],[Yrkesaktivandel]]&lt;=I$433,I$433,IF(Tabell2[[#This Row],[Yrkesaktivandel]]&gt;=I$434,I$434,Tabell2[[#This Row],[Yrkesaktivandel]]))</f>
        <v>0.96033761343949164</v>
      </c>
      <c r="S212" s="41">
        <f>IF(Tabell2[[#This Row],[Inntekt]]&lt;=J$433,J$433,IF(Tabell2[[#This Row],[Inntekt]]&gt;=J$434,J$434,Tabell2[[#This Row],[Inntekt]]))</f>
        <v>333300</v>
      </c>
      <c r="T212" s="44">
        <f>IF(Tabell2[[#This Row],[NIBR11-T]]&lt;=K$436,100,IF(Tabell2[[#This Row],[NIBR11-T]]&gt;=K$435,0,100*(K$435-Tabell2[[#This Row],[NIBR11-T]])/K$438))</f>
        <v>20</v>
      </c>
      <c r="U212" s="44">
        <f>(L$435-Tabell2[[#This Row],[ReisetidOslo-T]])*100/L$438</f>
        <v>8.2393716011572877</v>
      </c>
      <c r="V212" s="44">
        <f>100-(M$435-Tabell2[[#This Row],[Beftettotal-T]])*100/M$438</f>
        <v>0</v>
      </c>
      <c r="W212" s="44">
        <f>100-(N$435-Tabell2[[#This Row],[Befvekst10-T]])*100/N$438</f>
        <v>37.167203982474824</v>
      </c>
      <c r="X212" s="44">
        <f>100-(O$435-Tabell2[[#This Row],[Kvinneandel-T]])*100/O$438</f>
        <v>46.397047390182813</v>
      </c>
      <c r="Y212" s="44">
        <f>(P$435-Tabell2[[#This Row],[Eldreandel-T]])*100/P$438</f>
        <v>39.848356759491651</v>
      </c>
      <c r="Z212" s="44">
        <f>100-(Q$435-Tabell2[[#This Row],[Sysselsettingsvekst10-T]])*100/Q$438</f>
        <v>14.904945674489142</v>
      </c>
      <c r="AA212" s="44">
        <f>100-(R$435-Tabell2[[#This Row],[Yrkesaktivandel-T]])*100/R$438</f>
        <v>100</v>
      </c>
      <c r="AB212" s="44">
        <f>100-(S$435-Tabell2[[#This Row],[Inntekt-T]])*100/S$438</f>
        <v>55.954323001631323</v>
      </c>
      <c r="AC212" s="44">
        <f>Tabell2[[#This Row],[NIBR11-I]]*Vekter!$B$3</f>
        <v>4</v>
      </c>
      <c r="AD212" s="44">
        <f>Tabell2[[#This Row],[ReisetidOslo-I]]*Vekter!$C$3</f>
        <v>0.82393716011572882</v>
      </c>
      <c r="AE212" s="44">
        <f>Tabell2[[#This Row],[Beftettotal-I]]*Vekter!$E$4</f>
        <v>0</v>
      </c>
      <c r="AF212" s="44">
        <f>Tabell2[[#This Row],[Befvekst10-I]]*Vekter!$F$3</f>
        <v>7.4334407964949651</v>
      </c>
      <c r="AG212" s="44">
        <f>Tabell2[[#This Row],[Kvinneandel-I]]*Vekter!$G$3</f>
        <v>2.3198523695091406</v>
      </c>
      <c r="AH212" s="44">
        <f>Tabell2[[#This Row],[Eldreandel-I]]*Vekter!$H$3</f>
        <v>1.9924178379745827</v>
      </c>
      <c r="AI212" s="44">
        <f>Tabell2[[#This Row],[Sysselsettingsvekst10-I]]*Vekter!$I$3</f>
        <v>1.4904945674489143</v>
      </c>
      <c r="AJ212" s="44">
        <f>Tabell2[[#This Row],[Yrkesaktivandel-I]]*Vekter!$K$3</f>
        <v>10</v>
      </c>
      <c r="AK212" s="44">
        <f>Tabell2[[#This Row],[Inntekt-I]]*Vekter!$M$3</f>
        <v>5.5954323001631323</v>
      </c>
      <c r="AL21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33.655575031706462</v>
      </c>
    </row>
    <row r="213" spans="1:38" s="38" customFormat="1" ht="12.75">
      <c r="A213" s="42" t="s">
        <v>211</v>
      </c>
      <c r="B213" s="38">
        <f>'Rådata-K'!Q213</f>
        <v>6</v>
      </c>
      <c r="C213" s="44">
        <f>'Rådata-K'!P213</f>
        <v>271.93243606800002</v>
      </c>
      <c r="D213" s="41">
        <f>'Rådata-K'!R213</f>
        <v>1.5427945114252812</v>
      </c>
      <c r="E213" s="41">
        <f>'Rådata-K'!S213</f>
        <v>-7.4104912572856008E-2</v>
      </c>
      <c r="F213" s="41">
        <f>'Rådata-K'!T213</f>
        <v>9.4424460431654672E-2</v>
      </c>
      <c r="G213" s="41">
        <f>'Rådata-K'!U213</f>
        <v>0.19964028776978418</v>
      </c>
      <c r="H213" s="41">
        <f>'Rådata-K'!V213</f>
        <v>-0.19898819561551429</v>
      </c>
      <c r="I213" s="41">
        <f>'Rådata-K'!W213</f>
        <v>0.97444633730834751</v>
      </c>
      <c r="J213" s="41">
        <f>'Rådata-K'!O213</f>
        <v>303100</v>
      </c>
      <c r="K213" s="41">
        <f>Tabell2[[#This Row],[NIBR11]]</f>
        <v>6</v>
      </c>
      <c r="L213" s="41">
        <f>IF(Tabell2[[#This Row],[ReisetidOslo]]&lt;=C$433,C$433,IF(Tabell2[[#This Row],[ReisetidOslo]]&gt;=C$434,C$434,Tabell2[[#This Row],[ReisetidOslo]]))</f>
        <v>271.93243606800002</v>
      </c>
      <c r="M213" s="41">
        <f>IF(Tabell2[[#This Row],[Beftettotal]]&lt;=D$433,D$433,IF(Tabell2[[#This Row],[Beftettotal]]&gt;=D$434,D$434,Tabell2[[#This Row],[Beftettotal]]))</f>
        <v>1.5427945114252812</v>
      </c>
      <c r="N213" s="41">
        <f>IF(Tabell2[[#This Row],[Befvekst10]]&lt;=E$433,E$433,IF(Tabell2[[#This Row],[Befvekst10]]&gt;=E$434,E$434,Tabell2[[#This Row],[Befvekst10]]))</f>
        <v>-7.4104912572856008E-2</v>
      </c>
      <c r="O213" s="41">
        <f>IF(Tabell2[[#This Row],[Kvinneandel]]&lt;=F$433,F$433,IF(Tabell2[[#This Row],[Kvinneandel]]&gt;=F$434,F$434,Tabell2[[#This Row],[Kvinneandel]]))</f>
        <v>9.4424460431654672E-2</v>
      </c>
      <c r="P213" s="41">
        <f>IF(Tabell2[[#This Row],[Eldreandel]]&lt;=G$433,G$433,IF(Tabell2[[#This Row],[Eldreandel]]&gt;=G$434,G$434,Tabell2[[#This Row],[Eldreandel]]))</f>
        <v>0.1989437597342919</v>
      </c>
      <c r="Q213" s="41">
        <f>IF(Tabell2[[#This Row],[Sysselsettingsvekst10]]&lt;=H$433,H$433,IF(Tabell2[[#This Row],[Sysselsettingsvekst10]]&gt;=H$434,H$434,Tabell2[[#This Row],[Sysselsettingsvekst10]]))</f>
        <v>-9.2168803558721979E-2</v>
      </c>
      <c r="R213" s="41">
        <f>IF(Tabell2[[#This Row],[Yrkesaktivandel]]&lt;=I$433,I$433,IF(Tabell2[[#This Row],[Yrkesaktivandel]]&gt;=I$434,I$434,Tabell2[[#This Row],[Yrkesaktivandel]]))</f>
        <v>0.96033761343949164</v>
      </c>
      <c r="S213" s="41">
        <f>IF(Tabell2[[#This Row],[Inntekt]]&lt;=J$433,J$433,IF(Tabell2[[#This Row],[Inntekt]]&gt;=J$434,J$434,Tabell2[[#This Row],[Inntekt]]))</f>
        <v>303100</v>
      </c>
      <c r="T213" s="44">
        <f>IF(Tabell2[[#This Row],[NIBR11-T]]&lt;=K$436,100,IF(Tabell2[[#This Row],[NIBR11-T]]&gt;=K$435,0,100*(K$435-Tabell2[[#This Row],[NIBR11-T]])/K$438))</f>
        <v>50</v>
      </c>
      <c r="U213" s="44">
        <f>(L$435-Tabell2[[#This Row],[ReisetidOslo-T]])*100/L$438</f>
        <v>3.1623219801820999</v>
      </c>
      <c r="V213" s="44">
        <f>100-(M$435-Tabell2[[#This Row],[Beftettotal-T]])*100/M$438</f>
        <v>0.18161274629910906</v>
      </c>
      <c r="W213" s="44">
        <f>100-(N$435-Tabell2[[#This Row],[Befvekst10-T]])*100/N$438</f>
        <v>7.3717039101623243</v>
      </c>
      <c r="X213" s="44">
        <f>100-(O$435-Tabell2[[#This Row],[Kvinneandel-T]])*100/O$438</f>
        <v>7.4066473006080429</v>
      </c>
      <c r="Y213" s="44">
        <f>(P$435-Tabell2[[#This Row],[Eldreandel-T]])*100/P$438</f>
        <v>0</v>
      </c>
      <c r="Z213" s="44">
        <f>100-(Q$435-Tabell2[[#This Row],[Sysselsettingsvekst10-T]])*100/Q$438</f>
        <v>0</v>
      </c>
      <c r="AA213" s="44">
        <f>100-(R$435-Tabell2[[#This Row],[Yrkesaktivandel-T]])*100/R$438</f>
        <v>100</v>
      </c>
      <c r="AB213" s="44">
        <f>100-(S$435-Tabell2[[#This Row],[Inntekt-T]])*100/S$438</f>
        <v>14.899401848830891</v>
      </c>
      <c r="AC213" s="44">
        <f>Tabell2[[#This Row],[NIBR11-I]]*Vekter!$B$3</f>
        <v>10</v>
      </c>
      <c r="AD213" s="44">
        <f>Tabell2[[#This Row],[ReisetidOslo-I]]*Vekter!$C$3</f>
        <v>0.31623219801821001</v>
      </c>
      <c r="AE213" s="44">
        <f>Tabell2[[#This Row],[Beftettotal-I]]*Vekter!$E$4</f>
        <v>1.8161274629910906E-2</v>
      </c>
      <c r="AF213" s="44">
        <f>Tabell2[[#This Row],[Befvekst10-I]]*Vekter!$F$3</f>
        <v>1.474340782032465</v>
      </c>
      <c r="AG213" s="44">
        <f>Tabell2[[#This Row],[Kvinneandel-I]]*Vekter!$G$3</f>
        <v>0.37033236503040218</v>
      </c>
      <c r="AH213" s="44">
        <f>Tabell2[[#This Row],[Eldreandel-I]]*Vekter!$H$3</f>
        <v>0</v>
      </c>
      <c r="AI213" s="44">
        <f>Tabell2[[#This Row],[Sysselsettingsvekst10-I]]*Vekter!$I$3</f>
        <v>0</v>
      </c>
      <c r="AJ213" s="44">
        <f>Tabell2[[#This Row],[Yrkesaktivandel-I]]*Vekter!$K$3</f>
        <v>10</v>
      </c>
      <c r="AK213" s="44">
        <f>Tabell2[[#This Row],[Inntekt-I]]*Vekter!$M$3</f>
        <v>1.4899401848830891</v>
      </c>
      <c r="AL21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23.669006804594076</v>
      </c>
    </row>
    <row r="214" spans="1:38" s="38" customFormat="1" ht="12.75">
      <c r="A214" s="42" t="s">
        <v>212</v>
      </c>
      <c r="B214" s="38">
        <f>'Rådata-K'!Q214</f>
        <v>6</v>
      </c>
      <c r="C214" s="44">
        <f>'Rådata-K'!P214</f>
        <v>261.12910347299999</v>
      </c>
      <c r="D214" s="41">
        <f>'Rådata-K'!R214</f>
        <v>4.3431206474684743</v>
      </c>
      <c r="E214" s="41">
        <f>'Rådata-K'!S214</f>
        <v>-0.12178877259752618</v>
      </c>
      <c r="F214" s="41">
        <f>'Rådata-K'!T214</f>
        <v>9.7508125677139762E-2</v>
      </c>
      <c r="G214" s="41">
        <f>'Rådata-K'!U214</f>
        <v>0.18201516793066089</v>
      </c>
      <c r="H214" s="41">
        <f>'Rådata-K'!V214</f>
        <v>-0.22048997772828505</v>
      </c>
      <c r="I214" s="41">
        <f>'Rådata-K'!W214</f>
        <v>0.92395437262357416</v>
      </c>
      <c r="J214" s="41">
        <f>'Rådata-K'!O214</f>
        <v>308700</v>
      </c>
      <c r="K214" s="41">
        <f>Tabell2[[#This Row],[NIBR11]]</f>
        <v>6</v>
      </c>
      <c r="L214" s="41">
        <f>IF(Tabell2[[#This Row],[ReisetidOslo]]&lt;=C$433,C$433,IF(Tabell2[[#This Row],[ReisetidOslo]]&gt;=C$434,C$434,Tabell2[[#This Row],[ReisetidOslo]]))</f>
        <v>261.12910347299999</v>
      </c>
      <c r="M214" s="41">
        <f>IF(Tabell2[[#This Row],[Beftettotal]]&lt;=D$433,D$433,IF(Tabell2[[#This Row],[Beftettotal]]&gt;=D$434,D$434,Tabell2[[#This Row],[Beftettotal]]))</f>
        <v>4.3431206474684743</v>
      </c>
      <c r="N214" s="41">
        <f>IF(Tabell2[[#This Row],[Befvekst10]]&lt;=E$433,E$433,IF(Tabell2[[#This Row],[Befvekst10]]&gt;=E$434,E$434,Tabell2[[#This Row],[Befvekst10]]))</f>
        <v>-9.1923232174966049E-2</v>
      </c>
      <c r="O214" s="41">
        <f>IF(Tabell2[[#This Row],[Kvinneandel]]&lt;=F$433,F$433,IF(Tabell2[[#This Row],[Kvinneandel]]&gt;=F$434,F$434,Tabell2[[#This Row],[Kvinneandel]]))</f>
        <v>9.7508125677139762E-2</v>
      </c>
      <c r="P214" s="41">
        <f>IF(Tabell2[[#This Row],[Eldreandel]]&lt;=G$433,G$433,IF(Tabell2[[#This Row],[Eldreandel]]&gt;=G$434,G$434,Tabell2[[#This Row],[Eldreandel]]))</f>
        <v>0.18201516793066089</v>
      </c>
      <c r="Q214" s="41">
        <f>IF(Tabell2[[#This Row],[Sysselsettingsvekst10]]&lt;=H$433,H$433,IF(Tabell2[[#This Row],[Sysselsettingsvekst10]]&gt;=H$434,H$434,Tabell2[[#This Row],[Sysselsettingsvekst10]]))</f>
        <v>-9.2168803558721979E-2</v>
      </c>
      <c r="R214" s="41">
        <f>IF(Tabell2[[#This Row],[Yrkesaktivandel]]&lt;=I$433,I$433,IF(Tabell2[[#This Row],[Yrkesaktivandel]]&gt;=I$434,I$434,Tabell2[[#This Row],[Yrkesaktivandel]]))</f>
        <v>0.92395437262357416</v>
      </c>
      <c r="S214" s="41">
        <f>IF(Tabell2[[#This Row],[Inntekt]]&lt;=J$433,J$433,IF(Tabell2[[#This Row],[Inntekt]]&gt;=J$434,J$434,Tabell2[[#This Row],[Inntekt]]))</f>
        <v>308700</v>
      </c>
      <c r="T214" s="44">
        <f>IF(Tabell2[[#This Row],[NIBR11-T]]&lt;=K$436,100,IF(Tabell2[[#This Row],[NIBR11-T]]&gt;=K$435,0,100*(K$435-Tabell2[[#This Row],[NIBR11-T]])/K$438))</f>
        <v>50</v>
      </c>
      <c r="U214" s="44">
        <f>(L$435-Tabell2[[#This Row],[ReisetidOslo-T]])*100/L$438</f>
        <v>7.9584678796941759</v>
      </c>
      <c r="V214" s="44">
        <f>100-(M$435-Tabell2[[#This Row],[Beftettotal-T]])*100/M$438</f>
        <v>2.4722986029224217</v>
      </c>
      <c r="W214" s="44">
        <f>100-(N$435-Tabell2[[#This Row],[Befvekst10-T]])*100/N$438</f>
        <v>0</v>
      </c>
      <c r="X214" s="44">
        <f>100-(O$435-Tabell2[[#This Row],[Kvinneandel-T]])*100/O$438</f>
        <v>15.844977345132776</v>
      </c>
      <c r="Y214" s="44">
        <f>(P$435-Tabell2[[#This Row],[Eldreandel-T]])*100/P$438</f>
        <v>19.931650380107932</v>
      </c>
      <c r="Z214" s="44">
        <f>100-(Q$435-Tabell2[[#This Row],[Sysselsettingsvekst10-T]])*100/Q$438</f>
        <v>0</v>
      </c>
      <c r="AA214" s="44">
        <f>100-(R$435-Tabell2[[#This Row],[Yrkesaktivandel-T]])*100/R$438</f>
        <v>72.829664866143716</v>
      </c>
      <c r="AB214" s="44">
        <f>100-(S$435-Tabell2[[#This Row],[Inntekt-T]])*100/S$438</f>
        <v>22.512234910277328</v>
      </c>
      <c r="AC214" s="44">
        <f>Tabell2[[#This Row],[NIBR11-I]]*Vekter!$B$3</f>
        <v>10</v>
      </c>
      <c r="AD214" s="44">
        <f>Tabell2[[#This Row],[ReisetidOslo-I]]*Vekter!$C$3</f>
        <v>0.79584678796941766</v>
      </c>
      <c r="AE214" s="44">
        <f>Tabell2[[#This Row],[Beftettotal-I]]*Vekter!$E$4</f>
        <v>0.24722986029224217</v>
      </c>
      <c r="AF214" s="44">
        <f>Tabell2[[#This Row],[Befvekst10-I]]*Vekter!$F$3</f>
        <v>0</v>
      </c>
      <c r="AG214" s="44">
        <f>Tabell2[[#This Row],[Kvinneandel-I]]*Vekter!$G$3</f>
        <v>0.79224886725663879</v>
      </c>
      <c r="AH214" s="44">
        <f>Tabell2[[#This Row],[Eldreandel-I]]*Vekter!$H$3</f>
        <v>0.99658251900539663</v>
      </c>
      <c r="AI214" s="44">
        <f>Tabell2[[#This Row],[Sysselsettingsvekst10-I]]*Vekter!$I$3</f>
        <v>0</v>
      </c>
      <c r="AJ214" s="44">
        <f>Tabell2[[#This Row],[Yrkesaktivandel-I]]*Vekter!$K$3</f>
        <v>7.282966486614372</v>
      </c>
      <c r="AK214" s="44">
        <f>Tabell2[[#This Row],[Inntekt-I]]*Vekter!$M$3</f>
        <v>2.2512234910277331</v>
      </c>
      <c r="AL21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22.3660980121658</v>
      </c>
    </row>
    <row r="215" spans="1:38" s="38" customFormat="1" ht="12.75">
      <c r="A215" s="42" t="s">
        <v>213</v>
      </c>
      <c r="B215" s="38">
        <f>'Rådata-K'!Q215</f>
        <v>6</v>
      </c>
      <c r="C215" s="44">
        <f>'Rådata-K'!P215</f>
        <v>238.41622768139999</v>
      </c>
      <c r="D215" s="41">
        <f>'Rådata-K'!R215</f>
        <v>7.74044212111815</v>
      </c>
      <c r="E215" s="41">
        <f>'Rådata-K'!S215</f>
        <v>1.6507890335248243E-2</v>
      </c>
      <c r="F215" s="41">
        <f>'Rådata-K'!T215</f>
        <v>0.11231935899270282</v>
      </c>
      <c r="G215" s="41">
        <f>'Rådata-K'!U215</f>
        <v>0.1722707111174703</v>
      </c>
      <c r="H215" s="41">
        <f>'Rådata-K'!V215</f>
        <v>0.10643483912902174</v>
      </c>
      <c r="I215" s="41">
        <f>'Rådata-K'!W215</f>
        <v>0.94303469704816156</v>
      </c>
      <c r="J215" s="41">
        <f>'Rådata-K'!O215</f>
        <v>323000</v>
      </c>
      <c r="K215" s="41">
        <f>Tabell2[[#This Row],[NIBR11]]</f>
        <v>6</v>
      </c>
      <c r="L215" s="41">
        <f>IF(Tabell2[[#This Row],[ReisetidOslo]]&lt;=C$433,C$433,IF(Tabell2[[#This Row],[ReisetidOslo]]&gt;=C$434,C$434,Tabell2[[#This Row],[ReisetidOslo]]))</f>
        <v>238.41622768139999</v>
      </c>
      <c r="M215" s="41">
        <f>IF(Tabell2[[#This Row],[Beftettotal]]&lt;=D$433,D$433,IF(Tabell2[[#This Row],[Beftettotal]]&gt;=D$434,D$434,Tabell2[[#This Row],[Beftettotal]]))</f>
        <v>7.74044212111815</v>
      </c>
      <c r="N215" s="41">
        <f>IF(Tabell2[[#This Row],[Befvekst10]]&lt;=E$433,E$433,IF(Tabell2[[#This Row],[Befvekst10]]&gt;=E$434,E$434,Tabell2[[#This Row],[Befvekst10]]))</f>
        <v>1.6507890335248243E-2</v>
      </c>
      <c r="O215" s="41">
        <f>IF(Tabell2[[#This Row],[Kvinneandel]]&lt;=F$433,F$433,IF(Tabell2[[#This Row],[Kvinneandel]]&gt;=F$434,F$434,Tabell2[[#This Row],[Kvinneandel]]))</f>
        <v>0.11231935899270282</v>
      </c>
      <c r="P215" s="41">
        <f>IF(Tabell2[[#This Row],[Eldreandel]]&lt;=G$433,G$433,IF(Tabell2[[#This Row],[Eldreandel]]&gt;=G$434,G$434,Tabell2[[#This Row],[Eldreandel]]))</f>
        <v>0.1722707111174703</v>
      </c>
      <c r="Q215" s="41">
        <f>IF(Tabell2[[#This Row],[Sysselsettingsvekst10]]&lt;=H$433,H$433,IF(Tabell2[[#This Row],[Sysselsettingsvekst10]]&gt;=H$434,H$434,Tabell2[[#This Row],[Sysselsettingsvekst10]]))</f>
        <v>0.10643483912902174</v>
      </c>
      <c r="R215" s="41">
        <f>IF(Tabell2[[#This Row],[Yrkesaktivandel]]&lt;=I$433,I$433,IF(Tabell2[[#This Row],[Yrkesaktivandel]]&gt;=I$434,I$434,Tabell2[[#This Row],[Yrkesaktivandel]]))</f>
        <v>0.94303469704816156</v>
      </c>
      <c r="S215" s="41">
        <f>IF(Tabell2[[#This Row],[Inntekt]]&lt;=J$433,J$433,IF(Tabell2[[#This Row],[Inntekt]]&gt;=J$434,J$434,Tabell2[[#This Row],[Inntekt]]))</f>
        <v>323000</v>
      </c>
      <c r="T215" s="44">
        <f>IF(Tabell2[[#This Row],[NIBR11-T]]&lt;=K$436,100,IF(Tabell2[[#This Row],[NIBR11-T]]&gt;=K$435,0,100*(K$435-Tabell2[[#This Row],[NIBR11-T]])/K$438))</f>
        <v>50</v>
      </c>
      <c r="U215" s="44">
        <f>(L$435-Tabell2[[#This Row],[ReisetidOslo-T]])*100/L$438</f>
        <v>18.041862530010331</v>
      </c>
      <c r="V215" s="44">
        <f>100-(M$435-Tabell2[[#This Row],[Beftettotal-T]])*100/M$438</f>
        <v>5.2513307127637319</v>
      </c>
      <c r="W215" s="44">
        <f>100-(N$435-Tabell2[[#This Row],[Befvekst10-T]])*100/N$438</f>
        <v>44.859568558708617</v>
      </c>
      <c r="X215" s="44">
        <f>100-(O$435-Tabell2[[#This Row],[Kvinneandel-T]])*100/O$438</f>
        <v>56.37534141956413</v>
      </c>
      <c r="Y215" s="44">
        <f>(P$435-Tabell2[[#This Row],[Eldreandel-T]])*100/P$438</f>
        <v>31.404731460775047</v>
      </c>
      <c r="Z215" s="44">
        <f>100-(Q$435-Tabell2[[#This Row],[Sysselsettingsvekst10-T]])*100/Q$438</f>
        <v>58.392862940782557</v>
      </c>
      <c r="AA215" s="44">
        <f>100-(R$435-Tabell2[[#This Row],[Yrkesaktivandel-T]])*100/R$438</f>
        <v>87.07850024894276</v>
      </c>
      <c r="AB215" s="44">
        <f>100-(S$435-Tabell2[[#This Row],[Inntekt-T]])*100/S$438</f>
        <v>41.952147906470906</v>
      </c>
      <c r="AC215" s="44">
        <f>Tabell2[[#This Row],[NIBR11-I]]*Vekter!$B$3</f>
        <v>10</v>
      </c>
      <c r="AD215" s="44">
        <f>Tabell2[[#This Row],[ReisetidOslo-I]]*Vekter!$C$3</f>
        <v>1.8041862530010331</v>
      </c>
      <c r="AE215" s="44">
        <f>Tabell2[[#This Row],[Beftettotal-I]]*Vekter!$E$4</f>
        <v>0.52513307127637321</v>
      </c>
      <c r="AF215" s="44">
        <f>Tabell2[[#This Row],[Befvekst10-I]]*Vekter!$F$3</f>
        <v>8.971913711741724</v>
      </c>
      <c r="AG215" s="44">
        <f>Tabell2[[#This Row],[Kvinneandel-I]]*Vekter!$G$3</f>
        <v>2.8187670709782067</v>
      </c>
      <c r="AH215" s="44">
        <f>Tabell2[[#This Row],[Eldreandel-I]]*Vekter!$H$3</f>
        <v>1.5702365730387524</v>
      </c>
      <c r="AI215" s="44">
        <f>Tabell2[[#This Row],[Sysselsettingsvekst10-I]]*Vekter!$I$3</f>
        <v>5.8392862940782564</v>
      </c>
      <c r="AJ215" s="44">
        <f>Tabell2[[#This Row],[Yrkesaktivandel-I]]*Vekter!$K$3</f>
        <v>8.7078500248942756</v>
      </c>
      <c r="AK215" s="44">
        <f>Tabell2[[#This Row],[Inntekt-I]]*Vekter!$M$3</f>
        <v>4.1952147906470909</v>
      </c>
      <c r="AL21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44.432587789655713</v>
      </c>
    </row>
    <row r="216" spans="1:38" s="38" customFormat="1" ht="12.75">
      <c r="A216" s="42" t="s">
        <v>214</v>
      </c>
      <c r="B216" s="38">
        <f>'Rådata-K'!Q216</f>
        <v>5</v>
      </c>
      <c r="C216" s="44">
        <f>'Rådata-K'!P216</f>
        <v>217.27167989010002</v>
      </c>
      <c r="D216" s="41">
        <f>'Rådata-K'!R216</f>
        <v>13.82162609273886</v>
      </c>
      <c r="E216" s="41">
        <f>'Rådata-K'!S216</f>
        <v>7.0455612963837844E-4</v>
      </c>
      <c r="F216" s="41">
        <f>'Rådata-K'!T216</f>
        <v>0.10654775874207932</v>
      </c>
      <c r="G216" s="41">
        <f>'Rådata-K'!U216</f>
        <v>0.17073456934991785</v>
      </c>
      <c r="H216" s="41">
        <f>'Rådata-K'!V216</f>
        <v>3.0721966205837781E-3</v>
      </c>
      <c r="I216" s="41">
        <f>'Rådata-K'!W216</f>
        <v>0.92182203389830508</v>
      </c>
      <c r="J216" s="41">
        <f>'Rådata-K'!O216</f>
        <v>328500</v>
      </c>
      <c r="K216" s="41">
        <f>Tabell2[[#This Row],[NIBR11]]</f>
        <v>5</v>
      </c>
      <c r="L216" s="41">
        <f>IF(Tabell2[[#This Row],[ReisetidOslo]]&lt;=C$433,C$433,IF(Tabell2[[#This Row],[ReisetidOslo]]&gt;=C$434,C$434,Tabell2[[#This Row],[ReisetidOslo]]))</f>
        <v>217.27167989010002</v>
      </c>
      <c r="M216" s="41">
        <f>IF(Tabell2[[#This Row],[Beftettotal]]&lt;=D$433,D$433,IF(Tabell2[[#This Row],[Beftettotal]]&gt;=D$434,D$434,Tabell2[[#This Row],[Beftettotal]]))</f>
        <v>13.82162609273886</v>
      </c>
      <c r="N216" s="41">
        <f>IF(Tabell2[[#This Row],[Befvekst10]]&lt;=E$433,E$433,IF(Tabell2[[#This Row],[Befvekst10]]&gt;=E$434,E$434,Tabell2[[#This Row],[Befvekst10]]))</f>
        <v>7.0455612963837844E-4</v>
      </c>
      <c r="O216" s="41">
        <f>IF(Tabell2[[#This Row],[Kvinneandel]]&lt;=F$433,F$433,IF(Tabell2[[#This Row],[Kvinneandel]]&gt;=F$434,F$434,Tabell2[[#This Row],[Kvinneandel]]))</f>
        <v>0.10654775874207932</v>
      </c>
      <c r="P216" s="41">
        <f>IF(Tabell2[[#This Row],[Eldreandel]]&lt;=G$433,G$433,IF(Tabell2[[#This Row],[Eldreandel]]&gt;=G$434,G$434,Tabell2[[#This Row],[Eldreandel]]))</f>
        <v>0.17073456934991785</v>
      </c>
      <c r="Q216" s="41">
        <f>IF(Tabell2[[#This Row],[Sysselsettingsvekst10]]&lt;=H$433,H$433,IF(Tabell2[[#This Row],[Sysselsettingsvekst10]]&gt;=H$434,H$434,Tabell2[[#This Row],[Sysselsettingsvekst10]]))</f>
        <v>3.0721966205837781E-3</v>
      </c>
      <c r="R216" s="41">
        <f>IF(Tabell2[[#This Row],[Yrkesaktivandel]]&lt;=I$433,I$433,IF(Tabell2[[#This Row],[Yrkesaktivandel]]&gt;=I$434,I$434,Tabell2[[#This Row],[Yrkesaktivandel]]))</f>
        <v>0.92182203389830508</v>
      </c>
      <c r="S216" s="41">
        <f>IF(Tabell2[[#This Row],[Inntekt]]&lt;=J$433,J$433,IF(Tabell2[[#This Row],[Inntekt]]&gt;=J$434,J$434,Tabell2[[#This Row],[Inntekt]]))</f>
        <v>328500</v>
      </c>
      <c r="T216" s="44">
        <f>IF(Tabell2[[#This Row],[NIBR11-T]]&lt;=K$436,100,IF(Tabell2[[#This Row],[NIBR11-T]]&gt;=K$435,0,100*(K$435-Tabell2[[#This Row],[NIBR11-T]])/K$438))</f>
        <v>60</v>
      </c>
      <c r="U216" s="44">
        <f>(L$435-Tabell2[[#This Row],[ReisetidOslo-T]])*100/L$438</f>
        <v>27.428997036376995</v>
      </c>
      <c r="V216" s="44">
        <f>100-(M$435-Tabell2[[#This Row],[Beftettotal-T]])*100/M$438</f>
        <v>10.225780629871878</v>
      </c>
      <c r="W216" s="44">
        <f>100-(N$435-Tabell2[[#This Row],[Befvekst10-T]])*100/N$438</f>
        <v>38.32149408487885</v>
      </c>
      <c r="X216" s="44">
        <f>100-(O$435-Tabell2[[#This Row],[Kvinneandel-T]])*100/O$438</f>
        <v>40.58158174635377</v>
      </c>
      <c r="Y216" s="44">
        <f>(P$435-Tabell2[[#This Row],[Eldreandel-T]])*100/P$438</f>
        <v>33.213378098386649</v>
      </c>
      <c r="Z216" s="44">
        <f>100-(Q$435-Tabell2[[#This Row],[Sysselsettingsvekst10-T]])*100/Q$438</f>
        <v>28.002480692447307</v>
      </c>
      <c r="AA216" s="44">
        <f>100-(R$435-Tabell2[[#This Row],[Yrkesaktivandel-T]])*100/R$438</f>
        <v>71.237273520974881</v>
      </c>
      <c r="AB216" s="44">
        <f>100-(S$435-Tabell2[[#This Row],[Inntekt-T]])*100/S$438</f>
        <v>49.429037520391518</v>
      </c>
      <c r="AC216" s="44">
        <f>Tabell2[[#This Row],[NIBR11-I]]*Vekter!$B$3</f>
        <v>12</v>
      </c>
      <c r="AD216" s="44">
        <f>Tabell2[[#This Row],[ReisetidOslo-I]]*Vekter!$C$3</f>
        <v>2.7428997036376996</v>
      </c>
      <c r="AE216" s="44">
        <f>Tabell2[[#This Row],[Beftettotal-I]]*Vekter!$E$4</f>
        <v>1.0225780629871879</v>
      </c>
      <c r="AF216" s="44">
        <f>Tabell2[[#This Row],[Befvekst10-I]]*Vekter!$F$3</f>
        <v>7.6642988169757702</v>
      </c>
      <c r="AG216" s="44">
        <f>Tabell2[[#This Row],[Kvinneandel-I]]*Vekter!$G$3</f>
        <v>2.0290790873176885</v>
      </c>
      <c r="AH216" s="44">
        <f>Tabell2[[#This Row],[Eldreandel-I]]*Vekter!$H$3</f>
        <v>1.6606689049193326</v>
      </c>
      <c r="AI216" s="44">
        <f>Tabell2[[#This Row],[Sysselsettingsvekst10-I]]*Vekter!$I$3</f>
        <v>2.8002480692447307</v>
      </c>
      <c r="AJ216" s="44">
        <f>Tabell2[[#This Row],[Yrkesaktivandel-I]]*Vekter!$K$3</f>
        <v>7.1237273520974886</v>
      </c>
      <c r="AK216" s="44">
        <f>Tabell2[[#This Row],[Inntekt-I]]*Vekter!$M$3</f>
        <v>4.9429037520391521</v>
      </c>
      <c r="AL21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41.98640374921905</v>
      </c>
    </row>
    <row r="217" spans="1:38" s="38" customFormat="1" ht="12.75">
      <c r="A217" s="42" t="s">
        <v>215</v>
      </c>
      <c r="B217" s="38">
        <f>'Rådata-K'!Q217</f>
        <v>1</v>
      </c>
      <c r="C217" s="44">
        <f>'Rådata-K'!P217</f>
        <v>210.13089505889999</v>
      </c>
      <c r="D217" s="41">
        <f>'Rådata-K'!R217</f>
        <v>10.072151597642518</v>
      </c>
      <c r="E217" s="41">
        <f>'Rådata-K'!S217</f>
        <v>2.3636852001074349E-2</v>
      </c>
      <c r="F217" s="41">
        <f>'Rådata-K'!T217</f>
        <v>0.10076095512988717</v>
      </c>
      <c r="G217" s="41">
        <f>'Rådata-K'!U217</f>
        <v>0.16924691681973236</v>
      </c>
      <c r="H217" s="41">
        <f>'Rådata-K'!V217</f>
        <v>2.6568682871678906E-2</v>
      </c>
      <c r="I217" s="41">
        <f>'Rådata-K'!W217</f>
        <v>0.95129079396005845</v>
      </c>
      <c r="J217" s="41">
        <f>'Rådata-K'!O217</f>
        <v>349800</v>
      </c>
      <c r="K217" s="41">
        <f>Tabell2[[#This Row],[NIBR11]]</f>
        <v>1</v>
      </c>
      <c r="L217" s="41">
        <f>IF(Tabell2[[#This Row],[ReisetidOslo]]&lt;=C$433,C$433,IF(Tabell2[[#This Row],[ReisetidOslo]]&gt;=C$434,C$434,Tabell2[[#This Row],[ReisetidOslo]]))</f>
        <v>210.13089505889999</v>
      </c>
      <c r="M217" s="41">
        <f>IF(Tabell2[[#This Row],[Beftettotal]]&lt;=D$433,D$433,IF(Tabell2[[#This Row],[Beftettotal]]&gt;=D$434,D$434,Tabell2[[#This Row],[Beftettotal]]))</f>
        <v>10.072151597642518</v>
      </c>
      <c r="N217" s="41">
        <f>IF(Tabell2[[#This Row],[Befvekst10]]&lt;=E$433,E$433,IF(Tabell2[[#This Row],[Befvekst10]]&gt;=E$434,E$434,Tabell2[[#This Row],[Befvekst10]]))</f>
        <v>2.3636852001074349E-2</v>
      </c>
      <c r="O217" s="41">
        <f>IF(Tabell2[[#This Row],[Kvinneandel]]&lt;=F$433,F$433,IF(Tabell2[[#This Row],[Kvinneandel]]&gt;=F$434,F$434,Tabell2[[#This Row],[Kvinneandel]]))</f>
        <v>0.10076095512988717</v>
      </c>
      <c r="P217" s="41">
        <f>IF(Tabell2[[#This Row],[Eldreandel]]&lt;=G$433,G$433,IF(Tabell2[[#This Row],[Eldreandel]]&gt;=G$434,G$434,Tabell2[[#This Row],[Eldreandel]]))</f>
        <v>0.16924691681973236</v>
      </c>
      <c r="Q217" s="41">
        <f>IF(Tabell2[[#This Row],[Sysselsettingsvekst10]]&lt;=H$433,H$433,IF(Tabell2[[#This Row],[Sysselsettingsvekst10]]&gt;=H$434,H$434,Tabell2[[#This Row],[Sysselsettingsvekst10]]))</f>
        <v>2.6568682871678906E-2</v>
      </c>
      <c r="R217" s="41">
        <f>IF(Tabell2[[#This Row],[Yrkesaktivandel]]&lt;=I$433,I$433,IF(Tabell2[[#This Row],[Yrkesaktivandel]]&gt;=I$434,I$434,Tabell2[[#This Row],[Yrkesaktivandel]]))</f>
        <v>0.95129079396005845</v>
      </c>
      <c r="S217" s="41">
        <f>IF(Tabell2[[#This Row],[Inntekt]]&lt;=J$433,J$433,IF(Tabell2[[#This Row],[Inntekt]]&gt;=J$434,J$434,Tabell2[[#This Row],[Inntekt]]))</f>
        <v>349800</v>
      </c>
      <c r="T217" s="44">
        <f>IF(Tabell2[[#This Row],[NIBR11-T]]&lt;=K$436,100,IF(Tabell2[[#This Row],[NIBR11-T]]&gt;=K$435,0,100*(K$435-Tabell2[[#This Row],[NIBR11-T]])/K$438))</f>
        <v>100</v>
      </c>
      <c r="U217" s="44">
        <f>(L$435-Tabell2[[#This Row],[ReisetidOslo-T]])*100/L$438</f>
        <v>30.599152688467971</v>
      </c>
      <c r="V217" s="44">
        <f>100-(M$435-Tabell2[[#This Row],[Beftettotal-T]])*100/M$438</f>
        <v>7.158684949429869</v>
      </c>
      <c r="W217" s="44">
        <f>100-(N$435-Tabell2[[#This Row],[Befvekst10-T]])*100/N$438</f>
        <v>47.808926060475756</v>
      </c>
      <c r="X217" s="44">
        <f>100-(O$435-Tabell2[[#This Row],[Kvinneandel-T]])*100/O$438</f>
        <v>24.746218665351208</v>
      </c>
      <c r="Y217" s="44">
        <f>(P$435-Tabell2[[#This Row],[Eldreandel-T]])*100/P$438</f>
        <v>34.964933718764954</v>
      </c>
      <c r="Z217" s="44">
        <f>100-(Q$435-Tabell2[[#This Row],[Sysselsettingsvekst10-T]])*100/Q$438</f>
        <v>34.91084895136872</v>
      </c>
      <c r="AA217" s="44">
        <f>100-(R$435-Tabell2[[#This Row],[Yrkesaktivandel-T]])*100/R$438</f>
        <v>93.244001588661092</v>
      </c>
      <c r="AB217" s="44">
        <f>100-(S$435-Tabell2[[#This Row],[Inntekt-T]])*100/S$438</f>
        <v>78.384991843393152</v>
      </c>
      <c r="AC217" s="44">
        <f>Tabell2[[#This Row],[NIBR11-I]]*Vekter!$B$3</f>
        <v>20</v>
      </c>
      <c r="AD217" s="44">
        <f>Tabell2[[#This Row],[ReisetidOslo-I]]*Vekter!$C$3</f>
        <v>3.0599152688467974</v>
      </c>
      <c r="AE217" s="44">
        <f>Tabell2[[#This Row],[Beftettotal-I]]*Vekter!$E$4</f>
        <v>0.71586849494298699</v>
      </c>
      <c r="AF217" s="44">
        <f>Tabell2[[#This Row],[Befvekst10-I]]*Vekter!$F$3</f>
        <v>9.5617852120951508</v>
      </c>
      <c r="AG217" s="44">
        <f>Tabell2[[#This Row],[Kvinneandel-I]]*Vekter!$G$3</f>
        <v>1.2373109332675605</v>
      </c>
      <c r="AH217" s="44">
        <f>Tabell2[[#This Row],[Eldreandel-I]]*Vekter!$H$3</f>
        <v>1.7482466859382477</v>
      </c>
      <c r="AI217" s="44">
        <f>Tabell2[[#This Row],[Sysselsettingsvekst10-I]]*Vekter!$I$3</f>
        <v>3.491084895136872</v>
      </c>
      <c r="AJ217" s="44">
        <f>Tabell2[[#This Row],[Yrkesaktivandel-I]]*Vekter!$K$3</f>
        <v>9.3244001588661103</v>
      </c>
      <c r="AK217" s="44">
        <f>Tabell2[[#This Row],[Inntekt-I]]*Vekter!$M$3</f>
        <v>7.8384991843393159</v>
      </c>
      <c r="AL21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56.977110833433045</v>
      </c>
    </row>
    <row r="218" spans="1:38" s="38" customFormat="1" ht="12.75">
      <c r="A218" s="42" t="s">
        <v>216</v>
      </c>
      <c r="B218" s="38">
        <f>'Rådata-K'!Q218</f>
        <v>1</v>
      </c>
      <c r="C218" s="44">
        <f>'Rådata-K'!P218</f>
        <v>196.37052294670002</v>
      </c>
      <c r="D218" s="41">
        <f>'Rådata-K'!R218</f>
        <v>8.9797889731015026</v>
      </c>
      <c r="E218" s="41">
        <f>'Rådata-K'!S218</f>
        <v>3.158344003414415E-2</v>
      </c>
      <c r="F218" s="41">
        <f>'Rådata-K'!T218</f>
        <v>0.11708729830368225</v>
      </c>
      <c r="G218" s="41">
        <f>'Rådata-K'!U218</f>
        <v>0.14935870914356641</v>
      </c>
      <c r="H218" s="41">
        <f>'Rådata-K'!V218</f>
        <v>4.0925266903914626E-2</v>
      </c>
      <c r="I218" s="41">
        <f>'Rådata-K'!W218</f>
        <v>0.87144886363636365</v>
      </c>
      <c r="J218" s="41">
        <f>'Rådata-K'!O218</f>
        <v>330500</v>
      </c>
      <c r="K218" s="41">
        <f>Tabell2[[#This Row],[NIBR11]]</f>
        <v>1</v>
      </c>
      <c r="L218" s="41">
        <f>IF(Tabell2[[#This Row],[ReisetidOslo]]&lt;=C$433,C$433,IF(Tabell2[[#This Row],[ReisetidOslo]]&gt;=C$434,C$434,Tabell2[[#This Row],[ReisetidOslo]]))</f>
        <v>196.37052294670002</v>
      </c>
      <c r="M218" s="41">
        <f>IF(Tabell2[[#This Row],[Beftettotal]]&lt;=D$433,D$433,IF(Tabell2[[#This Row],[Beftettotal]]&gt;=D$434,D$434,Tabell2[[#This Row],[Beftettotal]]))</f>
        <v>8.9797889731015026</v>
      </c>
      <c r="N218" s="41">
        <f>IF(Tabell2[[#This Row],[Befvekst10]]&lt;=E$433,E$433,IF(Tabell2[[#This Row],[Befvekst10]]&gt;=E$434,E$434,Tabell2[[#This Row],[Befvekst10]]))</f>
        <v>3.158344003414415E-2</v>
      </c>
      <c r="O218" s="41">
        <f>IF(Tabell2[[#This Row],[Kvinneandel]]&lt;=F$433,F$433,IF(Tabell2[[#This Row],[Kvinneandel]]&gt;=F$434,F$434,Tabell2[[#This Row],[Kvinneandel]]))</f>
        <v>0.11708729830368225</v>
      </c>
      <c r="P218" s="41">
        <f>IF(Tabell2[[#This Row],[Eldreandel]]&lt;=G$433,G$433,IF(Tabell2[[#This Row],[Eldreandel]]&gt;=G$434,G$434,Tabell2[[#This Row],[Eldreandel]]))</f>
        <v>0.14935870914356641</v>
      </c>
      <c r="Q218" s="41">
        <f>IF(Tabell2[[#This Row],[Sysselsettingsvekst10]]&lt;=H$433,H$433,IF(Tabell2[[#This Row],[Sysselsettingsvekst10]]&gt;=H$434,H$434,Tabell2[[#This Row],[Sysselsettingsvekst10]]))</f>
        <v>4.0925266903914626E-2</v>
      </c>
      <c r="R218" s="41">
        <f>IF(Tabell2[[#This Row],[Yrkesaktivandel]]&lt;=I$433,I$433,IF(Tabell2[[#This Row],[Yrkesaktivandel]]&gt;=I$434,I$434,Tabell2[[#This Row],[Yrkesaktivandel]]))</f>
        <v>0.87144886363636365</v>
      </c>
      <c r="S218" s="41">
        <f>IF(Tabell2[[#This Row],[Inntekt]]&lt;=J$433,J$433,IF(Tabell2[[#This Row],[Inntekt]]&gt;=J$434,J$434,Tabell2[[#This Row],[Inntekt]]))</f>
        <v>330500</v>
      </c>
      <c r="T218" s="44">
        <f>IF(Tabell2[[#This Row],[NIBR11-T]]&lt;=K$436,100,IF(Tabell2[[#This Row],[NIBR11-T]]&gt;=K$435,0,100*(K$435-Tabell2[[#This Row],[NIBR11-T]])/K$438))</f>
        <v>100</v>
      </c>
      <c r="U218" s="44">
        <f>(L$435-Tabell2[[#This Row],[ReisetidOslo-T]])*100/L$438</f>
        <v>36.708078031767378</v>
      </c>
      <c r="V218" s="44">
        <f>100-(M$435-Tabell2[[#This Row],[Beftettotal-T]])*100/M$438</f>
        <v>6.2651248807888322</v>
      </c>
      <c r="W218" s="44">
        <f>100-(N$435-Tabell2[[#This Row],[Befvekst10-T]])*100/N$438</f>
        <v>51.096547754549135</v>
      </c>
      <c r="X218" s="44">
        <f>100-(O$435-Tabell2[[#This Row],[Kvinneandel-T]])*100/O$438</f>
        <v>69.42262195600226</v>
      </c>
      <c r="Y218" s="44">
        <f>(P$435-Tabell2[[#This Row],[Eldreandel-T]])*100/P$438</f>
        <v>58.381222958091612</v>
      </c>
      <c r="Z218" s="44">
        <f>100-(Q$435-Tabell2[[#This Row],[Sysselsettingsvekst10-T]])*100/Q$438</f>
        <v>39.131929855761939</v>
      </c>
      <c r="AA218" s="44">
        <f>100-(R$435-Tabell2[[#This Row],[Yrkesaktivandel-T]])*100/R$438</f>
        <v>33.619516359194733</v>
      </c>
      <c r="AB218" s="44">
        <f>100-(S$435-Tabell2[[#This Row],[Inntekt-T]])*100/S$438</f>
        <v>52.147906470908104</v>
      </c>
      <c r="AC218" s="44">
        <f>Tabell2[[#This Row],[NIBR11-I]]*Vekter!$B$3</f>
        <v>20</v>
      </c>
      <c r="AD218" s="44">
        <f>Tabell2[[#This Row],[ReisetidOslo-I]]*Vekter!$C$3</f>
        <v>3.6708078031767379</v>
      </c>
      <c r="AE218" s="44">
        <f>Tabell2[[#This Row],[Beftettotal-I]]*Vekter!$E$4</f>
        <v>0.62651248807888327</v>
      </c>
      <c r="AF218" s="44">
        <f>Tabell2[[#This Row],[Befvekst10-I]]*Vekter!$F$3</f>
        <v>10.219309550909827</v>
      </c>
      <c r="AG218" s="44">
        <f>Tabell2[[#This Row],[Kvinneandel-I]]*Vekter!$G$3</f>
        <v>3.4711310978001131</v>
      </c>
      <c r="AH218" s="44">
        <f>Tabell2[[#This Row],[Eldreandel-I]]*Vekter!$H$3</f>
        <v>2.9190611479045807</v>
      </c>
      <c r="AI218" s="44">
        <f>Tabell2[[#This Row],[Sysselsettingsvekst10-I]]*Vekter!$I$3</f>
        <v>3.913192985576194</v>
      </c>
      <c r="AJ218" s="44">
        <f>Tabell2[[#This Row],[Yrkesaktivandel-I]]*Vekter!$K$3</f>
        <v>3.3619516359194734</v>
      </c>
      <c r="AK218" s="44">
        <f>Tabell2[[#This Row],[Inntekt-I]]*Vekter!$M$3</f>
        <v>5.214790647090811</v>
      </c>
      <c r="AL21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53.396757356456618</v>
      </c>
    </row>
    <row r="219" spans="1:38" s="38" customFormat="1" ht="12.75">
      <c r="A219" s="42" t="s">
        <v>217</v>
      </c>
      <c r="B219" s="38">
        <f>'Rådata-K'!Q219</f>
        <v>1</v>
      </c>
      <c r="C219" s="44">
        <f>'Rådata-K'!P219</f>
        <v>177.61945657640001</v>
      </c>
      <c r="D219" s="41">
        <f>'Rådata-K'!R219</f>
        <v>126.78635290751734</v>
      </c>
      <c r="E219" s="41">
        <f>'Rådata-K'!S219</f>
        <v>0.25689569595121609</v>
      </c>
      <c r="F219" s="41">
        <f>'Rådata-K'!T219</f>
        <v>0.13296852081687915</v>
      </c>
      <c r="G219" s="41">
        <f>'Rådata-K'!U219</f>
        <v>0.10402798149610741</v>
      </c>
      <c r="H219" s="41">
        <f>'Rådata-K'!V219</f>
        <v>0.22656903765690384</v>
      </c>
      <c r="I219" s="41">
        <f>'Rådata-K'!W219</f>
        <v>0.90668980142664357</v>
      </c>
      <c r="J219" s="41">
        <f>'Rådata-K'!O219</f>
        <v>365700</v>
      </c>
      <c r="K219" s="41">
        <f>Tabell2[[#This Row],[NIBR11]]</f>
        <v>1</v>
      </c>
      <c r="L219" s="41">
        <f>IF(Tabell2[[#This Row],[ReisetidOslo]]&lt;=C$433,C$433,IF(Tabell2[[#This Row],[ReisetidOslo]]&gt;=C$434,C$434,Tabell2[[#This Row],[ReisetidOslo]]))</f>
        <v>177.61945657640001</v>
      </c>
      <c r="M219" s="41">
        <f>IF(Tabell2[[#This Row],[Beftettotal]]&lt;=D$433,D$433,IF(Tabell2[[#This Row],[Beftettotal]]&gt;=D$434,D$434,Tabell2[[#This Row],[Beftettotal]]))</f>
        <v>123.5691465212405</v>
      </c>
      <c r="N219" s="41">
        <f>IF(Tabell2[[#This Row],[Befvekst10]]&lt;=E$433,E$433,IF(Tabell2[[#This Row],[Befvekst10]]&gt;=E$434,E$434,Tabell2[[#This Row],[Befvekst10]]))</f>
        <v>0.149789129298837</v>
      </c>
      <c r="O219" s="41">
        <f>IF(Tabell2[[#This Row],[Kvinneandel]]&lt;=F$433,F$433,IF(Tabell2[[#This Row],[Kvinneandel]]&gt;=F$434,F$434,Tabell2[[#This Row],[Kvinneandel]]))</f>
        <v>0.12826135732659469</v>
      </c>
      <c r="P219" s="41">
        <f>IF(Tabell2[[#This Row],[Eldreandel]]&lt;=G$433,G$433,IF(Tabell2[[#This Row],[Eldreandel]]&gt;=G$434,G$434,Tabell2[[#This Row],[Eldreandel]]))</f>
        <v>0.11401054306234992</v>
      </c>
      <c r="Q219" s="41">
        <f>IF(Tabell2[[#This Row],[Sysselsettingsvekst10]]&lt;=H$433,H$433,IF(Tabell2[[#This Row],[Sysselsettingsvekst10]]&gt;=H$434,H$434,Tabell2[[#This Row],[Sysselsettingsvekst10]]))</f>
        <v>0.22656903765690384</v>
      </c>
      <c r="R219" s="41">
        <f>IF(Tabell2[[#This Row],[Yrkesaktivandel]]&lt;=I$433,I$433,IF(Tabell2[[#This Row],[Yrkesaktivandel]]&gt;=I$434,I$434,Tabell2[[#This Row],[Yrkesaktivandel]]))</f>
        <v>0.90668980142664357</v>
      </c>
      <c r="S219" s="41">
        <f>IF(Tabell2[[#This Row],[Inntekt]]&lt;=J$433,J$433,IF(Tabell2[[#This Row],[Inntekt]]&gt;=J$434,J$434,Tabell2[[#This Row],[Inntekt]]))</f>
        <v>365700</v>
      </c>
      <c r="T219" s="44">
        <f>IF(Tabell2[[#This Row],[NIBR11-T]]&lt;=K$436,100,IF(Tabell2[[#This Row],[NIBR11-T]]&gt;=K$435,0,100*(K$435-Tabell2[[#This Row],[NIBR11-T]])/K$438))</f>
        <v>100</v>
      </c>
      <c r="U219" s="44">
        <f>(L$435-Tabell2[[#This Row],[ReisetidOslo-T]])*100/L$438</f>
        <v>45.032625044697042</v>
      </c>
      <c r="V219" s="44">
        <f>100-(M$435-Tabell2[[#This Row],[Beftettotal-T]])*100/M$438</f>
        <v>100</v>
      </c>
      <c r="W219" s="44">
        <f>100-(N$435-Tabell2[[#This Row],[Befvekst10-T]])*100/N$438</f>
        <v>100</v>
      </c>
      <c r="X219" s="44">
        <f>100-(O$435-Tabell2[[#This Row],[Kvinneandel-T]])*100/O$438</f>
        <v>100</v>
      </c>
      <c r="Y219" s="44">
        <f>(P$435-Tabell2[[#This Row],[Eldreandel-T]])*100/P$438</f>
        <v>100</v>
      </c>
      <c r="Z219" s="44">
        <f>100-(Q$435-Tabell2[[#This Row],[Sysselsettingsvekst10-T]])*100/Q$438</f>
        <v>93.714369103530757</v>
      </c>
      <c r="AA219" s="44">
        <f>100-(R$435-Tabell2[[#This Row],[Yrkesaktivandel-T]])*100/R$438</f>
        <v>59.936800601075163</v>
      </c>
      <c r="AB219" s="44">
        <f>100-(S$435-Tabell2[[#This Row],[Inntekt-T]])*100/S$438</f>
        <v>100</v>
      </c>
      <c r="AC219" s="44">
        <f>Tabell2[[#This Row],[NIBR11-I]]*Vekter!$B$3</f>
        <v>20</v>
      </c>
      <c r="AD219" s="44">
        <f>Tabell2[[#This Row],[ReisetidOslo-I]]*Vekter!$C$3</f>
        <v>4.5032625044697046</v>
      </c>
      <c r="AE219" s="44">
        <f>Tabell2[[#This Row],[Beftettotal-I]]*Vekter!$E$4</f>
        <v>10</v>
      </c>
      <c r="AF219" s="44">
        <f>Tabell2[[#This Row],[Befvekst10-I]]*Vekter!$F$3</f>
        <v>20</v>
      </c>
      <c r="AG219" s="44">
        <f>Tabell2[[#This Row],[Kvinneandel-I]]*Vekter!$G$3</f>
        <v>5</v>
      </c>
      <c r="AH219" s="44">
        <f>Tabell2[[#This Row],[Eldreandel-I]]*Vekter!$H$3</f>
        <v>5</v>
      </c>
      <c r="AI219" s="44">
        <f>Tabell2[[#This Row],[Sysselsettingsvekst10-I]]*Vekter!$I$3</f>
        <v>9.3714369103530757</v>
      </c>
      <c r="AJ219" s="44">
        <f>Tabell2[[#This Row],[Yrkesaktivandel-I]]*Vekter!$K$3</f>
        <v>5.9936800601075166</v>
      </c>
      <c r="AK219" s="44">
        <f>Tabell2[[#This Row],[Inntekt-I]]*Vekter!$M$3</f>
        <v>10</v>
      </c>
      <c r="AL21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89.868379474930293</v>
      </c>
    </row>
    <row r="220" spans="1:38" s="38" customFormat="1" ht="12.75">
      <c r="A220" s="42" t="s">
        <v>218</v>
      </c>
      <c r="B220" s="38">
        <f>'Rådata-K'!Q220</f>
        <v>5</v>
      </c>
      <c r="C220" s="44">
        <f>'Rådata-K'!P220</f>
        <v>216.4344654484</v>
      </c>
      <c r="D220" s="41">
        <f>'Rådata-K'!R220</f>
        <v>40.880395836887907</v>
      </c>
      <c r="E220" s="41">
        <f>'Rådata-K'!S220</f>
        <v>7.4439461883408109E-2</v>
      </c>
      <c r="F220" s="41">
        <f>'Rådata-K'!T220</f>
        <v>0.12729549248747912</v>
      </c>
      <c r="G220" s="41">
        <f>'Rådata-K'!U220</f>
        <v>0.12562604340567612</v>
      </c>
      <c r="H220" s="41">
        <f>'Rådata-K'!V220</f>
        <v>0.18714222809335102</v>
      </c>
      <c r="I220" s="41">
        <f>'Rådata-K'!W220</f>
        <v>0.95144213216502371</v>
      </c>
      <c r="J220" s="41">
        <f>'Rådata-K'!O220</f>
        <v>439700</v>
      </c>
      <c r="K220" s="41">
        <f>Tabell2[[#This Row],[NIBR11]]</f>
        <v>5</v>
      </c>
      <c r="L220" s="41">
        <f>IF(Tabell2[[#This Row],[ReisetidOslo]]&lt;=C$433,C$433,IF(Tabell2[[#This Row],[ReisetidOslo]]&gt;=C$434,C$434,Tabell2[[#This Row],[ReisetidOslo]]))</f>
        <v>216.4344654484</v>
      </c>
      <c r="M220" s="41">
        <f>IF(Tabell2[[#This Row],[Beftettotal]]&lt;=D$433,D$433,IF(Tabell2[[#This Row],[Beftettotal]]&gt;=D$434,D$434,Tabell2[[#This Row],[Beftettotal]]))</f>
        <v>40.880395836887907</v>
      </c>
      <c r="N220" s="41">
        <f>IF(Tabell2[[#This Row],[Befvekst10]]&lt;=E$433,E$433,IF(Tabell2[[#This Row],[Befvekst10]]&gt;=E$434,E$434,Tabell2[[#This Row],[Befvekst10]]))</f>
        <v>7.4439461883408109E-2</v>
      </c>
      <c r="O220" s="41">
        <f>IF(Tabell2[[#This Row],[Kvinneandel]]&lt;=F$433,F$433,IF(Tabell2[[#This Row],[Kvinneandel]]&gt;=F$434,F$434,Tabell2[[#This Row],[Kvinneandel]]))</f>
        <v>0.12729549248747912</v>
      </c>
      <c r="P220" s="41">
        <f>IF(Tabell2[[#This Row],[Eldreandel]]&lt;=G$433,G$433,IF(Tabell2[[#This Row],[Eldreandel]]&gt;=G$434,G$434,Tabell2[[#This Row],[Eldreandel]]))</f>
        <v>0.12562604340567612</v>
      </c>
      <c r="Q220" s="41">
        <f>IF(Tabell2[[#This Row],[Sysselsettingsvekst10]]&lt;=H$433,H$433,IF(Tabell2[[#This Row],[Sysselsettingsvekst10]]&gt;=H$434,H$434,Tabell2[[#This Row],[Sysselsettingsvekst10]]))</f>
        <v>0.18714222809335102</v>
      </c>
      <c r="R220" s="41">
        <f>IF(Tabell2[[#This Row],[Yrkesaktivandel]]&lt;=I$433,I$433,IF(Tabell2[[#This Row],[Yrkesaktivandel]]&gt;=I$434,I$434,Tabell2[[#This Row],[Yrkesaktivandel]]))</f>
        <v>0.95144213216502371</v>
      </c>
      <c r="S220" s="41">
        <f>IF(Tabell2[[#This Row],[Inntekt]]&lt;=J$433,J$433,IF(Tabell2[[#This Row],[Inntekt]]&gt;=J$434,J$434,Tabell2[[#This Row],[Inntekt]]))</f>
        <v>365700</v>
      </c>
      <c r="T220" s="44">
        <f>IF(Tabell2[[#This Row],[NIBR11-T]]&lt;=K$436,100,IF(Tabell2[[#This Row],[NIBR11-T]]&gt;=K$435,0,100*(K$435-Tabell2[[#This Row],[NIBR11-T]])/K$438))</f>
        <v>60</v>
      </c>
      <c r="U220" s="44">
        <f>(L$435-Tabell2[[#This Row],[ReisetidOslo-T]])*100/L$438</f>
        <v>27.800678883275811</v>
      </c>
      <c r="V220" s="44">
        <f>100-(M$435-Tabell2[[#This Row],[Beftettotal-T]])*100/M$438</f>
        <v>32.360038619596452</v>
      </c>
      <c r="W220" s="44">
        <f>100-(N$435-Tabell2[[#This Row],[Befvekst10-T]])*100/N$438</f>
        <v>68.826721580974933</v>
      </c>
      <c r="X220" s="44">
        <f>100-(O$435-Tabell2[[#This Row],[Kvinneandel-T]])*100/O$438</f>
        <v>97.356948422727768</v>
      </c>
      <c r="Y220" s="44">
        <f>(P$435-Tabell2[[#This Row],[Eldreandel-T]])*100/P$438</f>
        <v>86.323960402687277</v>
      </c>
      <c r="Z220" s="44">
        <f>100-(Q$435-Tabell2[[#This Row],[Sysselsettingsvekst10-T]])*100/Q$438</f>
        <v>82.122213713628881</v>
      </c>
      <c r="AA220" s="44">
        <f>100-(R$435-Tabell2[[#This Row],[Yrkesaktivandel-T]])*100/R$438</f>
        <v>93.357018176937743</v>
      </c>
      <c r="AB220" s="44">
        <f>100-(S$435-Tabell2[[#This Row],[Inntekt-T]])*100/S$438</f>
        <v>100</v>
      </c>
      <c r="AC220" s="44">
        <f>Tabell2[[#This Row],[NIBR11-I]]*Vekter!$B$3</f>
        <v>12</v>
      </c>
      <c r="AD220" s="44">
        <f>Tabell2[[#This Row],[ReisetidOslo-I]]*Vekter!$C$3</f>
        <v>2.7800678883275811</v>
      </c>
      <c r="AE220" s="44">
        <f>Tabell2[[#This Row],[Beftettotal-I]]*Vekter!$E$4</f>
        <v>3.2360038619596452</v>
      </c>
      <c r="AF220" s="44">
        <f>Tabell2[[#This Row],[Befvekst10-I]]*Vekter!$F$3</f>
        <v>13.765344316194987</v>
      </c>
      <c r="AG220" s="44">
        <f>Tabell2[[#This Row],[Kvinneandel-I]]*Vekter!$G$3</f>
        <v>4.8678474211363891</v>
      </c>
      <c r="AH220" s="44">
        <f>Tabell2[[#This Row],[Eldreandel-I]]*Vekter!$H$3</f>
        <v>4.3161980201343644</v>
      </c>
      <c r="AI220" s="44">
        <f>Tabell2[[#This Row],[Sysselsettingsvekst10-I]]*Vekter!$I$3</f>
        <v>8.2122213713628884</v>
      </c>
      <c r="AJ220" s="44">
        <f>Tabell2[[#This Row],[Yrkesaktivandel-I]]*Vekter!$K$3</f>
        <v>9.3357018176937743</v>
      </c>
      <c r="AK220" s="44">
        <f>Tabell2[[#This Row],[Inntekt-I]]*Vekter!$M$3</f>
        <v>10</v>
      </c>
      <c r="AL22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68.513384696809624</v>
      </c>
    </row>
    <row r="221" spans="1:38" s="38" customFormat="1" ht="12.75">
      <c r="A221" s="42" t="s">
        <v>219</v>
      </c>
      <c r="B221" s="38">
        <f>'Rådata-K'!Q221</f>
        <v>1</v>
      </c>
      <c r="C221" s="44">
        <f>'Rådata-K'!P221</f>
        <v>185.0303220815</v>
      </c>
      <c r="D221" s="41">
        <f>'Rådata-K'!R221</f>
        <v>64.276401564537167</v>
      </c>
      <c r="E221" s="41">
        <f>'Rådata-K'!S221</f>
        <v>0.22076190476190471</v>
      </c>
      <c r="F221" s="41">
        <f>'Rådata-K'!T221</f>
        <v>0.13184584178498987</v>
      </c>
      <c r="G221" s="41">
        <f>'Rådata-K'!U221</f>
        <v>0.10532064284599782</v>
      </c>
      <c r="H221" s="41">
        <f>'Rådata-K'!V221</f>
        <v>7.1994715984147861E-2</v>
      </c>
      <c r="I221" s="41">
        <f>'Rådata-K'!W221</f>
        <v>0.86807947019867548</v>
      </c>
      <c r="J221" s="41">
        <f>'Rådata-K'!O221</f>
        <v>350800</v>
      </c>
      <c r="K221" s="41">
        <f>Tabell2[[#This Row],[NIBR11]]</f>
        <v>1</v>
      </c>
      <c r="L221" s="41">
        <f>IF(Tabell2[[#This Row],[ReisetidOslo]]&lt;=C$433,C$433,IF(Tabell2[[#This Row],[ReisetidOslo]]&gt;=C$434,C$434,Tabell2[[#This Row],[ReisetidOslo]]))</f>
        <v>185.0303220815</v>
      </c>
      <c r="M221" s="41">
        <f>IF(Tabell2[[#This Row],[Beftettotal]]&lt;=D$433,D$433,IF(Tabell2[[#This Row],[Beftettotal]]&gt;=D$434,D$434,Tabell2[[#This Row],[Beftettotal]]))</f>
        <v>64.276401564537167</v>
      </c>
      <c r="N221" s="41">
        <f>IF(Tabell2[[#This Row],[Befvekst10]]&lt;=E$433,E$433,IF(Tabell2[[#This Row],[Befvekst10]]&gt;=E$434,E$434,Tabell2[[#This Row],[Befvekst10]]))</f>
        <v>0.149789129298837</v>
      </c>
      <c r="O221" s="41">
        <f>IF(Tabell2[[#This Row],[Kvinneandel]]&lt;=F$433,F$433,IF(Tabell2[[#This Row],[Kvinneandel]]&gt;=F$434,F$434,Tabell2[[#This Row],[Kvinneandel]]))</f>
        <v>0.12826135732659469</v>
      </c>
      <c r="P221" s="41">
        <f>IF(Tabell2[[#This Row],[Eldreandel]]&lt;=G$433,G$433,IF(Tabell2[[#This Row],[Eldreandel]]&gt;=G$434,G$434,Tabell2[[#This Row],[Eldreandel]]))</f>
        <v>0.11401054306234992</v>
      </c>
      <c r="Q221" s="41">
        <f>IF(Tabell2[[#This Row],[Sysselsettingsvekst10]]&lt;=H$433,H$433,IF(Tabell2[[#This Row],[Sysselsettingsvekst10]]&gt;=H$434,H$434,Tabell2[[#This Row],[Sysselsettingsvekst10]]))</f>
        <v>7.1994715984147861E-2</v>
      </c>
      <c r="R221" s="41">
        <f>IF(Tabell2[[#This Row],[Yrkesaktivandel]]&lt;=I$433,I$433,IF(Tabell2[[#This Row],[Yrkesaktivandel]]&gt;=I$434,I$434,Tabell2[[#This Row],[Yrkesaktivandel]]))</f>
        <v>0.86807947019867548</v>
      </c>
      <c r="S221" s="41">
        <f>IF(Tabell2[[#This Row],[Inntekt]]&lt;=J$433,J$433,IF(Tabell2[[#This Row],[Inntekt]]&gt;=J$434,J$434,Tabell2[[#This Row],[Inntekt]]))</f>
        <v>350800</v>
      </c>
      <c r="T221" s="44">
        <f>IF(Tabell2[[#This Row],[NIBR11-T]]&lt;=K$436,100,IF(Tabell2[[#This Row],[NIBR11-T]]&gt;=K$435,0,100*(K$435-Tabell2[[#This Row],[NIBR11-T]])/K$438))</f>
        <v>100</v>
      </c>
      <c r="U221" s="44">
        <f>(L$435-Tabell2[[#This Row],[ReisetidOslo-T]])*100/L$438</f>
        <v>41.742566917580689</v>
      </c>
      <c r="V221" s="44">
        <f>100-(M$435-Tabell2[[#This Row],[Beftettotal-T]])*100/M$438</f>
        <v>51.49813069108977</v>
      </c>
      <c r="W221" s="44">
        <f>100-(N$435-Tabell2[[#This Row],[Befvekst10-T]])*100/N$438</f>
        <v>100</v>
      </c>
      <c r="X221" s="44">
        <f>100-(O$435-Tabell2[[#This Row],[Kvinneandel-T]])*100/O$438</f>
        <v>100</v>
      </c>
      <c r="Y221" s="44">
        <f>(P$435-Tabell2[[#This Row],[Eldreandel-T]])*100/P$438</f>
        <v>100</v>
      </c>
      <c r="Z221" s="44">
        <f>100-(Q$435-Tabell2[[#This Row],[Sysselsettingsvekst10-T]])*100/Q$438</f>
        <v>48.266878526568178</v>
      </c>
      <c r="AA221" s="44">
        <f>100-(R$435-Tabell2[[#This Row],[Yrkesaktivandel-T]])*100/R$438</f>
        <v>31.103315304896341</v>
      </c>
      <c r="AB221" s="44">
        <f>100-(S$435-Tabell2[[#This Row],[Inntekt-T]])*100/S$438</f>
        <v>79.744426318651449</v>
      </c>
      <c r="AC221" s="44">
        <f>Tabell2[[#This Row],[NIBR11-I]]*Vekter!$B$3</f>
        <v>20</v>
      </c>
      <c r="AD221" s="44">
        <f>Tabell2[[#This Row],[ReisetidOslo-I]]*Vekter!$C$3</f>
        <v>4.1742566917580692</v>
      </c>
      <c r="AE221" s="44">
        <f>Tabell2[[#This Row],[Beftettotal-I]]*Vekter!$E$4</f>
        <v>5.1498130691089772</v>
      </c>
      <c r="AF221" s="44">
        <f>Tabell2[[#This Row],[Befvekst10-I]]*Vekter!$F$3</f>
        <v>20</v>
      </c>
      <c r="AG221" s="44">
        <f>Tabell2[[#This Row],[Kvinneandel-I]]*Vekter!$G$3</f>
        <v>5</v>
      </c>
      <c r="AH221" s="44">
        <f>Tabell2[[#This Row],[Eldreandel-I]]*Vekter!$H$3</f>
        <v>5</v>
      </c>
      <c r="AI221" s="44">
        <f>Tabell2[[#This Row],[Sysselsettingsvekst10-I]]*Vekter!$I$3</f>
        <v>4.8266878526568178</v>
      </c>
      <c r="AJ221" s="44">
        <f>Tabell2[[#This Row],[Yrkesaktivandel-I]]*Vekter!$K$3</f>
        <v>3.1103315304896344</v>
      </c>
      <c r="AK221" s="44">
        <f>Tabell2[[#This Row],[Inntekt-I]]*Vekter!$M$3</f>
        <v>7.9744426318651449</v>
      </c>
      <c r="AL22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75.235531775878641</v>
      </c>
    </row>
    <row r="222" spans="1:38" s="38" customFormat="1" ht="12.75">
      <c r="A222" s="42" t="s">
        <v>220</v>
      </c>
      <c r="B222" s="38">
        <f>'Rådata-K'!Q222</f>
        <v>1</v>
      </c>
      <c r="C222" s="44">
        <f>'Rådata-K'!P222</f>
        <v>169.6017537351</v>
      </c>
      <c r="D222" s="41">
        <f>'Rådata-K'!R222</f>
        <v>153.33738273604641</v>
      </c>
      <c r="E222" s="41">
        <f>'Rådata-K'!S222</f>
        <v>0.20040154276958844</v>
      </c>
      <c r="F222" s="41">
        <f>'Rådata-K'!T222</f>
        <v>0.12900528169014083</v>
      </c>
      <c r="G222" s="41">
        <f>'Rådata-K'!U222</f>
        <v>8.5959507042253525E-2</v>
      </c>
      <c r="H222" s="41">
        <f>'Rådata-K'!V222</f>
        <v>0.54520782745322105</v>
      </c>
      <c r="I222" s="41">
        <f>'Rådata-K'!W222</f>
        <v>0.89121718738179889</v>
      </c>
      <c r="J222" s="41">
        <f>'Rådata-K'!O222</f>
        <v>376300</v>
      </c>
      <c r="K222" s="41">
        <f>Tabell2[[#This Row],[NIBR11]]</f>
        <v>1</v>
      </c>
      <c r="L222" s="41">
        <f>IF(Tabell2[[#This Row],[ReisetidOslo]]&lt;=C$433,C$433,IF(Tabell2[[#This Row],[ReisetidOslo]]&gt;=C$434,C$434,Tabell2[[#This Row],[ReisetidOslo]]))</f>
        <v>169.6017537351</v>
      </c>
      <c r="M222" s="41">
        <f>IF(Tabell2[[#This Row],[Beftettotal]]&lt;=D$433,D$433,IF(Tabell2[[#This Row],[Beftettotal]]&gt;=D$434,D$434,Tabell2[[#This Row],[Beftettotal]]))</f>
        <v>123.5691465212405</v>
      </c>
      <c r="N222" s="41">
        <f>IF(Tabell2[[#This Row],[Befvekst10]]&lt;=E$433,E$433,IF(Tabell2[[#This Row],[Befvekst10]]&gt;=E$434,E$434,Tabell2[[#This Row],[Befvekst10]]))</f>
        <v>0.149789129298837</v>
      </c>
      <c r="O222" s="41">
        <f>IF(Tabell2[[#This Row],[Kvinneandel]]&lt;=F$433,F$433,IF(Tabell2[[#This Row],[Kvinneandel]]&gt;=F$434,F$434,Tabell2[[#This Row],[Kvinneandel]]))</f>
        <v>0.12826135732659469</v>
      </c>
      <c r="P222" s="41">
        <f>IF(Tabell2[[#This Row],[Eldreandel]]&lt;=G$433,G$433,IF(Tabell2[[#This Row],[Eldreandel]]&gt;=G$434,G$434,Tabell2[[#This Row],[Eldreandel]]))</f>
        <v>0.11401054306234992</v>
      </c>
      <c r="Q222" s="41">
        <f>IF(Tabell2[[#This Row],[Sysselsettingsvekst10]]&lt;=H$433,H$433,IF(Tabell2[[#This Row],[Sysselsettingsvekst10]]&gt;=H$434,H$434,Tabell2[[#This Row],[Sysselsettingsvekst10]]))</f>
        <v>0.24794749265568336</v>
      </c>
      <c r="R222" s="41">
        <f>IF(Tabell2[[#This Row],[Yrkesaktivandel]]&lt;=I$433,I$433,IF(Tabell2[[#This Row],[Yrkesaktivandel]]&gt;=I$434,I$434,Tabell2[[#This Row],[Yrkesaktivandel]]))</f>
        <v>0.89121718738179889</v>
      </c>
      <c r="S222" s="41">
        <f>IF(Tabell2[[#This Row],[Inntekt]]&lt;=J$433,J$433,IF(Tabell2[[#This Row],[Inntekt]]&gt;=J$434,J$434,Tabell2[[#This Row],[Inntekt]]))</f>
        <v>365700</v>
      </c>
      <c r="T222" s="44">
        <f>IF(Tabell2[[#This Row],[NIBR11-T]]&lt;=K$436,100,IF(Tabell2[[#This Row],[NIBR11-T]]&gt;=K$435,0,100*(K$435-Tabell2[[#This Row],[NIBR11-T]])/K$438))</f>
        <v>100</v>
      </c>
      <c r="U222" s="44">
        <f>(L$435-Tabell2[[#This Row],[ReisetidOslo-T]])*100/L$438</f>
        <v>48.5920889663766</v>
      </c>
      <c r="V222" s="44">
        <f>100-(M$435-Tabell2[[#This Row],[Beftettotal-T]])*100/M$438</f>
        <v>100</v>
      </c>
      <c r="W222" s="44">
        <f>100-(N$435-Tabell2[[#This Row],[Befvekst10-T]])*100/N$438</f>
        <v>100</v>
      </c>
      <c r="X222" s="44">
        <f>100-(O$435-Tabell2[[#This Row],[Kvinneandel-T]])*100/O$438</f>
        <v>100</v>
      </c>
      <c r="Y222" s="44">
        <f>(P$435-Tabell2[[#This Row],[Eldreandel-T]])*100/P$438</f>
        <v>100</v>
      </c>
      <c r="Z222" s="44">
        <f>100-(Q$435-Tabell2[[#This Row],[Sysselsettingsvekst10-T]])*100/Q$438</f>
        <v>100</v>
      </c>
      <c r="AA222" s="44">
        <f>100-(R$435-Tabell2[[#This Row],[Yrkesaktivandel-T]])*100/R$438</f>
        <v>48.382136982123427</v>
      </c>
      <c r="AB222" s="44">
        <f>100-(S$435-Tabell2[[#This Row],[Inntekt-T]])*100/S$438</f>
        <v>100</v>
      </c>
      <c r="AC222" s="44">
        <f>Tabell2[[#This Row],[NIBR11-I]]*Vekter!$B$3</f>
        <v>20</v>
      </c>
      <c r="AD222" s="44">
        <f>Tabell2[[#This Row],[ReisetidOslo-I]]*Vekter!$C$3</f>
        <v>4.8592088966376608</v>
      </c>
      <c r="AE222" s="44">
        <f>Tabell2[[#This Row],[Beftettotal-I]]*Vekter!$E$4</f>
        <v>10</v>
      </c>
      <c r="AF222" s="44">
        <f>Tabell2[[#This Row],[Befvekst10-I]]*Vekter!$F$3</f>
        <v>20</v>
      </c>
      <c r="AG222" s="44">
        <f>Tabell2[[#This Row],[Kvinneandel-I]]*Vekter!$G$3</f>
        <v>5</v>
      </c>
      <c r="AH222" s="44">
        <f>Tabell2[[#This Row],[Eldreandel-I]]*Vekter!$H$3</f>
        <v>5</v>
      </c>
      <c r="AI222" s="44">
        <f>Tabell2[[#This Row],[Sysselsettingsvekst10-I]]*Vekter!$I$3</f>
        <v>10</v>
      </c>
      <c r="AJ222" s="44">
        <f>Tabell2[[#This Row],[Yrkesaktivandel-I]]*Vekter!$K$3</f>
        <v>4.8382136982123427</v>
      </c>
      <c r="AK222" s="44">
        <f>Tabell2[[#This Row],[Inntekt-I]]*Vekter!$M$3</f>
        <v>10</v>
      </c>
      <c r="AL22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89.697422594849996</v>
      </c>
    </row>
    <row r="223" spans="1:38" s="38" customFormat="1" ht="12.75">
      <c r="A223" s="42" t="s">
        <v>221</v>
      </c>
      <c r="B223" s="38">
        <f>'Rådata-K'!Q223</f>
        <v>1</v>
      </c>
      <c r="C223" s="44">
        <f>'Rådata-K'!P223</f>
        <v>168.44934224920001</v>
      </c>
      <c r="D223" s="41">
        <f>'Rådata-K'!R223</f>
        <v>260.30390306882509</v>
      </c>
      <c r="E223" s="41">
        <f>'Rådata-K'!S223</f>
        <v>0.27387606318347513</v>
      </c>
      <c r="F223" s="41">
        <f>'Rådata-K'!T223</f>
        <v>0.13437619229301792</v>
      </c>
      <c r="G223" s="41">
        <f>'Rådata-K'!U223</f>
        <v>9.8512018313620761E-2</v>
      </c>
      <c r="H223" s="41">
        <f>'Rådata-K'!V223</f>
        <v>0.32875440876183415</v>
      </c>
      <c r="I223" s="41">
        <f>'Rådata-K'!W223</f>
        <v>0.88975757177583603</v>
      </c>
      <c r="J223" s="41">
        <f>'Rådata-K'!O223</f>
        <v>358900</v>
      </c>
      <c r="K223" s="41">
        <f>Tabell2[[#This Row],[NIBR11]]</f>
        <v>1</v>
      </c>
      <c r="L223" s="41">
        <f>IF(Tabell2[[#This Row],[ReisetidOslo]]&lt;=C$433,C$433,IF(Tabell2[[#This Row],[ReisetidOslo]]&gt;=C$434,C$434,Tabell2[[#This Row],[ReisetidOslo]]))</f>
        <v>168.44934224920001</v>
      </c>
      <c r="M223" s="41">
        <f>IF(Tabell2[[#This Row],[Beftettotal]]&lt;=D$433,D$433,IF(Tabell2[[#This Row],[Beftettotal]]&gt;=D$434,D$434,Tabell2[[#This Row],[Beftettotal]]))</f>
        <v>123.5691465212405</v>
      </c>
      <c r="N223" s="41">
        <f>IF(Tabell2[[#This Row],[Befvekst10]]&lt;=E$433,E$433,IF(Tabell2[[#This Row],[Befvekst10]]&gt;=E$434,E$434,Tabell2[[#This Row],[Befvekst10]]))</f>
        <v>0.149789129298837</v>
      </c>
      <c r="O223" s="41">
        <f>IF(Tabell2[[#This Row],[Kvinneandel]]&lt;=F$433,F$433,IF(Tabell2[[#This Row],[Kvinneandel]]&gt;=F$434,F$434,Tabell2[[#This Row],[Kvinneandel]]))</f>
        <v>0.12826135732659469</v>
      </c>
      <c r="P223" s="41">
        <f>IF(Tabell2[[#This Row],[Eldreandel]]&lt;=G$433,G$433,IF(Tabell2[[#This Row],[Eldreandel]]&gt;=G$434,G$434,Tabell2[[#This Row],[Eldreandel]]))</f>
        <v>0.11401054306234992</v>
      </c>
      <c r="Q223" s="41">
        <f>IF(Tabell2[[#This Row],[Sysselsettingsvekst10]]&lt;=H$433,H$433,IF(Tabell2[[#This Row],[Sysselsettingsvekst10]]&gt;=H$434,H$434,Tabell2[[#This Row],[Sysselsettingsvekst10]]))</f>
        <v>0.24794749265568336</v>
      </c>
      <c r="R223" s="41">
        <f>IF(Tabell2[[#This Row],[Yrkesaktivandel]]&lt;=I$433,I$433,IF(Tabell2[[#This Row],[Yrkesaktivandel]]&gt;=I$434,I$434,Tabell2[[#This Row],[Yrkesaktivandel]]))</f>
        <v>0.88975757177583603</v>
      </c>
      <c r="S223" s="41">
        <f>IF(Tabell2[[#This Row],[Inntekt]]&lt;=J$433,J$433,IF(Tabell2[[#This Row],[Inntekt]]&gt;=J$434,J$434,Tabell2[[#This Row],[Inntekt]]))</f>
        <v>358900</v>
      </c>
      <c r="T223" s="44">
        <f>IF(Tabell2[[#This Row],[NIBR11-T]]&lt;=K$436,100,IF(Tabell2[[#This Row],[NIBR11-T]]&gt;=K$435,0,100*(K$435-Tabell2[[#This Row],[NIBR11-T]])/K$438))</f>
        <v>100</v>
      </c>
      <c r="U223" s="44">
        <f>(L$435-Tabell2[[#This Row],[ReisetidOslo-T]])*100/L$438</f>
        <v>49.103702727597636</v>
      </c>
      <c r="V223" s="44">
        <f>100-(M$435-Tabell2[[#This Row],[Beftettotal-T]])*100/M$438</f>
        <v>100</v>
      </c>
      <c r="W223" s="44">
        <f>100-(N$435-Tabell2[[#This Row],[Befvekst10-T]])*100/N$438</f>
        <v>100</v>
      </c>
      <c r="X223" s="44">
        <f>100-(O$435-Tabell2[[#This Row],[Kvinneandel-T]])*100/O$438</f>
        <v>100</v>
      </c>
      <c r="Y223" s="44">
        <f>(P$435-Tabell2[[#This Row],[Eldreandel-T]])*100/P$438</f>
        <v>100</v>
      </c>
      <c r="Z223" s="44">
        <f>100-(Q$435-Tabell2[[#This Row],[Sysselsettingsvekst10-T]])*100/Q$438</f>
        <v>100</v>
      </c>
      <c r="AA223" s="44">
        <f>100-(R$435-Tabell2[[#This Row],[Yrkesaktivandel-T]])*100/R$438</f>
        <v>47.292122890710559</v>
      </c>
      <c r="AB223" s="44">
        <f>100-(S$435-Tabell2[[#This Row],[Inntekt-T]])*100/S$438</f>
        <v>90.755845568243615</v>
      </c>
      <c r="AC223" s="44">
        <f>Tabell2[[#This Row],[NIBR11-I]]*Vekter!$B$3</f>
        <v>20</v>
      </c>
      <c r="AD223" s="44">
        <f>Tabell2[[#This Row],[ReisetidOslo-I]]*Vekter!$C$3</f>
        <v>4.9103702727597636</v>
      </c>
      <c r="AE223" s="44">
        <f>Tabell2[[#This Row],[Beftettotal-I]]*Vekter!$E$4</f>
        <v>10</v>
      </c>
      <c r="AF223" s="44">
        <f>Tabell2[[#This Row],[Befvekst10-I]]*Vekter!$F$3</f>
        <v>20</v>
      </c>
      <c r="AG223" s="44">
        <f>Tabell2[[#This Row],[Kvinneandel-I]]*Vekter!$G$3</f>
        <v>5</v>
      </c>
      <c r="AH223" s="44">
        <f>Tabell2[[#This Row],[Eldreandel-I]]*Vekter!$H$3</f>
        <v>5</v>
      </c>
      <c r="AI223" s="44">
        <f>Tabell2[[#This Row],[Sysselsettingsvekst10-I]]*Vekter!$I$3</f>
        <v>10</v>
      </c>
      <c r="AJ223" s="44">
        <f>Tabell2[[#This Row],[Yrkesaktivandel-I]]*Vekter!$K$3</f>
        <v>4.7292122890710564</v>
      </c>
      <c r="AK223" s="44">
        <f>Tabell2[[#This Row],[Inntekt-I]]*Vekter!$M$3</f>
        <v>9.0755845568243618</v>
      </c>
      <c r="AL22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88.715167118655188</v>
      </c>
    </row>
    <row r="224" spans="1:38" s="38" customFormat="1" ht="12.75">
      <c r="A224" s="42" t="s">
        <v>222</v>
      </c>
      <c r="B224" s="38">
        <f>'Rådata-K'!Q224</f>
        <v>1</v>
      </c>
      <c r="C224" s="44">
        <f>'Rådata-K'!P224</f>
        <v>205.93643129629999</v>
      </c>
      <c r="D224" s="41">
        <f>'Rådata-K'!R224</f>
        <v>5.7821560818836026</v>
      </c>
      <c r="E224" s="41">
        <f>'Rådata-K'!S224</f>
        <v>-1.1702889897301172E-2</v>
      </c>
      <c r="F224" s="41">
        <f>'Rådata-K'!T224</f>
        <v>0.10947317544707588</v>
      </c>
      <c r="G224" s="41">
        <f>'Rådata-K'!U224</f>
        <v>0.19284678588690188</v>
      </c>
      <c r="H224" s="41">
        <f>'Rådata-K'!V224</f>
        <v>-0.14756025867136979</v>
      </c>
      <c r="I224" s="41">
        <f>'Rådata-K'!W224</f>
        <v>0.88213961922030826</v>
      </c>
      <c r="J224" s="41">
        <f>'Rådata-K'!O224</f>
        <v>305900</v>
      </c>
      <c r="K224" s="41">
        <f>Tabell2[[#This Row],[NIBR11]]</f>
        <v>1</v>
      </c>
      <c r="L224" s="41">
        <f>IF(Tabell2[[#This Row],[ReisetidOslo]]&lt;=C$433,C$433,IF(Tabell2[[#This Row],[ReisetidOslo]]&gt;=C$434,C$434,Tabell2[[#This Row],[ReisetidOslo]]))</f>
        <v>205.93643129629999</v>
      </c>
      <c r="M224" s="41">
        <f>IF(Tabell2[[#This Row],[Beftettotal]]&lt;=D$433,D$433,IF(Tabell2[[#This Row],[Beftettotal]]&gt;=D$434,D$434,Tabell2[[#This Row],[Beftettotal]]))</f>
        <v>5.7821560818836026</v>
      </c>
      <c r="N224" s="41">
        <f>IF(Tabell2[[#This Row],[Befvekst10]]&lt;=E$433,E$433,IF(Tabell2[[#This Row],[Befvekst10]]&gt;=E$434,E$434,Tabell2[[#This Row],[Befvekst10]]))</f>
        <v>-1.1702889897301172E-2</v>
      </c>
      <c r="O224" s="41">
        <f>IF(Tabell2[[#This Row],[Kvinneandel]]&lt;=F$433,F$433,IF(Tabell2[[#This Row],[Kvinneandel]]&gt;=F$434,F$434,Tabell2[[#This Row],[Kvinneandel]]))</f>
        <v>0.10947317544707588</v>
      </c>
      <c r="P224" s="41">
        <f>IF(Tabell2[[#This Row],[Eldreandel]]&lt;=G$433,G$433,IF(Tabell2[[#This Row],[Eldreandel]]&gt;=G$434,G$434,Tabell2[[#This Row],[Eldreandel]]))</f>
        <v>0.19284678588690188</v>
      </c>
      <c r="Q224" s="41">
        <f>IF(Tabell2[[#This Row],[Sysselsettingsvekst10]]&lt;=H$433,H$433,IF(Tabell2[[#This Row],[Sysselsettingsvekst10]]&gt;=H$434,H$434,Tabell2[[#This Row],[Sysselsettingsvekst10]]))</f>
        <v>-9.2168803558721979E-2</v>
      </c>
      <c r="R224" s="41">
        <f>IF(Tabell2[[#This Row],[Yrkesaktivandel]]&lt;=I$433,I$433,IF(Tabell2[[#This Row],[Yrkesaktivandel]]&gt;=I$434,I$434,Tabell2[[#This Row],[Yrkesaktivandel]]))</f>
        <v>0.88213961922030826</v>
      </c>
      <c r="S224" s="41">
        <f>IF(Tabell2[[#This Row],[Inntekt]]&lt;=J$433,J$433,IF(Tabell2[[#This Row],[Inntekt]]&gt;=J$434,J$434,Tabell2[[#This Row],[Inntekt]]))</f>
        <v>305900</v>
      </c>
      <c r="T224" s="44">
        <f>IF(Tabell2[[#This Row],[NIBR11-T]]&lt;=K$436,100,IF(Tabell2[[#This Row],[NIBR11-T]]&gt;=K$435,0,100*(K$435-Tabell2[[#This Row],[NIBR11-T]])/K$438))</f>
        <v>100</v>
      </c>
      <c r="U224" s="44">
        <f>(L$435-Tabell2[[#This Row],[ReisetidOslo-T]])*100/L$438</f>
        <v>32.46128735837128</v>
      </c>
      <c r="V224" s="44">
        <f>100-(M$435-Tabell2[[#This Row],[Beftettotal-T]])*100/M$438</f>
        <v>3.6494393917635932</v>
      </c>
      <c r="W224" s="44">
        <f>100-(N$435-Tabell2[[#This Row],[Befvekst10-T]])*100/N$438</f>
        <v>33.188349072647327</v>
      </c>
      <c r="X224" s="44">
        <f>100-(O$435-Tabell2[[#This Row],[Kvinneandel-T]])*100/O$438</f>
        <v>48.586870812885941</v>
      </c>
      <c r="Y224" s="44">
        <f>(P$435-Tabell2[[#This Row],[Eldreandel-T]])*100/P$438</f>
        <v>7.1785504968448741</v>
      </c>
      <c r="Z224" s="44">
        <f>100-(Q$435-Tabell2[[#This Row],[Sysselsettingsvekst10-T]])*100/Q$438</f>
        <v>0</v>
      </c>
      <c r="AA224" s="44">
        <f>100-(R$435-Tabell2[[#This Row],[Yrkesaktivandel-T]])*100/R$438</f>
        <v>41.603176020508926</v>
      </c>
      <c r="AB224" s="44">
        <f>100-(S$435-Tabell2[[#This Row],[Inntekt-T]])*100/S$438</f>
        <v>18.705818379554103</v>
      </c>
      <c r="AC224" s="44">
        <f>Tabell2[[#This Row],[NIBR11-I]]*Vekter!$B$3</f>
        <v>20</v>
      </c>
      <c r="AD224" s="44">
        <f>Tabell2[[#This Row],[ReisetidOslo-I]]*Vekter!$C$3</f>
        <v>3.2461287358371282</v>
      </c>
      <c r="AE224" s="44">
        <f>Tabell2[[#This Row],[Beftettotal-I]]*Vekter!$E$4</f>
        <v>0.36494393917635937</v>
      </c>
      <c r="AF224" s="44">
        <f>Tabell2[[#This Row],[Befvekst10-I]]*Vekter!$F$3</f>
        <v>6.6376698145294659</v>
      </c>
      <c r="AG224" s="44">
        <f>Tabell2[[#This Row],[Kvinneandel-I]]*Vekter!$G$3</f>
        <v>2.4293435406442971</v>
      </c>
      <c r="AH224" s="44">
        <f>Tabell2[[#This Row],[Eldreandel-I]]*Vekter!$H$3</f>
        <v>0.35892752484224372</v>
      </c>
      <c r="AI224" s="44">
        <f>Tabell2[[#This Row],[Sysselsettingsvekst10-I]]*Vekter!$I$3</f>
        <v>0</v>
      </c>
      <c r="AJ224" s="44">
        <f>Tabell2[[#This Row],[Yrkesaktivandel-I]]*Vekter!$K$3</f>
        <v>4.1603176020508927</v>
      </c>
      <c r="AK224" s="44">
        <f>Tabell2[[#This Row],[Inntekt-I]]*Vekter!$M$3</f>
        <v>1.8705818379554104</v>
      </c>
      <c r="AL22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39.067912995035805</v>
      </c>
    </row>
    <row r="225" spans="1:38" s="38" customFormat="1" ht="12.75">
      <c r="A225" s="42" t="s">
        <v>223</v>
      </c>
      <c r="B225" s="38">
        <f>'Rådata-K'!Q225</f>
        <v>5</v>
      </c>
      <c r="C225" s="44">
        <f>'Rådata-K'!P225</f>
        <v>230.6496714914</v>
      </c>
      <c r="D225" s="41">
        <f>'Rådata-K'!R225</f>
        <v>0.89773140846779076</v>
      </c>
      <c r="E225" s="41">
        <f>'Rådata-K'!S225</f>
        <v>7.2463768115942129E-2</v>
      </c>
      <c r="F225" s="41">
        <f>'Rådata-K'!T225</f>
        <v>0.11351351351351352</v>
      </c>
      <c r="G225" s="41">
        <f>'Rådata-K'!U225</f>
        <v>0.14324324324324325</v>
      </c>
      <c r="H225" s="41">
        <f>'Rådata-K'!V225</f>
        <v>5.2380952380952417E-2</v>
      </c>
      <c r="I225" s="41">
        <f>'Rådata-K'!W225</f>
        <v>0.87939698492462315</v>
      </c>
      <c r="J225" s="41">
        <f>'Rådata-K'!O225</f>
        <v>321900</v>
      </c>
      <c r="K225" s="41">
        <f>Tabell2[[#This Row],[NIBR11]]</f>
        <v>5</v>
      </c>
      <c r="L225" s="41">
        <f>IF(Tabell2[[#This Row],[ReisetidOslo]]&lt;=C$433,C$433,IF(Tabell2[[#This Row],[ReisetidOslo]]&gt;=C$434,C$434,Tabell2[[#This Row],[ReisetidOslo]]))</f>
        <v>230.6496714914</v>
      </c>
      <c r="M225" s="41">
        <f>IF(Tabell2[[#This Row],[Beftettotal]]&lt;=D$433,D$433,IF(Tabell2[[#This Row],[Beftettotal]]&gt;=D$434,D$434,Tabell2[[#This Row],[Beftettotal]]))</f>
        <v>1.3207758882127238</v>
      </c>
      <c r="N225" s="41">
        <f>IF(Tabell2[[#This Row],[Befvekst10]]&lt;=E$433,E$433,IF(Tabell2[[#This Row],[Befvekst10]]&gt;=E$434,E$434,Tabell2[[#This Row],[Befvekst10]]))</f>
        <v>7.2463768115942129E-2</v>
      </c>
      <c r="O225" s="41">
        <f>IF(Tabell2[[#This Row],[Kvinneandel]]&lt;=F$433,F$433,IF(Tabell2[[#This Row],[Kvinneandel]]&gt;=F$434,F$434,Tabell2[[#This Row],[Kvinneandel]]))</f>
        <v>0.11351351351351352</v>
      </c>
      <c r="P225" s="41">
        <f>IF(Tabell2[[#This Row],[Eldreandel]]&lt;=G$433,G$433,IF(Tabell2[[#This Row],[Eldreandel]]&gt;=G$434,G$434,Tabell2[[#This Row],[Eldreandel]]))</f>
        <v>0.14324324324324325</v>
      </c>
      <c r="Q225" s="41">
        <f>IF(Tabell2[[#This Row],[Sysselsettingsvekst10]]&lt;=H$433,H$433,IF(Tabell2[[#This Row],[Sysselsettingsvekst10]]&gt;=H$434,H$434,Tabell2[[#This Row],[Sysselsettingsvekst10]]))</f>
        <v>5.2380952380952417E-2</v>
      </c>
      <c r="R225" s="41">
        <f>IF(Tabell2[[#This Row],[Yrkesaktivandel]]&lt;=I$433,I$433,IF(Tabell2[[#This Row],[Yrkesaktivandel]]&gt;=I$434,I$434,Tabell2[[#This Row],[Yrkesaktivandel]]))</f>
        <v>0.87939698492462315</v>
      </c>
      <c r="S225" s="41">
        <f>IF(Tabell2[[#This Row],[Inntekt]]&lt;=J$433,J$433,IF(Tabell2[[#This Row],[Inntekt]]&gt;=J$434,J$434,Tabell2[[#This Row],[Inntekt]]))</f>
        <v>321900</v>
      </c>
      <c r="T225" s="44">
        <f>IF(Tabell2[[#This Row],[NIBR11-T]]&lt;=K$436,100,IF(Tabell2[[#This Row],[NIBR11-T]]&gt;=K$435,0,100*(K$435-Tabell2[[#This Row],[NIBR11-T]])/K$438))</f>
        <v>60</v>
      </c>
      <c r="U225" s="44">
        <f>(L$435-Tabell2[[#This Row],[ReisetidOslo-T]])*100/L$438</f>
        <v>21.489829747203874</v>
      </c>
      <c r="V225" s="44">
        <f>100-(M$435-Tabell2[[#This Row],[Beftettotal-T]])*100/M$438</f>
        <v>0</v>
      </c>
      <c r="W225" s="44">
        <f>100-(N$435-Tabell2[[#This Row],[Befvekst10-T]])*100/N$438</f>
        <v>68.009347676132222</v>
      </c>
      <c r="X225" s="44">
        <f>100-(O$435-Tabell2[[#This Row],[Kvinneandel-T]])*100/O$438</f>
        <v>59.643098834385867</v>
      </c>
      <c r="Y225" s="44">
        <f>(P$435-Tabell2[[#This Row],[Eldreandel-T]])*100/P$438</f>
        <v>65.581545917652193</v>
      </c>
      <c r="Z225" s="44">
        <f>100-(Q$435-Tabell2[[#This Row],[Sysselsettingsvekst10-T]])*100/Q$438</f>
        <v>42.500097039911289</v>
      </c>
      <c r="AA225" s="44">
        <f>100-(R$435-Tabell2[[#This Row],[Yrkesaktivandel-T]])*100/R$438</f>
        <v>39.555027167018906</v>
      </c>
      <c r="AB225" s="44">
        <f>100-(S$435-Tabell2[[#This Row],[Inntekt-T]])*100/S$438</f>
        <v>40.456769983686783</v>
      </c>
      <c r="AC225" s="44">
        <f>Tabell2[[#This Row],[NIBR11-I]]*Vekter!$B$3</f>
        <v>12</v>
      </c>
      <c r="AD225" s="44">
        <f>Tabell2[[#This Row],[ReisetidOslo-I]]*Vekter!$C$3</f>
        <v>2.1489829747203877</v>
      </c>
      <c r="AE225" s="44">
        <f>Tabell2[[#This Row],[Beftettotal-I]]*Vekter!$E$4</f>
        <v>0</v>
      </c>
      <c r="AF225" s="44">
        <f>Tabell2[[#This Row],[Befvekst10-I]]*Vekter!$F$3</f>
        <v>13.601869535226445</v>
      </c>
      <c r="AG225" s="44">
        <f>Tabell2[[#This Row],[Kvinneandel-I]]*Vekter!$G$3</f>
        <v>2.9821549417192936</v>
      </c>
      <c r="AH225" s="44">
        <f>Tabell2[[#This Row],[Eldreandel-I]]*Vekter!$H$3</f>
        <v>3.27907729588261</v>
      </c>
      <c r="AI225" s="44">
        <f>Tabell2[[#This Row],[Sysselsettingsvekst10-I]]*Vekter!$I$3</f>
        <v>4.2500097039911289</v>
      </c>
      <c r="AJ225" s="44">
        <f>Tabell2[[#This Row],[Yrkesaktivandel-I]]*Vekter!$K$3</f>
        <v>3.9555027167018908</v>
      </c>
      <c r="AK225" s="44">
        <f>Tabell2[[#This Row],[Inntekt-I]]*Vekter!$M$3</f>
        <v>4.0456769983686787</v>
      </c>
      <c r="AL22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46.263274166610437</v>
      </c>
    </row>
    <row r="226" spans="1:38" s="38" customFormat="1" ht="12.75">
      <c r="A226" s="42" t="s">
        <v>224</v>
      </c>
      <c r="B226" s="38">
        <f>'Rådata-K'!Q226</f>
        <v>1</v>
      </c>
      <c r="C226" s="44">
        <f>'Rådata-K'!P226</f>
        <v>190.7207743479</v>
      </c>
      <c r="D226" s="41">
        <f>'Rådata-K'!R226</f>
        <v>29.474468001724343</v>
      </c>
      <c r="E226" s="41">
        <f>'Rådata-K'!S226</f>
        <v>5.8699324324324342E-2</v>
      </c>
      <c r="F226" s="41">
        <f>'Rådata-K'!T226</f>
        <v>0.11873421087621328</v>
      </c>
      <c r="G226" s="41">
        <f>'Rådata-K'!U226</f>
        <v>0.14040686078978859</v>
      </c>
      <c r="H226" s="41">
        <f>'Rådata-K'!V226</f>
        <v>8.2810539523211935E-2</v>
      </c>
      <c r="I226" s="41">
        <f>'Rådata-K'!W226</f>
        <v>0.90030566658829059</v>
      </c>
      <c r="J226" s="41">
        <f>'Rådata-K'!O226</f>
        <v>324100</v>
      </c>
      <c r="K226" s="41">
        <f>Tabell2[[#This Row],[NIBR11]]</f>
        <v>1</v>
      </c>
      <c r="L226" s="41">
        <f>IF(Tabell2[[#This Row],[ReisetidOslo]]&lt;=C$433,C$433,IF(Tabell2[[#This Row],[ReisetidOslo]]&gt;=C$434,C$434,Tabell2[[#This Row],[ReisetidOslo]]))</f>
        <v>190.7207743479</v>
      </c>
      <c r="M226" s="41">
        <f>IF(Tabell2[[#This Row],[Beftettotal]]&lt;=D$433,D$433,IF(Tabell2[[#This Row],[Beftettotal]]&gt;=D$434,D$434,Tabell2[[#This Row],[Beftettotal]]))</f>
        <v>29.474468001724343</v>
      </c>
      <c r="N226" s="41">
        <f>IF(Tabell2[[#This Row],[Befvekst10]]&lt;=E$433,E$433,IF(Tabell2[[#This Row],[Befvekst10]]&gt;=E$434,E$434,Tabell2[[#This Row],[Befvekst10]]))</f>
        <v>5.8699324324324342E-2</v>
      </c>
      <c r="O226" s="41">
        <f>IF(Tabell2[[#This Row],[Kvinneandel]]&lt;=F$433,F$433,IF(Tabell2[[#This Row],[Kvinneandel]]&gt;=F$434,F$434,Tabell2[[#This Row],[Kvinneandel]]))</f>
        <v>0.11873421087621328</v>
      </c>
      <c r="P226" s="41">
        <f>IF(Tabell2[[#This Row],[Eldreandel]]&lt;=G$433,G$433,IF(Tabell2[[#This Row],[Eldreandel]]&gt;=G$434,G$434,Tabell2[[#This Row],[Eldreandel]]))</f>
        <v>0.14040686078978859</v>
      </c>
      <c r="Q226" s="41">
        <f>IF(Tabell2[[#This Row],[Sysselsettingsvekst10]]&lt;=H$433,H$433,IF(Tabell2[[#This Row],[Sysselsettingsvekst10]]&gt;=H$434,H$434,Tabell2[[#This Row],[Sysselsettingsvekst10]]))</f>
        <v>8.2810539523211935E-2</v>
      </c>
      <c r="R226" s="41">
        <f>IF(Tabell2[[#This Row],[Yrkesaktivandel]]&lt;=I$433,I$433,IF(Tabell2[[#This Row],[Yrkesaktivandel]]&gt;=I$434,I$434,Tabell2[[#This Row],[Yrkesaktivandel]]))</f>
        <v>0.90030566658829059</v>
      </c>
      <c r="S226" s="41">
        <f>IF(Tabell2[[#This Row],[Inntekt]]&lt;=J$433,J$433,IF(Tabell2[[#This Row],[Inntekt]]&gt;=J$434,J$434,Tabell2[[#This Row],[Inntekt]]))</f>
        <v>324100</v>
      </c>
      <c r="T226" s="44">
        <f>IF(Tabell2[[#This Row],[NIBR11-T]]&lt;=K$436,100,IF(Tabell2[[#This Row],[NIBR11-T]]&gt;=K$435,0,100*(K$435-Tabell2[[#This Row],[NIBR11-T]])/K$438))</f>
        <v>100</v>
      </c>
      <c r="U226" s="44">
        <f>(L$435-Tabell2[[#This Row],[ReisetidOslo-T]])*100/L$438</f>
        <v>39.216287266013275</v>
      </c>
      <c r="V226" s="44">
        <f>100-(M$435-Tabell2[[#This Row],[Beftettotal-T]])*100/M$438</f>
        <v>23.029911947068001</v>
      </c>
      <c r="W226" s="44">
        <f>100-(N$435-Tabell2[[#This Row],[Befvekst10-T]])*100/N$438</f>
        <v>62.314792500016573</v>
      </c>
      <c r="X226" s="44">
        <f>100-(O$435-Tabell2[[#This Row],[Kvinneandel-T]])*100/O$438</f>
        <v>73.929334175119251</v>
      </c>
      <c r="Y226" s="44">
        <f>(P$435-Tabell2[[#This Row],[Eldreandel-T]])*100/P$438</f>
        <v>68.921090285093612</v>
      </c>
      <c r="Z226" s="44">
        <f>100-(Q$435-Tabell2[[#This Row],[Sysselsettingsvekst10-T]])*100/Q$438</f>
        <v>51.446915372625647</v>
      </c>
      <c r="AA226" s="44">
        <f>100-(R$435-Tabell2[[#This Row],[Yrkesaktivandel-T]])*100/R$438</f>
        <v>55.169246111484711</v>
      </c>
      <c r="AB226" s="44">
        <f>100-(S$435-Tabell2[[#This Row],[Inntekt-T]])*100/S$438</f>
        <v>43.447525829255028</v>
      </c>
      <c r="AC226" s="44">
        <f>Tabell2[[#This Row],[NIBR11-I]]*Vekter!$B$3</f>
        <v>20</v>
      </c>
      <c r="AD226" s="44">
        <f>Tabell2[[#This Row],[ReisetidOslo-I]]*Vekter!$C$3</f>
        <v>3.9216287266013277</v>
      </c>
      <c r="AE226" s="44">
        <f>Tabell2[[#This Row],[Beftettotal-I]]*Vekter!$E$4</f>
        <v>2.3029911947068</v>
      </c>
      <c r="AF226" s="44">
        <f>Tabell2[[#This Row],[Befvekst10-I]]*Vekter!$F$3</f>
        <v>12.462958500003316</v>
      </c>
      <c r="AG226" s="44">
        <f>Tabell2[[#This Row],[Kvinneandel-I]]*Vekter!$G$3</f>
        <v>3.6964667087559628</v>
      </c>
      <c r="AH226" s="44">
        <f>Tabell2[[#This Row],[Eldreandel-I]]*Vekter!$H$3</f>
        <v>3.4460545142546808</v>
      </c>
      <c r="AI226" s="44">
        <f>Tabell2[[#This Row],[Sysselsettingsvekst10-I]]*Vekter!$I$3</f>
        <v>5.144691537262565</v>
      </c>
      <c r="AJ226" s="44">
        <f>Tabell2[[#This Row],[Yrkesaktivandel-I]]*Vekter!$K$3</f>
        <v>5.5169246111484718</v>
      </c>
      <c r="AK226" s="44">
        <f>Tabell2[[#This Row],[Inntekt-I]]*Vekter!$M$3</f>
        <v>4.3447525829255031</v>
      </c>
      <c r="AL22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60.836468375658633</v>
      </c>
    </row>
    <row r="227" spans="1:38" s="38" customFormat="1" ht="12.75">
      <c r="A227" s="42" t="s">
        <v>225</v>
      </c>
      <c r="B227" s="38">
        <f>'Rådata-K'!Q227</f>
        <v>1</v>
      </c>
      <c r="C227" s="44">
        <f>'Rådata-K'!P227</f>
        <v>188.41234132950001</v>
      </c>
      <c r="D227" s="41">
        <f>'Rådata-K'!R227</f>
        <v>75.99092774597689</v>
      </c>
      <c r="E227" s="41">
        <f>'Rådata-K'!S227</f>
        <v>0.26161018468710773</v>
      </c>
      <c r="F227" s="41">
        <f>'Rådata-K'!T227</f>
        <v>0.13473564525298465</v>
      </c>
      <c r="G227" s="41">
        <f>'Rådata-K'!U227</f>
        <v>9.437180216031836E-2</v>
      </c>
      <c r="H227" s="41">
        <f>'Rådata-K'!V227</f>
        <v>0.36835193696651336</v>
      </c>
      <c r="I227" s="41">
        <f>'Rådata-K'!W227</f>
        <v>0.88150851581508516</v>
      </c>
      <c r="J227" s="41">
        <f>'Rådata-K'!O227</f>
        <v>358600</v>
      </c>
      <c r="K227" s="41">
        <f>Tabell2[[#This Row],[NIBR11]]</f>
        <v>1</v>
      </c>
      <c r="L227" s="41">
        <f>IF(Tabell2[[#This Row],[ReisetidOslo]]&lt;=C$433,C$433,IF(Tabell2[[#This Row],[ReisetidOslo]]&gt;=C$434,C$434,Tabell2[[#This Row],[ReisetidOslo]]))</f>
        <v>188.41234132950001</v>
      </c>
      <c r="M227" s="41">
        <f>IF(Tabell2[[#This Row],[Beftettotal]]&lt;=D$433,D$433,IF(Tabell2[[#This Row],[Beftettotal]]&gt;=D$434,D$434,Tabell2[[#This Row],[Beftettotal]]))</f>
        <v>75.99092774597689</v>
      </c>
      <c r="N227" s="41">
        <f>IF(Tabell2[[#This Row],[Befvekst10]]&lt;=E$433,E$433,IF(Tabell2[[#This Row],[Befvekst10]]&gt;=E$434,E$434,Tabell2[[#This Row],[Befvekst10]]))</f>
        <v>0.149789129298837</v>
      </c>
      <c r="O227" s="41">
        <f>IF(Tabell2[[#This Row],[Kvinneandel]]&lt;=F$433,F$433,IF(Tabell2[[#This Row],[Kvinneandel]]&gt;=F$434,F$434,Tabell2[[#This Row],[Kvinneandel]]))</f>
        <v>0.12826135732659469</v>
      </c>
      <c r="P227" s="41">
        <f>IF(Tabell2[[#This Row],[Eldreandel]]&lt;=G$433,G$433,IF(Tabell2[[#This Row],[Eldreandel]]&gt;=G$434,G$434,Tabell2[[#This Row],[Eldreandel]]))</f>
        <v>0.11401054306234992</v>
      </c>
      <c r="Q227" s="41">
        <f>IF(Tabell2[[#This Row],[Sysselsettingsvekst10]]&lt;=H$433,H$433,IF(Tabell2[[#This Row],[Sysselsettingsvekst10]]&gt;=H$434,H$434,Tabell2[[#This Row],[Sysselsettingsvekst10]]))</f>
        <v>0.24794749265568336</v>
      </c>
      <c r="R227" s="41">
        <f>IF(Tabell2[[#This Row],[Yrkesaktivandel]]&lt;=I$433,I$433,IF(Tabell2[[#This Row],[Yrkesaktivandel]]&gt;=I$434,I$434,Tabell2[[#This Row],[Yrkesaktivandel]]))</f>
        <v>0.88150851581508516</v>
      </c>
      <c r="S227" s="41">
        <f>IF(Tabell2[[#This Row],[Inntekt]]&lt;=J$433,J$433,IF(Tabell2[[#This Row],[Inntekt]]&gt;=J$434,J$434,Tabell2[[#This Row],[Inntekt]]))</f>
        <v>358600</v>
      </c>
      <c r="T227" s="44">
        <f>IF(Tabell2[[#This Row],[NIBR11-T]]&lt;=K$436,100,IF(Tabell2[[#This Row],[NIBR11-T]]&gt;=K$435,0,100*(K$435-Tabell2[[#This Row],[NIBR11-T]])/K$438))</f>
        <v>100</v>
      </c>
      <c r="U227" s="44">
        <f>(L$435-Tabell2[[#This Row],[ReisetidOslo-T]])*100/L$438</f>
        <v>40.241117470780054</v>
      </c>
      <c r="V227" s="44">
        <f>100-(M$435-Tabell2[[#This Row],[Beftettotal-T]])*100/M$438</f>
        <v>61.080692913211372</v>
      </c>
      <c r="W227" s="44">
        <f>100-(N$435-Tabell2[[#This Row],[Befvekst10-T]])*100/N$438</f>
        <v>100</v>
      </c>
      <c r="X227" s="44">
        <f>100-(O$435-Tabell2[[#This Row],[Kvinneandel-T]])*100/O$438</f>
        <v>100</v>
      </c>
      <c r="Y227" s="44">
        <f>(P$435-Tabell2[[#This Row],[Eldreandel-T]])*100/P$438</f>
        <v>100</v>
      </c>
      <c r="Z227" s="44">
        <f>100-(Q$435-Tabell2[[#This Row],[Sysselsettingsvekst10-T]])*100/Q$438</f>
        <v>100</v>
      </c>
      <c r="AA227" s="44">
        <f>100-(R$435-Tabell2[[#This Row],[Yrkesaktivandel-T]])*100/R$438</f>
        <v>41.131879603821162</v>
      </c>
      <c r="AB227" s="44">
        <f>100-(S$435-Tabell2[[#This Row],[Inntekt-T]])*100/S$438</f>
        <v>90.348015225666117</v>
      </c>
      <c r="AC227" s="44">
        <f>Tabell2[[#This Row],[NIBR11-I]]*Vekter!$B$3</f>
        <v>20</v>
      </c>
      <c r="AD227" s="44">
        <f>Tabell2[[#This Row],[ReisetidOslo-I]]*Vekter!$C$3</f>
        <v>4.0241117470780052</v>
      </c>
      <c r="AE227" s="44">
        <f>Tabell2[[#This Row],[Beftettotal-I]]*Vekter!$E$4</f>
        <v>6.1080692913211374</v>
      </c>
      <c r="AF227" s="44">
        <f>Tabell2[[#This Row],[Befvekst10-I]]*Vekter!$F$3</f>
        <v>20</v>
      </c>
      <c r="AG227" s="44">
        <f>Tabell2[[#This Row],[Kvinneandel-I]]*Vekter!$G$3</f>
        <v>5</v>
      </c>
      <c r="AH227" s="44">
        <f>Tabell2[[#This Row],[Eldreandel-I]]*Vekter!$H$3</f>
        <v>5</v>
      </c>
      <c r="AI227" s="44">
        <f>Tabell2[[#This Row],[Sysselsettingsvekst10-I]]*Vekter!$I$3</f>
        <v>10</v>
      </c>
      <c r="AJ227" s="44">
        <f>Tabell2[[#This Row],[Yrkesaktivandel-I]]*Vekter!$K$3</f>
        <v>4.113187960382116</v>
      </c>
      <c r="AK227" s="44">
        <f>Tabell2[[#This Row],[Inntekt-I]]*Vekter!$M$3</f>
        <v>9.0348015225666121</v>
      </c>
      <c r="AL22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83.28017052134787</v>
      </c>
    </row>
    <row r="228" spans="1:38" s="38" customFormat="1" ht="12.75">
      <c r="A228" s="42" t="s">
        <v>226</v>
      </c>
      <c r="B228" s="38">
        <f>'Rådata-K'!Q228</f>
        <v>1</v>
      </c>
      <c r="C228" s="44">
        <f>'Rådata-K'!P228</f>
        <v>201.9975581134</v>
      </c>
      <c r="D228" s="41">
        <f>'Rådata-K'!R228</f>
        <v>66.381252816584052</v>
      </c>
      <c r="E228" s="41">
        <f>'Rådata-K'!S228</f>
        <v>0.16719492868462749</v>
      </c>
      <c r="F228" s="41">
        <f>'Rådata-K'!T228</f>
        <v>0.12129441050011315</v>
      </c>
      <c r="G228" s="41">
        <f>'Rådata-K'!U228</f>
        <v>0.12672550350758091</v>
      </c>
      <c r="H228" s="41">
        <f>'Rådata-K'!V228</f>
        <v>0.25683060109289624</v>
      </c>
      <c r="I228" s="41">
        <f>'Rådata-K'!W228</f>
        <v>0.854043392504931</v>
      </c>
      <c r="J228" s="41">
        <f>'Rådata-K'!O228</f>
        <v>349500</v>
      </c>
      <c r="K228" s="41">
        <f>Tabell2[[#This Row],[NIBR11]]</f>
        <v>1</v>
      </c>
      <c r="L228" s="41">
        <f>IF(Tabell2[[#This Row],[ReisetidOslo]]&lt;=C$433,C$433,IF(Tabell2[[#This Row],[ReisetidOslo]]&gt;=C$434,C$434,Tabell2[[#This Row],[ReisetidOslo]]))</f>
        <v>201.9975581134</v>
      </c>
      <c r="M228" s="41">
        <f>IF(Tabell2[[#This Row],[Beftettotal]]&lt;=D$433,D$433,IF(Tabell2[[#This Row],[Beftettotal]]&gt;=D$434,D$434,Tabell2[[#This Row],[Beftettotal]]))</f>
        <v>66.381252816584052</v>
      </c>
      <c r="N228" s="41">
        <f>IF(Tabell2[[#This Row],[Befvekst10]]&lt;=E$433,E$433,IF(Tabell2[[#This Row],[Befvekst10]]&gt;=E$434,E$434,Tabell2[[#This Row],[Befvekst10]]))</f>
        <v>0.149789129298837</v>
      </c>
      <c r="O228" s="41">
        <f>IF(Tabell2[[#This Row],[Kvinneandel]]&lt;=F$433,F$433,IF(Tabell2[[#This Row],[Kvinneandel]]&gt;=F$434,F$434,Tabell2[[#This Row],[Kvinneandel]]))</f>
        <v>0.12129441050011315</v>
      </c>
      <c r="P228" s="41">
        <f>IF(Tabell2[[#This Row],[Eldreandel]]&lt;=G$433,G$433,IF(Tabell2[[#This Row],[Eldreandel]]&gt;=G$434,G$434,Tabell2[[#This Row],[Eldreandel]]))</f>
        <v>0.12672550350758091</v>
      </c>
      <c r="Q228" s="41">
        <f>IF(Tabell2[[#This Row],[Sysselsettingsvekst10]]&lt;=H$433,H$433,IF(Tabell2[[#This Row],[Sysselsettingsvekst10]]&gt;=H$434,H$434,Tabell2[[#This Row],[Sysselsettingsvekst10]]))</f>
        <v>0.24794749265568336</v>
      </c>
      <c r="R228" s="41">
        <f>IF(Tabell2[[#This Row],[Yrkesaktivandel]]&lt;=I$433,I$433,IF(Tabell2[[#This Row],[Yrkesaktivandel]]&gt;=I$434,I$434,Tabell2[[#This Row],[Yrkesaktivandel]]))</f>
        <v>0.854043392504931</v>
      </c>
      <c r="S228" s="41">
        <f>IF(Tabell2[[#This Row],[Inntekt]]&lt;=J$433,J$433,IF(Tabell2[[#This Row],[Inntekt]]&gt;=J$434,J$434,Tabell2[[#This Row],[Inntekt]]))</f>
        <v>349500</v>
      </c>
      <c r="T228" s="44">
        <f>IF(Tabell2[[#This Row],[NIBR11-T]]&lt;=K$436,100,IF(Tabell2[[#This Row],[NIBR11-T]]&gt;=K$435,0,100*(K$435-Tabell2[[#This Row],[NIBR11-T]])/K$438))</f>
        <v>100</v>
      </c>
      <c r="U228" s="44">
        <f>(L$435-Tabell2[[#This Row],[ReisetidOslo-T]])*100/L$438</f>
        <v>34.209952439145248</v>
      </c>
      <c r="V228" s="44">
        <f>100-(M$435-Tabell2[[#This Row],[Beftettotal-T]])*100/M$438</f>
        <v>53.219913354652086</v>
      </c>
      <c r="W228" s="44">
        <f>100-(N$435-Tabell2[[#This Row],[Befvekst10-T]])*100/N$438</f>
        <v>100</v>
      </c>
      <c r="X228" s="44">
        <f>100-(O$435-Tabell2[[#This Row],[Kvinneandel-T]])*100/O$438</f>
        <v>80.935220899680616</v>
      </c>
      <c r="Y228" s="44">
        <f>(P$435-Tabell2[[#This Row],[Eldreandel-T]])*100/P$438</f>
        <v>85.029460859414939</v>
      </c>
      <c r="Z228" s="44">
        <f>100-(Q$435-Tabell2[[#This Row],[Sysselsettingsvekst10-T]])*100/Q$438</f>
        <v>100</v>
      </c>
      <c r="AA228" s="44">
        <f>100-(R$435-Tabell2[[#This Row],[Yrkesaktivandel-T]])*100/R$438</f>
        <v>20.621430614266018</v>
      </c>
      <c r="AB228" s="44">
        <f>100-(S$435-Tabell2[[#This Row],[Inntekt-T]])*100/S$438</f>
        <v>77.977161500815669</v>
      </c>
      <c r="AC228" s="44">
        <f>Tabell2[[#This Row],[NIBR11-I]]*Vekter!$B$3</f>
        <v>20</v>
      </c>
      <c r="AD228" s="44">
        <f>Tabell2[[#This Row],[ReisetidOslo-I]]*Vekter!$C$3</f>
        <v>3.420995243914525</v>
      </c>
      <c r="AE228" s="44">
        <f>Tabell2[[#This Row],[Beftettotal-I]]*Vekter!$E$4</f>
        <v>5.3219913354652091</v>
      </c>
      <c r="AF228" s="44">
        <f>Tabell2[[#This Row],[Befvekst10-I]]*Vekter!$F$3</f>
        <v>20</v>
      </c>
      <c r="AG228" s="44">
        <f>Tabell2[[#This Row],[Kvinneandel-I]]*Vekter!$G$3</f>
        <v>4.0467610449840308</v>
      </c>
      <c r="AH228" s="44">
        <f>Tabell2[[#This Row],[Eldreandel-I]]*Vekter!$H$3</f>
        <v>4.2514730429707468</v>
      </c>
      <c r="AI228" s="44">
        <f>Tabell2[[#This Row],[Sysselsettingsvekst10-I]]*Vekter!$I$3</f>
        <v>10</v>
      </c>
      <c r="AJ228" s="44">
        <f>Tabell2[[#This Row],[Yrkesaktivandel-I]]*Vekter!$K$3</f>
        <v>2.0621430614266019</v>
      </c>
      <c r="AK228" s="44">
        <f>Tabell2[[#This Row],[Inntekt-I]]*Vekter!$M$3</f>
        <v>7.797716150081567</v>
      </c>
      <c r="AL22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76.901079878842665</v>
      </c>
    </row>
    <row r="229" spans="1:38" s="38" customFormat="1" ht="12.75">
      <c r="A229" s="42" t="s">
        <v>227</v>
      </c>
      <c r="B229" s="38">
        <f>'Rådata-K'!Q229</f>
        <v>1</v>
      </c>
      <c r="C229" s="44">
        <f>'Rådata-K'!P229</f>
        <v>209.8803556702</v>
      </c>
      <c r="D229" s="41">
        <f>'Rådata-K'!R229</f>
        <v>44.273580688421994</v>
      </c>
      <c r="E229" s="41">
        <f>'Rådata-K'!S229</f>
        <v>7.2325682113469014E-2</v>
      </c>
      <c r="F229" s="41">
        <f>'Rådata-K'!T229</f>
        <v>0.11712439418416801</v>
      </c>
      <c r="G229" s="41">
        <f>'Rådata-K'!U229</f>
        <v>0.14054927302100162</v>
      </c>
      <c r="H229" s="41">
        <f>'Rådata-K'!V229</f>
        <v>4.6419098143235971E-2</v>
      </c>
      <c r="I229" s="41">
        <f>'Rådata-K'!W229</f>
        <v>0.88557558945908466</v>
      </c>
      <c r="J229" s="41">
        <f>'Rådata-K'!O229</f>
        <v>323700</v>
      </c>
      <c r="K229" s="41">
        <f>Tabell2[[#This Row],[NIBR11]]</f>
        <v>1</v>
      </c>
      <c r="L229" s="41">
        <f>IF(Tabell2[[#This Row],[ReisetidOslo]]&lt;=C$433,C$433,IF(Tabell2[[#This Row],[ReisetidOslo]]&gt;=C$434,C$434,Tabell2[[#This Row],[ReisetidOslo]]))</f>
        <v>209.8803556702</v>
      </c>
      <c r="M229" s="41">
        <f>IF(Tabell2[[#This Row],[Beftettotal]]&lt;=D$433,D$433,IF(Tabell2[[#This Row],[Beftettotal]]&gt;=D$434,D$434,Tabell2[[#This Row],[Beftettotal]]))</f>
        <v>44.273580688421994</v>
      </c>
      <c r="N229" s="41">
        <f>IF(Tabell2[[#This Row],[Befvekst10]]&lt;=E$433,E$433,IF(Tabell2[[#This Row],[Befvekst10]]&gt;=E$434,E$434,Tabell2[[#This Row],[Befvekst10]]))</f>
        <v>7.2325682113469014E-2</v>
      </c>
      <c r="O229" s="41">
        <f>IF(Tabell2[[#This Row],[Kvinneandel]]&lt;=F$433,F$433,IF(Tabell2[[#This Row],[Kvinneandel]]&gt;=F$434,F$434,Tabell2[[#This Row],[Kvinneandel]]))</f>
        <v>0.11712439418416801</v>
      </c>
      <c r="P229" s="41">
        <f>IF(Tabell2[[#This Row],[Eldreandel]]&lt;=G$433,G$433,IF(Tabell2[[#This Row],[Eldreandel]]&gt;=G$434,G$434,Tabell2[[#This Row],[Eldreandel]]))</f>
        <v>0.14054927302100162</v>
      </c>
      <c r="Q229" s="41">
        <f>IF(Tabell2[[#This Row],[Sysselsettingsvekst10]]&lt;=H$433,H$433,IF(Tabell2[[#This Row],[Sysselsettingsvekst10]]&gt;=H$434,H$434,Tabell2[[#This Row],[Sysselsettingsvekst10]]))</f>
        <v>4.6419098143235971E-2</v>
      </c>
      <c r="R229" s="41">
        <f>IF(Tabell2[[#This Row],[Yrkesaktivandel]]&lt;=I$433,I$433,IF(Tabell2[[#This Row],[Yrkesaktivandel]]&gt;=I$434,I$434,Tabell2[[#This Row],[Yrkesaktivandel]]))</f>
        <v>0.88557558945908466</v>
      </c>
      <c r="S229" s="41">
        <f>IF(Tabell2[[#This Row],[Inntekt]]&lt;=J$433,J$433,IF(Tabell2[[#This Row],[Inntekt]]&gt;=J$434,J$434,Tabell2[[#This Row],[Inntekt]]))</f>
        <v>323700</v>
      </c>
      <c r="T229" s="44">
        <f>IF(Tabell2[[#This Row],[NIBR11-T]]&lt;=K$436,100,IF(Tabell2[[#This Row],[NIBR11-T]]&gt;=K$435,0,100*(K$435-Tabell2[[#This Row],[NIBR11-T]])/K$438))</f>
        <v>100</v>
      </c>
      <c r="U229" s="44">
        <f>(L$435-Tabell2[[#This Row],[ReisetidOslo-T]])*100/L$438</f>
        <v>30.710379798363288</v>
      </c>
      <c r="V229" s="44">
        <f>100-(M$435-Tabell2[[#This Row],[Beftettotal-T]])*100/M$438</f>
        <v>35.135686944366299</v>
      </c>
      <c r="W229" s="44">
        <f>100-(N$435-Tabell2[[#This Row],[Befvekst10-T]])*100/N$438</f>
        <v>67.952219442544504</v>
      </c>
      <c r="X229" s="44">
        <f>100-(O$435-Tabell2[[#This Row],[Kvinneandel-T]])*100/O$438</f>
        <v>69.524133390581397</v>
      </c>
      <c r="Y229" s="44">
        <f>(P$435-Tabell2[[#This Row],[Eldreandel-T]])*100/P$438</f>
        <v>68.753414743305171</v>
      </c>
      <c r="Z229" s="44">
        <f>100-(Q$435-Tabell2[[#This Row],[Sysselsettingsvekst10-T]])*100/Q$438</f>
        <v>40.747210070344217</v>
      </c>
      <c r="AA229" s="44">
        <f>100-(R$435-Tabell2[[#This Row],[Yrkesaktivandel-T]])*100/R$438</f>
        <v>44.169095405476625</v>
      </c>
      <c r="AB229" s="44">
        <f>100-(S$435-Tabell2[[#This Row],[Inntekt-T]])*100/S$438</f>
        <v>42.903752039151712</v>
      </c>
      <c r="AC229" s="44">
        <f>Tabell2[[#This Row],[NIBR11-I]]*Vekter!$B$3</f>
        <v>20</v>
      </c>
      <c r="AD229" s="44">
        <f>Tabell2[[#This Row],[ReisetidOslo-I]]*Vekter!$C$3</f>
        <v>3.071037979836329</v>
      </c>
      <c r="AE229" s="44">
        <f>Tabell2[[#This Row],[Beftettotal-I]]*Vekter!$E$4</f>
        <v>3.5135686944366302</v>
      </c>
      <c r="AF229" s="44">
        <f>Tabell2[[#This Row],[Befvekst10-I]]*Vekter!$F$3</f>
        <v>13.590443888508901</v>
      </c>
      <c r="AG229" s="44">
        <f>Tabell2[[#This Row],[Kvinneandel-I]]*Vekter!$G$3</f>
        <v>3.4762066695290699</v>
      </c>
      <c r="AH229" s="44">
        <f>Tabell2[[#This Row],[Eldreandel-I]]*Vekter!$H$3</f>
        <v>3.4376707371652588</v>
      </c>
      <c r="AI229" s="44">
        <f>Tabell2[[#This Row],[Sysselsettingsvekst10-I]]*Vekter!$I$3</f>
        <v>4.0747210070344222</v>
      </c>
      <c r="AJ229" s="44">
        <f>Tabell2[[#This Row],[Yrkesaktivandel-I]]*Vekter!$K$3</f>
        <v>4.416909540547663</v>
      </c>
      <c r="AK229" s="44">
        <f>Tabell2[[#This Row],[Inntekt-I]]*Vekter!$M$3</f>
        <v>4.290375203915171</v>
      </c>
      <c r="AL22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59.87093372097344</v>
      </c>
    </row>
    <row r="230" spans="1:38" s="38" customFormat="1" ht="12.75">
      <c r="A230" s="42" t="s">
        <v>228</v>
      </c>
      <c r="B230" s="38">
        <f>'Rådata-K'!Q230</f>
        <v>1</v>
      </c>
      <c r="C230" s="44">
        <f>'Rådata-K'!P230</f>
        <v>189.42105585589999</v>
      </c>
      <c r="D230" s="41">
        <f>'Rådata-K'!R230</f>
        <v>30.8157734406185</v>
      </c>
      <c r="E230" s="41">
        <f>'Rådata-K'!S230</f>
        <v>0.16301934665398043</v>
      </c>
      <c r="F230" s="41">
        <f>'Rådata-K'!T230</f>
        <v>0.12169348241068993</v>
      </c>
      <c r="G230" s="41">
        <f>'Rådata-K'!U230</f>
        <v>0.1222388873738751</v>
      </c>
      <c r="H230" s="41">
        <f>'Rådata-K'!V230</f>
        <v>0.24430714916151808</v>
      </c>
      <c r="I230" s="41">
        <f>'Rådata-K'!W230</f>
        <v>0.89956176714437996</v>
      </c>
      <c r="J230" s="41">
        <f>'Rådata-K'!O230</f>
        <v>366100</v>
      </c>
      <c r="K230" s="41">
        <f>Tabell2[[#This Row],[NIBR11]]</f>
        <v>1</v>
      </c>
      <c r="L230" s="41">
        <f>IF(Tabell2[[#This Row],[ReisetidOslo]]&lt;=C$433,C$433,IF(Tabell2[[#This Row],[ReisetidOslo]]&gt;=C$434,C$434,Tabell2[[#This Row],[ReisetidOslo]]))</f>
        <v>189.42105585589999</v>
      </c>
      <c r="M230" s="41">
        <f>IF(Tabell2[[#This Row],[Beftettotal]]&lt;=D$433,D$433,IF(Tabell2[[#This Row],[Beftettotal]]&gt;=D$434,D$434,Tabell2[[#This Row],[Beftettotal]]))</f>
        <v>30.8157734406185</v>
      </c>
      <c r="N230" s="41">
        <f>IF(Tabell2[[#This Row],[Befvekst10]]&lt;=E$433,E$433,IF(Tabell2[[#This Row],[Befvekst10]]&gt;=E$434,E$434,Tabell2[[#This Row],[Befvekst10]]))</f>
        <v>0.149789129298837</v>
      </c>
      <c r="O230" s="41">
        <f>IF(Tabell2[[#This Row],[Kvinneandel]]&lt;=F$433,F$433,IF(Tabell2[[#This Row],[Kvinneandel]]&gt;=F$434,F$434,Tabell2[[#This Row],[Kvinneandel]]))</f>
        <v>0.12169348241068993</v>
      </c>
      <c r="P230" s="41">
        <f>IF(Tabell2[[#This Row],[Eldreandel]]&lt;=G$433,G$433,IF(Tabell2[[#This Row],[Eldreandel]]&gt;=G$434,G$434,Tabell2[[#This Row],[Eldreandel]]))</f>
        <v>0.1222388873738751</v>
      </c>
      <c r="Q230" s="41">
        <f>IF(Tabell2[[#This Row],[Sysselsettingsvekst10]]&lt;=H$433,H$433,IF(Tabell2[[#This Row],[Sysselsettingsvekst10]]&gt;=H$434,H$434,Tabell2[[#This Row],[Sysselsettingsvekst10]]))</f>
        <v>0.24430714916151808</v>
      </c>
      <c r="R230" s="41">
        <f>IF(Tabell2[[#This Row],[Yrkesaktivandel]]&lt;=I$433,I$433,IF(Tabell2[[#This Row],[Yrkesaktivandel]]&gt;=I$434,I$434,Tabell2[[#This Row],[Yrkesaktivandel]]))</f>
        <v>0.89956176714437996</v>
      </c>
      <c r="S230" s="41">
        <f>IF(Tabell2[[#This Row],[Inntekt]]&lt;=J$433,J$433,IF(Tabell2[[#This Row],[Inntekt]]&gt;=J$434,J$434,Tabell2[[#This Row],[Inntekt]]))</f>
        <v>365700</v>
      </c>
      <c r="T230" s="44">
        <f>IF(Tabell2[[#This Row],[NIBR11-T]]&lt;=K$436,100,IF(Tabell2[[#This Row],[NIBR11-T]]&gt;=K$435,0,100*(K$435-Tabell2[[#This Row],[NIBR11-T]])/K$438))</f>
        <v>100</v>
      </c>
      <c r="U230" s="44">
        <f>(L$435-Tabell2[[#This Row],[ReisetidOslo-T]])*100/L$438</f>
        <v>39.793298059776205</v>
      </c>
      <c r="V230" s="44">
        <f>100-(M$435-Tabell2[[#This Row],[Beftettotal-T]])*100/M$438</f>
        <v>24.127108933783305</v>
      </c>
      <c r="W230" s="44">
        <f>100-(N$435-Tabell2[[#This Row],[Befvekst10-T]])*100/N$438</f>
        <v>100</v>
      </c>
      <c r="X230" s="44">
        <f>100-(O$435-Tabell2[[#This Row],[Kvinneandel-T]])*100/O$438</f>
        <v>82.027265666172838</v>
      </c>
      <c r="Y230" s="44">
        <f>(P$435-Tabell2[[#This Row],[Eldreandel-T]])*100/P$438</f>
        <v>90.311983186381013</v>
      </c>
      <c r="Z230" s="44">
        <f>100-(Q$435-Tabell2[[#This Row],[Sysselsettingsvekst10-T]])*100/Q$438</f>
        <v>98.929676838574522</v>
      </c>
      <c r="AA230" s="44">
        <f>100-(R$435-Tabell2[[#This Row],[Yrkesaktivandel-T]])*100/R$438</f>
        <v>54.613715687485247</v>
      </c>
      <c r="AB230" s="44">
        <f>100-(S$435-Tabell2[[#This Row],[Inntekt-T]])*100/S$438</f>
        <v>100</v>
      </c>
      <c r="AC230" s="44">
        <f>Tabell2[[#This Row],[NIBR11-I]]*Vekter!$B$3</f>
        <v>20</v>
      </c>
      <c r="AD230" s="44">
        <f>Tabell2[[#This Row],[ReisetidOslo-I]]*Vekter!$C$3</f>
        <v>3.9793298059776205</v>
      </c>
      <c r="AE230" s="44">
        <f>Tabell2[[#This Row],[Beftettotal-I]]*Vekter!$E$4</f>
        <v>2.4127108933783306</v>
      </c>
      <c r="AF230" s="44">
        <f>Tabell2[[#This Row],[Befvekst10-I]]*Vekter!$F$3</f>
        <v>20</v>
      </c>
      <c r="AG230" s="44">
        <f>Tabell2[[#This Row],[Kvinneandel-I]]*Vekter!$G$3</f>
        <v>4.1013632833086424</v>
      </c>
      <c r="AH230" s="44">
        <f>Tabell2[[#This Row],[Eldreandel-I]]*Vekter!$H$3</f>
        <v>4.5155991593190512</v>
      </c>
      <c r="AI230" s="44">
        <f>Tabell2[[#This Row],[Sysselsettingsvekst10-I]]*Vekter!$I$3</f>
        <v>9.892967683857453</v>
      </c>
      <c r="AJ230" s="44">
        <f>Tabell2[[#This Row],[Yrkesaktivandel-I]]*Vekter!$K$3</f>
        <v>5.4613715687485254</v>
      </c>
      <c r="AK230" s="44">
        <f>Tabell2[[#This Row],[Inntekt-I]]*Vekter!$M$3</f>
        <v>10</v>
      </c>
      <c r="AL23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80.363342394589637</v>
      </c>
    </row>
    <row r="231" spans="1:38" s="38" customFormat="1" ht="12.75">
      <c r="A231" s="42" t="s">
        <v>229</v>
      </c>
      <c r="B231" s="38">
        <f>'Rådata-K'!Q231</f>
        <v>1</v>
      </c>
      <c r="C231" s="44">
        <f>'Rådata-K'!P231</f>
        <v>223.17225905230001</v>
      </c>
      <c r="D231" s="41">
        <f>'Rådata-K'!R231</f>
        <v>48.303462676178874</v>
      </c>
      <c r="E231" s="41">
        <f>'Rådata-K'!S231</f>
        <v>0.10377733598409544</v>
      </c>
      <c r="F231" s="41">
        <f>'Rådata-K'!T231</f>
        <v>0.11239193083573487</v>
      </c>
      <c r="G231" s="41">
        <f>'Rådata-K'!U231</f>
        <v>0.14661383285302593</v>
      </c>
      <c r="H231" s="41">
        <f>'Rådata-K'!V231</f>
        <v>0.1617195496417605</v>
      </c>
      <c r="I231" s="41">
        <f>'Rådata-K'!W231</f>
        <v>0.90359975594874919</v>
      </c>
      <c r="J231" s="41">
        <f>'Rådata-K'!O231</f>
        <v>378500</v>
      </c>
      <c r="K231" s="41">
        <f>Tabell2[[#This Row],[NIBR11]]</f>
        <v>1</v>
      </c>
      <c r="L231" s="41">
        <f>IF(Tabell2[[#This Row],[ReisetidOslo]]&lt;=C$433,C$433,IF(Tabell2[[#This Row],[ReisetidOslo]]&gt;=C$434,C$434,Tabell2[[#This Row],[ReisetidOslo]]))</f>
        <v>223.17225905230001</v>
      </c>
      <c r="M231" s="41">
        <f>IF(Tabell2[[#This Row],[Beftettotal]]&lt;=D$433,D$433,IF(Tabell2[[#This Row],[Beftettotal]]&gt;=D$434,D$434,Tabell2[[#This Row],[Beftettotal]]))</f>
        <v>48.303462676178874</v>
      </c>
      <c r="N231" s="41">
        <f>IF(Tabell2[[#This Row],[Befvekst10]]&lt;=E$433,E$433,IF(Tabell2[[#This Row],[Befvekst10]]&gt;=E$434,E$434,Tabell2[[#This Row],[Befvekst10]]))</f>
        <v>0.10377733598409544</v>
      </c>
      <c r="O231" s="41">
        <f>IF(Tabell2[[#This Row],[Kvinneandel]]&lt;=F$433,F$433,IF(Tabell2[[#This Row],[Kvinneandel]]&gt;=F$434,F$434,Tabell2[[#This Row],[Kvinneandel]]))</f>
        <v>0.11239193083573487</v>
      </c>
      <c r="P231" s="41">
        <f>IF(Tabell2[[#This Row],[Eldreandel]]&lt;=G$433,G$433,IF(Tabell2[[#This Row],[Eldreandel]]&gt;=G$434,G$434,Tabell2[[#This Row],[Eldreandel]]))</f>
        <v>0.14661383285302593</v>
      </c>
      <c r="Q231" s="41">
        <f>IF(Tabell2[[#This Row],[Sysselsettingsvekst10]]&lt;=H$433,H$433,IF(Tabell2[[#This Row],[Sysselsettingsvekst10]]&gt;=H$434,H$434,Tabell2[[#This Row],[Sysselsettingsvekst10]]))</f>
        <v>0.1617195496417605</v>
      </c>
      <c r="R231" s="41">
        <f>IF(Tabell2[[#This Row],[Yrkesaktivandel]]&lt;=I$433,I$433,IF(Tabell2[[#This Row],[Yrkesaktivandel]]&gt;=I$434,I$434,Tabell2[[#This Row],[Yrkesaktivandel]]))</f>
        <v>0.90359975594874919</v>
      </c>
      <c r="S231" s="41">
        <f>IF(Tabell2[[#This Row],[Inntekt]]&lt;=J$433,J$433,IF(Tabell2[[#This Row],[Inntekt]]&gt;=J$434,J$434,Tabell2[[#This Row],[Inntekt]]))</f>
        <v>365700</v>
      </c>
      <c r="T231" s="44">
        <f>IF(Tabell2[[#This Row],[NIBR11-T]]&lt;=K$436,100,IF(Tabell2[[#This Row],[NIBR11-T]]&gt;=K$435,0,100*(K$435-Tabell2[[#This Row],[NIBR11-T]])/K$438))</f>
        <v>100</v>
      </c>
      <c r="U231" s="44">
        <f>(L$435-Tabell2[[#This Row],[ReisetidOslo-T]])*100/L$438</f>
        <v>24.809431425055386</v>
      </c>
      <c r="V231" s="44">
        <f>100-(M$435-Tabell2[[#This Row],[Beftettotal-T]])*100/M$438</f>
        <v>38.43215786409251</v>
      </c>
      <c r="W231" s="44">
        <f>100-(N$435-Tabell2[[#This Row],[Befvekst10-T]])*100/N$438</f>
        <v>80.964236568542916</v>
      </c>
      <c r="X231" s="44">
        <f>100-(O$435-Tabell2[[#This Row],[Kvinneandel-T]])*100/O$438</f>
        <v>56.573931446267103</v>
      </c>
      <c r="Y231" s="44">
        <f>(P$435-Tabell2[[#This Row],[Eldreandel-T]])*100/P$438</f>
        <v>61.613028367208152</v>
      </c>
      <c r="Z231" s="44">
        <f>100-(Q$435-Tabell2[[#This Row],[Sysselsettingsvekst10-T]])*100/Q$438</f>
        <v>74.647512049947238</v>
      </c>
      <c r="AA231" s="44">
        <f>100-(R$435-Tabell2[[#This Row],[Yrkesaktivandel-T]])*100/R$438</f>
        <v>57.629211465790753</v>
      </c>
      <c r="AB231" s="44">
        <f>100-(S$435-Tabell2[[#This Row],[Inntekt-T]])*100/S$438</f>
        <v>100</v>
      </c>
      <c r="AC231" s="44">
        <f>Tabell2[[#This Row],[NIBR11-I]]*Vekter!$B$3</f>
        <v>20</v>
      </c>
      <c r="AD231" s="44">
        <f>Tabell2[[#This Row],[ReisetidOslo-I]]*Vekter!$C$3</f>
        <v>2.4809431425055388</v>
      </c>
      <c r="AE231" s="44">
        <f>Tabell2[[#This Row],[Beftettotal-I]]*Vekter!$E$4</f>
        <v>3.8432157864092513</v>
      </c>
      <c r="AF231" s="44">
        <f>Tabell2[[#This Row],[Befvekst10-I]]*Vekter!$F$3</f>
        <v>16.192847313708583</v>
      </c>
      <c r="AG231" s="44">
        <f>Tabell2[[#This Row],[Kvinneandel-I]]*Vekter!$G$3</f>
        <v>2.8286965723133553</v>
      </c>
      <c r="AH231" s="44">
        <f>Tabell2[[#This Row],[Eldreandel-I]]*Vekter!$H$3</f>
        <v>3.0806514183604077</v>
      </c>
      <c r="AI231" s="44">
        <f>Tabell2[[#This Row],[Sysselsettingsvekst10-I]]*Vekter!$I$3</f>
        <v>7.464751204994724</v>
      </c>
      <c r="AJ231" s="44">
        <f>Tabell2[[#This Row],[Yrkesaktivandel-I]]*Vekter!$K$3</f>
        <v>5.7629211465790755</v>
      </c>
      <c r="AK231" s="44">
        <f>Tabell2[[#This Row],[Inntekt-I]]*Vekter!$M$3</f>
        <v>10</v>
      </c>
      <c r="AL23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71.654026584870934</v>
      </c>
    </row>
    <row r="232" spans="1:38" s="38" customFormat="1" ht="12.75">
      <c r="A232" s="42" t="s">
        <v>230</v>
      </c>
      <c r="B232" s="38">
        <f>'Rådata-K'!Q232</f>
        <v>11</v>
      </c>
      <c r="C232" s="44">
        <f>'Rådata-K'!P232</f>
        <v>258.81720152700001</v>
      </c>
      <c r="D232" s="41">
        <f>'Rådata-K'!R232</f>
        <v>62.203023758099356</v>
      </c>
      <c r="E232" s="41">
        <f>'Rådata-K'!S232</f>
        <v>-0.15912408759124086</v>
      </c>
      <c r="F232" s="41">
        <f>'Rådata-K'!T232</f>
        <v>9.0277777777777776E-2</v>
      </c>
      <c r="G232" s="41">
        <f>'Rådata-K'!U232</f>
        <v>0.2204861111111111</v>
      </c>
      <c r="H232" s="41">
        <f>'Rådata-K'!V232</f>
        <v>-9.4915254237288083E-2</v>
      </c>
      <c r="I232" s="41">
        <f>'Rådata-K'!W232</f>
        <v>0.90397350993377479</v>
      </c>
      <c r="J232" s="41">
        <f>'Rådata-K'!O232</f>
        <v>354400</v>
      </c>
      <c r="K232" s="41">
        <f>Tabell2[[#This Row],[NIBR11]]</f>
        <v>11</v>
      </c>
      <c r="L232" s="41">
        <f>IF(Tabell2[[#This Row],[ReisetidOslo]]&lt;=C$433,C$433,IF(Tabell2[[#This Row],[ReisetidOslo]]&gt;=C$434,C$434,Tabell2[[#This Row],[ReisetidOslo]]))</f>
        <v>258.81720152700001</v>
      </c>
      <c r="M232" s="41">
        <f>IF(Tabell2[[#This Row],[Beftettotal]]&lt;=D$433,D$433,IF(Tabell2[[#This Row],[Beftettotal]]&gt;=D$434,D$434,Tabell2[[#This Row],[Beftettotal]]))</f>
        <v>62.203023758099356</v>
      </c>
      <c r="N232" s="41">
        <f>IF(Tabell2[[#This Row],[Befvekst10]]&lt;=E$433,E$433,IF(Tabell2[[#This Row],[Befvekst10]]&gt;=E$434,E$434,Tabell2[[#This Row],[Befvekst10]]))</f>
        <v>-9.1923232174966049E-2</v>
      </c>
      <c r="O232" s="41">
        <f>IF(Tabell2[[#This Row],[Kvinneandel]]&lt;=F$433,F$433,IF(Tabell2[[#This Row],[Kvinneandel]]&gt;=F$434,F$434,Tabell2[[#This Row],[Kvinneandel]]))</f>
        <v>9.1717808671657367E-2</v>
      </c>
      <c r="P232" s="41">
        <f>IF(Tabell2[[#This Row],[Eldreandel]]&lt;=G$433,G$433,IF(Tabell2[[#This Row],[Eldreandel]]&gt;=G$434,G$434,Tabell2[[#This Row],[Eldreandel]]))</f>
        <v>0.1989437597342919</v>
      </c>
      <c r="Q232" s="41">
        <f>IF(Tabell2[[#This Row],[Sysselsettingsvekst10]]&lt;=H$433,H$433,IF(Tabell2[[#This Row],[Sysselsettingsvekst10]]&gt;=H$434,H$434,Tabell2[[#This Row],[Sysselsettingsvekst10]]))</f>
        <v>-9.2168803558721979E-2</v>
      </c>
      <c r="R232" s="41">
        <f>IF(Tabell2[[#This Row],[Yrkesaktivandel]]&lt;=I$433,I$433,IF(Tabell2[[#This Row],[Yrkesaktivandel]]&gt;=I$434,I$434,Tabell2[[#This Row],[Yrkesaktivandel]]))</f>
        <v>0.90397350993377479</v>
      </c>
      <c r="S232" s="41">
        <f>IF(Tabell2[[#This Row],[Inntekt]]&lt;=J$433,J$433,IF(Tabell2[[#This Row],[Inntekt]]&gt;=J$434,J$434,Tabell2[[#This Row],[Inntekt]]))</f>
        <v>354400</v>
      </c>
      <c r="T232" s="44">
        <f>IF(Tabell2[[#This Row],[NIBR11-T]]&lt;=K$436,100,IF(Tabell2[[#This Row],[NIBR11-T]]&gt;=K$435,0,100*(K$435-Tabell2[[#This Row],[NIBR11-T]])/K$438))</f>
        <v>0</v>
      </c>
      <c r="U232" s="44">
        <f>(L$435-Tabell2[[#This Row],[ReisetidOslo-T]])*100/L$438</f>
        <v>8.984838116922047</v>
      </c>
      <c r="V232" s="44">
        <f>100-(M$435-Tabell2[[#This Row],[Beftettotal-T]])*100/M$438</f>
        <v>49.802093520449844</v>
      </c>
      <c r="W232" s="44">
        <f>100-(N$435-Tabell2[[#This Row],[Befvekst10-T]])*100/N$438</f>
        <v>0</v>
      </c>
      <c r="X232" s="44">
        <f>100-(O$435-Tabell2[[#This Row],[Kvinneandel-T]])*100/O$438</f>
        <v>0</v>
      </c>
      <c r="Y232" s="44">
        <f>(P$435-Tabell2[[#This Row],[Eldreandel-T]])*100/P$438</f>
        <v>0</v>
      </c>
      <c r="Z232" s="44">
        <f>100-(Q$435-Tabell2[[#This Row],[Sysselsettingsvekst10-T]])*100/Q$438</f>
        <v>0</v>
      </c>
      <c r="AA232" s="44">
        <f>100-(R$435-Tabell2[[#This Row],[Yrkesaktivandel-T]])*100/R$438</f>
        <v>57.908324068269998</v>
      </c>
      <c r="AB232" s="44">
        <f>100-(S$435-Tabell2[[#This Row],[Inntekt-T]])*100/S$438</f>
        <v>84.638390429581293</v>
      </c>
      <c r="AC232" s="44">
        <f>Tabell2[[#This Row],[NIBR11-I]]*Vekter!$B$3</f>
        <v>0</v>
      </c>
      <c r="AD232" s="44">
        <f>Tabell2[[#This Row],[ReisetidOslo-I]]*Vekter!$C$3</f>
        <v>0.8984838116922047</v>
      </c>
      <c r="AE232" s="44">
        <f>Tabell2[[#This Row],[Beftettotal-I]]*Vekter!$E$4</f>
        <v>4.9802093520449846</v>
      </c>
      <c r="AF232" s="44">
        <f>Tabell2[[#This Row],[Befvekst10-I]]*Vekter!$F$3</f>
        <v>0</v>
      </c>
      <c r="AG232" s="44">
        <f>Tabell2[[#This Row],[Kvinneandel-I]]*Vekter!$G$3</f>
        <v>0</v>
      </c>
      <c r="AH232" s="44">
        <f>Tabell2[[#This Row],[Eldreandel-I]]*Vekter!$H$3</f>
        <v>0</v>
      </c>
      <c r="AI232" s="44">
        <f>Tabell2[[#This Row],[Sysselsettingsvekst10-I]]*Vekter!$I$3</f>
        <v>0</v>
      </c>
      <c r="AJ232" s="44">
        <f>Tabell2[[#This Row],[Yrkesaktivandel-I]]*Vekter!$K$3</f>
        <v>5.7908324068270005</v>
      </c>
      <c r="AK232" s="44">
        <f>Tabell2[[#This Row],[Inntekt-I]]*Vekter!$M$3</f>
        <v>8.4638390429581296</v>
      </c>
      <c r="AL23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20.133364613522318</v>
      </c>
    </row>
    <row r="233" spans="1:38" s="38" customFormat="1" ht="12.75">
      <c r="A233" s="42" t="s">
        <v>231</v>
      </c>
      <c r="B233" s="38">
        <f>'Rådata-K'!Q233</f>
        <v>5</v>
      </c>
      <c r="C233" s="44">
        <f>'Rådata-K'!P233</f>
        <v>229.0801952889</v>
      </c>
      <c r="D233" s="41">
        <f>'Rådata-K'!R233</f>
        <v>3.0243131053567898</v>
      </c>
      <c r="E233" s="41">
        <f>'Rådata-K'!S233</f>
        <v>-4.5377197958026083E-2</v>
      </c>
      <c r="F233" s="41">
        <f>'Rådata-K'!T233</f>
        <v>9.4474153297682703E-2</v>
      </c>
      <c r="G233" s="41">
        <f>'Rådata-K'!U233</f>
        <v>0.19548425430778371</v>
      </c>
      <c r="H233" s="41">
        <f>'Rådata-K'!V233</f>
        <v>-5.4455445544554504E-2</v>
      </c>
      <c r="I233" s="41">
        <f>'Rådata-K'!W233</f>
        <v>0.97777777777777775</v>
      </c>
      <c r="J233" s="41">
        <f>'Rådata-K'!O233</f>
        <v>335400</v>
      </c>
      <c r="K233" s="41">
        <f>Tabell2[[#This Row],[NIBR11]]</f>
        <v>5</v>
      </c>
      <c r="L233" s="41">
        <f>IF(Tabell2[[#This Row],[ReisetidOslo]]&lt;=C$433,C$433,IF(Tabell2[[#This Row],[ReisetidOslo]]&gt;=C$434,C$434,Tabell2[[#This Row],[ReisetidOslo]]))</f>
        <v>229.0801952889</v>
      </c>
      <c r="M233" s="41">
        <f>IF(Tabell2[[#This Row],[Beftettotal]]&lt;=D$433,D$433,IF(Tabell2[[#This Row],[Beftettotal]]&gt;=D$434,D$434,Tabell2[[#This Row],[Beftettotal]]))</f>
        <v>3.0243131053567898</v>
      </c>
      <c r="N233" s="41">
        <f>IF(Tabell2[[#This Row],[Befvekst10]]&lt;=E$433,E$433,IF(Tabell2[[#This Row],[Befvekst10]]&gt;=E$434,E$434,Tabell2[[#This Row],[Befvekst10]]))</f>
        <v>-4.5377197958026083E-2</v>
      </c>
      <c r="O233" s="41">
        <f>IF(Tabell2[[#This Row],[Kvinneandel]]&lt;=F$433,F$433,IF(Tabell2[[#This Row],[Kvinneandel]]&gt;=F$434,F$434,Tabell2[[#This Row],[Kvinneandel]]))</f>
        <v>9.4474153297682703E-2</v>
      </c>
      <c r="P233" s="41">
        <f>IF(Tabell2[[#This Row],[Eldreandel]]&lt;=G$433,G$433,IF(Tabell2[[#This Row],[Eldreandel]]&gt;=G$434,G$434,Tabell2[[#This Row],[Eldreandel]]))</f>
        <v>0.19548425430778371</v>
      </c>
      <c r="Q233" s="41">
        <f>IF(Tabell2[[#This Row],[Sysselsettingsvekst10]]&lt;=H$433,H$433,IF(Tabell2[[#This Row],[Sysselsettingsvekst10]]&gt;=H$434,H$434,Tabell2[[#This Row],[Sysselsettingsvekst10]]))</f>
        <v>-5.4455445544554504E-2</v>
      </c>
      <c r="R233" s="41">
        <f>IF(Tabell2[[#This Row],[Yrkesaktivandel]]&lt;=I$433,I$433,IF(Tabell2[[#This Row],[Yrkesaktivandel]]&gt;=I$434,I$434,Tabell2[[#This Row],[Yrkesaktivandel]]))</f>
        <v>0.96033761343949164</v>
      </c>
      <c r="S233" s="41">
        <f>IF(Tabell2[[#This Row],[Inntekt]]&lt;=J$433,J$433,IF(Tabell2[[#This Row],[Inntekt]]&gt;=J$434,J$434,Tabell2[[#This Row],[Inntekt]]))</f>
        <v>335400</v>
      </c>
      <c r="T233" s="44">
        <f>IF(Tabell2[[#This Row],[NIBR11-T]]&lt;=K$436,100,IF(Tabell2[[#This Row],[NIBR11-T]]&gt;=K$435,0,100*(K$435-Tabell2[[#This Row],[NIBR11-T]])/K$438))</f>
        <v>60</v>
      </c>
      <c r="U233" s="44">
        <f>(L$435-Tabell2[[#This Row],[ReisetidOslo-T]])*100/L$438</f>
        <v>22.18659963619961</v>
      </c>
      <c r="V233" s="44">
        <f>100-(M$435-Tabell2[[#This Row],[Beftettotal-T]])*100/M$438</f>
        <v>1.3935050490430285</v>
      </c>
      <c r="W233" s="44">
        <f>100-(N$435-Tabell2[[#This Row],[Befvekst10-T]])*100/N$438</f>
        <v>19.256786840827189</v>
      </c>
      <c r="X233" s="44">
        <f>100-(O$435-Tabell2[[#This Row],[Kvinneandel-T]])*100/O$438</f>
        <v>7.5426298963248968</v>
      </c>
      <c r="Y233" s="44">
        <f>(P$435-Tabell2[[#This Row],[Eldreandel-T]])*100/P$438</f>
        <v>4.0732066464298331</v>
      </c>
      <c r="Z233" s="44">
        <f>100-(Q$435-Tabell2[[#This Row],[Sysselsettingsvekst10-T]])*100/Q$438</f>
        <v>11.088371370007323</v>
      </c>
      <c r="AA233" s="44">
        <f>100-(R$435-Tabell2[[#This Row],[Yrkesaktivandel-T]])*100/R$438</f>
        <v>100</v>
      </c>
      <c r="AB233" s="44">
        <f>100-(S$435-Tabell2[[#This Row],[Inntekt-T]])*100/S$438</f>
        <v>58.809135399673735</v>
      </c>
      <c r="AC233" s="44">
        <f>Tabell2[[#This Row],[NIBR11-I]]*Vekter!$B$3</f>
        <v>12</v>
      </c>
      <c r="AD233" s="44">
        <f>Tabell2[[#This Row],[ReisetidOslo-I]]*Vekter!$C$3</f>
        <v>2.2186599636199609</v>
      </c>
      <c r="AE233" s="44">
        <f>Tabell2[[#This Row],[Beftettotal-I]]*Vekter!$E$4</f>
        <v>0.13935050490430287</v>
      </c>
      <c r="AF233" s="44">
        <f>Tabell2[[#This Row],[Befvekst10-I]]*Vekter!$F$3</f>
        <v>3.8513573681654378</v>
      </c>
      <c r="AG233" s="44">
        <f>Tabell2[[#This Row],[Kvinneandel-I]]*Vekter!$G$3</f>
        <v>0.37713149481624486</v>
      </c>
      <c r="AH233" s="44">
        <f>Tabell2[[#This Row],[Eldreandel-I]]*Vekter!$H$3</f>
        <v>0.20366033232149167</v>
      </c>
      <c r="AI233" s="44">
        <f>Tabell2[[#This Row],[Sysselsettingsvekst10-I]]*Vekter!$I$3</f>
        <v>1.1088371370007324</v>
      </c>
      <c r="AJ233" s="44">
        <f>Tabell2[[#This Row],[Yrkesaktivandel-I]]*Vekter!$K$3</f>
        <v>10</v>
      </c>
      <c r="AK233" s="44">
        <f>Tabell2[[#This Row],[Inntekt-I]]*Vekter!$M$3</f>
        <v>5.8809135399673735</v>
      </c>
      <c r="AL23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35.779910340795539</v>
      </c>
    </row>
    <row r="234" spans="1:38" s="38" customFormat="1" ht="12.75">
      <c r="A234" s="42" t="s">
        <v>232</v>
      </c>
      <c r="B234" s="38">
        <f>'Rådata-K'!Q234</f>
        <v>7</v>
      </c>
      <c r="C234" s="44">
        <f>'Rådata-K'!P234</f>
        <v>167.71914329310999</v>
      </c>
      <c r="D234" s="41">
        <f>'Rådata-K'!R234</f>
        <v>16.838607137696865</v>
      </c>
      <c r="E234" s="41">
        <f>'Rådata-K'!S234</f>
        <v>2.9232535547116578E-2</v>
      </c>
      <c r="F234" s="41">
        <f>'Rådata-K'!T234</f>
        <v>0.11781362622275614</v>
      </c>
      <c r="G234" s="41">
        <f>'Rådata-K'!U234</f>
        <v>0.11995881242491849</v>
      </c>
      <c r="H234" s="41">
        <f>'Rådata-K'!V234</f>
        <v>7.5422626788036462E-2</v>
      </c>
      <c r="I234" s="41">
        <f>'Rådata-K'!W234</f>
        <v>0.90029673590504455</v>
      </c>
      <c r="J234" s="41">
        <f>'Rådata-K'!O234</f>
        <v>347100</v>
      </c>
      <c r="K234" s="41">
        <f>Tabell2[[#This Row],[NIBR11]]</f>
        <v>7</v>
      </c>
      <c r="L234" s="41">
        <f>IF(Tabell2[[#This Row],[ReisetidOslo]]&lt;=C$433,C$433,IF(Tabell2[[#This Row],[ReisetidOslo]]&gt;=C$434,C$434,Tabell2[[#This Row],[ReisetidOslo]]))</f>
        <v>167.71914329310999</v>
      </c>
      <c r="M234" s="41">
        <f>IF(Tabell2[[#This Row],[Beftettotal]]&lt;=D$433,D$433,IF(Tabell2[[#This Row],[Beftettotal]]&gt;=D$434,D$434,Tabell2[[#This Row],[Beftettotal]]))</f>
        <v>16.838607137696865</v>
      </c>
      <c r="N234" s="41">
        <f>IF(Tabell2[[#This Row],[Befvekst10]]&lt;=E$433,E$433,IF(Tabell2[[#This Row],[Befvekst10]]&gt;=E$434,E$434,Tabell2[[#This Row],[Befvekst10]]))</f>
        <v>2.9232535547116578E-2</v>
      </c>
      <c r="O234" s="41">
        <f>IF(Tabell2[[#This Row],[Kvinneandel]]&lt;=F$433,F$433,IF(Tabell2[[#This Row],[Kvinneandel]]&gt;=F$434,F$434,Tabell2[[#This Row],[Kvinneandel]]))</f>
        <v>0.11781362622275614</v>
      </c>
      <c r="P234" s="41">
        <f>IF(Tabell2[[#This Row],[Eldreandel]]&lt;=G$433,G$433,IF(Tabell2[[#This Row],[Eldreandel]]&gt;=G$434,G$434,Tabell2[[#This Row],[Eldreandel]]))</f>
        <v>0.11995881242491849</v>
      </c>
      <c r="Q234" s="41">
        <f>IF(Tabell2[[#This Row],[Sysselsettingsvekst10]]&lt;=H$433,H$433,IF(Tabell2[[#This Row],[Sysselsettingsvekst10]]&gt;=H$434,H$434,Tabell2[[#This Row],[Sysselsettingsvekst10]]))</f>
        <v>7.5422626788036462E-2</v>
      </c>
      <c r="R234" s="41">
        <f>IF(Tabell2[[#This Row],[Yrkesaktivandel]]&lt;=I$433,I$433,IF(Tabell2[[#This Row],[Yrkesaktivandel]]&gt;=I$434,I$434,Tabell2[[#This Row],[Yrkesaktivandel]]))</f>
        <v>0.90029673590504455</v>
      </c>
      <c r="S234" s="41">
        <f>IF(Tabell2[[#This Row],[Inntekt]]&lt;=J$433,J$433,IF(Tabell2[[#This Row],[Inntekt]]&gt;=J$434,J$434,Tabell2[[#This Row],[Inntekt]]))</f>
        <v>347100</v>
      </c>
      <c r="T234" s="44">
        <f>IF(Tabell2[[#This Row],[NIBR11-T]]&lt;=K$436,100,IF(Tabell2[[#This Row],[NIBR11-T]]&gt;=K$435,0,100*(K$435-Tabell2[[#This Row],[NIBR11-T]])/K$438))</f>
        <v>40</v>
      </c>
      <c r="U234" s="44">
        <f>(L$435-Tabell2[[#This Row],[ReisetidOslo-T]])*100/L$438</f>
        <v>49.427874986322692</v>
      </c>
      <c r="V234" s="44">
        <f>100-(M$435-Tabell2[[#This Row],[Beftettotal-T]])*100/M$438</f>
        <v>12.693691677958199</v>
      </c>
      <c r="W234" s="44">
        <f>100-(N$435-Tabell2[[#This Row],[Befvekst10-T]])*100/N$438</f>
        <v>50.123943592853259</v>
      </c>
      <c r="X234" s="44">
        <f>100-(O$435-Tabell2[[#This Row],[Kvinneandel-T]])*100/O$438</f>
        <v>71.410190065307248</v>
      </c>
      <c r="Y234" s="44">
        <f>(P$435-Tabell2[[#This Row],[Eldreandel-T]])*100/P$438</f>
        <v>92.996533516981941</v>
      </c>
      <c r="Z234" s="44">
        <f>100-(Q$435-Tabell2[[#This Row],[Sysselsettingsvekst10-T]])*100/Q$438</f>
        <v>49.274742848872712</v>
      </c>
      <c r="AA234" s="44">
        <f>100-(R$435-Tabell2[[#This Row],[Yrkesaktivandel-T]])*100/R$438</f>
        <v>55.162576841476664</v>
      </c>
      <c r="AB234" s="44">
        <f>100-(S$435-Tabell2[[#This Row],[Inntekt-T]])*100/S$438</f>
        <v>74.714518760195759</v>
      </c>
      <c r="AC234" s="44">
        <f>Tabell2[[#This Row],[NIBR11-I]]*Vekter!$B$3</f>
        <v>8</v>
      </c>
      <c r="AD234" s="44">
        <f>Tabell2[[#This Row],[ReisetidOslo-I]]*Vekter!$C$3</f>
        <v>4.9427874986322697</v>
      </c>
      <c r="AE234" s="44">
        <f>Tabell2[[#This Row],[Beftettotal-I]]*Vekter!$E$4</f>
        <v>1.2693691677958201</v>
      </c>
      <c r="AF234" s="44">
        <f>Tabell2[[#This Row],[Befvekst10-I]]*Vekter!$F$3</f>
        <v>10.024788718570653</v>
      </c>
      <c r="AG234" s="44">
        <f>Tabell2[[#This Row],[Kvinneandel-I]]*Vekter!$G$3</f>
        <v>3.5705095032653626</v>
      </c>
      <c r="AH234" s="44">
        <f>Tabell2[[#This Row],[Eldreandel-I]]*Vekter!$H$3</f>
        <v>4.6498266758490976</v>
      </c>
      <c r="AI234" s="44">
        <f>Tabell2[[#This Row],[Sysselsettingsvekst10-I]]*Vekter!$I$3</f>
        <v>4.9274742848872712</v>
      </c>
      <c r="AJ234" s="44">
        <f>Tabell2[[#This Row],[Yrkesaktivandel-I]]*Vekter!$K$3</f>
        <v>5.5162576841476669</v>
      </c>
      <c r="AK234" s="44">
        <f>Tabell2[[#This Row],[Inntekt-I]]*Vekter!$M$3</f>
        <v>7.4714518760195761</v>
      </c>
      <c r="AL23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50.372465409167717</v>
      </c>
    </row>
    <row r="235" spans="1:38" s="38" customFormat="1" ht="12.75">
      <c r="A235" s="42" t="s">
        <v>233</v>
      </c>
      <c r="B235" s="38">
        <f>'Rådata-K'!Q235</f>
        <v>11</v>
      </c>
      <c r="C235" s="44">
        <f>'Rådata-K'!P235</f>
        <v>260.20679225499998</v>
      </c>
      <c r="D235" s="41">
        <f>'Rådata-K'!R235</f>
        <v>3.8679213690097458</v>
      </c>
      <c r="E235" s="41">
        <f>'Rådata-K'!S235</f>
        <v>-6.5911847957945802E-2</v>
      </c>
      <c r="F235" s="41">
        <f>'Rådata-K'!T235</f>
        <v>0.10519480519480519</v>
      </c>
      <c r="G235" s="41">
        <f>'Rådata-K'!U235</f>
        <v>0.17705627705627705</v>
      </c>
      <c r="H235" s="41">
        <f>'Rådata-K'!V235</f>
        <v>9.6975088967971468E-2</v>
      </c>
      <c r="I235" s="41">
        <f>'Rådata-K'!W235</f>
        <v>0.96075353218210358</v>
      </c>
      <c r="J235" s="41">
        <f>'Rådata-K'!O235</f>
        <v>336000</v>
      </c>
      <c r="K235" s="41">
        <f>Tabell2[[#This Row],[NIBR11]]</f>
        <v>11</v>
      </c>
      <c r="L235" s="41">
        <f>IF(Tabell2[[#This Row],[ReisetidOslo]]&lt;=C$433,C$433,IF(Tabell2[[#This Row],[ReisetidOslo]]&gt;=C$434,C$434,Tabell2[[#This Row],[ReisetidOslo]]))</f>
        <v>260.20679225499998</v>
      </c>
      <c r="M235" s="41">
        <f>IF(Tabell2[[#This Row],[Beftettotal]]&lt;=D$433,D$433,IF(Tabell2[[#This Row],[Beftettotal]]&gt;=D$434,D$434,Tabell2[[#This Row],[Beftettotal]]))</f>
        <v>3.8679213690097458</v>
      </c>
      <c r="N235" s="41">
        <f>IF(Tabell2[[#This Row],[Befvekst10]]&lt;=E$433,E$433,IF(Tabell2[[#This Row],[Befvekst10]]&gt;=E$434,E$434,Tabell2[[#This Row],[Befvekst10]]))</f>
        <v>-6.5911847957945802E-2</v>
      </c>
      <c r="O235" s="41">
        <f>IF(Tabell2[[#This Row],[Kvinneandel]]&lt;=F$433,F$433,IF(Tabell2[[#This Row],[Kvinneandel]]&gt;=F$434,F$434,Tabell2[[#This Row],[Kvinneandel]]))</f>
        <v>0.10519480519480519</v>
      </c>
      <c r="P235" s="41">
        <f>IF(Tabell2[[#This Row],[Eldreandel]]&lt;=G$433,G$433,IF(Tabell2[[#This Row],[Eldreandel]]&gt;=G$434,G$434,Tabell2[[#This Row],[Eldreandel]]))</f>
        <v>0.17705627705627705</v>
      </c>
      <c r="Q235" s="41">
        <f>IF(Tabell2[[#This Row],[Sysselsettingsvekst10]]&lt;=H$433,H$433,IF(Tabell2[[#This Row],[Sysselsettingsvekst10]]&gt;=H$434,H$434,Tabell2[[#This Row],[Sysselsettingsvekst10]]))</f>
        <v>9.6975088967971468E-2</v>
      </c>
      <c r="R235" s="41">
        <f>IF(Tabell2[[#This Row],[Yrkesaktivandel]]&lt;=I$433,I$433,IF(Tabell2[[#This Row],[Yrkesaktivandel]]&gt;=I$434,I$434,Tabell2[[#This Row],[Yrkesaktivandel]]))</f>
        <v>0.96033761343949164</v>
      </c>
      <c r="S235" s="41">
        <f>IF(Tabell2[[#This Row],[Inntekt]]&lt;=J$433,J$433,IF(Tabell2[[#This Row],[Inntekt]]&gt;=J$434,J$434,Tabell2[[#This Row],[Inntekt]]))</f>
        <v>336000</v>
      </c>
      <c r="T235" s="44">
        <f>IF(Tabell2[[#This Row],[NIBR11-T]]&lt;=K$436,100,IF(Tabell2[[#This Row],[NIBR11-T]]&gt;=K$435,0,100*(K$435-Tabell2[[#This Row],[NIBR11-T]])/K$438))</f>
        <v>0</v>
      </c>
      <c r="U235" s="44">
        <f>(L$435-Tabell2[[#This Row],[ReisetidOslo-T]])*100/L$438</f>
        <v>8.3679284907959754</v>
      </c>
      <c r="V235" s="44">
        <f>100-(M$435-Tabell2[[#This Row],[Beftettotal-T]])*100/M$438</f>
        <v>2.0835823558280424</v>
      </c>
      <c r="W235" s="44">
        <f>100-(N$435-Tabell2[[#This Row],[Befvekst10-T]])*100/N$438</f>
        <v>10.761296633080704</v>
      </c>
      <c r="X235" s="44">
        <f>100-(O$435-Tabell2[[#This Row],[Kvinneandel-T]])*100/O$438</f>
        <v>36.879276970073271</v>
      </c>
      <c r="Y235" s="44">
        <f>(P$435-Tabell2[[#This Row],[Eldreandel-T]])*100/P$438</f>
        <v>25.770226933186986</v>
      </c>
      <c r="Z235" s="44">
        <f>100-(Q$435-Tabell2[[#This Row],[Sysselsettingsvekst10-T]])*100/Q$438</f>
        <v>55.611534828504467</v>
      </c>
      <c r="AA235" s="44">
        <f>100-(R$435-Tabell2[[#This Row],[Yrkesaktivandel-T]])*100/R$438</f>
        <v>100</v>
      </c>
      <c r="AB235" s="44">
        <f>100-(S$435-Tabell2[[#This Row],[Inntekt-T]])*100/S$438</f>
        <v>59.624796084828709</v>
      </c>
      <c r="AC235" s="44">
        <f>Tabell2[[#This Row],[NIBR11-I]]*Vekter!$B$3</f>
        <v>0</v>
      </c>
      <c r="AD235" s="44">
        <f>Tabell2[[#This Row],[ReisetidOslo-I]]*Vekter!$C$3</f>
        <v>0.83679284907959761</v>
      </c>
      <c r="AE235" s="44">
        <f>Tabell2[[#This Row],[Beftettotal-I]]*Vekter!$E$4</f>
        <v>0.20835823558280425</v>
      </c>
      <c r="AF235" s="44">
        <f>Tabell2[[#This Row],[Befvekst10-I]]*Vekter!$F$3</f>
        <v>2.1522593266161407</v>
      </c>
      <c r="AG235" s="44">
        <f>Tabell2[[#This Row],[Kvinneandel-I]]*Vekter!$G$3</f>
        <v>1.8439638485036636</v>
      </c>
      <c r="AH235" s="44">
        <f>Tabell2[[#This Row],[Eldreandel-I]]*Vekter!$H$3</f>
        <v>1.2885113466593494</v>
      </c>
      <c r="AI235" s="44">
        <f>Tabell2[[#This Row],[Sysselsettingsvekst10-I]]*Vekter!$I$3</f>
        <v>5.5611534828504467</v>
      </c>
      <c r="AJ235" s="44">
        <f>Tabell2[[#This Row],[Yrkesaktivandel-I]]*Vekter!$K$3</f>
        <v>10</v>
      </c>
      <c r="AK235" s="44">
        <f>Tabell2[[#This Row],[Inntekt-I]]*Vekter!$M$3</f>
        <v>5.9624796084828713</v>
      </c>
      <c r="AL23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27.853518697774874</v>
      </c>
    </row>
    <row r="236" spans="1:38" s="38" customFormat="1" ht="12.75">
      <c r="A236" s="42" t="s">
        <v>234</v>
      </c>
      <c r="B236" s="38">
        <f>'Rådata-K'!Q236</f>
        <v>11</v>
      </c>
      <c r="C236" s="44">
        <f>'Rådata-K'!P236</f>
        <v>311.54441855300001</v>
      </c>
      <c r="D236" s="41">
        <f>'Rådata-K'!R236</f>
        <v>3.7251039614795363</v>
      </c>
      <c r="E236" s="41">
        <f>'Rådata-K'!S236</f>
        <v>-7.6004343105320338E-2</v>
      </c>
      <c r="F236" s="41">
        <f>'Rådata-K'!T236</f>
        <v>7.2855464159811992E-2</v>
      </c>
      <c r="G236" s="41">
        <f>'Rådata-K'!U236</f>
        <v>0.19506462984723855</v>
      </c>
      <c r="H236" s="41">
        <f>'Rådata-K'!V236</f>
        <v>-5.9225512528473856E-2</v>
      </c>
      <c r="I236" s="41">
        <f>'Rådata-K'!W236</f>
        <v>0.97228144989339016</v>
      </c>
      <c r="J236" s="41">
        <f>'Rådata-K'!O236</f>
        <v>319500</v>
      </c>
      <c r="K236" s="41">
        <f>Tabell2[[#This Row],[NIBR11]]</f>
        <v>11</v>
      </c>
      <c r="L236" s="41">
        <f>IF(Tabell2[[#This Row],[ReisetidOslo]]&lt;=C$433,C$433,IF(Tabell2[[#This Row],[ReisetidOslo]]&gt;=C$434,C$434,Tabell2[[#This Row],[ReisetidOslo]]))</f>
        <v>279.05557553043002</v>
      </c>
      <c r="M236" s="41">
        <f>IF(Tabell2[[#This Row],[Beftettotal]]&lt;=D$433,D$433,IF(Tabell2[[#This Row],[Beftettotal]]&gt;=D$434,D$434,Tabell2[[#This Row],[Beftettotal]]))</f>
        <v>3.7251039614795363</v>
      </c>
      <c r="N236" s="41">
        <f>IF(Tabell2[[#This Row],[Befvekst10]]&lt;=E$433,E$433,IF(Tabell2[[#This Row],[Befvekst10]]&gt;=E$434,E$434,Tabell2[[#This Row],[Befvekst10]]))</f>
        <v>-7.6004343105320338E-2</v>
      </c>
      <c r="O236" s="41">
        <f>IF(Tabell2[[#This Row],[Kvinneandel]]&lt;=F$433,F$433,IF(Tabell2[[#This Row],[Kvinneandel]]&gt;=F$434,F$434,Tabell2[[#This Row],[Kvinneandel]]))</f>
        <v>9.1717808671657367E-2</v>
      </c>
      <c r="P236" s="41">
        <f>IF(Tabell2[[#This Row],[Eldreandel]]&lt;=G$433,G$433,IF(Tabell2[[#This Row],[Eldreandel]]&gt;=G$434,G$434,Tabell2[[#This Row],[Eldreandel]]))</f>
        <v>0.19506462984723855</v>
      </c>
      <c r="Q236" s="41">
        <f>IF(Tabell2[[#This Row],[Sysselsettingsvekst10]]&lt;=H$433,H$433,IF(Tabell2[[#This Row],[Sysselsettingsvekst10]]&gt;=H$434,H$434,Tabell2[[#This Row],[Sysselsettingsvekst10]]))</f>
        <v>-5.9225512528473856E-2</v>
      </c>
      <c r="R236" s="41">
        <f>IF(Tabell2[[#This Row],[Yrkesaktivandel]]&lt;=I$433,I$433,IF(Tabell2[[#This Row],[Yrkesaktivandel]]&gt;=I$434,I$434,Tabell2[[#This Row],[Yrkesaktivandel]]))</f>
        <v>0.96033761343949164</v>
      </c>
      <c r="S236" s="41">
        <f>IF(Tabell2[[#This Row],[Inntekt]]&lt;=J$433,J$433,IF(Tabell2[[#This Row],[Inntekt]]&gt;=J$434,J$434,Tabell2[[#This Row],[Inntekt]]))</f>
        <v>319500</v>
      </c>
      <c r="T236" s="44">
        <f>IF(Tabell2[[#This Row],[NIBR11-T]]&lt;=K$436,100,IF(Tabell2[[#This Row],[NIBR11-T]]&gt;=K$435,0,100*(K$435-Tabell2[[#This Row],[NIBR11-T]])/K$438))</f>
        <v>0</v>
      </c>
      <c r="U236" s="44">
        <f>(L$435-Tabell2[[#This Row],[ReisetidOslo-T]])*100/L$438</f>
        <v>0</v>
      </c>
      <c r="V236" s="44">
        <f>100-(M$435-Tabell2[[#This Row],[Beftettotal-T]])*100/M$438</f>
        <v>1.966756743518701</v>
      </c>
      <c r="W236" s="44">
        <f>100-(N$435-Tabell2[[#This Row],[Befvekst10-T]])*100/N$438</f>
        <v>6.5858812402405817</v>
      </c>
      <c r="X236" s="44">
        <f>100-(O$435-Tabell2[[#This Row],[Kvinneandel-T]])*100/O$438</f>
        <v>0</v>
      </c>
      <c r="Y236" s="44">
        <f>(P$435-Tabell2[[#This Row],[Eldreandel-T]])*100/P$438</f>
        <v>4.5672706616501459</v>
      </c>
      <c r="Z236" s="44">
        <f>100-(Q$435-Tabell2[[#This Row],[Sysselsettingsvekst10-T]])*100/Q$438</f>
        <v>9.6858902078249685</v>
      </c>
      <c r="AA236" s="44">
        <f>100-(R$435-Tabell2[[#This Row],[Yrkesaktivandel-T]])*100/R$438</f>
        <v>100</v>
      </c>
      <c r="AB236" s="44">
        <f>100-(S$435-Tabell2[[#This Row],[Inntekt-T]])*100/S$438</f>
        <v>37.194127243066887</v>
      </c>
      <c r="AC236" s="44">
        <f>Tabell2[[#This Row],[NIBR11-I]]*Vekter!$B$3</f>
        <v>0</v>
      </c>
      <c r="AD236" s="44">
        <f>Tabell2[[#This Row],[ReisetidOslo-I]]*Vekter!$C$3</f>
        <v>0</v>
      </c>
      <c r="AE236" s="44">
        <f>Tabell2[[#This Row],[Beftettotal-I]]*Vekter!$E$4</f>
        <v>0.19667567435187011</v>
      </c>
      <c r="AF236" s="44">
        <f>Tabell2[[#This Row],[Befvekst10-I]]*Vekter!$F$3</f>
        <v>1.3171762480481164</v>
      </c>
      <c r="AG236" s="44">
        <f>Tabell2[[#This Row],[Kvinneandel-I]]*Vekter!$G$3</f>
        <v>0</v>
      </c>
      <c r="AH236" s="44">
        <f>Tabell2[[#This Row],[Eldreandel-I]]*Vekter!$H$3</f>
        <v>0.22836353308250731</v>
      </c>
      <c r="AI236" s="44">
        <f>Tabell2[[#This Row],[Sysselsettingsvekst10-I]]*Vekter!$I$3</f>
        <v>0.96858902078249687</v>
      </c>
      <c r="AJ236" s="44">
        <f>Tabell2[[#This Row],[Yrkesaktivandel-I]]*Vekter!$K$3</f>
        <v>10</v>
      </c>
      <c r="AK236" s="44">
        <f>Tabell2[[#This Row],[Inntekt-I]]*Vekter!$M$3</f>
        <v>3.719412724306689</v>
      </c>
      <c r="AL23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16.430217200571679</v>
      </c>
    </row>
    <row r="237" spans="1:38" s="38" customFormat="1" ht="12.75">
      <c r="A237" s="42" t="s">
        <v>235</v>
      </c>
      <c r="B237" s="38">
        <f>'Rådata-K'!Q237</f>
        <v>11</v>
      </c>
      <c r="C237" s="44">
        <f>'Rådata-K'!P237</f>
        <v>210.9768493549</v>
      </c>
      <c r="D237" s="41">
        <f>'Rådata-K'!R237</f>
        <v>5.6394024780947234</v>
      </c>
      <c r="E237" s="41">
        <f>'Rådata-K'!S237</f>
        <v>-4.3848167539267013E-2</v>
      </c>
      <c r="F237" s="41">
        <f>'Rådata-K'!T237</f>
        <v>7.665982203969883E-2</v>
      </c>
      <c r="G237" s="41">
        <f>'Rådata-K'!U237</f>
        <v>0.19917864476386038</v>
      </c>
      <c r="H237" s="41">
        <f>'Rådata-K'!V237</f>
        <v>-0.10160427807486627</v>
      </c>
      <c r="I237" s="41">
        <f>'Rådata-K'!W237</f>
        <v>0.94451612903225801</v>
      </c>
      <c r="J237" s="41">
        <f>'Rådata-K'!O237</f>
        <v>305700</v>
      </c>
      <c r="K237" s="41">
        <f>Tabell2[[#This Row],[NIBR11]]</f>
        <v>11</v>
      </c>
      <c r="L237" s="41">
        <f>IF(Tabell2[[#This Row],[ReisetidOslo]]&lt;=C$433,C$433,IF(Tabell2[[#This Row],[ReisetidOslo]]&gt;=C$434,C$434,Tabell2[[#This Row],[ReisetidOslo]]))</f>
        <v>210.9768493549</v>
      </c>
      <c r="M237" s="41">
        <f>IF(Tabell2[[#This Row],[Beftettotal]]&lt;=D$433,D$433,IF(Tabell2[[#This Row],[Beftettotal]]&gt;=D$434,D$434,Tabell2[[#This Row],[Beftettotal]]))</f>
        <v>5.6394024780947234</v>
      </c>
      <c r="N237" s="41">
        <f>IF(Tabell2[[#This Row],[Befvekst10]]&lt;=E$433,E$433,IF(Tabell2[[#This Row],[Befvekst10]]&gt;=E$434,E$434,Tabell2[[#This Row],[Befvekst10]]))</f>
        <v>-4.3848167539267013E-2</v>
      </c>
      <c r="O237" s="41">
        <f>IF(Tabell2[[#This Row],[Kvinneandel]]&lt;=F$433,F$433,IF(Tabell2[[#This Row],[Kvinneandel]]&gt;=F$434,F$434,Tabell2[[#This Row],[Kvinneandel]]))</f>
        <v>9.1717808671657367E-2</v>
      </c>
      <c r="P237" s="41">
        <f>IF(Tabell2[[#This Row],[Eldreandel]]&lt;=G$433,G$433,IF(Tabell2[[#This Row],[Eldreandel]]&gt;=G$434,G$434,Tabell2[[#This Row],[Eldreandel]]))</f>
        <v>0.1989437597342919</v>
      </c>
      <c r="Q237" s="41">
        <f>IF(Tabell2[[#This Row],[Sysselsettingsvekst10]]&lt;=H$433,H$433,IF(Tabell2[[#This Row],[Sysselsettingsvekst10]]&gt;=H$434,H$434,Tabell2[[#This Row],[Sysselsettingsvekst10]]))</f>
        <v>-9.2168803558721979E-2</v>
      </c>
      <c r="R237" s="41">
        <f>IF(Tabell2[[#This Row],[Yrkesaktivandel]]&lt;=I$433,I$433,IF(Tabell2[[#This Row],[Yrkesaktivandel]]&gt;=I$434,I$434,Tabell2[[#This Row],[Yrkesaktivandel]]))</f>
        <v>0.94451612903225801</v>
      </c>
      <c r="S237" s="41">
        <f>IF(Tabell2[[#This Row],[Inntekt]]&lt;=J$433,J$433,IF(Tabell2[[#This Row],[Inntekt]]&gt;=J$434,J$434,Tabell2[[#This Row],[Inntekt]]))</f>
        <v>305700</v>
      </c>
      <c r="T237" s="44">
        <f>IF(Tabell2[[#This Row],[NIBR11-T]]&lt;=K$436,100,IF(Tabell2[[#This Row],[NIBR11-T]]&gt;=K$435,0,100*(K$435-Tabell2[[#This Row],[NIBR11-T]])/K$438))</f>
        <v>0</v>
      </c>
      <c r="U237" s="44">
        <f>(L$435-Tabell2[[#This Row],[ReisetidOslo-T]])*100/L$438</f>
        <v>30.223590778079981</v>
      </c>
      <c r="V237" s="44">
        <f>100-(M$435-Tabell2[[#This Row],[Beftettotal-T]])*100/M$438</f>
        <v>3.5326659713493598</v>
      </c>
      <c r="W237" s="44">
        <f>100-(N$435-Tabell2[[#This Row],[Befvekst10-T]])*100/N$438</f>
        <v>19.88936947310799</v>
      </c>
      <c r="X237" s="44">
        <f>100-(O$435-Tabell2[[#This Row],[Kvinneandel-T]])*100/O$438</f>
        <v>0</v>
      </c>
      <c r="Y237" s="44">
        <f>(P$435-Tabell2[[#This Row],[Eldreandel-T]])*100/P$438</f>
        <v>0</v>
      </c>
      <c r="Z237" s="44">
        <f>100-(Q$435-Tabell2[[#This Row],[Sysselsettingsvekst10-T]])*100/Q$438</f>
        <v>0</v>
      </c>
      <c r="AA237" s="44">
        <f>100-(R$435-Tabell2[[#This Row],[Yrkesaktivandel-T]])*100/R$438</f>
        <v>88.184806410330793</v>
      </c>
      <c r="AB237" s="44">
        <f>100-(S$435-Tabell2[[#This Row],[Inntekt-T]])*100/S$438</f>
        <v>18.433931484502452</v>
      </c>
      <c r="AC237" s="44">
        <f>Tabell2[[#This Row],[NIBR11-I]]*Vekter!$B$3</f>
        <v>0</v>
      </c>
      <c r="AD237" s="44">
        <f>Tabell2[[#This Row],[ReisetidOslo-I]]*Vekter!$C$3</f>
        <v>3.0223590778079981</v>
      </c>
      <c r="AE237" s="44">
        <f>Tabell2[[#This Row],[Beftettotal-I]]*Vekter!$E$4</f>
        <v>0.35326659713493602</v>
      </c>
      <c r="AF237" s="44">
        <f>Tabell2[[#This Row],[Befvekst10-I]]*Vekter!$F$3</f>
        <v>3.9778738946215983</v>
      </c>
      <c r="AG237" s="44">
        <f>Tabell2[[#This Row],[Kvinneandel-I]]*Vekter!$G$3</f>
        <v>0</v>
      </c>
      <c r="AH237" s="44">
        <f>Tabell2[[#This Row],[Eldreandel-I]]*Vekter!$H$3</f>
        <v>0</v>
      </c>
      <c r="AI237" s="44">
        <f>Tabell2[[#This Row],[Sysselsettingsvekst10-I]]*Vekter!$I$3</f>
        <v>0</v>
      </c>
      <c r="AJ237" s="44">
        <f>Tabell2[[#This Row],[Yrkesaktivandel-I]]*Vekter!$K$3</f>
        <v>8.81848064103308</v>
      </c>
      <c r="AK237" s="44">
        <f>Tabell2[[#This Row],[Inntekt-I]]*Vekter!$M$3</f>
        <v>1.8433931484502453</v>
      </c>
      <c r="AL23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18.015373359047857</v>
      </c>
    </row>
    <row r="238" spans="1:38" s="38" customFormat="1" ht="12.75">
      <c r="A238" s="42" t="s">
        <v>236</v>
      </c>
      <c r="B238" s="38">
        <f>'Rådata-K'!Q238</f>
        <v>9</v>
      </c>
      <c r="C238" s="44">
        <f>'Rådata-K'!P238</f>
        <v>199.5717368473</v>
      </c>
      <c r="D238" s="41">
        <f>'Rådata-K'!R238</f>
        <v>4.6435809322407255</v>
      </c>
      <c r="E238" s="41">
        <f>'Rådata-K'!S238</f>
        <v>-8.9810017271157117E-2</v>
      </c>
      <c r="F238" s="41">
        <f>'Rådata-K'!T238</f>
        <v>9.9146110056926001E-2</v>
      </c>
      <c r="G238" s="41">
        <f>'Rådata-K'!U238</f>
        <v>0.17457305502846299</v>
      </c>
      <c r="H238" s="41">
        <f>'Rådata-K'!V238</f>
        <v>-0.24550635686102584</v>
      </c>
      <c r="I238" s="41">
        <f>'Rådata-K'!W238</f>
        <v>0.88369098712446348</v>
      </c>
      <c r="J238" s="41">
        <f>'Rådata-K'!O238</f>
        <v>328400</v>
      </c>
      <c r="K238" s="41">
        <f>Tabell2[[#This Row],[NIBR11]]</f>
        <v>9</v>
      </c>
      <c r="L238" s="41">
        <f>IF(Tabell2[[#This Row],[ReisetidOslo]]&lt;=C$433,C$433,IF(Tabell2[[#This Row],[ReisetidOslo]]&gt;=C$434,C$434,Tabell2[[#This Row],[ReisetidOslo]]))</f>
        <v>199.5717368473</v>
      </c>
      <c r="M238" s="41">
        <f>IF(Tabell2[[#This Row],[Beftettotal]]&lt;=D$433,D$433,IF(Tabell2[[#This Row],[Beftettotal]]&gt;=D$434,D$434,Tabell2[[#This Row],[Beftettotal]]))</f>
        <v>4.6435809322407255</v>
      </c>
      <c r="N238" s="41">
        <f>IF(Tabell2[[#This Row],[Befvekst10]]&lt;=E$433,E$433,IF(Tabell2[[#This Row],[Befvekst10]]&gt;=E$434,E$434,Tabell2[[#This Row],[Befvekst10]]))</f>
        <v>-8.9810017271157117E-2</v>
      </c>
      <c r="O238" s="41">
        <f>IF(Tabell2[[#This Row],[Kvinneandel]]&lt;=F$433,F$433,IF(Tabell2[[#This Row],[Kvinneandel]]&gt;=F$434,F$434,Tabell2[[#This Row],[Kvinneandel]]))</f>
        <v>9.9146110056926001E-2</v>
      </c>
      <c r="P238" s="41">
        <f>IF(Tabell2[[#This Row],[Eldreandel]]&lt;=G$433,G$433,IF(Tabell2[[#This Row],[Eldreandel]]&gt;=G$434,G$434,Tabell2[[#This Row],[Eldreandel]]))</f>
        <v>0.17457305502846299</v>
      </c>
      <c r="Q238" s="41">
        <f>IF(Tabell2[[#This Row],[Sysselsettingsvekst10]]&lt;=H$433,H$433,IF(Tabell2[[#This Row],[Sysselsettingsvekst10]]&gt;=H$434,H$434,Tabell2[[#This Row],[Sysselsettingsvekst10]]))</f>
        <v>-9.2168803558721979E-2</v>
      </c>
      <c r="R238" s="41">
        <f>IF(Tabell2[[#This Row],[Yrkesaktivandel]]&lt;=I$433,I$433,IF(Tabell2[[#This Row],[Yrkesaktivandel]]&gt;=I$434,I$434,Tabell2[[#This Row],[Yrkesaktivandel]]))</f>
        <v>0.88369098712446348</v>
      </c>
      <c r="S238" s="41">
        <f>IF(Tabell2[[#This Row],[Inntekt]]&lt;=J$433,J$433,IF(Tabell2[[#This Row],[Inntekt]]&gt;=J$434,J$434,Tabell2[[#This Row],[Inntekt]]))</f>
        <v>328400</v>
      </c>
      <c r="T238" s="44">
        <f>IF(Tabell2[[#This Row],[NIBR11-T]]&lt;=K$436,100,IF(Tabell2[[#This Row],[NIBR11-T]]&gt;=K$435,0,100*(K$435-Tabell2[[#This Row],[NIBR11-T]])/K$438))</f>
        <v>20</v>
      </c>
      <c r="U238" s="44">
        <f>(L$435-Tabell2[[#This Row],[ReisetidOslo-T]])*100/L$438</f>
        <v>35.286897225954775</v>
      </c>
      <c r="V238" s="44">
        <f>100-(M$435-Tabell2[[#This Row],[Beftettotal-T]])*100/M$438</f>
        <v>2.7180771627644731</v>
      </c>
      <c r="W238" s="44">
        <f>100-(N$435-Tabell2[[#This Row],[Befvekst10-T]])*100/N$438</f>
        <v>0.87426844490862266</v>
      </c>
      <c r="X238" s="44">
        <f>100-(O$435-Tabell2[[#This Row],[Kvinneandel-T]])*100/O$438</f>
        <v>20.327257911951605</v>
      </c>
      <c r="Y238" s="44">
        <f>(P$435-Tabell2[[#This Row],[Eldreandel-T]])*100/P$438</f>
        <v>28.693961751103526</v>
      </c>
      <c r="Z238" s="44">
        <f>100-(Q$435-Tabell2[[#This Row],[Sysselsettingsvekst10-T]])*100/Q$438</f>
        <v>0</v>
      </c>
      <c r="AA238" s="44">
        <f>100-(R$435-Tabell2[[#This Row],[Yrkesaktivandel-T]])*100/R$438</f>
        <v>42.761709040837466</v>
      </c>
      <c r="AB238" s="44">
        <f>100-(S$435-Tabell2[[#This Row],[Inntekt-T]])*100/S$438</f>
        <v>49.293094072865685</v>
      </c>
      <c r="AC238" s="44">
        <f>Tabell2[[#This Row],[NIBR11-I]]*Vekter!$B$3</f>
        <v>4</v>
      </c>
      <c r="AD238" s="44">
        <f>Tabell2[[#This Row],[ReisetidOslo-I]]*Vekter!$C$3</f>
        <v>3.5286897225954776</v>
      </c>
      <c r="AE238" s="44">
        <f>Tabell2[[#This Row],[Beftettotal-I]]*Vekter!$E$4</f>
        <v>0.27180771627644734</v>
      </c>
      <c r="AF238" s="44">
        <f>Tabell2[[#This Row],[Befvekst10-I]]*Vekter!$F$3</f>
        <v>0.17485368898172454</v>
      </c>
      <c r="AG238" s="44">
        <f>Tabell2[[#This Row],[Kvinneandel-I]]*Vekter!$G$3</f>
        <v>1.0163628955975803</v>
      </c>
      <c r="AH238" s="44">
        <f>Tabell2[[#This Row],[Eldreandel-I]]*Vekter!$H$3</f>
        <v>1.4346980875551765</v>
      </c>
      <c r="AI238" s="44">
        <f>Tabell2[[#This Row],[Sysselsettingsvekst10-I]]*Vekter!$I$3</f>
        <v>0</v>
      </c>
      <c r="AJ238" s="44">
        <f>Tabell2[[#This Row],[Yrkesaktivandel-I]]*Vekter!$K$3</f>
        <v>4.276170904083747</v>
      </c>
      <c r="AK238" s="44">
        <f>Tabell2[[#This Row],[Inntekt-I]]*Vekter!$M$3</f>
        <v>4.9293094072865689</v>
      </c>
      <c r="AL23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19.631892422376723</v>
      </c>
    </row>
    <row r="239" spans="1:38" s="38" customFormat="1" ht="12.75">
      <c r="A239" s="42" t="s">
        <v>237</v>
      </c>
      <c r="B239" s="38">
        <f>'Rådata-K'!Q239</f>
        <v>11</v>
      </c>
      <c r="C239" s="44">
        <f>'Rådata-K'!P239</f>
        <v>220.90600000000001</v>
      </c>
      <c r="D239" s="41">
        <f>'Rådata-K'!R239</f>
        <v>3.2978110599078336</v>
      </c>
      <c r="E239" s="41">
        <f>'Rådata-K'!S239</f>
        <v>-5.7289879931389343E-2</v>
      </c>
      <c r="F239" s="41">
        <f>'Rådata-K'!T239</f>
        <v>9.8617176128093162E-2</v>
      </c>
      <c r="G239" s="41">
        <f>'Rådata-K'!U239</f>
        <v>0.20997088791848617</v>
      </c>
      <c r="H239" s="41">
        <f>'Rådata-K'!V239</f>
        <v>8.0000000000000071E-3</v>
      </c>
      <c r="I239" s="41">
        <f>'Rådata-K'!W239</f>
        <v>0.95684931506849313</v>
      </c>
      <c r="J239" s="41">
        <f>'Rådata-K'!O239</f>
        <v>317500</v>
      </c>
      <c r="K239" s="41">
        <f>Tabell2[[#This Row],[NIBR11]]</f>
        <v>11</v>
      </c>
      <c r="L239" s="41">
        <f>IF(Tabell2[[#This Row],[ReisetidOslo]]&lt;=C$433,C$433,IF(Tabell2[[#This Row],[ReisetidOslo]]&gt;=C$434,C$434,Tabell2[[#This Row],[ReisetidOslo]]))</f>
        <v>220.90600000000001</v>
      </c>
      <c r="M239" s="41">
        <f>IF(Tabell2[[#This Row],[Beftettotal]]&lt;=D$433,D$433,IF(Tabell2[[#This Row],[Beftettotal]]&gt;=D$434,D$434,Tabell2[[#This Row],[Beftettotal]]))</f>
        <v>3.2978110599078336</v>
      </c>
      <c r="N239" s="41">
        <f>IF(Tabell2[[#This Row],[Befvekst10]]&lt;=E$433,E$433,IF(Tabell2[[#This Row],[Befvekst10]]&gt;=E$434,E$434,Tabell2[[#This Row],[Befvekst10]]))</f>
        <v>-5.7289879931389343E-2</v>
      </c>
      <c r="O239" s="41">
        <f>IF(Tabell2[[#This Row],[Kvinneandel]]&lt;=F$433,F$433,IF(Tabell2[[#This Row],[Kvinneandel]]&gt;=F$434,F$434,Tabell2[[#This Row],[Kvinneandel]]))</f>
        <v>9.8617176128093162E-2</v>
      </c>
      <c r="P239" s="41">
        <f>IF(Tabell2[[#This Row],[Eldreandel]]&lt;=G$433,G$433,IF(Tabell2[[#This Row],[Eldreandel]]&gt;=G$434,G$434,Tabell2[[#This Row],[Eldreandel]]))</f>
        <v>0.1989437597342919</v>
      </c>
      <c r="Q239" s="41">
        <f>IF(Tabell2[[#This Row],[Sysselsettingsvekst10]]&lt;=H$433,H$433,IF(Tabell2[[#This Row],[Sysselsettingsvekst10]]&gt;=H$434,H$434,Tabell2[[#This Row],[Sysselsettingsvekst10]]))</f>
        <v>8.0000000000000071E-3</v>
      </c>
      <c r="R239" s="41">
        <f>IF(Tabell2[[#This Row],[Yrkesaktivandel]]&lt;=I$433,I$433,IF(Tabell2[[#This Row],[Yrkesaktivandel]]&gt;=I$434,I$434,Tabell2[[#This Row],[Yrkesaktivandel]]))</f>
        <v>0.95684931506849313</v>
      </c>
      <c r="S239" s="41">
        <f>IF(Tabell2[[#This Row],[Inntekt]]&lt;=J$433,J$433,IF(Tabell2[[#This Row],[Inntekt]]&gt;=J$434,J$434,Tabell2[[#This Row],[Inntekt]]))</f>
        <v>317500</v>
      </c>
      <c r="T239" s="44">
        <f>IF(Tabell2[[#This Row],[NIBR11-T]]&lt;=K$436,100,IF(Tabell2[[#This Row],[NIBR11-T]]&gt;=K$435,0,100*(K$435-Tabell2[[#This Row],[NIBR11-T]])/K$438))</f>
        <v>0</v>
      </c>
      <c r="U239" s="44">
        <f>(L$435-Tabell2[[#This Row],[ReisetidOslo-T]])*100/L$438</f>
        <v>25.815538472611369</v>
      </c>
      <c r="V239" s="44">
        <f>100-(M$435-Tabell2[[#This Row],[Beftettotal-T]])*100/M$438</f>
        <v>1.6172282390821238</v>
      </c>
      <c r="W239" s="44">
        <f>100-(N$435-Tabell2[[#This Row],[Befvekst10-T]])*100/N$438</f>
        <v>14.328333078376829</v>
      </c>
      <c r="X239" s="44">
        <f>100-(O$435-Tabell2[[#This Row],[Kvinneandel-T]])*100/O$438</f>
        <v>18.879850781825027</v>
      </c>
      <c r="Y239" s="44">
        <f>(P$435-Tabell2[[#This Row],[Eldreandel-T]])*100/P$438</f>
        <v>0</v>
      </c>
      <c r="Z239" s="44">
        <f>100-(Q$435-Tabell2[[#This Row],[Sysselsettingsvekst10-T]])*100/Q$438</f>
        <v>29.451339048916594</v>
      </c>
      <c r="AA239" s="44">
        <f>100-(R$435-Tabell2[[#This Row],[Yrkesaktivandel-T]])*100/R$438</f>
        <v>97.395002928231463</v>
      </c>
      <c r="AB239" s="44">
        <f>100-(S$435-Tabell2[[#This Row],[Inntekt-T]])*100/S$438</f>
        <v>34.475258292550294</v>
      </c>
      <c r="AC239" s="44">
        <f>Tabell2[[#This Row],[NIBR11-I]]*Vekter!$B$3</f>
        <v>0</v>
      </c>
      <c r="AD239" s="44">
        <f>Tabell2[[#This Row],[ReisetidOslo-I]]*Vekter!$C$3</f>
        <v>2.5815538472611372</v>
      </c>
      <c r="AE239" s="44">
        <f>Tabell2[[#This Row],[Beftettotal-I]]*Vekter!$E$4</f>
        <v>0.16172282390821238</v>
      </c>
      <c r="AF239" s="44">
        <f>Tabell2[[#This Row],[Befvekst10-I]]*Vekter!$F$3</f>
        <v>2.8656666156753658</v>
      </c>
      <c r="AG239" s="44">
        <f>Tabell2[[#This Row],[Kvinneandel-I]]*Vekter!$G$3</f>
        <v>0.94399253909125136</v>
      </c>
      <c r="AH239" s="44">
        <f>Tabell2[[#This Row],[Eldreandel-I]]*Vekter!$H$3</f>
        <v>0</v>
      </c>
      <c r="AI239" s="44">
        <f>Tabell2[[#This Row],[Sysselsettingsvekst10-I]]*Vekter!$I$3</f>
        <v>2.9451339048916596</v>
      </c>
      <c r="AJ239" s="44">
        <f>Tabell2[[#This Row],[Yrkesaktivandel-I]]*Vekter!$K$3</f>
        <v>9.7395002928231467</v>
      </c>
      <c r="AK239" s="44">
        <f>Tabell2[[#This Row],[Inntekt-I]]*Vekter!$M$3</f>
        <v>3.4475258292550297</v>
      </c>
      <c r="AL23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22.685095852905803</v>
      </c>
    </row>
    <row r="240" spans="1:38" s="38" customFormat="1" ht="12.75">
      <c r="A240" s="42" t="s">
        <v>238</v>
      </c>
      <c r="B240" s="38">
        <f>'Rådata-K'!Q240</f>
        <v>9</v>
      </c>
      <c r="C240" s="44">
        <f>'Rådata-K'!P240</f>
        <v>210.31716023410002</v>
      </c>
      <c r="D240" s="41">
        <f>'Rådata-K'!R240</f>
        <v>3.1127861529871583</v>
      </c>
      <c r="E240" s="41">
        <f>'Rådata-K'!S240</f>
        <v>-0.11155378486055778</v>
      </c>
      <c r="F240" s="41">
        <f>'Rådata-K'!T240</f>
        <v>0.11061285500747384</v>
      </c>
      <c r="G240" s="41">
        <f>'Rådata-K'!U240</f>
        <v>0.1532137518684604</v>
      </c>
      <c r="H240" s="41">
        <f>'Rådata-K'!V240</f>
        <v>-5.8208955223880587E-2</v>
      </c>
      <c r="I240" s="41">
        <f>'Rådata-K'!W240</f>
        <v>0.95526315789473681</v>
      </c>
      <c r="J240" s="41">
        <f>'Rådata-K'!O240</f>
        <v>313500</v>
      </c>
      <c r="K240" s="41">
        <f>Tabell2[[#This Row],[NIBR11]]</f>
        <v>9</v>
      </c>
      <c r="L240" s="41">
        <f>IF(Tabell2[[#This Row],[ReisetidOslo]]&lt;=C$433,C$433,IF(Tabell2[[#This Row],[ReisetidOslo]]&gt;=C$434,C$434,Tabell2[[#This Row],[ReisetidOslo]]))</f>
        <v>210.31716023410002</v>
      </c>
      <c r="M240" s="41">
        <f>IF(Tabell2[[#This Row],[Beftettotal]]&lt;=D$433,D$433,IF(Tabell2[[#This Row],[Beftettotal]]&gt;=D$434,D$434,Tabell2[[#This Row],[Beftettotal]]))</f>
        <v>3.1127861529871583</v>
      </c>
      <c r="N240" s="41">
        <f>IF(Tabell2[[#This Row],[Befvekst10]]&lt;=E$433,E$433,IF(Tabell2[[#This Row],[Befvekst10]]&gt;=E$434,E$434,Tabell2[[#This Row],[Befvekst10]]))</f>
        <v>-9.1923232174966049E-2</v>
      </c>
      <c r="O240" s="41">
        <f>IF(Tabell2[[#This Row],[Kvinneandel]]&lt;=F$433,F$433,IF(Tabell2[[#This Row],[Kvinneandel]]&gt;=F$434,F$434,Tabell2[[#This Row],[Kvinneandel]]))</f>
        <v>0.11061285500747384</v>
      </c>
      <c r="P240" s="41">
        <f>IF(Tabell2[[#This Row],[Eldreandel]]&lt;=G$433,G$433,IF(Tabell2[[#This Row],[Eldreandel]]&gt;=G$434,G$434,Tabell2[[#This Row],[Eldreandel]]))</f>
        <v>0.1532137518684604</v>
      </c>
      <c r="Q240" s="41">
        <f>IF(Tabell2[[#This Row],[Sysselsettingsvekst10]]&lt;=H$433,H$433,IF(Tabell2[[#This Row],[Sysselsettingsvekst10]]&gt;=H$434,H$434,Tabell2[[#This Row],[Sysselsettingsvekst10]]))</f>
        <v>-5.8208955223880587E-2</v>
      </c>
      <c r="R240" s="41">
        <f>IF(Tabell2[[#This Row],[Yrkesaktivandel]]&lt;=I$433,I$433,IF(Tabell2[[#This Row],[Yrkesaktivandel]]&gt;=I$434,I$434,Tabell2[[#This Row],[Yrkesaktivandel]]))</f>
        <v>0.95526315789473681</v>
      </c>
      <c r="S240" s="41">
        <f>IF(Tabell2[[#This Row],[Inntekt]]&lt;=J$433,J$433,IF(Tabell2[[#This Row],[Inntekt]]&gt;=J$434,J$434,Tabell2[[#This Row],[Inntekt]]))</f>
        <v>313500</v>
      </c>
      <c r="T240" s="44">
        <f>IF(Tabell2[[#This Row],[NIBR11-T]]&lt;=K$436,100,IF(Tabell2[[#This Row],[NIBR11-T]]&gt;=K$435,0,100*(K$435-Tabell2[[#This Row],[NIBR11-T]])/K$438))</f>
        <v>20</v>
      </c>
      <c r="U240" s="44">
        <f>(L$435-Tabell2[[#This Row],[ReisetidOslo-T]])*100/L$438</f>
        <v>30.516460153696713</v>
      </c>
      <c r="V240" s="44">
        <f>100-(M$435-Tabell2[[#This Row],[Beftettotal-T]])*100/M$438</f>
        <v>1.4658766047310365</v>
      </c>
      <c r="W240" s="44">
        <f>100-(N$435-Tabell2[[#This Row],[Befvekst10-T]])*100/N$438</f>
        <v>0</v>
      </c>
      <c r="X240" s="44">
        <f>100-(O$435-Tabell2[[#This Row],[Kvinneandel-T]])*100/O$438</f>
        <v>51.705559616645495</v>
      </c>
      <c r="Y240" s="44">
        <f>(P$435-Tabell2[[#This Row],[Eldreandel-T]])*100/P$438</f>
        <v>53.842312416431291</v>
      </c>
      <c r="Z240" s="44">
        <f>100-(Q$435-Tabell2[[#This Row],[Sysselsettingsvekst10-T]])*100/Q$438</f>
        <v>9.9847754173570848</v>
      </c>
      <c r="AA240" s="44">
        <f>100-(R$435-Tabell2[[#This Row],[Yrkesaktivandel-T]])*100/R$438</f>
        <v>96.210489921158299</v>
      </c>
      <c r="AB240" s="44">
        <f>100-(S$435-Tabell2[[#This Row],[Inntekt-T]])*100/S$438</f>
        <v>29.037520391517134</v>
      </c>
      <c r="AC240" s="44">
        <f>Tabell2[[#This Row],[NIBR11-I]]*Vekter!$B$3</f>
        <v>4</v>
      </c>
      <c r="AD240" s="44">
        <f>Tabell2[[#This Row],[ReisetidOslo-I]]*Vekter!$C$3</f>
        <v>3.0516460153696716</v>
      </c>
      <c r="AE240" s="44">
        <f>Tabell2[[#This Row],[Beftettotal-I]]*Vekter!$E$4</f>
        <v>0.14658766047310365</v>
      </c>
      <c r="AF240" s="44">
        <f>Tabell2[[#This Row],[Befvekst10-I]]*Vekter!$F$3</f>
        <v>0</v>
      </c>
      <c r="AG240" s="44">
        <f>Tabell2[[#This Row],[Kvinneandel-I]]*Vekter!$G$3</f>
        <v>2.585277980832275</v>
      </c>
      <c r="AH240" s="44">
        <f>Tabell2[[#This Row],[Eldreandel-I]]*Vekter!$H$3</f>
        <v>2.6921156208215646</v>
      </c>
      <c r="AI240" s="44">
        <f>Tabell2[[#This Row],[Sysselsettingsvekst10-I]]*Vekter!$I$3</f>
        <v>0.99847754173570857</v>
      </c>
      <c r="AJ240" s="44">
        <f>Tabell2[[#This Row],[Yrkesaktivandel-I]]*Vekter!$K$3</f>
        <v>9.6210489921158313</v>
      </c>
      <c r="AK240" s="44">
        <f>Tabell2[[#This Row],[Inntekt-I]]*Vekter!$M$3</f>
        <v>2.9037520391517138</v>
      </c>
      <c r="AL24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25.998905850499867</v>
      </c>
    </row>
    <row r="241" spans="1:38" s="38" customFormat="1" ht="12.75">
      <c r="A241" s="42" t="s">
        <v>239</v>
      </c>
      <c r="B241" s="38">
        <f>'Rådata-K'!Q241</f>
        <v>8</v>
      </c>
      <c r="C241" s="44">
        <f>'Rådata-K'!P241</f>
        <v>181.30705130249999</v>
      </c>
      <c r="D241" s="41">
        <f>'Rådata-K'!R241</f>
        <v>12.419462341701845</v>
      </c>
      <c r="E241" s="41">
        <f>'Rådata-K'!S241</f>
        <v>1.6825829922692215E-2</v>
      </c>
      <c r="F241" s="41">
        <f>'Rådata-K'!T241</f>
        <v>0.11583184257602862</v>
      </c>
      <c r="G241" s="41">
        <f>'Rådata-K'!U241</f>
        <v>0.15205724508050089</v>
      </c>
      <c r="H241" s="41">
        <f>'Rådata-K'!V241</f>
        <v>-7.4437391806116526E-2</v>
      </c>
      <c r="I241" s="41">
        <f>'Rådata-K'!W241</f>
        <v>0.97269076305220881</v>
      </c>
      <c r="J241" s="41">
        <f>'Rådata-K'!O241</f>
        <v>360700</v>
      </c>
      <c r="K241" s="41">
        <f>Tabell2[[#This Row],[NIBR11]]</f>
        <v>8</v>
      </c>
      <c r="L241" s="41">
        <f>IF(Tabell2[[#This Row],[ReisetidOslo]]&lt;=C$433,C$433,IF(Tabell2[[#This Row],[ReisetidOslo]]&gt;=C$434,C$434,Tabell2[[#This Row],[ReisetidOslo]]))</f>
        <v>181.30705130249999</v>
      </c>
      <c r="M241" s="41">
        <f>IF(Tabell2[[#This Row],[Beftettotal]]&lt;=D$433,D$433,IF(Tabell2[[#This Row],[Beftettotal]]&gt;=D$434,D$434,Tabell2[[#This Row],[Beftettotal]]))</f>
        <v>12.419462341701845</v>
      </c>
      <c r="N241" s="41">
        <f>IF(Tabell2[[#This Row],[Befvekst10]]&lt;=E$433,E$433,IF(Tabell2[[#This Row],[Befvekst10]]&gt;=E$434,E$434,Tabell2[[#This Row],[Befvekst10]]))</f>
        <v>1.6825829922692215E-2</v>
      </c>
      <c r="O241" s="41">
        <f>IF(Tabell2[[#This Row],[Kvinneandel]]&lt;=F$433,F$433,IF(Tabell2[[#This Row],[Kvinneandel]]&gt;=F$434,F$434,Tabell2[[#This Row],[Kvinneandel]]))</f>
        <v>0.11583184257602862</v>
      </c>
      <c r="P241" s="41">
        <f>IF(Tabell2[[#This Row],[Eldreandel]]&lt;=G$433,G$433,IF(Tabell2[[#This Row],[Eldreandel]]&gt;=G$434,G$434,Tabell2[[#This Row],[Eldreandel]]))</f>
        <v>0.15205724508050089</v>
      </c>
      <c r="Q241" s="41">
        <f>IF(Tabell2[[#This Row],[Sysselsettingsvekst10]]&lt;=H$433,H$433,IF(Tabell2[[#This Row],[Sysselsettingsvekst10]]&gt;=H$434,H$434,Tabell2[[#This Row],[Sysselsettingsvekst10]]))</f>
        <v>-7.4437391806116526E-2</v>
      </c>
      <c r="R241" s="41">
        <f>IF(Tabell2[[#This Row],[Yrkesaktivandel]]&lt;=I$433,I$433,IF(Tabell2[[#This Row],[Yrkesaktivandel]]&gt;=I$434,I$434,Tabell2[[#This Row],[Yrkesaktivandel]]))</f>
        <v>0.96033761343949164</v>
      </c>
      <c r="S241" s="41">
        <f>IF(Tabell2[[#This Row],[Inntekt]]&lt;=J$433,J$433,IF(Tabell2[[#This Row],[Inntekt]]&gt;=J$434,J$434,Tabell2[[#This Row],[Inntekt]]))</f>
        <v>360700</v>
      </c>
      <c r="T241" s="44">
        <f>IF(Tabell2[[#This Row],[NIBR11-T]]&lt;=K$436,100,IF(Tabell2[[#This Row],[NIBR11-T]]&gt;=K$435,0,100*(K$435-Tabell2[[#This Row],[NIBR11-T]])/K$438))</f>
        <v>30</v>
      </c>
      <c r="U241" s="44">
        <f>(L$435-Tabell2[[#This Row],[ReisetidOslo-T]])*100/L$438</f>
        <v>43.395515183538805</v>
      </c>
      <c r="V241" s="44">
        <f>100-(M$435-Tabell2[[#This Row],[Beftettotal-T]])*100/M$438</f>
        <v>9.0788011292238764</v>
      </c>
      <c r="W241" s="44">
        <f>100-(N$435-Tabell2[[#This Row],[Befvekst10-T]])*100/N$438</f>
        <v>44.991104896157559</v>
      </c>
      <c r="X241" s="44">
        <f>100-(O$435-Tabell2[[#This Row],[Kvinneandel-T]])*100/O$438</f>
        <v>65.987116172181743</v>
      </c>
      <c r="Y241" s="44">
        <f>(P$435-Tabell2[[#This Row],[Eldreandel-T]])*100/P$438</f>
        <v>55.203978479812072</v>
      </c>
      <c r="Z241" s="44">
        <f>100-(Q$435-Tabell2[[#This Row],[Sysselsettingsvekst10-T]])*100/Q$438</f>
        <v>5.2133378935267842</v>
      </c>
      <c r="AA241" s="44">
        <f>100-(R$435-Tabell2[[#This Row],[Yrkesaktivandel-T]])*100/R$438</f>
        <v>100</v>
      </c>
      <c r="AB241" s="44">
        <f>100-(S$435-Tabell2[[#This Row],[Inntekt-T]])*100/S$438</f>
        <v>93.202827623708544</v>
      </c>
      <c r="AC241" s="44">
        <f>Tabell2[[#This Row],[NIBR11-I]]*Vekter!$B$3</f>
        <v>6</v>
      </c>
      <c r="AD241" s="44">
        <f>Tabell2[[#This Row],[ReisetidOslo-I]]*Vekter!$C$3</f>
        <v>4.3395515183538809</v>
      </c>
      <c r="AE241" s="44">
        <f>Tabell2[[#This Row],[Beftettotal-I]]*Vekter!$E$4</f>
        <v>0.90788011292238768</v>
      </c>
      <c r="AF241" s="44">
        <f>Tabell2[[#This Row],[Befvekst10-I]]*Vekter!$F$3</f>
        <v>8.9982209792315118</v>
      </c>
      <c r="AG241" s="44">
        <f>Tabell2[[#This Row],[Kvinneandel-I]]*Vekter!$G$3</f>
        <v>3.2993558086090875</v>
      </c>
      <c r="AH241" s="44">
        <f>Tabell2[[#This Row],[Eldreandel-I]]*Vekter!$H$3</f>
        <v>2.760198923990604</v>
      </c>
      <c r="AI241" s="44">
        <f>Tabell2[[#This Row],[Sysselsettingsvekst10-I]]*Vekter!$I$3</f>
        <v>0.52133378935267849</v>
      </c>
      <c r="AJ241" s="44">
        <f>Tabell2[[#This Row],[Yrkesaktivandel-I]]*Vekter!$K$3</f>
        <v>10</v>
      </c>
      <c r="AK241" s="44">
        <f>Tabell2[[#This Row],[Inntekt-I]]*Vekter!$M$3</f>
        <v>9.3202827623708551</v>
      </c>
      <c r="AL24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46.146823894831002</v>
      </c>
    </row>
    <row r="242" spans="1:38" s="38" customFormat="1" ht="12.75">
      <c r="A242" s="42" t="s">
        <v>240</v>
      </c>
      <c r="B242" s="38">
        <f>'Rådata-K'!Q242</f>
        <v>8</v>
      </c>
      <c r="C242" s="44">
        <f>'Rådata-K'!P242</f>
        <v>163.75476108149999</v>
      </c>
      <c r="D242" s="41">
        <f>'Rådata-K'!R242</f>
        <v>9.8510544167526923</v>
      </c>
      <c r="E242" s="41">
        <f>'Rådata-K'!S242</f>
        <v>0.11265899454875838</v>
      </c>
      <c r="F242" s="41">
        <f>'Rådata-K'!T242</f>
        <v>0.13010342950462711</v>
      </c>
      <c r="G242" s="41">
        <f>'Rådata-K'!U242</f>
        <v>0.12983124659771367</v>
      </c>
      <c r="H242" s="41">
        <f>'Rådata-K'!V242</f>
        <v>0.13830656139395581</v>
      </c>
      <c r="I242" s="41">
        <f>'Rådata-K'!W242</f>
        <v>0.94461181923522597</v>
      </c>
      <c r="J242" s="41">
        <f>'Rådata-K'!O242</f>
        <v>333300</v>
      </c>
      <c r="K242" s="41">
        <f>Tabell2[[#This Row],[NIBR11]]</f>
        <v>8</v>
      </c>
      <c r="L242" s="41">
        <f>IF(Tabell2[[#This Row],[ReisetidOslo]]&lt;=C$433,C$433,IF(Tabell2[[#This Row],[ReisetidOslo]]&gt;=C$434,C$434,Tabell2[[#This Row],[ReisetidOslo]]))</f>
        <v>163.75476108149999</v>
      </c>
      <c r="M242" s="41">
        <f>IF(Tabell2[[#This Row],[Beftettotal]]&lt;=D$433,D$433,IF(Tabell2[[#This Row],[Beftettotal]]&gt;=D$434,D$434,Tabell2[[#This Row],[Beftettotal]]))</f>
        <v>9.8510544167526923</v>
      </c>
      <c r="N242" s="41">
        <f>IF(Tabell2[[#This Row],[Befvekst10]]&lt;=E$433,E$433,IF(Tabell2[[#This Row],[Befvekst10]]&gt;=E$434,E$434,Tabell2[[#This Row],[Befvekst10]]))</f>
        <v>0.11265899454875838</v>
      </c>
      <c r="O242" s="41">
        <f>IF(Tabell2[[#This Row],[Kvinneandel]]&lt;=F$433,F$433,IF(Tabell2[[#This Row],[Kvinneandel]]&gt;=F$434,F$434,Tabell2[[#This Row],[Kvinneandel]]))</f>
        <v>0.12826135732659469</v>
      </c>
      <c r="P242" s="41">
        <f>IF(Tabell2[[#This Row],[Eldreandel]]&lt;=G$433,G$433,IF(Tabell2[[#This Row],[Eldreandel]]&gt;=G$434,G$434,Tabell2[[#This Row],[Eldreandel]]))</f>
        <v>0.12983124659771367</v>
      </c>
      <c r="Q242" s="41">
        <f>IF(Tabell2[[#This Row],[Sysselsettingsvekst10]]&lt;=H$433,H$433,IF(Tabell2[[#This Row],[Sysselsettingsvekst10]]&gt;=H$434,H$434,Tabell2[[#This Row],[Sysselsettingsvekst10]]))</f>
        <v>0.13830656139395581</v>
      </c>
      <c r="R242" s="41">
        <f>IF(Tabell2[[#This Row],[Yrkesaktivandel]]&lt;=I$433,I$433,IF(Tabell2[[#This Row],[Yrkesaktivandel]]&gt;=I$434,I$434,Tabell2[[#This Row],[Yrkesaktivandel]]))</f>
        <v>0.94461181923522597</v>
      </c>
      <c r="S242" s="41">
        <f>IF(Tabell2[[#This Row],[Inntekt]]&lt;=J$433,J$433,IF(Tabell2[[#This Row],[Inntekt]]&gt;=J$434,J$434,Tabell2[[#This Row],[Inntekt]]))</f>
        <v>333300</v>
      </c>
      <c r="T242" s="44">
        <f>IF(Tabell2[[#This Row],[NIBR11-T]]&lt;=K$436,100,IF(Tabell2[[#This Row],[NIBR11-T]]&gt;=K$435,0,100*(K$435-Tabell2[[#This Row],[NIBR11-T]])/K$438))</f>
        <v>30</v>
      </c>
      <c r="U242" s="44">
        <f>(L$435-Tabell2[[#This Row],[ReisetidOslo-T]])*100/L$438</f>
        <v>51.187864815490023</v>
      </c>
      <c r="V242" s="44">
        <f>100-(M$435-Tabell2[[#This Row],[Beftettotal-T]])*100/M$438</f>
        <v>6.9778259492281052</v>
      </c>
      <c r="W242" s="44">
        <f>100-(N$435-Tabell2[[#This Row],[Befvekst10-T]])*100/N$438</f>
        <v>84.638710852981006</v>
      </c>
      <c r="X242" s="44">
        <f>100-(O$435-Tabell2[[#This Row],[Kvinneandel-T]])*100/O$438</f>
        <v>100</v>
      </c>
      <c r="Y242" s="44">
        <f>(P$435-Tabell2[[#This Row],[Eldreandel-T]])*100/P$438</f>
        <v>81.372772449591935</v>
      </c>
      <c r="Z242" s="44">
        <f>100-(Q$435-Tabell2[[#This Row],[Sysselsettingsvekst10-T]])*100/Q$438</f>
        <v>67.763693630071998</v>
      </c>
      <c r="AA242" s="44">
        <f>100-(R$435-Tabell2[[#This Row],[Yrkesaktivandel-T]])*100/R$438</f>
        <v>88.256266094112689</v>
      </c>
      <c r="AB242" s="44">
        <f>100-(S$435-Tabell2[[#This Row],[Inntekt-T]])*100/S$438</f>
        <v>55.954323001631323</v>
      </c>
      <c r="AC242" s="44">
        <f>Tabell2[[#This Row],[NIBR11-I]]*Vekter!$B$3</f>
        <v>6</v>
      </c>
      <c r="AD242" s="44">
        <f>Tabell2[[#This Row],[ReisetidOslo-I]]*Vekter!$C$3</f>
        <v>5.1187864815490025</v>
      </c>
      <c r="AE242" s="44">
        <f>Tabell2[[#This Row],[Beftettotal-I]]*Vekter!$E$4</f>
        <v>0.69778259492281058</v>
      </c>
      <c r="AF242" s="44">
        <f>Tabell2[[#This Row],[Befvekst10-I]]*Vekter!$F$3</f>
        <v>16.927742170596201</v>
      </c>
      <c r="AG242" s="44">
        <f>Tabell2[[#This Row],[Kvinneandel-I]]*Vekter!$G$3</f>
        <v>5</v>
      </c>
      <c r="AH242" s="44">
        <f>Tabell2[[#This Row],[Eldreandel-I]]*Vekter!$H$3</f>
        <v>4.0686386224795967</v>
      </c>
      <c r="AI242" s="44">
        <f>Tabell2[[#This Row],[Sysselsettingsvekst10-I]]*Vekter!$I$3</f>
        <v>6.7763693630072002</v>
      </c>
      <c r="AJ242" s="44">
        <f>Tabell2[[#This Row],[Yrkesaktivandel-I]]*Vekter!$K$3</f>
        <v>8.8256266094112696</v>
      </c>
      <c r="AK242" s="44">
        <f>Tabell2[[#This Row],[Inntekt-I]]*Vekter!$M$3</f>
        <v>5.5954323001631323</v>
      </c>
      <c r="AL24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59.010378142129206</v>
      </c>
    </row>
    <row r="243" spans="1:38" s="38" customFormat="1" ht="12.75">
      <c r="A243" s="42" t="s">
        <v>241</v>
      </c>
      <c r="B243" s="38">
        <f>'Rådata-K'!Q243</f>
        <v>11</v>
      </c>
      <c r="C243" s="44">
        <f>'Rådata-K'!P243</f>
        <v>206.8877959502</v>
      </c>
      <c r="D243" s="41">
        <f>'Rådata-K'!R243</f>
        <v>1.1663317096433561</v>
      </c>
      <c r="E243" s="41">
        <f>'Rådata-K'!S243</f>
        <v>-5.2573325954620942E-2</v>
      </c>
      <c r="F243" s="41">
        <f>'Rådata-K'!T243</f>
        <v>0.10338785046728972</v>
      </c>
      <c r="G243" s="41">
        <f>'Rådata-K'!U243</f>
        <v>0.16413551401869159</v>
      </c>
      <c r="H243" s="41">
        <f>'Rådata-K'!V243</f>
        <v>1.6797312430011146E-2</v>
      </c>
      <c r="I243" s="41">
        <f>'Rådata-K'!W243</f>
        <v>0.9442755825734549</v>
      </c>
      <c r="J243" s="41">
        <f>'Rådata-K'!O243</f>
        <v>329200</v>
      </c>
      <c r="K243" s="41">
        <f>Tabell2[[#This Row],[NIBR11]]</f>
        <v>11</v>
      </c>
      <c r="L243" s="41">
        <f>IF(Tabell2[[#This Row],[ReisetidOslo]]&lt;=C$433,C$433,IF(Tabell2[[#This Row],[ReisetidOslo]]&gt;=C$434,C$434,Tabell2[[#This Row],[ReisetidOslo]]))</f>
        <v>206.8877959502</v>
      </c>
      <c r="M243" s="41">
        <f>IF(Tabell2[[#This Row],[Beftettotal]]&lt;=D$433,D$433,IF(Tabell2[[#This Row],[Beftettotal]]&gt;=D$434,D$434,Tabell2[[#This Row],[Beftettotal]]))</f>
        <v>1.3207758882127238</v>
      </c>
      <c r="N243" s="41">
        <f>IF(Tabell2[[#This Row],[Befvekst10]]&lt;=E$433,E$433,IF(Tabell2[[#This Row],[Befvekst10]]&gt;=E$434,E$434,Tabell2[[#This Row],[Befvekst10]]))</f>
        <v>-5.2573325954620942E-2</v>
      </c>
      <c r="O243" s="41">
        <f>IF(Tabell2[[#This Row],[Kvinneandel]]&lt;=F$433,F$433,IF(Tabell2[[#This Row],[Kvinneandel]]&gt;=F$434,F$434,Tabell2[[#This Row],[Kvinneandel]]))</f>
        <v>0.10338785046728972</v>
      </c>
      <c r="P243" s="41">
        <f>IF(Tabell2[[#This Row],[Eldreandel]]&lt;=G$433,G$433,IF(Tabell2[[#This Row],[Eldreandel]]&gt;=G$434,G$434,Tabell2[[#This Row],[Eldreandel]]))</f>
        <v>0.16413551401869159</v>
      </c>
      <c r="Q243" s="41">
        <f>IF(Tabell2[[#This Row],[Sysselsettingsvekst10]]&lt;=H$433,H$433,IF(Tabell2[[#This Row],[Sysselsettingsvekst10]]&gt;=H$434,H$434,Tabell2[[#This Row],[Sysselsettingsvekst10]]))</f>
        <v>1.6797312430011146E-2</v>
      </c>
      <c r="R243" s="41">
        <f>IF(Tabell2[[#This Row],[Yrkesaktivandel]]&lt;=I$433,I$433,IF(Tabell2[[#This Row],[Yrkesaktivandel]]&gt;=I$434,I$434,Tabell2[[#This Row],[Yrkesaktivandel]]))</f>
        <v>0.9442755825734549</v>
      </c>
      <c r="S243" s="41">
        <f>IF(Tabell2[[#This Row],[Inntekt]]&lt;=J$433,J$433,IF(Tabell2[[#This Row],[Inntekt]]&gt;=J$434,J$434,Tabell2[[#This Row],[Inntekt]]))</f>
        <v>329200</v>
      </c>
      <c r="T243" s="44">
        <f>IF(Tabell2[[#This Row],[NIBR11-T]]&lt;=K$436,100,IF(Tabell2[[#This Row],[NIBR11-T]]&gt;=K$435,0,100*(K$435-Tabell2[[#This Row],[NIBR11-T]])/K$438))</f>
        <v>0</v>
      </c>
      <c r="U243" s="44">
        <f>(L$435-Tabell2[[#This Row],[ReisetidOslo-T]])*100/L$438</f>
        <v>32.038928457206367</v>
      </c>
      <c r="V243" s="44">
        <f>100-(M$435-Tabell2[[#This Row],[Beftettotal-T]])*100/M$438</f>
        <v>0</v>
      </c>
      <c r="W243" s="44">
        <f>100-(N$435-Tabell2[[#This Row],[Befvekst10-T]])*100/N$438</f>
        <v>16.279641628758768</v>
      </c>
      <c r="X243" s="44">
        <f>100-(O$435-Tabell2[[#This Row],[Kvinneandel-T]])*100/O$438</f>
        <v>31.934615616635369</v>
      </c>
      <c r="Y243" s="44">
        <f>(P$435-Tabell2[[#This Row],[Eldreandel-T]])*100/P$438</f>
        <v>40.983077151132264</v>
      </c>
      <c r="Z243" s="44">
        <f>100-(Q$435-Tabell2[[#This Row],[Sysselsettingsvekst10-T]])*100/Q$438</f>
        <v>32.037899154365178</v>
      </c>
      <c r="AA243" s="44">
        <f>100-(R$435-Tabell2[[#This Row],[Yrkesaktivandel-T]])*100/R$438</f>
        <v>88.005170738676071</v>
      </c>
      <c r="AB243" s="44">
        <f>100-(S$435-Tabell2[[#This Row],[Inntekt-T]])*100/S$438</f>
        <v>50.380641653072324</v>
      </c>
      <c r="AC243" s="44">
        <f>Tabell2[[#This Row],[NIBR11-I]]*Vekter!$B$3</f>
        <v>0</v>
      </c>
      <c r="AD243" s="44">
        <f>Tabell2[[#This Row],[ReisetidOslo-I]]*Vekter!$C$3</f>
        <v>3.2038928457206368</v>
      </c>
      <c r="AE243" s="44">
        <f>Tabell2[[#This Row],[Beftettotal-I]]*Vekter!$E$4</f>
        <v>0</v>
      </c>
      <c r="AF243" s="44">
        <f>Tabell2[[#This Row],[Befvekst10-I]]*Vekter!$F$3</f>
        <v>3.2559283257517535</v>
      </c>
      <c r="AG243" s="44">
        <f>Tabell2[[#This Row],[Kvinneandel-I]]*Vekter!$G$3</f>
        <v>1.5967307808317686</v>
      </c>
      <c r="AH243" s="44">
        <f>Tabell2[[#This Row],[Eldreandel-I]]*Vekter!$H$3</f>
        <v>2.0491538575566133</v>
      </c>
      <c r="AI243" s="44">
        <f>Tabell2[[#This Row],[Sysselsettingsvekst10-I]]*Vekter!$I$3</f>
        <v>3.2037899154365181</v>
      </c>
      <c r="AJ243" s="44">
        <f>Tabell2[[#This Row],[Yrkesaktivandel-I]]*Vekter!$K$3</f>
        <v>8.8005170738676082</v>
      </c>
      <c r="AK243" s="44">
        <f>Tabell2[[#This Row],[Inntekt-I]]*Vekter!$M$3</f>
        <v>5.0380641653072331</v>
      </c>
      <c r="AL24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27.148076964472132</v>
      </c>
    </row>
    <row r="244" spans="1:38" s="38" customFormat="1" ht="12.75">
      <c r="A244" s="42" t="s">
        <v>242</v>
      </c>
      <c r="B244" s="38">
        <f>'Rådata-K'!Q244</f>
        <v>9</v>
      </c>
      <c r="C244" s="44">
        <f>'Rådata-K'!P244</f>
        <v>179.94548692429998</v>
      </c>
      <c r="D244" s="41">
        <f>'Rådata-K'!R244</f>
        <v>1.6425192744608736</v>
      </c>
      <c r="E244" s="41">
        <f>'Rådata-K'!S244</f>
        <v>1.2396694214876103E-2</v>
      </c>
      <c r="F244" s="41">
        <f>'Rådata-K'!T244</f>
        <v>0.10793650793650794</v>
      </c>
      <c r="G244" s="41">
        <f>'Rådata-K'!U244</f>
        <v>0.1655328798185941</v>
      </c>
      <c r="H244" s="41">
        <f>'Rådata-K'!V244</f>
        <v>-1.9811320754717032E-2</v>
      </c>
      <c r="I244" s="41">
        <f>'Rådata-K'!W244</f>
        <v>0.93424218123496394</v>
      </c>
      <c r="J244" s="41">
        <f>'Rådata-K'!O244</f>
        <v>329300</v>
      </c>
      <c r="K244" s="41">
        <f>Tabell2[[#This Row],[NIBR11]]</f>
        <v>9</v>
      </c>
      <c r="L244" s="41">
        <f>IF(Tabell2[[#This Row],[ReisetidOslo]]&lt;=C$433,C$433,IF(Tabell2[[#This Row],[ReisetidOslo]]&gt;=C$434,C$434,Tabell2[[#This Row],[ReisetidOslo]]))</f>
        <v>179.94548692429998</v>
      </c>
      <c r="M244" s="41">
        <f>IF(Tabell2[[#This Row],[Beftettotal]]&lt;=D$433,D$433,IF(Tabell2[[#This Row],[Beftettotal]]&gt;=D$434,D$434,Tabell2[[#This Row],[Beftettotal]]))</f>
        <v>1.6425192744608736</v>
      </c>
      <c r="N244" s="41">
        <f>IF(Tabell2[[#This Row],[Befvekst10]]&lt;=E$433,E$433,IF(Tabell2[[#This Row],[Befvekst10]]&gt;=E$434,E$434,Tabell2[[#This Row],[Befvekst10]]))</f>
        <v>1.2396694214876103E-2</v>
      </c>
      <c r="O244" s="41">
        <f>IF(Tabell2[[#This Row],[Kvinneandel]]&lt;=F$433,F$433,IF(Tabell2[[#This Row],[Kvinneandel]]&gt;=F$434,F$434,Tabell2[[#This Row],[Kvinneandel]]))</f>
        <v>0.10793650793650794</v>
      </c>
      <c r="P244" s="41">
        <f>IF(Tabell2[[#This Row],[Eldreandel]]&lt;=G$433,G$433,IF(Tabell2[[#This Row],[Eldreandel]]&gt;=G$434,G$434,Tabell2[[#This Row],[Eldreandel]]))</f>
        <v>0.1655328798185941</v>
      </c>
      <c r="Q244" s="41">
        <f>IF(Tabell2[[#This Row],[Sysselsettingsvekst10]]&lt;=H$433,H$433,IF(Tabell2[[#This Row],[Sysselsettingsvekst10]]&gt;=H$434,H$434,Tabell2[[#This Row],[Sysselsettingsvekst10]]))</f>
        <v>-1.9811320754717032E-2</v>
      </c>
      <c r="R244" s="41">
        <f>IF(Tabell2[[#This Row],[Yrkesaktivandel]]&lt;=I$433,I$433,IF(Tabell2[[#This Row],[Yrkesaktivandel]]&gt;=I$434,I$434,Tabell2[[#This Row],[Yrkesaktivandel]]))</f>
        <v>0.93424218123496394</v>
      </c>
      <c r="S244" s="41">
        <f>IF(Tabell2[[#This Row],[Inntekt]]&lt;=J$433,J$433,IF(Tabell2[[#This Row],[Inntekt]]&gt;=J$434,J$434,Tabell2[[#This Row],[Inntekt]]))</f>
        <v>329300</v>
      </c>
      <c r="T244" s="44">
        <f>IF(Tabell2[[#This Row],[NIBR11-T]]&lt;=K$436,100,IF(Tabell2[[#This Row],[NIBR11-T]]&gt;=K$435,0,100*(K$435-Tabell2[[#This Row],[NIBR11-T]])/K$438))</f>
        <v>20</v>
      </c>
      <c r="U244" s="44">
        <f>(L$435-Tabell2[[#This Row],[ReisetidOslo-T]])*100/L$438</f>
        <v>43.999982495083756</v>
      </c>
      <c r="V244" s="44">
        <f>100-(M$435-Tabell2[[#This Row],[Beftettotal-T]])*100/M$438</f>
        <v>0.2631882818413942</v>
      </c>
      <c r="W244" s="44">
        <f>100-(N$435-Tabell2[[#This Row],[Befvekst10-T]])*100/N$438</f>
        <v>43.158705559685828</v>
      </c>
      <c r="X244" s="44">
        <f>100-(O$435-Tabell2[[#This Row],[Kvinneandel-T]])*100/O$438</f>
        <v>44.381839919258368</v>
      </c>
      <c r="Y244" s="44">
        <f>(P$435-Tabell2[[#This Row],[Eldreandel-T]])*100/P$438</f>
        <v>39.337824734401252</v>
      </c>
      <c r="Z244" s="44">
        <f>100-(Q$435-Tabell2[[#This Row],[Sysselsettingsvekst10-T]])*100/Q$438</f>
        <v>21.274335752025124</v>
      </c>
      <c r="AA244" s="44">
        <f>100-(R$435-Tabell2[[#This Row],[Yrkesaktivandel-T]])*100/R$438</f>
        <v>80.512411138766666</v>
      </c>
      <c r="AB244" s="44">
        <f>100-(S$435-Tabell2[[#This Row],[Inntekt-T]])*100/S$438</f>
        <v>50.516585100598149</v>
      </c>
      <c r="AC244" s="44">
        <f>Tabell2[[#This Row],[NIBR11-I]]*Vekter!$B$3</f>
        <v>4</v>
      </c>
      <c r="AD244" s="44">
        <f>Tabell2[[#This Row],[ReisetidOslo-I]]*Vekter!$C$3</f>
        <v>4.3999982495083758</v>
      </c>
      <c r="AE244" s="44">
        <f>Tabell2[[#This Row],[Beftettotal-I]]*Vekter!$E$4</f>
        <v>2.6318828184139421E-2</v>
      </c>
      <c r="AF244" s="44">
        <f>Tabell2[[#This Row],[Befvekst10-I]]*Vekter!$F$3</f>
        <v>8.6317411119371652</v>
      </c>
      <c r="AG244" s="44">
        <f>Tabell2[[#This Row],[Kvinneandel-I]]*Vekter!$G$3</f>
        <v>2.2190919959629185</v>
      </c>
      <c r="AH244" s="44">
        <f>Tabell2[[#This Row],[Eldreandel-I]]*Vekter!$H$3</f>
        <v>1.9668912367200626</v>
      </c>
      <c r="AI244" s="44">
        <f>Tabell2[[#This Row],[Sysselsettingsvekst10-I]]*Vekter!$I$3</f>
        <v>2.1274335752025126</v>
      </c>
      <c r="AJ244" s="44">
        <f>Tabell2[[#This Row],[Yrkesaktivandel-I]]*Vekter!$K$3</f>
        <v>8.0512411138766673</v>
      </c>
      <c r="AK244" s="44">
        <f>Tabell2[[#This Row],[Inntekt-I]]*Vekter!$M$3</f>
        <v>5.0516585100598155</v>
      </c>
      <c r="AL24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36.474374621451659</v>
      </c>
    </row>
    <row r="245" spans="1:38" s="38" customFormat="1" ht="12.75">
      <c r="A245" s="42" t="s">
        <v>243</v>
      </c>
      <c r="B245" s="38">
        <f>'Rådata-K'!Q245</f>
        <v>9</v>
      </c>
      <c r="C245" s="44">
        <f>'Rådata-K'!P245</f>
        <v>192.52787012959999</v>
      </c>
      <c r="D245" s="41">
        <f>'Rådata-K'!R245</f>
        <v>5.7056257551864675</v>
      </c>
      <c r="E245" s="41">
        <f>'Rådata-K'!S245</f>
        <v>-2.3997197407601978E-2</v>
      </c>
      <c r="F245" s="41">
        <f>'Rådata-K'!T245</f>
        <v>0.10319454414931802</v>
      </c>
      <c r="G245" s="41">
        <f>'Rådata-K'!U245</f>
        <v>0.18198133524766691</v>
      </c>
      <c r="H245" s="41">
        <f>'Rådata-K'!V245</f>
        <v>-3.7839586028460492E-2</v>
      </c>
      <c r="I245" s="41">
        <f>'Rådata-K'!W245</f>
        <v>0.88383838383838387</v>
      </c>
      <c r="J245" s="41">
        <f>'Rådata-K'!O245</f>
        <v>364600</v>
      </c>
      <c r="K245" s="41">
        <f>Tabell2[[#This Row],[NIBR11]]</f>
        <v>9</v>
      </c>
      <c r="L245" s="41">
        <f>IF(Tabell2[[#This Row],[ReisetidOslo]]&lt;=C$433,C$433,IF(Tabell2[[#This Row],[ReisetidOslo]]&gt;=C$434,C$434,Tabell2[[#This Row],[ReisetidOslo]]))</f>
        <v>192.52787012959999</v>
      </c>
      <c r="M245" s="41">
        <f>IF(Tabell2[[#This Row],[Beftettotal]]&lt;=D$433,D$433,IF(Tabell2[[#This Row],[Beftettotal]]&gt;=D$434,D$434,Tabell2[[#This Row],[Beftettotal]]))</f>
        <v>5.7056257551864675</v>
      </c>
      <c r="N245" s="41">
        <f>IF(Tabell2[[#This Row],[Befvekst10]]&lt;=E$433,E$433,IF(Tabell2[[#This Row],[Befvekst10]]&gt;=E$434,E$434,Tabell2[[#This Row],[Befvekst10]]))</f>
        <v>-2.3997197407601978E-2</v>
      </c>
      <c r="O245" s="41">
        <f>IF(Tabell2[[#This Row],[Kvinneandel]]&lt;=F$433,F$433,IF(Tabell2[[#This Row],[Kvinneandel]]&gt;=F$434,F$434,Tabell2[[#This Row],[Kvinneandel]]))</f>
        <v>0.10319454414931802</v>
      </c>
      <c r="P245" s="41">
        <f>IF(Tabell2[[#This Row],[Eldreandel]]&lt;=G$433,G$433,IF(Tabell2[[#This Row],[Eldreandel]]&gt;=G$434,G$434,Tabell2[[#This Row],[Eldreandel]]))</f>
        <v>0.18198133524766691</v>
      </c>
      <c r="Q245" s="41">
        <f>IF(Tabell2[[#This Row],[Sysselsettingsvekst10]]&lt;=H$433,H$433,IF(Tabell2[[#This Row],[Sysselsettingsvekst10]]&gt;=H$434,H$434,Tabell2[[#This Row],[Sysselsettingsvekst10]]))</f>
        <v>-3.7839586028460492E-2</v>
      </c>
      <c r="R245" s="41">
        <f>IF(Tabell2[[#This Row],[Yrkesaktivandel]]&lt;=I$433,I$433,IF(Tabell2[[#This Row],[Yrkesaktivandel]]&gt;=I$434,I$434,Tabell2[[#This Row],[Yrkesaktivandel]]))</f>
        <v>0.88383838383838387</v>
      </c>
      <c r="S245" s="41">
        <f>IF(Tabell2[[#This Row],[Inntekt]]&lt;=J$433,J$433,IF(Tabell2[[#This Row],[Inntekt]]&gt;=J$434,J$434,Tabell2[[#This Row],[Inntekt]]))</f>
        <v>364600</v>
      </c>
      <c r="T245" s="44">
        <f>IF(Tabell2[[#This Row],[NIBR11-T]]&lt;=K$436,100,IF(Tabell2[[#This Row],[NIBR11-T]]&gt;=K$435,0,100*(K$435-Tabell2[[#This Row],[NIBR11-T]])/K$438))</f>
        <v>20</v>
      </c>
      <c r="U245" s="44">
        <f>(L$435-Tabell2[[#This Row],[ReisetidOslo-T]])*100/L$438</f>
        <v>38.41402602419636</v>
      </c>
      <c r="V245" s="44">
        <f>100-(M$435-Tabell2[[#This Row],[Beftettotal-T]])*100/M$438</f>
        <v>3.5868370631592654</v>
      </c>
      <c r="W245" s="44">
        <f>100-(N$435-Tabell2[[#This Row],[Befvekst10-T]])*100/N$438</f>
        <v>28.102011147959402</v>
      </c>
      <c r="X245" s="44">
        <f>100-(O$435-Tabell2[[#This Row],[Kvinneandel-T]])*100/O$438</f>
        <v>31.405640393684237</v>
      </c>
      <c r="Y245" s="44">
        <f>(P$435-Tabell2[[#This Row],[Eldreandel-T]])*100/P$438</f>
        <v>19.971484833952601</v>
      </c>
      <c r="Z245" s="44">
        <f>100-(Q$435-Tabell2[[#This Row],[Sysselsettingsvekst10-T]])*100/Q$438</f>
        <v>15.973717853264205</v>
      </c>
      <c r="AA245" s="44">
        <f>100-(R$435-Tabell2[[#This Row],[Yrkesaktivandel-T]])*100/R$438</f>
        <v>42.871782196087942</v>
      </c>
      <c r="AB245" s="44">
        <f>100-(S$435-Tabell2[[#This Row],[Inntekt-T]])*100/S$438</f>
        <v>98.504622077215885</v>
      </c>
      <c r="AC245" s="44">
        <f>Tabell2[[#This Row],[NIBR11-I]]*Vekter!$B$3</f>
        <v>4</v>
      </c>
      <c r="AD245" s="44">
        <f>Tabell2[[#This Row],[ReisetidOslo-I]]*Vekter!$C$3</f>
        <v>3.8414026024196364</v>
      </c>
      <c r="AE245" s="44">
        <f>Tabell2[[#This Row],[Beftettotal-I]]*Vekter!$E$4</f>
        <v>0.35868370631592655</v>
      </c>
      <c r="AF245" s="44">
        <f>Tabell2[[#This Row],[Befvekst10-I]]*Vekter!$F$3</f>
        <v>5.620402229591881</v>
      </c>
      <c r="AG245" s="44">
        <f>Tabell2[[#This Row],[Kvinneandel-I]]*Vekter!$G$3</f>
        <v>1.570282019684212</v>
      </c>
      <c r="AH245" s="44">
        <f>Tabell2[[#This Row],[Eldreandel-I]]*Vekter!$H$3</f>
        <v>0.99857424169763009</v>
      </c>
      <c r="AI245" s="44">
        <f>Tabell2[[#This Row],[Sysselsettingsvekst10-I]]*Vekter!$I$3</f>
        <v>1.5973717853264207</v>
      </c>
      <c r="AJ245" s="44">
        <f>Tabell2[[#This Row],[Yrkesaktivandel-I]]*Vekter!$K$3</f>
        <v>4.2871782196087942</v>
      </c>
      <c r="AK245" s="44">
        <f>Tabell2[[#This Row],[Inntekt-I]]*Vekter!$M$3</f>
        <v>9.8504622077215895</v>
      </c>
      <c r="AL24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32.12435701236609</v>
      </c>
    </row>
    <row r="246" spans="1:38" s="38" customFormat="1" ht="12.75">
      <c r="A246" s="42" t="s">
        <v>244</v>
      </c>
      <c r="B246" s="38">
        <f>'Rådata-K'!Q246</f>
        <v>8</v>
      </c>
      <c r="C246" s="44">
        <f>'Rådata-K'!P246</f>
        <v>184.57999999999998</v>
      </c>
      <c r="D246" s="41">
        <f>'Rådata-K'!R246</f>
        <v>1.8570657917100819</v>
      </c>
      <c r="E246" s="41">
        <f>'Rådata-K'!S246</f>
        <v>1.1674718196457379E-2</v>
      </c>
      <c r="F246" s="41">
        <f>'Rådata-K'!T246</f>
        <v>0.10982888977317946</v>
      </c>
      <c r="G246" s="41">
        <f>'Rådata-K'!U246</f>
        <v>0.16951850378034222</v>
      </c>
      <c r="H246" s="41">
        <f>'Rådata-K'!V246</f>
        <v>4.4666316342616863E-2</v>
      </c>
      <c r="I246" s="41">
        <f>'Rådata-K'!W246</f>
        <v>0.94138929088277856</v>
      </c>
      <c r="J246" s="41">
        <f>'Rådata-K'!O246</f>
        <v>310000</v>
      </c>
      <c r="K246" s="41">
        <f>Tabell2[[#This Row],[NIBR11]]</f>
        <v>8</v>
      </c>
      <c r="L246" s="41">
        <f>IF(Tabell2[[#This Row],[ReisetidOslo]]&lt;=C$433,C$433,IF(Tabell2[[#This Row],[ReisetidOslo]]&gt;=C$434,C$434,Tabell2[[#This Row],[ReisetidOslo]]))</f>
        <v>184.57999999999998</v>
      </c>
      <c r="M246" s="41">
        <f>IF(Tabell2[[#This Row],[Beftettotal]]&lt;=D$433,D$433,IF(Tabell2[[#This Row],[Beftettotal]]&gt;=D$434,D$434,Tabell2[[#This Row],[Beftettotal]]))</f>
        <v>1.8570657917100819</v>
      </c>
      <c r="N246" s="41">
        <f>IF(Tabell2[[#This Row],[Befvekst10]]&lt;=E$433,E$433,IF(Tabell2[[#This Row],[Befvekst10]]&gt;=E$434,E$434,Tabell2[[#This Row],[Befvekst10]]))</f>
        <v>1.1674718196457379E-2</v>
      </c>
      <c r="O246" s="41">
        <f>IF(Tabell2[[#This Row],[Kvinneandel]]&lt;=F$433,F$433,IF(Tabell2[[#This Row],[Kvinneandel]]&gt;=F$434,F$434,Tabell2[[#This Row],[Kvinneandel]]))</f>
        <v>0.10982888977317946</v>
      </c>
      <c r="P246" s="41">
        <f>IF(Tabell2[[#This Row],[Eldreandel]]&lt;=G$433,G$433,IF(Tabell2[[#This Row],[Eldreandel]]&gt;=G$434,G$434,Tabell2[[#This Row],[Eldreandel]]))</f>
        <v>0.16951850378034222</v>
      </c>
      <c r="Q246" s="41">
        <f>IF(Tabell2[[#This Row],[Sysselsettingsvekst10]]&lt;=H$433,H$433,IF(Tabell2[[#This Row],[Sysselsettingsvekst10]]&gt;=H$434,H$434,Tabell2[[#This Row],[Sysselsettingsvekst10]]))</f>
        <v>4.4666316342616863E-2</v>
      </c>
      <c r="R246" s="41">
        <f>IF(Tabell2[[#This Row],[Yrkesaktivandel]]&lt;=I$433,I$433,IF(Tabell2[[#This Row],[Yrkesaktivandel]]&gt;=I$434,I$434,Tabell2[[#This Row],[Yrkesaktivandel]]))</f>
        <v>0.94138929088277856</v>
      </c>
      <c r="S246" s="41">
        <f>IF(Tabell2[[#This Row],[Inntekt]]&lt;=J$433,J$433,IF(Tabell2[[#This Row],[Inntekt]]&gt;=J$434,J$434,Tabell2[[#This Row],[Inntekt]]))</f>
        <v>310000</v>
      </c>
      <c r="T246" s="44">
        <f>IF(Tabell2[[#This Row],[NIBR11-T]]&lt;=K$436,100,IF(Tabell2[[#This Row],[NIBR11-T]]&gt;=K$435,0,100*(K$435-Tabell2[[#This Row],[NIBR11-T]])/K$438))</f>
        <v>30</v>
      </c>
      <c r="U246" s="44">
        <f>(L$435-Tabell2[[#This Row],[ReisetidOslo-T]])*100/L$438</f>
        <v>41.942487672186139</v>
      </c>
      <c r="V246" s="44">
        <f>100-(M$435-Tabell2[[#This Row],[Beftettotal-T]])*100/M$438</f>
        <v>0.43868879455844478</v>
      </c>
      <c r="W246" s="44">
        <f>100-(N$435-Tabell2[[#This Row],[Befvekst10-T]])*100/N$438</f>
        <v>42.860013339719671</v>
      </c>
      <c r="X246" s="44">
        <f>100-(O$435-Tabell2[[#This Row],[Kvinneandel-T]])*100/O$438</f>
        <v>49.560269235306322</v>
      </c>
      <c r="Y246" s="44">
        <f>(P$435-Tabell2[[#This Row],[Eldreandel-T]])*100/P$438</f>
        <v>34.645168412266699</v>
      </c>
      <c r="Z246" s="44">
        <f>100-(Q$435-Tabell2[[#This Row],[Sysselsettingsvekst10-T]])*100/Q$438</f>
        <v>40.231862284857868</v>
      </c>
      <c r="AA246" s="44">
        <f>100-(R$435-Tabell2[[#This Row],[Yrkesaktivandel-T]])*100/R$438</f>
        <v>85.849741184543774</v>
      </c>
      <c r="AB246" s="44">
        <f>100-(S$435-Tabell2[[#This Row],[Inntekt-T]])*100/S$438</f>
        <v>24.279499728113109</v>
      </c>
      <c r="AC246" s="44">
        <f>Tabell2[[#This Row],[NIBR11-I]]*Vekter!$B$3</f>
        <v>6</v>
      </c>
      <c r="AD246" s="44">
        <f>Tabell2[[#This Row],[ReisetidOslo-I]]*Vekter!$C$3</f>
        <v>4.1942487672186139</v>
      </c>
      <c r="AE246" s="44">
        <f>Tabell2[[#This Row],[Beftettotal-I]]*Vekter!$E$4</f>
        <v>4.386887945584448E-2</v>
      </c>
      <c r="AF246" s="44">
        <f>Tabell2[[#This Row],[Befvekst10-I]]*Vekter!$F$3</f>
        <v>8.5720026679439343</v>
      </c>
      <c r="AG246" s="44">
        <f>Tabell2[[#This Row],[Kvinneandel-I]]*Vekter!$G$3</f>
        <v>2.4780134617653164</v>
      </c>
      <c r="AH246" s="44">
        <f>Tabell2[[#This Row],[Eldreandel-I]]*Vekter!$H$3</f>
        <v>1.7322584206133351</v>
      </c>
      <c r="AI246" s="44">
        <f>Tabell2[[#This Row],[Sysselsettingsvekst10-I]]*Vekter!$I$3</f>
        <v>4.0231862284857867</v>
      </c>
      <c r="AJ246" s="44">
        <f>Tabell2[[#This Row],[Yrkesaktivandel-I]]*Vekter!$K$3</f>
        <v>8.5849741184543777</v>
      </c>
      <c r="AK246" s="44">
        <f>Tabell2[[#This Row],[Inntekt-I]]*Vekter!$M$3</f>
        <v>2.427949972811311</v>
      </c>
      <c r="AL24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38.056502516748523</v>
      </c>
    </row>
    <row r="247" spans="1:38" s="38" customFormat="1" ht="12.75">
      <c r="A247" s="42" t="s">
        <v>245</v>
      </c>
      <c r="B247" s="38">
        <f>'Rådata-K'!Q247</f>
        <v>8</v>
      </c>
      <c r="C247" s="44">
        <f>'Rådata-K'!P247</f>
        <v>216.42007094429999</v>
      </c>
      <c r="D247" s="41">
        <f>'Rådata-K'!R247</f>
        <v>9.2189892802450224</v>
      </c>
      <c r="E247" s="41">
        <f>'Rådata-K'!S247</f>
        <v>-9.9880382775119569E-2</v>
      </c>
      <c r="F247" s="41">
        <f>'Rådata-K'!T247</f>
        <v>8.8039867109634545E-2</v>
      </c>
      <c r="G247" s="41">
        <f>'Rådata-K'!U247</f>
        <v>0.20863787375415282</v>
      </c>
      <c r="H247" s="41">
        <f>'Rådata-K'!V247</f>
        <v>-3.1799163179916268E-2</v>
      </c>
      <c r="I247" s="41">
        <f>'Rådata-K'!W247</f>
        <v>0.94813409234661605</v>
      </c>
      <c r="J247" s="41">
        <f>'Rådata-K'!O247</f>
        <v>312100</v>
      </c>
      <c r="K247" s="41">
        <f>Tabell2[[#This Row],[NIBR11]]</f>
        <v>8</v>
      </c>
      <c r="L247" s="41">
        <f>IF(Tabell2[[#This Row],[ReisetidOslo]]&lt;=C$433,C$433,IF(Tabell2[[#This Row],[ReisetidOslo]]&gt;=C$434,C$434,Tabell2[[#This Row],[ReisetidOslo]]))</f>
        <v>216.42007094429999</v>
      </c>
      <c r="M247" s="41">
        <f>IF(Tabell2[[#This Row],[Beftettotal]]&lt;=D$433,D$433,IF(Tabell2[[#This Row],[Beftettotal]]&gt;=D$434,D$434,Tabell2[[#This Row],[Beftettotal]]))</f>
        <v>9.2189892802450224</v>
      </c>
      <c r="N247" s="41">
        <f>IF(Tabell2[[#This Row],[Befvekst10]]&lt;=E$433,E$433,IF(Tabell2[[#This Row],[Befvekst10]]&gt;=E$434,E$434,Tabell2[[#This Row],[Befvekst10]]))</f>
        <v>-9.1923232174966049E-2</v>
      </c>
      <c r="O247" s="41">
        <f>IF(Tabell2[[#This Row],[Kvinneandel]]&lt;=F$433,F$433,IF(Tabell2[[#This Row],[Kvinneandel]]&gt;=F$434,F$434,Tabell2[[#This Row],[Kvinneandel]]))</f>
        <v>9.1717808671657367E-2</v>
      </c>
      <c r="P247" s="41">
        <f>IF(Tabell2[[#This Row],[Eldreandel]]&lt;=G$433,G$433,IF(Tabell2[[#This Row],[Eldreandel]]&gt;=G$434,G$434,Tabell2[[#This Row],[Eldreandel]]))</f>
        <v>0.1989437597342919</v>
      </c>
      <c r="Q247" s="41">
        <f>IF(Tabell2[[#This Row],[Sysselsettingsvekst10]]&lt;=H$433,H$433,IF(Tabell2[[#This Row],[Sysselsettingsvekst10]]&gt;=H$434,H$434,Tabell2[[#This Row],[Sysselsettingsvekst10]]))</f>
        <v>-3.1799163179916268E-2</v>
      </c>
      <c r="R247" s="41">
        <f>IF(Tabell2[[#This Row],[Yrkesaktivandel]]&lt;=I$433,I$433,IF(Tabell2[[#This Row],[Yrkesaktivandel]]&gt;=I$434,I$434,Tabell2[[#This Row],[Yrkesaktivandel]]))</f>
        <v>0.94813409234661605</v>
      </c>
      <c r="S247" s="41">
        <f>IF(Tabell2[[#This Row],[Inntekt]]&lt;=J$433,J$433,IF(Tabell2[[#This Row],[Inntekt]]&gt;=J$434,J$434,Tabell2[[#This Row],[Inntekt]]))</f>
        <v>312100</v>
      </c>
      <c r="T247" s="44">
        <f>IF(Tabell2[[#This Row],[NIBR11-T]]&lt;=K$436,100,IF(Tabell2[[#This Row],[NIBR11-T]]&gt;=K$435,0,100*(K$435-Tabell2[[#This Row],[NIBR11-T]])/K$438))</f>
        <v>30</v>
      </c>
      <c r="U247" s="44">
        <f>(L$435-Tabell2[[#This Row],[ReisetidOslo-T]])*100/L$438</f>
        <v>27.807069331890411</v>
      </c>
      <c r="V247" s="44">
        <f>100-(M$435-Tabell2[[#This Row],[Beftettotal-T]])*100/M$438</f>
        <v>6.4607923615944287</v>
      </c>
      <c r="W247" s="44">
        <f>100-(N$435-Tabell2[[#This Row],[Befvekst10-T]])*100/N$438</f>
        <v>0</v>
      </c>
      <c r="X247" s="44">
        <f>100-(O$435-Tabell2[[#This Row],[Kvinneandel-T]])*100/O$438</f>
        <v>0</v>
      </c>
      <c r="Y247" s="44">
        <f>(P$435-Tabell2[[#This Row],[Eldreandel-T]])*100/P$438</f>
        <v>0</v>
      </c>
      <c r="Z247" s="44">
        <f>100-(Q$435-Tabell2[[#This Row],[Sysselsettingsvekst10-T]])*100/Q$438</f>
        <v>17.749705336303364</v>
      </c>
      <c r="AA247" s="44">
        <f>100-(R$435-Tabell2[[#This Row],[Yrkesaktivandel-T]])*100/R$438</f>
        <v>90.88663487719181</v>
      </c>
      <c r="AB247" s="44">
        <f>100-(S$435-Tabell2[[#This Row],[Inntekt-T]])*100/S$438</f>
        <v>27.134312126155521</v>
      </c>
      <c r="AC247" s="44">
        <f>Tabell2[[#This Row],[NIBR11-I]]*Vekter!$B$3</f>
        <v>6</v>
      </c>
      <c r="AD247" s="44">
        <f>Tabell2[[#This Row],[ReisetidOslo-I]]*Vekter!$C$3</f>
        <v>2.7807069331890411</v>
      </c>
      <c r="AE247" s="44">
        <f>Tabell2[[#This Row],[Beftettotal-I]]*Vekter!$E$4</f>
        <v>0.64607923615944296</v>
      </c>
      <c r="AF247" s="44">
        <f>Tabell2[[#This Row],[Befvekst10-I]]*Vekter!$F$3</f>
        <v>0</v>
      </c>
      <c r="AG247" s="44">
        <f>Tabell2[[#This Row],[Kvinneandel-I]]*Vekter!$G$3</f>
        <v>0</v>
      </c>
      <c r="AH247" s="44">
        <f>Tabell2[[#This Row],[Eldreandel-I]]*Vekter!$H$3</f>
        <v>0</v>
      </c>
      <c r="AI247" s="44">
        <f>Tabell2[[#This Row],[Sysselsettingsvekst10-I]]*Vekter!$I$3</f>
        <v>1.7749705336303365</v>
      </c>
      <c r="AJ247" s="44">
        <f>Tabell2[[#This Row],[Yrkesaktivandel-I]]*Vekter!$K$3</f>
        <v>9.088663487719181</v>
      </c>
      <c r="AK247" s="44">
        <f>Tabell2[[#This Row],[Inntekt-I]]*Vekter!$M$3</f>
        <v>2.7134312126155522</v>
      </c>
      <c r="AL24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23.003851403313554</v>
      </c>
    </row>
    <row r="248" spans="1:38" s="38" customFormat="1" ht="12.75">
      <c r="A248" s="42" t="s">
        <v>246</v>
      </c>
      <c r="B248" s="38">
        <f>'Rådata-K'!Q248</f>
        <v>6</v>
      </c>
      <c r="C248" s="44">
        <f>'Rådata-K'!P248</f>
        <v>178.87110704610001</v>
      </c>
      <c r="D248" s="41">
        <f>'Rådata-K'!R248</f>
        <v>6.7960932063065433</v>
      </c>
      <c r="E248" s="41">
        <f>'Rådata-K'!S248</f>
        <v>-3.5093696763202731E-2</v>
      </c>
      <c r="F248" s="41">
        <f>'Rådata-K'!T248</f>
        <v>0.1048728813559322</v>
      </c>
      <c r="G248" s="41">
        <f>'Rådata-K'!U248</f>
        <v>0.18255649717514125</v>
      </c>
      <c r="H248" s="41">
        <f>'Rådata-K'!V248</f>
        <v>-7.4565037282519064E-3</v>
      </c>
      <c r="I248" s="41">
        <f>'Rådata-K'!W248</f>
        <v>0.92328956461644784</v>
      </c>
      <c r="J248" s="41">
        <f>'Rådata-K'!O248</f>
        <v>278600</v>
      </c>
      <c r="K248" s="41">
        <f>Tabell2[[#This Row],[NIBR11]]</f>
        <v>6</v>
      </c>
      <c r="L248" s="41">
        <f>IF(Tabell2[[#This Row],[ReisetidOslo]]&lt;=C$433,C$433,IF(Tabell2[[#This Row],[ReisetidOslo]]&gt;=C$434,C$434,Tabell2[[#This Row],[ReisetidOslo]]))</f>
        <v>178.87110704610001</v>
      </c>
      <c r="M248" s="41">
        <f>IF(Tabell2[[#This Row],[Beftettotal]]&lt;=D$433,D$433,IF(Tabell2[[#This Row],[Beftettotal]]&gt;=D$434,D$434,Tabell2[[#This Row],[Beftettotal]]))</f>
        <v>6.7960932063065433</v>
      </c>
      <c r="N248" s="41">
        <f>IF(Tabell2[[#This Row],[Befvekst10]]&lt;=E$433,E$433,IF(Tabell2[[#This Row],[Befvekst10]]&gt;=E$434,E$434,Tabell2[[#This Row],[Befvekst10]]))</f>
        <v>-3.5093696763202731E-2</v>
      </c>
      <c r="O248" s="41">
        <f>IF(Tabell2[[#This Row],[Kvinneandel]]&lt;=F$433,F$433,IF(Tabell2[[#This Row],[Kvinneandel]]&gt;=F$434,F$434,Tabell2[[#This Row],[Kvinneandel]]))</f>
        <v>0.1048728813559322</v>
      </c>
      <c r="P248" s="41">
        <f>IF(Tabell2[[#This Row],[Eldreandel]]&lt;=G$433,G$433,IF(Tabell2[[#This Row],[Eldreandel]]&gt;=G$434,G$434,Tabell2[[#This Row],[Eldreandel]]))</f>
        <v>0.18255649717514125</v>
      </c>
      <c r="Q248" s="41">
        <f>IF(Tabell2[[#This Row],[Sysselsettingsvekst10]]&lt;=H$433,H$433,IF(Tabell2[[#This Row],[Sysselsettingsvekst10]]&gt;=H$434,H$434,Tabell2[[#This Row],[Sysselsettingsvekst10]]))</f>
        <v>-7.4565037282519064E-3</v>
      </c>
      <c r="R248" s="41">
        <f>IF(Tabell2[[#This Row],[Yrkesaktivandel]]&lt;=I$433,I$433,IF(Tabell2[[#This Row],[Yrkesaktivandel]]&gt;=I$434,I$434,Tabell2[[#This Row],[Yrkesaktivandel]]))</f>
        <v>0.92328956461644784</v>
      </c>
      <c r="S248" s="41">
        <f>IF(Tabell2[[#This Row],[Inntekt]]&lt;=J$433,J$433,IF(Tabell2[[#This Row],[Inntekt]]&gt;=J$434,J$434,Tabell2[[#This Row],[Inntekt]]))</f>
        <v>292140</v>
      </c>
      <c r="T248" s="44">
        <f>IF(Tabell2[[#This Row],[NIBR11-T]]&lt;=K$436,100,IF(Tabell2[[#This Row],[NIBR11-T]]&gt;=K$435,0,100*(K$435-Tabell2[[#This Row],[NIBR11-T]])/K$438))</f>
        <v>50</v>
      </c>
      <c r="U248" s="44">
        <f>(L$435-Tabell2[[#This Row],[ReisetidOslo-T]])*100/L$438</f>
        <v>44.476954077883306</v>
      </c>
      <c r="V248" s="44">
        <f>100-(M$435-Tabell2[[#This Row],[Beftettotal-T]])*100/M$438</f>
        <v>4.4788468670309953</v>
      </c>
      <c r="W248" s="44">
        <f>100-(N$435-Tabell2[[#This Row],[Befvekst10-T]])*100/N$438</f>
        <v>23.511224277175629</v>
      </c>
      <c r="X248" s="44">
        <f>100-(O$435-Tabell2[[#This Row],[Kvinneandel-T]])*100/O$438</f>
        <v>35.998344902110318</v>
      </c>
      <c r="Y248" s="44">
        <f>(P$435-Tabell2[[#This Row],[Eldreandel-T]])*100/P$438</f>
        <v>19.294291681483262</v>
      </c>
      <c r="Z248" s="44">
        <f>100-(Q$435-Tabell2[[#This Row],[Sysselsettingsvekst10-T]])*100/Q$438</f>
        <v>24.906862968150278</v>
      </c>
      <c r="AA248" s="44">
        <f>100-(R$435-Tabell2[[#This Row],[Yrkesaktivandel-T]])*100/R$438</f>
        <v>72.3331984726005</v>
      </c>
      <c r="AB248" s="44">
        <f>100-(S$435-Tabell2[[#This Row],[Inntekt-T]])*100/S$438</f>
        <v>0</v>
      </c>
      <c r="AC248" s="44">
        <f>Tabell2[[#This Row],[NIBR11-I]]*Vekter!$B$3</f>
        <v>10</v>
      </c>
      <c r="AD248" s="44">
        <f>Tabell2[[#This Row],[ReisetidOslo-I]]*Vekter!$C$3</f>
        <v>4.4476954077883306</v>
      </c>
      <c r="AE248" s="44">
        <f>Tabell2[[#This Row],[Beftettotal-I]]*Vekter!$E$4</f>
        <v>0.44788468670309955</v>
      </c>
      <c r="AF248" s="44">
        <f>Tabell2[[#This Row],[Befvekst10-I]]*Vekter!$F$3</f>
        <v>4.7022448554351257</v>
      </c>
      <c r="AG248" s="44">
        <f>Tabell2[[#This Row],[Kvinneandel-I]]*Vekter!$G$3</f>
        <v>1.7999172451055161</v>
      </c>
      <c r="AH248" s="44">
        <f>Tabell2[[#This Row],[Eldreandel-I]]*Vekter!$H$3</f>
        <v>0.96471458407416311</v>
      </c>
      <c r="AI248" s="44">
        <f>Tabell2[[#This Row],[Sysselsettingsvekst10-I]]*Vekter!$I$3</f>
        <v>2.4906862968150278</v>
      </c>
      <c r="AJ248" s="44">
        <f>Tabell2[[#This Row],[Yrkesaktivandel-I]]*Vekter!$K$3</f>
        <v>7.2333198472600504</v>
      </c>
      <c r="AK248" s="44">
        <f>Tabell2[[#This Row],[Inntekt-I]]*Vekter!$M$3</f>
        <v>0</v>
      </c>
      <c r="AL24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32.086462923181308</v>
      </c>
    </row>
    <row r="249" spans="1:38" s="38" customFormat="1" ht="12.75">
      <c r="A249" s="42" t="s">
        <v>247</v>
      </c>
      <c r="B249" s="38">
        <f>'Rådata-K'!Q249</f>
        <v>6</v>
      </c>
      <c r="C249" s="44">
        <f>'Rådata-K'!P249</f>
        <v>167.7804442316</v>
      </c>
      <c r="D249" s="41">
        <f>'Rådata-K'!R249</f>
        <v>4.8939753239165551</v>
      </c>
      <c r="E249" s="41">
        <f>'Rådata-K'!S249</f>
        <v>8.4985835694051381E-3</v>
      </c>
      <c r="F249" s="41">
        <f>'Rådata-K'!T249</f>
        <v>0.11095505617977527</v>
      </c>
      <c r="G249" s="41">
        <f>'Rådata-K'!U249</f>
        <v>0.15098314606741572</v>
      </c>
      <c r="H249" s="41">
        <f>'Rådata-K'!V249</f>
        <v>6.8359375E-3</v>
      </c>
      <c r="I249" s="41">
        <f>'Rådata-K'!W249</f>
        <v>0.95457413249211354</v>
      </c>
      <c r="J249" s="41">
        <f>'Rådata-K'!O249</f>
        <v>322700</v>
      </c>
      <c r="K249" s="41">
        <f>Tabell2[[#This Row],[NIBR11]]</f>
        <v>6</v>
      </c>
      <c r="L249" s="41">
        <f>IF(Tabell2[[#This Row],[ReisetidOslo]]&lt;=C$433,C$433,IF(Tabell2[[#This Row],[ReisetidOslo]]&gt;=C$434,C$434,Tabell2[[#This Row],[ReisetidOslo]]))</f>
        <v>167.7804442316</v>
      </c>
      <c r="M249" s="41">
        <f>IF(Tabell2[[#This Row],[Beftettotal]]&lt;=D$433,D$433,IF(Tabell2[[#This Row],[Beftettotal]]&gt;=D$434,D$434,Tabell2[[#This Row],[Beftettotal]]))</f>
        <v>4.8939753239165551</v>
      </c>
      <c r="N249" s="41">
        <f>IF(Tabell2[[#This Row],[Befvekst10]]&lt;=E$433,E$433,IF(Tabell2[[#This Row],[Befvekst10]]&gt;=E$434,E$434,Tabell2[[#This Row],[Befvekst10]]))</f>
        <v>8.4985835694051381E-3</v>
      </c>
      <c r="O249" s="41">
        <f>IF(Tabell2[[#This Row],[Kvinneandel]]&lt;=F$433,F$433,IF(Tabell2[[#This Row],[Kvinneandel]]&gt;=F$434,F$434,Tabell2[[#This Row],[Kvinneandel]]))</f>
        <v>0.11095505617977527</v>
      </c>
      <c r="P249" s="41">
        <f>IF(Tabell2[[#This Row],[Eldreandel]]&lt;=G$433,G$433,IF(Tabell2[[#This Row],[Eldreandel]]&gt;=G$434,G$434,Tabell2[[#This Row],[Eldreandel]]))</f>
        <v>0.15098314606741572</v>
      </c>
      <c r="Q249" s="41">
        <f>IF(Tabell2[[#This Row],[Sysselsettingsvekst10]]&lt;=H$433,H$433,IF(Tabell2[[#This Row],[Sysselsettingsvekst10]]&gt;=H$434,H$434,Tabell2[[#This Row],[Sysselsettingsvekst10]]))</f>
        <v>6.8359375E-3</v>
      </c>
      <c r="R249" s="41">
        <f>IF(Tabell2[[#This Row],[Yrkesaktivandel]]&lt;=I$433,I$433,IF(Tabell2[[#This Row],[Yrkesaktivandel]]&gt;=I$434,I$434,Tabell2[[#This Row],[Yrkesaktivandel]]))</f>
        <v>0.95457413249211354</v>
      </c>
      <c r="S249" s="41">
        <f>IF(Tabell2[[#This Row],[Inntekt]]&lt;=J$433,J$433,IF(Tabell2[[#This Row],[Inntekt]]&gt;=J$434,J$434,Tabell2[[#This Row],[Inntekt]]))</f>
        <v>322700</v>
      </c>
      <c r="T249" s="44">
        <f>IF(Tabell2[[#This Row],[NIBR11-T]]&lt;=K$436,100,IF(Tabell2[[#This Row],[NIBR11-T]]&gt;=K$435,0,100*(K$435-Tabell2[[#This Row],[NIBR11-T]])/K$438))</f>
        <v>50</v>
      </c>
      <c r="U249" s="44">
        <f>(L$435-Tabell2[[#This Row],[ReisetidOslo-T]])*100/L$438</f>
        <v>49.40066039839904</v>
      </c>
      <c r="V249" s="44">
        <f>100-(M$435-Tabell2[[#This Row],[Beftettotal-T]])*100/M$438</f>
        <v>2.9229014809776572</v>
      </c>
      <c r="W249" s="44">
        <f>100-(N$435-Tabell2[[#This Row],[Befvekst10-T]])*100/N$438</f>
        <v>41.545999191793491</v>
      </c>
      <c r="X249" s="44">
        <f>100-(O$435-Tabell2[[#This Row],[Kvinneandel-T]])*100/O$438</f>
        <v>52.641979819107696</v>
      </c>
      <c r="Y249" s="44">
        <f>(P$435-Tabell2[[#This Row],[Eldreandel-T]])*100/P$438</f>
        <v>56.46861798738415</v>
      </c>
      <c r="Z249" s="44">
        <f>100-(Q$435-Tabell2[[#This Row],[Sysselsettingsvekst10-T]])*100/Q$438</f>
        <v>29.109084792664717</v>
      </c>
      <c r="AA249" s="44">
        <f>100-(R$435-Tabell2[[#This Row],[Yrkesaktivandel-T]])*100/R$438</f>
        <v>95.695938422028945</v>
      </c>
      <c r="AB249" s="44">
        <f>100-(S$435-Tabell2[[#This Row],[Inntekt-T]])*100/S$438</f>
        <v>41.544317563893422</v>
      </c>
      <c r="AC249" s="44">
        <f>Tabell2[[#This Row],[NIBR11-I]]*Vekter!$B$3</f>
        <v>10</v>
      </c>
      <c r="AD249" s="44">
        <f>Tabell2[[#This Row],[ReisetidOslo-I]]*Vekter!$C$3</f>
        <v>4.9400660398399046</v>
      </c>
      <c r="AE249" s="44">
        <f>Tabell2[[#This Row],[Beftettotal-I]]*Vekter!$E$4</f>
        <v>0.29229014809776571</v>
      </c>
      <c r="AF249" s="44">
        <f>Tabell2[[#This Row],[Befvekst10-I]]*Vekter!$F$3</f>
        <v>8.3091998383586994</v>
      </c>
      <c r="AG249" s="44">
        <f>Tabell2[[#This Row],[Kvinneandel-I]]*Vekter!$G$3</f>
        <v>2.6320989909553849</v>
      </c>
      <c r="AH249" s="44">
        <f>Tabell2[[#This Row],[Eldreandel-I]]*Vekter!$H$3</f>
        <v>2.8234308993692077</v>
      </c>
      <c r="AI249" s="44">
        <f>Tabell2[[#This Row],[Sysselsettingsvekst10-I]]*Vekter!$I$3</f>
        <v>2.9109084792664719</v>
      </c>
      <c r="AJ249" s="44">
        <f>Tabell2[[#This Row],[Yrkesaktivandel-I]]*Vekter!$K$3</f>
        <v>9.5695938422028952</v>
      </c>
      <c r="AK249" s="44">
        <f>Tabell2[[#This Row],[Inntekt-I]]*Vekter!$M$3</f>
        <v>4.154431756389342</v>
      </c>
      <c r="AL24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45.63201999447967</v>
      </c>
    </row>
    <row r="250" spans="1:38" s="38" customFormat="1" ht="12.75">
      <c r="A250" s="42" t="s">
        <v>248</v>
      </c>
      <c r="B250" s="38">
        <f>'Rådata-K'!Q250</f>
        <v>6</v>
      </c>
      <c r="C250" s="44">
        <f>'Rådata-K'!P250</f>
        <v>193.67538588470001</v>
      </c>
      <c r="D250" s="41">
        <f>'Rådata-K'!R250</f>
        <v>4.5493843722982437</v>
      </c>
      <c r="E250" s="41">
        <f>'Rådata-K'!S250</f>
        <v>2.4848891873740842E-2</v>
      </c>
      <c r="F250" s="41">
        <f>'Rådata-K'!T250</f>
        <v>0.11402359108781127</v>
      </c>
      <c r="G250" s="41">
        <f>'Rådata-K'!U250</f>
        <v>0.14973787680209699</v>
      </c>
      <c r="H250" s="41">
        <f>'Rådata-K'!V250</f>
        <v>4.9751243781095411E-3</v>
      </c>
      <c r="I250" s="41">
        <f>'Rådata-K'!W250</f>
        <v>0.97195704057279231</v>
      </c>
      <c r="J250" s="41">
        <f>'Rådata-K'!O250</f>
        <v>325500</v>
      </c>
      <c r="K250" s="41">
        <f>Tabell2[[#This Row],[NIBR11]]</f>
        <v>6</v>
      </c>
      <c r="L250" s="41">
        <f>IF(Tabell2[[#This Row],[ReisetidOslo]]&lt;=C$433,C$433,IF(Tabell2[[#This Row],[ReisetidOslo]]&gt;=C$434,C$434,Tabell2[[#This Row],[ReisetidOslo]]))</f>
        <v>193.67538588470001</v>
      </c>
      <c r="M250" s="41">
        <f>IF(Tabell2[[#This Row],[Beftettotal]]&lt;=D$433,D$433,IF(Tabell2[[#This Row],[Beftettotal]]&gt;=D$434,D$434,Tabell2[[#This Row],[Beftettotal]]))</f>
        <v>4.5493843722982437</v>
      </c>
      <c r="N250" s="41">
        <f>IF(Tabell2[[#This Row],[Befvekst10]]&lt;=E$433,E$433,IF(Tabell2[[#This Row],[Befvekst10]]&gt;=E$434,E$434,Tabell2[[#This Row],[Befvekst10]]))</f>
        <v>2.4848891873740842E-2</v>
      </c>
      <c r="O250" s="41">
        <f>IF(Tabell2[[#This Row],[Kvinneandel]]&lt;=F$433,F$433,IF(Tabell2[[#This Row],[Kvinneandel]]&gt;=F$434,F$434,Tabell2[[#This Row],[Kvinneandel]]))</f>
        <v>0.11402359108781127</v>
      </c>
      <c r="P250" s="41">
        <f>IF(Tabell2[[#This Row],[Eldreandel]]&lt;=G$433,G$433,IF(Tabell2[[#This Row],[Eldreandel]]&gt;=G$434,G$434,Tabell2[[#This Row],[Eldreandel]]))</f>
        <v>0.14973787680209699</v>
      </c>
      <c r="Q250" s="41">
        <f>IF(Tabell2[[#This Row],[Sysselsettingsvekst10]]&lt;=H$433,H$433,IF(Tabell2[[#This Row],[Sysselsettingsvekst10]]&gt;=H$434,H$434,Tabell2[[#This Row],[Sysselsettingsvekst10]]))</f>
        <v>4.9751243781095411E-3</v>
      </c>
      <c r="R250" s="41">
        <f>IF(Tabell2[[#This Row],[Yrkesaktivandel]]&lt;=I$433,I$433,IF(Tabell2[[#This Row],[Yrkesaktivandel]]&gt;=I$434,I$434,Tabell2[[#This Row],[Yrkesaktivandel]]))</f>
        <v>0.96033761343949164</v>
      </c>
      <c r="S250" s="41">
        <f>IF(Tabell2[[#This Row],[Inntekt]]&lt;=J$433,J$433,IF(Tabell2[[#This Row],[Inntekt]]&gt;=J$434,J$434,Tabell2[[#This Row],[Inntekt]]))</f>
        <v>325500</v>
      </c>
      <c r="T250" s="44">
        <f>IF(Tabell2[[#This Row],[NIBR11-T]]&lt;=K$436,100,IF(Tabell2[[#This Row],[NIBR11-T]]&gt;=K$435,0,100*(K$435-Tabell2[[#This Row],[NIBR11-T]])/K$438))</f>
        <v>50</v>
      </c>
      <c r="U250" s="44">
        <f>(L$435-Tabell2[[#This Row],[ReisetidOslo-T]])*100/L$438</f>
        <v>37.904585725561503</v>
      </c>
      <c r="V250" s="44">
        <f>100-(M$435-Tabell2[[#This Row],[Beftettotal-T]])*100/M$438</f>
        <v>2.6410237350134906</v>
      </c>
      <c r="W250" s="44">
        <f>100-(N$435-Tabell2[[#This Row],[Befvekst10-T]])*100/N$438</f>
        <v>48.310364987833985</v>
      </c>
      <c r="X250" s="44">
        <f>100-(O$435-Tabell2[[#This Row],[Kvinneandel-T]])*100/O$438</f>
        <v>61.038906283504055</v>
      </c>
      <c r="Y250" s="44">
        <f>(P$435-Tabell2[[#This Row],[Eldreandel-T]])*100/P$438</f>
        <v>57.934792605647615</v>
      </c>
      <c r="Z250" s="44">
        <f>100-(Q$435-Tabell2[[#This Row],[Sysselsettingsvekst10-T]])*100/Q$438</f>
        <v>28.561973953636468</v>
      </c>
      <c r="AA250" s="44">
        <f>100-(R$435-Tabell2[[#This Row],[Yrkesaktivandel-T]])*100/R$438</f>
        <v>100</v>
      </c>
      <c r="AB250" s="44">
        <f>100-(S$435-Tabell2[[#This Row],[Inntekt-T]])*100/S$438</f>
        <v>45.350734094616641</v>
      </c>
      <c r="AC250" s="44">
        <f>Tabell2[[#This Row],[NIBR11-I]]*Vekter!$B$3</f>
        <v>10</v>
      </c>
      <c r="AD250" s="44">
        <f>Tabell2[[#This Row],[ReisetidOslo-I]]*Vekter!$C$3</f>
        <v>3.7904585725561506</v>
      </c>
      <c r="AE250" s="44">
        <f>Tabell2[[#This Row],[Beftettotal-I]]*Vekter!$E$4</f>
        <v>0.26410237350134907</v>
      </c>
      <c r="AF250" s="44">
        <f>Tabell2[[#This Row],[Befvekst10-I]]*Vekter!$F$3</f>
        <v>9.6620729975667974</v>
      </c>
      <c r="AG250" s="44">
        <f>Tabell2[[#This Row],[Kvinneandel-I]]*Vekter!$G$3</f>
        <v>3.0519453141752031</v>
      </c>
      <c r="AH250" s="44">
        <f>Tabell2[[#This Row],[Eldreandel-I]]*Vekter!$H$3</f>
        <v>2.8967396302823811</v>
      </c>
      <c r="AI250" s="44">
        <f>Tabell2[[#This Row],[Sysselsettingsvekst10-I]]*Vekter!$I$3</f>
        <v>2.856197395363647</v>
      </c>
      <c r="AJ250" s="44">
        <f>Tabell2[[#This Row],[Yrkesaktivandel-I]]*Vekter!$K$3</f>
        <v>10</v>
      </c>
      <c r="AK250" s="44">
        <f>Tabell2[[#This Row],[Inntekt-I]]*Vekter!$M$3</f>
        <v>4.5350734094616643</v>
      </c>
      <c r="AL25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47.056589692907188</v>
      </c>
    </row>
    <row r="251" spans="1:38" s="38" customFormat="1" ht="12.75">
      <c r="A251" s="42" t="s">
        <v>249</v>
      </c>
      <c r="B251" s="38">
        <f>'Rådata-K'!Q251</f>
        <v>6</v>
      </c>
      <c r="C251" s="44">
        <f>'Rådata-K'!P251</f>
        <v>169.29508102310001</v>
      </c>
      <c r="D251" s="41">
        <f>'Rådata-K'!R251</f>
        <v>21.001348099861776</v>
      </c>
      <c r="E251" s="41">
        <f>'Rådata-K'!S251</f>
        <v>0.14324198792382714</v>
      </c>
      <c r="F251" s="41">
        <f>'Rådata-K'!T251</f>
        <v>0.13342000487527422</v>
      </c>
      <c r="G251" s="41">
        <f>'Rådata-K'!U251</f>
        <v>9.1248882749654661E-2</v>
      </c>
      <c r="H251" s="41">
        <f>'Rådata-K'!V251</f>
        <v>0.17704661182922043</v>
      </c>
      <c r="I251" s="41">
        <f>'Rådata-K'!W251</f>
        <v>0.94492793037802558</v>
      </c>
      <c r="J251" s="41">
        <f>'Rådata-K'!O251</f>
        <v>357700</v>
      </c>
      <c r="K251" s="41">
        <f>Tabell2[[#This Row],[NIBR11]]</f>
        <v>6</v>
      </c>
      <c r="L251" s="41">
        <f>IF(Tabell2[[#This Row],[ReisetidOslo]]&lt;=C$433,C$433,IF(Tabell2[[#This Row],[ReisetidOslo]]&gt;=C$434,C$434,Tabell2[[#This Row],[ReisetidOslo]]))</f>
        <v>169.29508102310001</v>
      </c>
      <c r="M251" s="41">
        <f>IF(Tabell2[[#This Row],[Beftettotal]]&lt;=D$433,D$433,IF(Tabell2[[#This Row],[Beftettotal]]&gt;=D$434,D$434,Tabell2[[#This Row],[Beftettotal]]))</f>
        <v>21.001348099861776</v>
      </c>
      <c r="N251" s="41">
        <f>IF(Tabell2[[#This Row],[Befvekst10]]&lt;=E$433,E$433,IF(Tabell2[[#This Row],[Befvekst10]]&gt;=E$434,E$434,Tabell2[[#This Row],[Befvekst10]]))</f>
        <v>0.14324198792382714</v>
      </c>
      <c r="O251" s="41">
        <f>IF(Tabell2[[#This Row],[Kvinneandel]]&lt;=F$433,F$433,IF(Tabell2[[#This Row],[Kvinneandel]]&gt;=F$434,F$434,Tabell2[[#This Row],[Kvinneandel]]))</f>
        <v>0.12826135732659469</v>
      </c>
      <c r="P251" s="41">
        <f>IF(Tabell2[[#This Row],[Eldreandel]]&lt;=G$433,G$433,IF(Tabell2[[#This Row],[Eldreandel]]&gt;=G$434,G$434,Tabell2[[#This Row],[Eldreandel]]))</f>
        <v>0.11401054306234992</v>
      </c>
      <c r="Q251" s="41">
        <f>IF(Tabell2[[#This Row],[Sysselsettingsvekst10]]&lt;=H$433,H$433,IF(Tabell2[[#This Row],[Sysselsettingsvekst10]]&gt;=H$434,H$434,Tabell2[[#This Row],[Sysselsettingsvekst10]]))</f>
        <v>0.17704661182922043</v>
      </c>
      <c r="R251" s="41">
        <f>IF(Tabell2[[#This Row],[Yrkesaktivandel]]&lt;=I$433,I$433,IF(Tabell2[[#This Row],[Yrkesaktivandel]]&gt;=I$434,I$434,Tabell2[[#This Row],[Yrkesaktivandel]]))</f>
        <v>0.94492793037802558</v>
      </c>
      <c r="S251" s="41">
        <f>IF(Tabell2[[#This Row],[Inntekt]]&lt;=J$433,J$433,IF(Tabell2[[#This Row],[Inntekt]]&gt;=J$434,J$434,Tabell2[[#This Row],[Inntekt]]))</f>
        <v>357700</v>
      </c>
      <c r="T251" s="44">
        <f>IF(Tabell2[[#This Row],[NIBR11-T]]&lt;=K$436,100,IF(Tabell2[[#This Row],[NIBR11-T]]&gt;=K$435,0,100*(K$435-Tabell2[[#This Row],[NIBR11-T]])/K$438))</f>
        <v>50</v>
      </c>
      <c r="U251" s="44">
        <f>(L$435-Tabell2[[#This Row],[ReisetidOslo-T]])*100/L$438</f>
        <v>48.728236498373505</v>
      </c>
      <c r="V251" s="44">
        <f>100-(M$435-Tabell2[[#This Row],[Beftettotal-T]])*100/M$438</f>
        <v>16.098842143857553</v>
      </c>
      <c r="W251" s="44">
        <f>100-(N$435-Tabell2[[#This Row],[Befvekst10-T]])*100/N$438</f>
        <v>97.291350208533103</v>
      </c>
      <c r="X251" s="44">
        <f>100-(O$435-Tabell2[[#This Row],[Kvinneandel-T]])*100/O$438</f>
        <v>100</v>
      </c>
      <c r="Y251" s="44">
        <f>(P$435-Tabell2[[#This Row],[Eldreandel-T]])*100/P$438</f>
        <v>100</v>
      </c>
      <c r="Z251" s="44">
        <f>100-(Q$435-Tabell2[[#This Row],[Sysselsettingsvekst10-T]])*100/Q$438</f>
        <v>79.15393010696323</v>
      </c>
      <c r="AA251" s="44">
        <f>100-(R$435-Tabell2[[#This Row],[Yrkesaktivandel-T]])*100/R$438</f>
        <v>88.492332082100603</v>
      </c>
      <c r="AB251" s="44">
        <f>100-(S$435-Tabell2[[#This Row],[Inntekt-T]])*100/S$438</f>
        <v>89.124524197933653</v>
      </c>
      <c r="AC251" s="44">
        <f>Tabell2[[#This Row],[NIBR11-I]]*Vekter!$B$3</f>
        <v>10</v>
      </c>
      <c r="AD251" s="44">
        <f>Tabell2[[#This Row],[ReisetidOslo-I]]*Vekter!$C$3</f>
        <v>4.8728236498373505</v>
      </c>
      <c r="AE251" s="44">
        <f>Tabell2[[#This Row],[Beftettotal-I]]*Vekter!$E$4</f>
        <v>1.6098842143857555</v>
      </c>
      <c r="AF251" s="44">
        <f>Tabell2[[#This Row],[Befvekst10-I]]*Vekter!$F$3</f>
        <v>19.458270041706623</v>
      </c>
      <c r="AG251" s="44">
        <f>Tabell2[[#This Row],[Kvinneandel-I]]*Vekter!$G$3</f>
        <v>5</v>
      </c>
      <c r="AH251" s="44">
        <f>Tabell2[[#This Row],[Eldreandel-I]]*Vekter!$H$3</f>
        <v>5</v>
      </c>
      <c r="AI251" s="44">
        <f>Tabell2[[#This Row],[Sysselsettingsvekst10-I]]*Vekter!$I$3</f>
        <v>7.9153930106963237</v>
      </c>
      <c r="AJ251" s="44">
        <f>Tabell2[[#This Row],[Yrkesaktivandel-I]]*Vekter!$K$3</f>
        <v>8.8492332082100607</v>
      </c>
      <c r="AK251" s="44">
        <f>Tabell2[[#This Row],[Inntekt-I]]*Vekter!$M$3</f>
        <v>8.9124524197933663</v>
      </c>
      <c r="AL25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71.618056544629468</v>
      </c>
    </row>
    <row r="252" spans="1:38" s="38" customFormat="1" ht="12.75">
      <c r="A252" s="42" t="s">
        <v>250</v>
      </c>
      <c r="B252" s="38">
        <f>'Rådata-K'!Q252</f>
        <v>6</v>
      </c>
      <c r="C252" s="44">
        <f>'Rådata-K'!P252</f>
        <v>179.29323702440001</v>
      </c>
      <c r="D252" s="41">
        <f>'Rådata-K'!R252</f>
        <v>7.3280873962304964</v>
      </c>
      <c r="E252" s="41">
        <f>'Rådata-K'!S252</f>
        <v>-1.4903671392221041E-2</v>
      </c>
      <c r="F252" s="41">
        <f>'Rådata-K'!T252</f>
        <v>0.11439114391143912</v>
      </c>
      <c r="G252" s="41">
        <f>'Rådata-K'!U252</f>
        <v>0.14612546125461254</v>
      </c>
      <c r="H252" s="41">
        <f>'Rådata-K'!V252</f>
        <v>-7.7032810271041363E-2</v>
      </c>
      <c r="I252" s="41">
        <f>'Rådata-K'!W252</f>
        <v>0.96895640686922058</v>
      </c>
      <c r="J252" s="41">
        <f>'Rådata-K'!O252</f>
        <v>327600</v>
      </c>
      <c r="K252" s="41">
        <f>Tabell2[[#This Row],[NIBR11]]</f>
        <v>6</v>
      </c>
      <c r="L252" s="41">
        <f>IF(Tabell2[[#This Row],[ReisetidOslo]]&lt;=C$433,C$433,IF(Tabell2[[#This Row],[ReisetidOslo]]&gt;=C$434,C$434,Tabell2[[#This Row],[ReisetidOslo]]))</f>
        <v>179.29323702440001</v>
      </c>
      <c r="M252" s="41">
        <f>IF(Tabell2[[#This Row],[Beftettotal]]&lt;=D$433,D$433,IF(Tabell2[[#This Row],[Beftettotal]]&gt;=D$434,D$434,Tabell2[[#This Row],[Beftettotal]]))</f>
        <v>7.3280873962304964</v>
      </c>
      <c r="N252" s="41">
        <f>IF(Tabell2[[#This Row],[Befvekst10]]&lt;=E$433,E$433,IF(Tabell2[[#This Row],[Befvekst10]]&gt;=E$434,E$434,Tabell2[[#This Row],[Befvekst10]]))</f>
        <v>-1.4903671392221041E-2</v>
      </c>
      <c r="O252" s="41">
        <f>IF(Tabell2[[#This Row],[Kvinneandel]]&lt;=F$433,F$433,IF(Tabell2[[#This Row],[Kvinneandel]]&gt;=F$434,F$434,Tabell2[[#This Row],[Kvinneandel]]))</f>
        <v>0.11439114391143912</v>
      </c>
      <c r="P252" s="41">
        <f>IF(Tabell2[[#This Row],[Eldreandel]]&lt;=G$433,G$433,IF(Tabell2[[#This Row],[Eldreandel]]&gt;=G$434,G$434,Tabell2[[#This Row],[Eldreandel]]))</f>
        <v>0.14612546125461254</v>
      </c>
      <c r="Q252" s="41">
        <f>IF(Tabell2[[#This Row],[Sysselsettingsvekst10]]&lt;=H$433,H$433,IF(Tabell2[[#This Row],[Sysselsettingsvekst10]]&gt;=H$434,H$434,Tabell2[[#This Row],[Sysselsettingsvekst10]]))</f>
        <v>-7.7032810271041363E-2</v>
      </c>
      <c r="R252" s="41">
        <f>IF(Tabell2[[#This Row],[Yrkesaktivandel]]&lt;=I$433,I$433,IF(Tabell2[[#This Row],[Yrkesaktivandel]]&gt;=I$434,I$434,Tabell2[[#This Row],[Yrkesaktivandel]]))</f>
        <v>0.96033761343949164</v>
      </c>
      <c r="S252" s="41">
        <f>IF(Tabell2[[#This Row],[Inntekt]]&lt;=J$433,J$433,IF(Tabell2[[#This Row],[Inntekt]]&gt;=J$434,J$434,Tabell2[[#This Row],[Inntekt]]))</f>
        <v>327600</v>
      </c>
      <c r="T252" s="44">
        <f>IF(Tabell2[[#This Row],[NIBR11-T]]&lt;=K$436,100,IF(Tabell2[[#This Row],[NIBR11-T]]&gt;=K$435,0,100*(K$435-Tabell2[[#This Row],[NIBR11-T]])/K$438))</f>
        <v>50</v>
      </c>
      <c r="U252" s="44">
        <f>(L$435-Tabell2[[#This Row],[ReisetidOslo-T]])*100/L$438</f>
        <v>44.289549224179027</v>
      </c>
      <c r="V252" s="44">
        <f>100-(M$435-Tabell2[[#This Row],[Beftettotal-T]])*100/M$438</f>
        <v>4.9140217386216705</v>
      </c>
      <c r="W252" s="44">
        <f>100-(N$435-Tabell2[[#This Row],[Befvekst10-T]])*100/N$438</f>
        <v>31.864138148802311</v>
      </c>
      <c r="X252" s="44">
        <f>100-(O$435-Tabell2[[#This Row],[Kvinneandel-T]])*100/O$438</f>
        <v>62.04470029409255</v>
      </c>
      <c r="Y252" s="44">
        <f>(P$435-Tabell2[[#This Row],[Eldreandel-T]])*100/P$438</f>
        <v>62.188034963625839</v>
      </c>
      <c r="Z252" s="44">
        <f>100-(Q$435-Tabell2[[#This Row],[Sysselsettingsvekst10-T]])*100/Q$438</f>
        <v>4.4502405371776206</v>
      </c>
      <c r="AA252" s="44">
        <f>100-(R$435-Tabell2[[#This Row],[Yrkesaktivandel-T]])*100/R$438</f>
        <v>100</v>
      </c>
      <c r="AB252" s="44">
        <f>100-(S$435-Tabell2[[#This Row],[Inntekt-T]])*100/S$438</f>
        <v>48.205546492659053</v>
      </c>
      <c r="AC252" s="44">
        <f>Tabell2[[#This Row],[NIBR11-I]]*Vekter!$B$3</f>
        <v>10</v>
      </c>
      <c r="AD252" s="44">
        <f>Tabell2[[#This Row],[ReisetidOslo-I]]*Vekter!$C$3</f>
        <v>4.428954922417903</v>
      </c>
      <c r="AE252" s="44">
        <f>Tabell2[[#This Row],[Beftettotal-I]]*Vekter!$E$4</f>
        <v>0.49140217386216706</v>
      </c>
      <c r="AF252" s="44">
        <f>Tabell2[[#This Row],[Befvekst10-I]]*Vekter!$F$3</f>
        <v>6.3728276297604625</v>
      </c>
      <c r="AG252" s="44">
        <f>Tabell2[[#This Row],[Kvinneandel-I]]*Vekter!$G$3</f>
        <v>3.1022350147046276</v>
      </c>
      <c r="AH252" s="44">
        <f>Tabell2[[#This Row],[Eldreandel-I]]*Vekter!$H$3</f>
        <v>3.1094017481812921</v>
      </c>
      <c r="AI252" s="44">
        <f>Tabell2[[#This Row],[Sysselsettingsvekst10-I]]*Vekter!$I$3</f>
        <v>0.4450240537177621</v>
      </c>
      <c r="AJ252" s="44">
        <f>Tabell2[[#This Row],[Yrkesaktivandel-I]]*Vekter!$K$3</f>
        <v>10</v>
      </c>
      <c r="AK252" s="44">
        <f>Tabell2[[#This Row],[Inntekt-I]]*Vekter!$M$3</f>
        <v>4.8205546492659055</v>
      </c>
      <c r="AL25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42.77040019191012</v>
      </c>
    </row>
    <row r="253" spans="1:38" s="38" customFormat="1" ht="12.75">
      <c r="A253" s="42" t="s">
        <v>251</v>
      </c>
      <c r="B253" s="38">
        <f>'Rådata-K'!Q253</f>
        <v>11</v>
      </c>
      <c r="C253" s="44">
        <f>'Rådata-K'!P253</f>
        <v>215.2085479863</v>
      </c>
      <c r="D253" s="41">
        <f>'Rådata-K'!R253</f>
        <v>4.6742107539282109</v>
      </c>
      <c r="E253" s="41">
        <f>'Rådata-K'!S253</f>
        <v>-4.9352553139506483E-2</v>
      </c>
      <c r="F253" s="41">
        <f>'Rådata-K'!T253</f>
        <v>9.5605242868157289E-2</v>
      </c>
      <c r="G253" s="41">
        <f>'Rådata-K'!U253</f>
        <v>0.20997172963248523</v>
      </c>
      <c r="H253" s="41">
        <f>'Rådata-K'!V253</f>
        <v>-0.11006114508060039</v>
      </c>
      <c r="I253" s="41">
        <f>'Rådata-K'!W253</f>
        <v>0.9228868017795353</v>
      </c>
      <c r="J253" s="41">
        <f>'Rådata-K'!O253</f>
        <v>314200</v>
      </c>
      <c r="K253" s="41">
        <f>Tabell2[[#This Row],[NIBR11]]</f>
        <v>11</v>
      </c>
      <c r="L253" s="41">
        <f>IF(Tabell2[[#This Row],[ReisetidOslo]]&lt;=C$433,C$433,IF(Tabell2[[#This Row],[ReisetidOslo]]&gt;=C$434,C$434,Tabell2[[#This Row],[ReisetidOslo]]))</f>
        <v>215.2085479863</v>
      </c>
      <c r="M253" s="41">
        <f>IF(Tabell2[[#This Row],[Beftettotal]]&lt;=D$433,D$433,IF(Tabell2[[#This Row],[Beftettotal]]&gt;=D$434,D$434,Tabell2[[#This Row],[Beftettotal]]))</f>
        <v>4.6742107539282109</v>
      </c>
      <c r="N253" s="41">
        <f>IF(Tabell2[[#This Row],[Befvekst10]]&lt;=E$433,E$433,IF(Tabell2[[#This Row],[Befvekst10]]&gt;=E$434,E$434,Tabell2[[#This Row],[Befvekst10]]))</f>
        <v>-4.9352553139506483E-2</v>
      </c>
      <c r="O253" s="41">
        <f>IF(Tabell2[[#This Row],[Kvinneandel]]&lt;=F$433,F$433,IF(Tabell2[[#This Row],[Kvinneandel]]&gt;=F$434,F$434,Tabell2[[#This Row],[Kvinneandel]]))</f>
        <v>9.5605242868157289E-2</v>
      </c>
      <c r="P253" s="41">
        <f>IF(Tabell2[[#This Row],[Eldreandel]]&lt;=G$433,G$433,IF(Tabell2[[#This Row],[Eldreandel]]&gt;=G$434,G$434,Tabell2[[#This Row],[Eldreandel]]))</f>
        <v>0.1989437597342919</v>
      </c>
      <c r="Q253" s="41">
        <f>IF(Tabell2[[#This Row],[Sysselsettingsvekst10]]&lt;=H$433,H$433,IF(Tabell2[[#This Row],[Sysselsettingsvekst10]]&gt;=H$434,H$434,Tabell2[[#This Row],[Sysselsettingsvekst10]]))</f>
        <v>-9.2168803558721979E-2</v>
      </c>
      <c r="R253" s="41">
        <f>IF(Tabell2[[#This Row],[Yrkesaktivandel]]&lt;=I$433,I$433,IF(Tabell2[[#This Row],[Yrkesaktivandel]]&gt;=I$434,I$434,Tabell2[[#This Row],[Yrkesaktivandel]]))</f>
        <v>0.9228868017795353</v>
      </c>
      <c r="S253" s="41">
        <f>IF(Tabell2[[#This Row],[Inntekt]]&lt;=J$433,J$433,IF(Tabell2[[#This Row],[Inntekt]]&gt;=J$434,J$434,Tabell2[[#This Row],[Inntekt]]))</f>
        <v>314200</v>
      </c>
      <c r="T253" s="44">
        <f>IF(Tabell2[[#This Row],[NIBR11-T]]&lt;=K$436,100,IF(Tabell2[[#This Row],[NIBR11-T]]&gt;=K$435,0,100*(K$435-Tabell2[[#This Row],[NIBR11-T]])/K$438))</f>
        <v>0</v>
      </c>
      <c r="U253" s="44">
        <f>(L$435-Tabell2[[#This Row],[ReisetidOslo-T]])*100/L$438</f>
        <v>28.344925666135424</v>
      </c>
      <c r="V253" s="44">
        <f>100-(M$435-Tabell2[[#This Row],[Beftettotal-T]])*100/M$438</f>
        <v>2.7431325655717842</v>
      </c>
      <c r="W253" s="44">
        <f>100-(N$435-Tabell2[[#This Row],[Befvekst10-T]])*100/N$438</f>
        <v>17.612123259187712</v>
      </c>
      <c r="X253" s="44">
        <f>100-(O$435-Tabell2[[#This Row],[Kvinneandel-T]])*100/O$438</f>
        <v>10.637812526657015</v>
      </c>
      <c r="Y253" s="44">
        <f>(P$435-Tabell2[[#This Row],[Eldreandel-T]])*100/P$438</f>
        <v>0</v>
      </c>
      <c r="Z253" s="44">
        <f>100-(Q$435-Tabell2[[#This Row],[Sysselsettingsvekst10-T]])*100/Q$438</f>
        <v>0</v>
      </c>
      <c r="AA253" s="44">
        <f>100-(R$435-Tabell2[[#This Row],[Yrkesaktivandel-T]])*100/R$438</f>
        <v>72.032422593020556</v>
      </c>
      <c r="AB253" s="44">
        <f>100-(S$435-Tabell2[[#This Row],[Inntekt-T]])*100/S$438</f>
        <v>29.989124524197933</v>
      </c>
      <c r="AC253" s="44">
        <f>Tabell2[[#This Row],[NIBR11-I]]*Vekter!$B$3</f>
        <v>0</v>
      </c>
      <c r="AD253" s="44">
        <f>Tabell2[[#This Row],[ReisetidOslo-I]]*Vekter!$C$3</f>
        <v>2.8344925666135428</v>
      </c>
      <c r="AE253" s="44">
        <f>Tabell2[[#This Row],[Beftettotal-I]]*Vekter!$E$4</f>
        <v>0.27431325655717842</v>
      </c>
      <c r="AF253" s="44">
        <f>Tabell2[[#This Row],[Befvekst10-I]]*Vekter!$F$3</f>
        <v>3.5224246518375426</v>
      </c>
      <c r="AG253" s="44">
        <f>Tabell2[[#This Row],[Kvinneandel-I]]*Vekter!$G$3</f>
        <v>0.53189062633285078</v>
      </c>
      <c r="AH253" s="44">
        <f>Tabell2[[#This Row],[Eldreandel-I]]*Vekter!$H$3</f>
        <v>0</v>
      </c>
      <c r="AI253" s="44">
        <f>Tabell2[[#This Row],[Sysselsettingsvekst10-I]]*Vekter!$I$3</f>
        <v>0</v>
      </c>
      <c r="AJ253" s="44">
        <f>Tabell2[[#This Row],[Yrkesaktivandel-I]]*Vekter!$K$3</f>
        <v>7.2032422593020557</v>
      </c>
      <c r="AK253" s="44">
        <f>Tabell2[[#This Row],[Inntekt-I]]*Vekter!$M$3</f>
        <v>2.9989124524197934</v>
      </c>
      <c r="AL25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17.365275813062965</v>
      </c>
    </row>
    <row r="254" spans="1:38" s="38" customFormat="1" ht="12.75">
      <c r="A254" s="42" t="s">
        <v>252</v>
      </c>
      <c r="B254" s="38">
        <f>'Rådata-K'!Q254</f>
        <v>9</v>
      </c>
      <c r="C254" s="44">
        <f>'Rådata-K'!P254</f>
        <v>219.7428749115</v>
      </c>
      <c r="D254" s="41">
        <f>'Rådata-K'!R254</f>
        <v>34.721278042148199</v>
      </c>
      <c r="E254" s="41">
        <f>'Rådata-K'!S254</f>
        <v>-4.0093970242756516E-2</v>
      </c>
      <c r="F254" s="41">
        <f>'Rådata-K'!T254</f>
        <v>0.10099526839614946</v>
      </c>
      <c r="G254" s="41">
        <f>'Rådata-K'!U254</f>
        <v>0.16038505465818242</v>
      </c>
      <c r="H254" s="41">
        <f>'Rådata-K'!V254</f>
        <v>-3.3042394014962562E-2</v>
      </c>
      <c r="I254" s="41">
        <f>'Rådata-K'!W254</f>
        <v>0.91197901486447097</v>
      </c>
      <c r="J254" s="41">
        <f>'Rådata-K'!O254</f>
        <v>335100</v>
      </c>
      <c r="K254" s="41">
        <f>Tabell2[[#This Row],[NIBR11]]</f>
        <v>9</v>
      </c>
      <c r="L254" s="41">
        <f>IF(Tabell2[[#This Row],[ReisetidOslo]]&lt;=C$433,C$433,IF(Tabell2[[#This Row],[ReisetidOslo]]&gt;=C$434,C$434,Tabell2[[#This Row],[ReisetidOslo]]))</f>
        <v>219.7428749115</v>
      </c>
      <c r="M254" s="41">
        <f>IF(Tabell2[[#This Row],[Beftettotal]]&lt;=D$433,D$433,IF(Tabell2[[#This Row],[Beftettotal]]&gt;=D$434,D$434,Tabell2[[#This Row],[Beftettotal]]))</f>
        <v>34.721278042148199</v>
      </c>
      <c r="N254" s="41">
        <f>IF(Tabell2[[#This Row],[Befvekst10]]&lt;=E$433,E$433,IF(Tabell2[[#This Row],[Befvekst10]]&gt;=E$434,E$434,Tabell2[[#This Row],[Befvekst10]]))</f>
        <v>-4.0093970242756516E-2</v>
      </c>
      <c r="O254" s="41">
        <f>IF(Tabell2[[#This Row],[Kvinneandel]]&lt;=F$433,F$433,IF(Tabell2[[#This Row],[Kvinneandel]]&gt;=F$434,F$434,Tabell2[[#This Row],[Kvinneandel]]))</f>
        <v>0.10099526839614946</v>
      </c>
      <c r="P254" s="41">
        <f>IF(Tabell2[[#This Row],[Eldreandel]]&lt;=G$433,G$433,IF(Tabell2[[#This Row],[Eldreandel]]&gt;=G$434,G$434,Tabell2[[#This Row],[Eldreandel]]))</f>
        <v>0.16038505465818242</v>
      </c>
      <c r="Q254" s="41">
        <f>IF(Tabell2[[#This Row],[Sysselsettingsvekst10]]&lt;=H$433,H$433,IF(Tabell2[[#This Row],[Sysselsettingsvekst10]]&gt;=H$434,H$434,Tabell2[[#This Row],[Sysselsettingsvekst10]]))</f>
        <v>-3.3042394014962562E-2</v>
      </c>
      <c r="R254" s="41">
        <f>IF(Tabell2[[#This Row],[Yrkesaktivandel]]&lt;=I$433,I$433,IF(Tabell2[[#This Row],[Yrkesaktivandel]]&gt;=I$434,I$434,Tabell2[[#This Row],[Yrkesaktivandel]]))</f>
        <v>0.91197901486447097</v>
      </c>
      <c r="S254" s="41">
        <f>IF(Tabell2[[#This Row],[Inntekt]]&lt;=J$433,J$433,IF(Tabell2[[#This Row],[Inntekt]]&gt;=J$434,J$434,Tabell2[[#This Row],[Inntekt]]))</f>
        <v>335100</v>
      </c>
      <c r="T254" s="44">
        <f>IF(Tabell2[[#This Row],[NIBR11-T]]&lt;=K$436,100,IF(Tabell2[[#This Row],[NIBR11-T]]&gt;=K$435,0,100*(K$435-Tabell2[[#This Row],[NIBR11-T]])/K$438))</f>
        <v>20</v>
      </c>
      <c r="U254" s="44">
        <f>(L$435-Tabell2[[#This Row],[ReisetidOslo-T]])*100/L$438</f>
        <v>26.331908544047543</v>
      </c>
      <c r="V254" s="44">
        <f>100-(M$435-Tabell2[[#This Row],[Beftettotal-T]])*100/M$438</f>
        <v>27.321838304249496</v>
      </c>
      <c r="W254" s="44">
        <f>100-(N$435-Tabell2[[#This Row],[Befvekst10-T]])*100/N$438</f>
        <v>21.442536747474875</v>
      </c>
      <c r="X254" s="44">
        <f>100-(O$435-Tabell2[[#This Row],[Kvinneandel-T]])*100/O$438</f>
        <v>25.387407807858409</v>
      </c>
      <c r="Y254" s="44">
        <f>(P$435-Tabell2[[#This Row],[Eldreandel-T]])*100/P$438</f>
        <v>45.398851694318907</v>
      </c>
      <c r="Z254" s="44">
        <f>100-(Q$435-Tabell2[[#This Row],[Sysselsettingsvekst10-T]])*100/Q$438</f>
        <v>17.38417423741636</v>
      </c>
      <c r="AA254" s="44">
        <f>100-(R$435-Tabell2[[#This Row],[Yrkesaktivandel-T]])*100/R$438</f>
        <v>63.886687924949683</v>
      </c>
      <c r="AB254" s="44">
        <f>100-(S$435-Tabell2[[#This Row],[Inntekt-T]])*100/S$438</f>
        <v>58.401305057096245</v>
      </c>
      <c r="AC254" s="44">
        <f>Tabell2[[#This Row],[NIBR11-I]]*Vekter!$B$3</f>
        <v>4</v>
      </c>
      <c r="AD254" s="44">
        <f>Tabell2[[#This Row],[ReisetidOslo-I]]*Vekter!$C$3</f>
        <v>2.6331908544047544</v>
      </c>
      <c r="AE254" s="44">
        <f>Tabell2[[#This Row],[Beftettotal-I]]*Vekter!$E$4</f>
        <v>2.7321838304249497</v>
      </c>
      <c r="AF254" s="44">
        <f>Tabell2[[#This Row],[Befvekst10-I]]*Vekter!$F$3</f>
        <v>4.2885073494949753</v>
      </c>
      <c r="AG254" s="44">
        <f>Tabell2[[#This Row],[Kvinneandel-I]]*Vekter!$G$3</f>
        <v>1.2693703903929205</v>
      </c>
      <c r="AH254" s="44">
        <f>Tabell2[[#This Row],[Eldreandel-I]]*Vekter!$H$3</f>
        <v>2.2699425847159453</v>
      </c>
      <c r="AI254" s="44">
        <f>Tabell2[[#This Row],[Sysselsettingsvekst10-I]]*Vekter!$I$3</f>
        <v>1.7384174237416361</v>
      </c>
      <c r="AJ254" s="44">
        <f>Tabell2[[#This Row],[Yrkesaktivandel-I]]*Vekter!$K$3</f>
        <v>6.3886687924949683</v>
      </c>
      <c r="AK254" s="44">
        <f>Tabell2[[#This Row],[Inntekt-I]]*Vekter!$M$3</f>
        <v>5.8401305057096247</v>
      </c>
      <c r="AL25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31.160411731379774</v>
      </c>
    </row>
    <row r="255" spans="1:38" s="38" customFormat="1" ht="12.75">
      <c r="A255" s="42" t="s">
        <v>253</v>
      </c>
      <c r="B255" s="38">
        <f>'Rådata-K'!Q255</f>
        <v>9</v>
      </c>
      <c r="C255" s="44">
        <f>'Rådata-K'!P255</f>
        <v>225.99359593779999</v>
      </c>
      <c r="D255" s="41">
        <f>'Rådata-K'!R255</f>
        <v>12.518793667639514</v>
      </c>
      <c r="E255" s="41">
        <f>'Rådata-K'!S255</f>
        <v>-6.7830095488969344E-2</v>
      </c>
      <c r="F255" s="41">
        <f>'Rådata-K'!T255</f>
        <v>9.2546803249735077E-2</v>
      </c>
      <c r="G255" s="41">
        <f>'Rådata-K'!U255</f>
        <v>0.17449664429530201</v>
      </c>
      <c r="H255" s="41">
        <f>'Rådata-K'!V255</f>
        <v>-8.5561497326203217E-2</v>
      </c>
      <c r="I255" s="41">
        <f>'Rådata-K'!W255</f>
        <v>0.94855305466237938</v>
      </c>
      <c r="J255" s="41">
        <f>'Rådata-K'!O255</f>
        <v>323500</v>
      </c>
      <c r="K255" s="41">
        <f>Tabell2[[#This Row],[NIBR11]]</f>
        <v>9</v>
      </c>
      <c r="L255" s="41">
        <f>IF(Tabell2[[#This Row],[ReisetidOslo]]&lt;=C$433,C$433,IF(Tabell2[[#This Row],[ReisetidOslo]]&gt;=C$434,C$434,Tabell2[[#This Row],[ReisetidOslo]]))</f>
        <v>225.99359593779999</v>
      </c>
      <c r="M255" s="41">
        <f>IF(Tabell2[[#This Row],[Beftettotal]]&lt;=D$433,D$433,IF(Tabell2[[#This Row],[Beftettotal]]&gt;=D$434,D$434,Tabell2[[#This Row],[Beftettotal]]))</f>
        <v>12.518793667639514</v>
      </c>
      <c r="N255" s="41">
        <f>IF(Tabell2[[#This Row],[Befvekst10]]&lt;=E$433,E$433,IF(Tabell2[[#This Row],[Befvekst10]]&gt;=E$434,E$434,Tabell2[[#This Row],[Befvekst10]]))</f>
        <v>-6.7830095488969344E-2</v>
      </c>
      <c r="O255" s="41">
        <f>IF(Tabell2[[#This Row],[Kvinneandel]]&lt;=F$433,F$433,IF(Tabell2[[#This Row],[Kvinneandel]]&gt;=F$434,F$434,Tabell2[[#This Row],[Kvinneandel]]))</f>
        <v>9.2546803249735077E-2</v>
      </c>
      <c r="P255" s="41">
        <f>IF(Tabell2[[#This Row],[Eldreandel]]&lt;=G$433,G$433,IF(Tabell2[[#This Row],[Eldreandel]]&gt;=G$434,G$434,Tabell2[[#This Row],[Eldreandel]]))</f>
        <v>0.17449664429530201</v>
      </c>
      <c r="Q255" s="41">
        <f>IF(Tabell2[[#This Row],[Sysselsettingsvekst10]]&lt;=H$433,H$433,IF(Tabell2[[#This Row],[Sysselsettingsvekst10]]&gt;=H$434,H$434,Tabell2[[#This Row],[Sysselsettingsvekst10]]))</f>
        <v>-8.5561497326203217E-2</v>
      </c>
      <c r="R255" s="41">
        <f>IF(Tabell2[[#This Row],[Yrkesaktivandel]]&lt;=I$433,I$433,IF(Tabell2[[#This Row],[Yrkesaktivandel]]&gt;=I$434,I$434,Tabell2[[#This Row],[Yrkesaktivandel]]))</f>
        <v>0.94855305466237938</v>
      </c>
      <c r="S255" s="41">
        <f>IF(Tabell2[[#This Row],[Inntekt]]&lt;=J$433,J$433,IF(Tabell2[[#This Row],[Inntekt]]&gt;=J$434,J$434,Tabell2[[#This Row],[Inntekt]]))</f>
        <v>323500</v>
      </c>
      <c r="T255" s="44">
        <f>IF(Tabell2[[#This Row],[NIBR11-T]]&lt;=K$436,100,IF(Tabell2[[#This Row],[NIBR11-T]]&gt;=K$435,0,100*(K$435-Tabell2[[#This Row],[NIBR11-T]])/K$438))</f>
        <v>20</v>
      </c>
      <c r="U255" s="44">
        <f>(L$435-Tabell2[[#This Row],[ReisetidOslo-T]])*100/L$438</f>
        <v>23.556897244926972</v>
      </c>
      <c r="V255" s="44">
        <f>100-(M$435-Tabell2[[#This Row],[Beftettotal-T]])*100/M$438</f>
        <v>9.1600548305397496</v>
      </c>
      <c r="W255" s="44">
        <f>100-(N$435-Tabell2[[#This Row],[Befvekst10-T]])*100/N$438</f>
        <v>9.9676890909064753</v>
      </c>
      <c r="X255" s="44">
        <f>100-(O$435-Tabell2[[#This Row],[Kvinneandel-T]])*100/O$438</f>
        <v>2.268511429761503</v>
      </c>
      <c r="Y255" s="44">
        <f>(P$435-Tabell2[[#This Row],[Eldreandel-T]])*100/P$438</f>
        <v>28.783927416075475</v>
      </c>
      <c r="Z255" s="44">
        <f>100-(Q$435-Tabell2[[#This Row],[Sysselsettingsvekst10-T]])*100/Q$438</f>
        <v>1.9426608798402043</v>
      </c>
      <c r="AA255" s="44">
        <f>100-(R$435-Tabell2[[#This Row],[Yrkesaktivandel-T]])*100/R$438</f>
        <v>91.199508229660339</v>
      </c>
      <c r="AB255" s="44">
        <f>100-(S$435-Tabell2[[#This Row],[Inntekt-T]])*100/S$438</f>
        <v>42.631865144100054</v>
      </c>
      <c r="AC255" s="44">
        <f>Tabell2[[#This Row],[NIBR11-I]]*Vekter!$B$3</f>
        <v>4</v>
      </c>
      <c r="AD255" s="44">
        <f>Tabell2[[#This Row],[ReisetidOslo-I]]*Vekter!$C$3</f>
        <v>2.3556897244926973</v>
      </c>
      <c r="AE255" s="44">
        <f>Tabell2[[#This Row],[Beftettotal-I]]*Vekter!$E$4</f>
        <v>0.916005483053975</v>
      </c>
      <c r="AF255" s="44">
        <f>Tabell2[[#This Row],[Befvekst10-I]]*Vekter!$F$3</f>
        <v>1.9935378181812951</v>
      </c>
      <c r="AG255" s="44">
        <f>Tabell2[[#This Row],[Kvinneandel-I]]*Vekter!$G$3</f>
        <v>0.11342557148807515</v>
      </c>
      <c r="AH255" s="44">
        <f>Tabell2[[#This Row],[Eldreandel-I]]*Vekter!$H$3</f>
        <v>1.4391963708037738</v>
      </c>
      <c r="AI255" s="44">
        <f>Tabell2[[#This Row],[Sysselsettingsvekst10-I]]*Vekter!$I$3</f>
        <v>0.19426608798402045</v>
      </c>
      <c r="AJ255" s="44">
        <f>Tabell2[[#This Row],[Yrkesaktivandel-I]]*Vekter!$K$3</f>
        <v>9.1199508229660342</v>
      </c>
      <c r="AK255" s="44">
        <f>Tabell2[[#This Row],[Inntekt-I]]*Vekter!$M$3</f>
        <v>4.2631865144100054</v>
      </c>
      <c r="AL25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24.395258393379876</v>
      </c>
    </row>
    <row r="256" spans="1:38" s="38" customFormat="1" ht="12.75">
      <c r="A256" s="42" t="s">
        <v>254</v>
      </c>
      <c r="B256" s="38">
        <f>'Rådata-K'!Q256</f>
        <v>8</v>
      </c>
      <c r="C256" s="44">
        <f>'Rådata-K'!P256</f>
        <v>174.667456805</v>
      </c>
      <c r="D256" s="41">
        <f>'Rådata-K'!R256</f>
        <v>12.680078424686727</v>
      </c>
      <c r="E256" s="41">
        <f>'Rådata-K'!S256</f>
        <v>3.3344911427579005E-2</v>
      </c>
      <c r="F256" s="41">
        <f>'Rådata-K'!T256</f>
        <v>0.11932773109243698</v>
      </c>
      <c r="G256" s="41">
        <f>'Rådata-K'!U256</f>
        <v>0.1376470588235294</v>
      </c>
      <c r="H256" s="41">
        <f>'Rådata-K'!V256</f>
        <v>2.9250457038391131E-2</v>
      </c>
      <c r="I256" s="41">
        <f>'Rådata-K'!W256</f>
        <v>0.94168402261231776</v>
      </c>
      <c r="J256" s="41">
        <f>'Rådata-K'!O256</f>
        <v>320500</v>
      </c>
      <c r="K256" s="41">
        <f>Tabell2[[#This Row],[NIBR11]]</f>
        <v>8</v>
      </c>
      <c r="L256" s="41">
        <f>IF(Tabell2[[#This Row],[ReisetidOslo]]&lt;=C$433,C$433,IF(Tabell2[[#This Row],[ReisetidOslo]]&gt;=C$434,C$434,Tabell2[[#This Row],[ReisetidOslo]]))</f>
        <v>174.667456805</v>
      </c>
      <c r="M256" s="41">
        <f>IF(Tabell2[[#This Row],[Beftettotal]]&lt;=D$433,D$433,IF(Tabell2[[#This Row],[Beftettotal]]&gt;=D$434,D$434,Tabell2[[#This Row],[Beftettotal]]))</f>
        <v>12.680078424686727</v>
      </c>
      <c r="N256" s="41">
        <f>IF(Tabell2[[#This Row],[Befvekst10]]&lt;=E$433,E$433,IF(Tabell2[[#This Row],[Befvekst10]]&gt;=E$434,E$434,Tabell2[[#This Row],[Befvekst10]]))</f>
        <v>3.3344911427579005E-2</v>
      </c>
      <c r="O256" s="41">
        <f>IF(Tabell2[[#This Row],[Kvinneandel]]&lt;=F$433,F$433,IF(Tabell2[[#This Row],[Kvinneandel]]&gt;=F$434,F$434,Tabell2[[#This Row],[Kvinneandel]]))</f>
        <v>0.11932773109243698</v>
      </c>
      <c r="P256" s="41">
        <f>IF(Tabell2[[#This Row],[Eldreandel]]&lt;=G$433,G$433,IF(Tabell2[[#This Row],[Eldreandel]]&gt;=G$434,G$434,Tabell2[[#This Row],[Eldreandel]]))</f>
        <v>0.1376470588235294</v>
      </c>
      <c r="Q256" s="41">
        <f>IF(Tabell2[[#This Row],[Sysselsettingsvekst10]]&lt;=H$433,H$433,IF(Tabell2[[#This Row],[Sysselsettingsvekst10]]&gt;=H$434,H$434,Tabell2[[#This Row],[Sysselsettingsvekst10]]))</f>
        <v>2.9250457038391131E-2</v>
      </c>
      <c r="R256" s="41">
        <f>IF(Tabell2[[#This Row],[Yrkesaktivandel]]&lt;=I$433,I$433,IF(Tabell2[[#This Row],[Yrkesaktivandel]]&gt;=I$434,I$434,Tabell2[[#This Row],[Yrkesaktivandel]]))</f>
        <v>0.94168402261231776</v>
      </c>
      <c r="S256" s="41">
        <f>IF(Tabell2[[#This Row],[Inntekt]]&lt;=J$433,J$433,IF(Tabell2[[#This Row],[Inntekt]]&gt;=J$434,J$434,Tabell2[[#This Row],[Inntekt]]))</f>
        <v>320500</v>
      </c>
      <c r="T256" s="44">
        <f>IF(Tabell2[[#This Row],[NIBR11-T]]&lt;=K$436,100,IF(Tabell2[[#This Row],[NIBR11-T]]&gt;=K$435,0,100*(K$435-Tabell2[[#This Row],[NIBR11-T]])/K$438))</f>
        <v>30</v>
      </c>
      <c r="U256" s="44">
        <f>(L$435-Tabell2[[#This Row],[ReisetidOslo-T]])*100/L$438</f>
        <v>46.34316709035371</v>
      </c>
      <c r="V256" s="44">
        <f>100-(M$435-Tabell2[[#This Row],[Beftettotal-T]])*100/M$438</f>
        <v>9.2919868605635827</v>
      </c>
      <c r="W256" s="44">
        <f>100-(N$435-Tabell2[[#This Row],[Befvekst10-T]])*100/N$438</f>
        <v>51.825294676177201</v>
      </c>
      <c r="X256" s="44">
        <f>100-(O$435-Tabell2[[#This Row],[Kvinneandel-T]])*100/O$438</f>
        <v>75.553479169432819</v>
      </c>
      <c r="Y256" s="44">
        <f>(P$435-Tabell2[[#This Row],[Eldreandel-T]])*100/P$438</f>
        <v>72.170469119901014</v>
      </c>
      <c r="Z256" s="44">
        <f>100-(Q$435-Tabell2[[#This Row],[Sysselsettingsvekst10-T]])*100/Q$438</f>
        <v>35.699336358929358</v>
      </c>
      <c r="AA256" s="44">
        <f>100-(R$435-Tabell2[[#This Row],[Yrkesaktivandel-T]])*100/R$438</f>
        <v>86.06984141988778</v>
      </c>
      <c r="AB256" s="44">
        <f>100-(S$435-Tabell2[[#This Row],[Inntekt-T]])*100/S$438</f>
        <v>38.553561718325177</v>
      </c>
      <c r="AC256" s="44">
        <f>Tabell2[[#This Row],[NIBR11-I]]*Vekter!$B$3</f>
        <v>6</v>
      </c>
      <c r="AD256" s="44">
        <f>Tabell2[[#This Row],[ReisetidOslo-I]]*Vekter!$C$3</f>
        <v>4.634316709035371</v>
      </c>
      <c r="AE256" s="44">
        <f>Tabell2[[#This Row],[Beftettotal-I]]*Vekter!$E$4</f>
        <v>0.92919868605635836</v>
      </c>
      <c r="AF256" s="44">
        <f>Tabell2[[#This Row],[Befvekst10-I]]*Vekter!$F$3</f>
        <v>10.365058935235441</v>
      </c>
      <c r="AG256" s="44">
        <f>Tabell2[[#This Row],[Kvinneandel-I]]*Vekter!$G$3</f>
        <v>3.7776739584716412</v>
      </c>
      <c r="AH256" s="44">
        <f>Tabell2[[#This Row],[Eldreandel-I]]*Vekter!$H$3</f>
        <v>3.608523455995051</v>
      </c>
      <c r="AI256" s="44">
        <f>Tabell2[[#This Row],[Sysselsettingsvekst10-I]]*Vekter!$I$3</f>
        <v>3.5699336358929359</v>
      </c>
      <c r="AJ256" s="44">
        <f>Tabell2[[#This Row],[Yrkesaktivandel-I]]*Vekter!$K$3</f>
        <v>8.6069841419887787</v>
      </c>
      <c r="AK256" s="44">
        <f>Tabell2[[#This Row],[Inntekt-I]]*Vekter!$M$3</f>
        <v>3.855356171832518</v>
      </c>
      <c r="AL25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45.34704569450809</v>
      </c>
    </row>
    <row r="257" spans="1:38" s="38" customFormat="1" ht="12.75">
      <c r="A257" s="42" t="s">
        <v>255</v>
      </c>
      <c r="B257" s="38">
        <f>'Rådata-K'!Q257</f>
        <v>8</v>
      </c>
      <c r="C257" s="44">
        <f>'Rådata-K'!P257</f>
        <v>201.13440440639999</v>
      </c>
      <c r="D257" s="41">
        <f>'Rådata-K'!R257</f>
        <v>6.367432150313153</v>
      </c>
      <c r="E257" s="41">
        <f>'Rådata-K'!S257</f>
        <v>1.9214703425229684E-2</v>
      </c>
      <c r="F257" s="41">
        <f>'Rådata-K'!T257</f>
        <v>0.10491803278688525</v>
      </c>
      <c r="G257" s="41">
        <f>'Rådata-K'!U257</f>
        <v>0.16885245901639345</v>
      </c>
      <c r="H257" s="41">
        <f>'Rådata-K'!V257</f>
        <v>-7.1713147410358613E-2</v>
      </c>
      <c r="I257" s="41">
        <f>'Rådata-K'!W257</f>
        <v>1.0485893416927901</v>
      </c>
      <c r="J257" s="41">
        <f>'Rådata-K'!O257</f>
        <v>295700</v>
      </c>
      <c r="K257" s="41">
        <f>Tabell2[[#This Row],[NIBR11]]</f>
        <v>8</v>
      </c>
      <c r="L257" s="41">
        <f>IF(Tabell2[[#This Row],[ReisetidOslo]]&lt;=C$433,C$433,IF(Tabell2[[#This Row],[ReisetidOslo]]&gt;=C$434,C$434,Tabell2[[#This Row],[ReisetidOslo]]))</f>
        <v>201.13440440639999</v>
      </c>
      <c r="M257" s="41">
        <f>IF(Tabell2[[#This Row],[Beftettotal]]&lt;=D$433,D$433,IF(Tabell2[[#This Row],[Beftettotal]]&gt;=D$434,D$434,Tabell2[[#This Row],[Beftettotal]]))</f>
        <v>6.367432150313153</v>
      </c>
      <c r="N257" s="41">
        <f>IF(Tabell2[[#This Row],[Befvekst10]]&lt;=E$433,E$433,IF(Tabell2[[#This Row],[Befvekst10]]&gt;=E$434,E$434,Tabell2[[#This Row],[Befvekst10]]))</f>
        <v>1.9214703425229684E-2</v>
      </c>
      <c r="O257" s="41">
        <f>IF(Tabell2[[#This Row],[Kvinneandel]]&lt;=F$433,F$433,IF(Tabell2[[#This Row],[Kvinneandel]]&gt;=F$434,F$434,Tabell2[[#This Row],[Kvinneandel]]))</f>
        <v>0.10491803278688525</v>
      </c>
      <c r="P257" s="41">
        <f>IF(Tabell2[[#This Row],[Eldreandel]]&lt;=G$433,G$433,IF(Tabell2[[#This Row],[Eldreandel]]&gt;=G$434,G$434,Tabell2[[#This Row],[Eldreandel]]))</f>
        <v>0.16885245901639345</v>
      </c>
      <c r="Q257" s="41">
        <f>IF(Tabell2[[#This Row],[Sysselsettingsvekst10]]&lt;=H$433,H$433,IF(Tabell2[[#This Row],[Sysselsettingsvekst10]]&gt;=H$434,H$434,Tabell2[[#This Row],[Sysselsettingsvekst10]]))</f>
        <v>-7.1713147410358613E-2</v>
      </c>
      <c r="R257" s="41">
        <f>IF(Tabell2[[#This Row],[Yrkesaktivandel]]&lt;=I$433,I$433,IF(Tabell2[[#This Row],[Yrkesaktivandel]]&gt;=I$434,I$434,Tabell2[[#This Row],[Yrkesaktivandel]]))</f>
        <v>0.96033761343949164</v>
      </c>
      <c r="S257" s="41">
        <f>IF(Tabell2[[#This Row],[Inntekt]]&lt;=J$433,J$433,IF(Tabell2[[#This Row],[Inntekt]]&gt;=J$434,J$434,Tabell2[[#This Row],[Inntekt]]))</f>
        <v>295700</v>
      </c>
      <c r="T257" s="44">
        <f>IF(Tabell2[[#This Row],[NIBR11-T]]&lt;=K$436,100,IF(Tabell2[[#This Row],[NIBR11-T]]&gt;=K$435,0,100*(K$435-Tabell2[[#This Row],[NIBR11-T]])/K$438))</f>
        <v>30</v>
      </c>
      <c r="U257" s="44">
        <f>(L$435-Tabell2[[#This Row],[ReisetidOslo-T]])*100/L$438</f>
        <v>34.593150038226177</v>
      </c>
      <c r="V257" s="44">
        <f>100-(M$435-Tabell2[[#This Row],[Beftettotal-T]])*100/M$438</f>
        <v>4.1281992029568784</v>
      </c>
      <c r="W257" s="44">
        <f>100-(N$435-Tabell2[[#This Row],[Befvekst10-T]])*100/N$438</f>
        <v>45.979417404451169</v>
      </c>
      <c r="X257" s="44">
        <f>100-(O$435-Tabell2[[#This Row],[Kvinneandel-T]])*100/O$438</f>
        <v>36.121900037325531</v>
      </c>
      <c r="Y257" s="44">
        <f>(P$435-Tabell2[[#This Row],[Eldreandel-T]])*100/P$438</f>
        <v>35.429366621221149</v>
      </c>
      <c r="Z257" s="44">
        <f>100-(Q$435-Tabell2[[#This Row],[Sysselsettingsvekst10-T]])*100/Q$438</f>
        <v>6.0143122737842276</v>
      </c>
      <c r="AA257" s="44">
        <f>100-(R$435-Tabell2[[#This Row],[Yrkesaktivandel-T]])*100/R$438</f>
        <v>100</v>
      </c>
      <c r="AB257" s="44">
        <f>100-(S$435-Tabell2[[#This Row],[Inntekt-T]])*100/S$438</f>
        <v>4.8395867319195247</v>
      </c>
      <c r="AC257" s="44">
        <f>Tabell2[[#This Row],[NIBR11-I]]*Vekter!$B$3</f>
        <v>6</v>
      </c>
      <c r="AD257" s="44">
        <f>Tabell2[[#This Row],[ReisetidOslo-I]]*Vekter!$C$3</f>
        <v>3.4593150038226179</v>
      </c>
      <c r="AE257" s="44">
        <f>Tabell2[[#This Row],[Beftettotal-I]]*Vekter!$E$4</f>
        <v>0.41281992029568787</v>
      </c>
      <c r="AF257" s="44">
        <f>Tabell2[[#This Row],[Befvekst10-I]]*Vekter!$F$3</f>
        <v>9.1958834808902346</v>
      </c>
      <c r="AG257" s="44">
        <f>Tabell2[[#This Row],[Kvinneandel-I]]*Vekter!$G$3</f>
        <v>1.8060950018662767</v>
      </c>
      <c r="AH257" s="44">
        <f>Tabell2[[#This Row],[Eldreandel-I]]*Vekter!$H$3</f>
        <v>1.7714683310610575</v>
      </c>
      <c r="AI257" s="44">
        <f>Tabell2[[#This Row],[Sysselsettingsvekst10-I]]*Vekter!$I$3</f>
        <v>0.60143122737842281</v>
      </c>
      <c r="AJ257" s="44">
        <f>Tabell2[[#This Row],[Yrkesaktivandel-I]]*Vekter!$K$3</f>
        <v>10</v>
      </c>
      <c r="AK257" s="44">
        <f>Tabell2[[#This Row],[Inntekt-I]]*Vekter!$M$3</f>
        <v>0.48395867319195252</v>
      </c>
      <c r="AL25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33.730971638506247</v>
      </c>
    </row>
    <row r="258" spans="1:38" s="38" customFormat="1" ht="12.75">
      <c r="A258" s="42" t="s">
        <v>256</v>
      </c>
      <c r="B258" s="38">
        <f>'Rådata-K'!Q258</f>
        <v>9</v>
      </c>
      <c r="C258" s="44">
        <f>'Rådata-K'!P258</f>
        <v>165.96171553433999</v>
      </c>
      <c r="D258" s="41">
        <f>'Rådata-K'!R258</f>
        <v>5.5070692965613546</v>
      </c>
      <c r="E258" s="41">
        <f>'Rådata-K'!S258</f>
        <v>-6.4730580825752559E-3</v>
      </c>
      <c r="F258" s="41">
        <f>'Rådata-K'!T258</f>
        <v>0.10406761753829899</v>
      </c>
      <c r="G258" s="41">
        <f>'Rådata-K'!U258</f>
        <v>0.17397429124845923</v>
      </c>
      <c r="H258" s="41">
        <f>'Rådata-K'!V258</f>
        <v>7.3901205756514932E-2</v>
      </c>
      <c r="I258" s="41">
        <f>'Rådata-K'!W258</f>
        <v>0.98180636777128005</v>
      </c>
      <c r="J258" s="41">
        <f>'Rådata-K'!O258</f>
        <v>319400</v>
      </c>
      <c r="K258" s="41">
        <f>Tabell2[[#This Row],[NIBR11]]</f>
        <v>9</v>
      </c>
      <c r="L258" s="41">
        <f>IF(Tabell2[[#This Row],[ReisetidOslo]]&lt;=C$433,C$433,IF(Tabell2[[#This Row],[ReisetidOslo]]&gt;=C$434,C$434,Tabell2[[#This Row],[ReisetidOslo]]))</f>
        <v>165.96171553433999</v>
      </c>
      <c r="M258" s="41">
        <f>IF(Tabell2[[#This Row],[Beftettotal]]&lt;=D$433,D$433,IF(Tabell2[[#This Row],[Beftettotal]]&gt;=D$434,D$434,Tabell2[[#This Row],[Beftettotal]]))</f>
        <v>5.5070692965613546</v>
      </c>
      <c r="N258" s="41">
        <f>IF(Tabell2[[#This Row],[Befvekst10]]&lt;=E$433,E$433,IF(Tabell2[[#This Row],[Befvekst10]]&gt;=E$434,E$434,Tabell2[[#This Row],[Befvekst10]]))</f>
        <v>-6.4730580825752559E-3</v>
      </c>
      <c r="O258" s="41">
        <f>IF(Tabell2[[#This Row],[Kvinneandel]]&lt;=F$433,F$433,IF(Tabell2[[#This Row],[Kvinneandel]]&gt;=F$434,F$434,Tabell2[[#This Row],[Kvinneandel]]))</f>
        <v>0.10406761753829899</v>
      </c>
      <c r="P258" s="41">
        <f>IF(Tabell2[[#This Row],[Eldreandel]]&lt;=G$433,G$433,IF(Tabell2[[#This Row],[Eldreandel]]&gt;=G$434,G$434,Tabell2[[#This Row],[Eldreandel]]))</f>
        <v>0.17397429124845923</v>
      </c>
      <c r="Q258" s="41">
        <f>IF(Tabell2[[#This Row],[Sysselsettingsvekst10]]&lt;=H$433,H$433,IF(Tabell2[[#This Row],[Sysselsettingsvekst10]]&gt;=H$434,H$434,Tabell2[[#This Row],[Sysselsettingsvekst10]]))</f>
        <v>7.3901205756514932E-2</v>
      </c>
      <c r="R258" s="41">
        <f>IF(Tabell2[[#This Row],[Yrkesaktivandel]]&lt;=I$433,I$433,IF(Tabell2[[#This Row],[Yrkesaktivandel]]&gt;=I$434,I$434,Tabell2[[#This Row],[Yrkesaktivandel]]))</f>
        <v>0.96033761343949164</v>
      </c>
      <c r="S258" s="41">
        <f>IF(Tabell2[[#This Row],[Inntekt]]&lt;=J$433,J$433,IF(Tabell2[[#This Row],[Inntekt]]&gt;=J$434,J$434,Tabell2[[#This Row],[Inntekt]]))</f>
        <v>319400</v>
      </c>
      <c r="T258" s="44">
        <f>IF(Tabell2[[#This Row],[NIBR11-T]]&lt;=K$436,100,IF(Tabell2[[#This Row],[NIBR11-T]]&gt;=K$435,0,100*(K$435-Tabell2[[#This Row],[NIBR11-T]])/K$438))</f>
        <v>20</v>
      </c>
      <c r="U258" s="44">
        <f>(L$435-Tabell2[[#This Row],[ReisetidOslo-T]])*100/L$438</f>
        <v>50.208086079963785</v>
      </c>
      <c r="V258" s="44">
        <f>100-(M$435-Tabell2[[#This Row],[Beftettotal-T]])*100/M$438</f>
        <v>3.4244165273296687</v>
      </c>
      <c r="W258" s="44">
        <f>100-(N$435-Tabell2[[#This Row],[Befvekst10-T]])*100/N$438</f>
        <v>35.352008300846435</v>
      </c>
      <c r="X258" s="44">
        <f>100-(O$435-Tabell2[[#This Row],[Kvinneandel-T]])*100/O$438</f>
        <v>33.79477177560058</v>
      </c>
      <c r="Y258" s="44">
        <f>(P$435-Tabell2[[#This Row],[Eldreandel-T]])*100/P$438</f>
        <v>29.398943622114619</v>
      </c>
      <c r="Z258" s="44">
        <f>100-(Q$435-Tabell2[[#This Row],[Sysselsettingsvekst10-T]])*100/Q$438</f>
        <v>48.827419080957029</v>
      </c>
      <c r="AA258" s="44">
        <f>100-(R$435-Tabell2[[#This Row],[Yrkesaktivandel-T]])*100/R$438</f>
        <v>100</v>
      </c>
      <c r="AB258" s="44">
        <f>100-(S$435-Tabell2[[#This Row],[Inntekt-T]])*100/S$438</f>
        <v>37.058183795541055</v>
      </c>
      <c r="AC258" s="44">
        <f>Tabell2[[#This Row],[NIBR11-I]]*Vekter!$B$3</f>
        <v>4</v>
      </c>
      <c r="AD258" s="44">
        <f>Tabell2[[#This Row],[ReisetidOslo-I]]*Vekter!$C$3</f>
        <v>5.0208086079963792</v>
      </c>
      <c r="AE258" s="44">
        <f>Tabell2[[#This Row],[Beftettotal-I]]*Vekter!$E$4</f>
        <v>0.34244165273296689</v>
      </c>
      <c r="AF258" s="44">
        <f>Tabell2[[#This Row],[Befvekst10-I]]*Vekter!$F$3</f>
        <v>7.0704016601692876</v>
      </c>
      <c r="AG258" s="44">
        <f>Tabell2[[#This Row],[Kvinneandel-I]]*Vekter!$G$3</f>
        <v>1.6897385887800291</v>
      </c>
      <c r="AH258" s="44">
        <f>Tabell2[[#This Row],[Eldreandel-I]]*Vekter!$H$3</f>
        <v>1.469947181105731</v>
      </c>
      <c r="AI258" s="44">
        <f>Tabell2[[#This Row],[Sysselsettingsvekst10-I]]*Vekter!$I$3</f>
        <v>4.8827419080957029</v>
      </c>
      <c r="AJ258" s="44">
        <f>Tabell2[[#This Row],[Yrkesaktivandel-I]]*Vekter!$K$3</f>
        <v>10</v>
      </c>
      <c r="AK258" s="44">
        <f>Tabell2[[#This Row],[Inntekt-I]]*Vekter!$M$3</f>
        <v>3.7058183795541058</v>
      </c>
      <c r="AL25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38.181897978434193</v>
      </c>
    </row>
    <row r="259" spans="1:38" s="38" customFormat="1" ht="12.75">
      <c r="A259" s="42" t="s">
        <v>257</v>
      </c>
      <c r="B259" s="38">
        <f>'Rådata-K'!Q259</f>
        <v>8</v>
      </c>
      <c r="C259" s="44">
        <f>'Rådata-K'!P259</f>
        <v>202.31840518939998</v>
      </c>
      <c r="D259" s="41">
        <f>'Rådata-K'!R259</f>
        <v>5.1297503739308485</v>
      </c>
      <c r="E259" s="41">
        <f>'Rådata-K'!S259</f>
        <v>4.9153549153549081E-2</v>
      </c>
      <c r="F259" s="41">
        <f>'Rådata-K'!T259</f>
        <v>0.10771408351026185</v>
      </c>
      <c r="G259" s="41">
        <f>'Rådata-K'!U259</f>
        <v>0.1494692144373673</v>
      </c>
      <c r="H259" s="41">
        <f>'Rådata-K'!V259</f>
        <v>5.5298283846363372E-2</v>
      </c>
      <c r="I259" s="41">
        <f>'Rådata-K'!W259</f>
        <v>0.97237008871989861</v>
      </c>
      <c r="J259" s="41">
        <f>'Rådata-K'!O259</f>
        <v>311400</v>
      </c>
      <c r="K259" s="41">
        <f>Tabell2[[#This Row],[NIBR11]]</f>
        <v>8</v>
      </c>
      <c r="L259" s="41">
        <f>IF(Tabell2[[#This Row],[ReisetidOslo]]&lt;=C$433,C$433,IF(Tabell2[[#This Row],[ReisetidOslo]]&gt;=C$434,C$434,Tabell2[[#This Row],[ReisetidOslo]]))</f>
        <v>202.31840518939998</v>
      </c>
      <c r="M259" s="41">
        <f>IF(Tabell2[[#This Row],[Beftettotal]]&lt;=D$433,D$433,IF(Tabell2[[#This Row],[Beftettotal]]&gt;=D$434,D$434,Tabell2[[#This Row],[Beftettotal]]))</f>
        <v>5.1297503739308485</v>
      </c>
      <c r="N259" s="41">
        <f>IF(Tabell2[[#This Row],[Befvekst10]]&lt;=E$433,E$433,IF(Tabell2[[#This Row],[Befvekst10]]&gt;=E$434,E$434,Tabell2[[#This Row],[Befvekst10]]))</f>
        <v>4.9153549153549081E-2</v>
      </c>
      <c r="O259" s="41">
        <f>IF(Tabell2[[#This Row],[Kvinneandel]]&lt;=F$433,F$433,IF(Tabell2[[#This Row],[Kvinneandel]]&gt;=F$434,F$434,Tabell2[[#This Row],[Kvinneandel]]))</f>
        <v>0.10771408351026185</v>
      </c>
      <c r="P259" s="41">
        <f>IF(Tabell2[[#This Row],[Eldreandel]]&lt;=G$433,G$433,IF(Tabell2[[#This Row],[Eldreandel]]&gt;=G$434,G$434,Tabell2[[#This Row],[Eldreandel]]))</f>
        <v>0.1494692144373673</v>
      </c>
      <c r="Q259" s="41">
        <f>IF(Tabell2[[#This Row],[Sysselsettingsvekst10]]&lt;=H$433,H$433,IF(Tabell2[[#This Row],[Sysselsettingsvekst10]]&gt;=H$434,H$434,Tabell2[[#This Row],[Sysselsettingsvekst10]]))</f>
        <v>5.5298283846363372E-2</v>
      </c>
      <c r="R259" s="41">
        <f>IF(Tabell2[[#This Row],[Yrkesaktivandel]]&lt;=I$433,I$433,IF(Tabell2[[#This Row],[Yrkesaktivandel]]&gt;=I$434,I$434,Tabell2[[#This Row],[Yrkesaktivandel]]))</f>
        <v>0.96033761343949164</v>
      </c>
      <c r="S259" s="41">
        <f>IF(Tabell2[[#This Row],[Inntekt]]&lt;=J$433,J$433,IF(Tabell2[[#This Row],[Inntekt]]&gt;=J$434,J$434,Tabell2[[#This Row],[Inntekt]]))</f>
        <v>311400</v>
      </c>
      <c r="T259" s="44">
        <f>IF(Tabell2[[#This Row],[NIBR11-T]]&lt;=K$436,100,IF(Tabell2[[#This Row],[NIBR11-T]]&gt;=K$435,0,100*(K$435-Tabell2[[#This Row],[NIBR11-T]])/K$438))</f>
        <v>30</v>
      </c>
      <c r="U259" s="44">
        <f>(L$435-Tabell2[[#This Row],[ReisetidOslo-T]])*100/L$438</f>
        <v>34.067512189861439</v>
      </c>
      <c r="V259" s="44">
        <f>100-(M$435-Tabell2[[#This Row],[Beftettotal-T]])*100/M$438</f>
        <v>3.1157670781168321</v>
      </c>
      <c r="W259" s="44">
        <f>100-(N$435-Tabell2[[#This Row],[Befvekst10-T]])*100/N$438</f>
        <v>58.365563295282733</v>
      </c>
      <c r="X259" s="44">
        <f>100-(O$435-Tabell2[[#This Row],[Kvinneandel-T]])*100/O$438</f>
        <v>43.77318412519103</v>
      </c>
      <c r="Y259" s="44">
        <f>(P$435-Tabell2[[#This Row],[Eldreandel-T]])*100/P$438</f>
        <v>58.251114505673385</v>
      </c>
      <c r="Z259" s="44">
        <f>100-(Q$435-Tabell2[[#This Row],[Sysselsettingsvekst10-T]])*100/Q$438</f>
        <v>43.357842316418676</v>
      </c>
      <c r="AA259" s="44">
        <f>100-(R$435-Tabell2[[#This Row],[Yrkesaktivandel-T]])*100/R$438</f>
        <v>100</v>
      </c>
      <c r="AB259" s="44">
        <f>100-(S$435-Tabell2[[#This Row],[Inntekt-T]])*100/S$438</f>
        <v>26.182707993474708</v>
      </c>
      <c r="AC259" s="44">
        <f>Tabell2[[#This Row],[NIBR11-I]]*Vekter!$B$3</f>
        <v>6</v>
      </c>
      <c r="AD259" s="44">
        <f>Tabell2[[#This Row],[ReisetidOslo-I]]*Vekter!$C$3</f>
        <v>3.4067512189861442</v>
      </c>
      <c r="AE259" s="44">
        <f>Tabell2[[#This Row],[Beftettotal-I]]*Vekter!$E$4</f>
        <v>0.31157670781168323</v>
      </c>
      <c r="AF259" s="44">
        <f>Tabell2[[#This Row],[Befvekst10-I]]*Vekter!$F$3</f>
        <v>11.673112659056548</v>
      </c>
      <c r="AG259" s="44">
        <f>Tabell2[[#This Row],[Kvinneandel-I]]*Vekter!$G$3</f>
        <v>2.1886592062595516</v>
      </c>
      <c r="AH259" s="44">
        <f>Tabell2[[#This Row],[Eldreandel-I]]*Vekter!$H$3</f>
        <v>2.9125557252836694</v>
      </c>
      <c r="AI259" s="44">
        <f>Tabell2[[#This Row],[Sysselsettingsvekst10-I]]*Vekter!$I$3</f>
        <v>4.3357842316418678</v>
      </c>
      <c r="AJ259" s="44">
        <f>Tabell2[[#This Row],[Yrkesaktivandel-I]]*Vekter!$K$3</f>
        <v>10</v>
      </c>
      <c r="AK259" s="44">
        <f>Tabell2[[#This Row],[Inntekt-I]]*Vekter!$M$3</f>
        <v>2.6182707993474708</v>
      </c>
      <c r="AL25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43.446710548386932</v>
      </c>
    </row>
    <row r="260" spans="1:38" s="38" customFormat="1" ht="12.75">
      <c r="A260" s="42" t="s">
        <v>258</v>
      </c>
      <c r="B260" s="38">
        <f>'Rådata-K'!Q260</f>
        <v>4</v>
      </c>
      <c r="C260" s="44">
        <f>'Rådata-K'!P260</f>
        <v>156.37562192599</v>
      </c>
      <c r="D260" s="41">
        <f>'Rådata-K'!R260</f>
        <v>70.191672174487778</v>
      </c>
      <c r="E260" s="41">
        <f>'Rådata-K'!S260</f>
        <v>6.7515496733121072E-2</v>
      </c>
      <c r="F260" s="41">
        <f>'Rådata-K'!T260</f>
        <v>0.11668236032642812</v>
      </c>
      <c r="G260" s="41">
        <f>'Rådata-K'!U260</f>
        <v>0.13955586942875078</v>
      </c>
      <c r="H260" s="41">
        <f>'Rådata-K'!V260</f>
        <v>0.14802497624541866</v>
      </c>
      <c r="I260" s="41">
        <f>'Rådata-K'!W260</f>
        <v>0.90904248235450791</v>
      </c>
      <c r="J260" s="41">
        <f>'Rådata-K'!O260</f>
        <v>360200</v>
      </c>
      <c r="K260" s="41">
        <f>Tabell2[[#This Row],[NIBR11]]</f>
        <v>4</v>
      </c>
      <c r="L260" s="41">
        <f>IF(Tabell2[[#This Row],[ReisetidOslo]]&lt;=C$433,C$433,IF(Tabell2[[#This Row],[ReisetidOslo]]&gt;=C$434,C$434,Tabell2[[#This Row],[ReisetidOslo]]))</f>
        <v>156.37562192599</v>
      </c>
      <c r="M260" s="41">
        <f>IF(Tabell2[[#This Row],[Beftettotal]]&lt;=D$433,D$433,IF(Tabell2[[#This Row],[Beftettotal]]&gt;=D$434,D$434,Tabell2[[#This Row],[Beftettotal]]))</f>
        <v>70.191672174487778</v>
      </c>
      <c r="N260" s="41">
        <f>IF(Tabell2[[#This Row],[Befvekst10]]&lt;=E$433,E$433,IF(Tabell2[[#This Row],[Befvekst10]]&gt;=E$434,E$434,Tabell2[[#This Row],[Befvekst10]]))</f>
        <v>6.7515496733121072E-2</v>
      </c>
      <c r="O260" s="41">
        <f>IF(Tabell2[[#This Row],[Kvinneandel]]&lt;=F$433,F$433,IF(Tabell2[[#This Row],[Kvinneandel]]&gt;=F$434,F$434,Tabell2[[#This Row],[Kvinneandel]]))</f>
        <v>0.11668236032642812</v>
      </c>
      <c r="P260" s="41">
        <f>IF(Tabell2[[#This Row],[Eldreandel]]&lt;=G$433,G$433,IF(Tabell2[[#This Row],[Eldreandel]]&gt;=G$434,G$434,Tabell2[[#This Row],[Eldreandel]]))</f>
        <v>0.13955586942875078</v>
      </c>
      <c r="Q260" s="41">
        <f>IF(Tabell2[[#This Row],[Sysselsettingsvekst10]]&lt;=H$433,H$433,IF(Tabell2[[#This Row],[Sysselsettingsvekst10]]&gt;=H$434,H$434,Tabell2[[#This Row],[Sysselsettingsvekst10]]))</f>
        <v>0.14802497624541866</v>
      </c>
      <c r="R260" s="41">
        <f>IF(Tabell2[[#This Row],[Yrkesaktivandel]]&lt;=I$433,I$433,IF(Tabell2[[#This Row],[Yrkesaktivandel]]&gt;=I$434,I$434,Tabell2[[#This Row],[Yrkesaktivandel]]))</f>
        <v>0.90904248235450791</v>
      </c>
      <c r="S260" s="41">
        <f>IF(Tabell2[[#This Row],[Inntekt]]&lt;=J$433,J$433,IF(Tabell2[[#This Row],[Inntekt]]&gt;=J$434,J$434,Tabell2[[#This Row],[Inntekt]]))</f>
        <v>360200</v>
      </c>
      <c r="T260" s="44">
        <f>IF(Tabell2[[#This Row],[NIBR11-T]]&lt;=K$436,100,IF(Tabell2[[#This Row],[NIBR11-T]]&gt;=K$435,0,100*(K$435-Tabell2[[#This Row],[NIBR11-T]])/K$438))</f>
        <v>70</v>
      </c>
      <c r="U260" s="44">
        <f>(L$435-Tabell2[[#This Row],[ReisetidOslo-T]])*100/L$438</f>
        <v>54.463838010928619</v>
      </c>
      <c r="V260" s="44">
        <f>100-(M$435-Tabell2[[#This Row],[Beftettotal-T]])*100/M$438</f>
        <v>56.336862348059988</v>
      </c>
      <c r="W260" s="44">
        <f>100-(N$435-Tabell2[[#This Row],[Befvekst10-T]])*100/N$438</f>
        <v>65.962174187507244</v>
      </c>
      <c r="X260" s="44">
        <f>100-(O$435-Tabell2[[#This Row],[Kvinneandel-T]])*100/O$438</f>
        <v>68.314524926133146</v>
      </c>
      <c r="Y260" s="44">
        <f>(P$435-Tabell2[[#This Row],[Eldreandel-T]])*100/P$438</f>
        <v>69.923043813269516</v>
      </c>
      <c r="Z260" s="44">
        <f>100-(Q$435-Tabell2[[#This Row],[Sysselsettingsvekst10-T]])*100/Q$438</f>
        <v>70.621073579116384</v>
      </c>
      <c r="AA260" s="44">
        <f>100-(R$435-Tabell2[[#This Row],[Yrkesaktivandel-T]])*100/R$438</f>
        <v>61.693739450929897</v>
      </c>
      <c r="AB260" s="44">
        <f>100-(S$435-Tabell2[[#This Row],[Inntekt-T]])*100/S$438</f>
        <v>92.523110386079395</v>
      </c>
      <c r="AC260" s="44">
        <f>Tabell2[[#This Row],[NIBR11-I]]*Vekter!$B$3</f>
        <v>14</v>
      </c>
      <c r="AD260" s="44">
        <f>Tabell2[[#This Row],[ReisetidOslo-I]]*Vekter!$C$3</f>
        <v>5.4463838010928622</v>
      </c>
      <c r="AE260" s="44">
        <f>Tabell2[[#This Row],[Beftettotal-I]]*Vekter!$E$4</f>
        <v>5.6336862348059995</v>
      </c>
      <c r="AF260" s="44">
        <f>Tabell2[[#This Row],[Befvekst10-I]]*Vekter!$F$3</f>
        <v>13.19243483750145</v>
      </c>
      <c r="AG260" s="44">
        <f>Tabell2[[#This Row],[Kvinneandel-I]]*Vekter!$G$3</f>
        <v>3.4157262463066576</v>
      </c>
      <c r="AH260" s="44">
        <f>Tabell2[[#This Row],[Eldreandel-I]]*Vekter!$H$3</f>
        <v>3.496152190663476</v>
      </c>
      <c r="AI260" s="44">
        <f>Tabell2[[#This Row],[Sysselsettingsvekst10-I]]*Vekter!$I$3</f>
        <v>7.0621073579116391</v>
      </c>
      <c r="AJ260" s="44">
        <f>Tabell2[[#This Row],[Yrkesaktivandel-I]]*Vekter!$K$3</f>
        <v>6.1693739450929899</v>
      </c>
      <c r="AK260" s="44">
        <f>Tabell2[[#This Row],[Inntekt-I]]*Vekter!$M$3</f>
        <v>9.2523110386079406</v>
      </c>
      <c r="AL26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67.668175651983006</v>
      </c>
    </row>
    <row r="261" spans="1:38" s="38" customFormat="1" ht="12.75">
      <c r="A261" s="42" t="s">
        <v>259</v>
      </c>
      <c r="B261" s="38">
        <f>'Rådata-K'!Q261</f>
        <v>4</v>
      </c>
      <c r="C261" s="44">
        <f>'Rådata-K'!P261</f>
        <v>164.21314231069999</v>
      </c>
      <c r="D261" s="41">
        <f>'Rådata-K'!R261</f>
        <v>449.64567726260378</v>
      </c>
      <c r="E261" s="41">
        <f>'Rådata-K'!S261</f>
        <v>0.1280826962639372</v>
      </c>
      <c r="F261" s="41">
        <f>'Rådata-K'!T261</f>
        <v>0.13155169308357348</v>
      </c>
      <c r="G261" s="41">
        <f>'Rådata-K'!U261</f>
        <v>0.12680115273775217</v>
      </c>
      <c r="H261" s="41">
        <f>'Rådata-K'!V261</f>
        <v>0.20522519352568613</v>
      </c>
      <c r="I261" s="41">
        <f>'Rådata-K'!W261</f>
        <v>0.89775663832815256</v>
      </c>
      <c r="J261" s="41">
        <f>'Rådata-K'!O261</f>
        <v>367300</v>
      </c>
      <c r="K261" s="41">
        <f>Tabell2[[#This Row],[NIBR11]]</f>
        <v>4</v>
      </c>
      <c r="L261" s="41">
        <f>IF(Tabell2[[#This Row],[ReisetidOslo]]&lt;=C$433,C$433,IF(Tabell2[[#This Row],[ReisetidOslo]]&gt;=C$434,C$434,Tabell2[[#This Row],[ReisetidOslo]]))</f>
        <v>164.21314231069999</v>
      </c>
      <c r="M261" s="41">
        <f>IF(Tabell2[[#This Row],[Beftettotal]]&lt;=D$433,D$433,IF(Tabell2[[#This Row],[Beftettotal]]&gt;=D$434,D$434,Tabell2[[#This Row],[Beftettotal]]))</f>
        <v>123.5691465212405</v>
      </c>
      <c r="N261" s="41">
        <f>IF(Tabell2[[#This Row],[Befvekst10]]&lt;=E$433,E$433,IF(Tabell2[[#This Row],[Befvekst10]]&gt;=E$434,E$434,Tabell2[[#This Row],[Befvekst10]]))</f>
        <v>0.1280826962639372</v>
      </c>
      <c r="O261" s="41">
        <f>IF(Tabell2[[#This Row],[Kvinneandel]]&lt;=F$433,F$433,IF(Tabell2[[#This Row],[Kvinneandel]]&gt;=F$434,F$434,Tabell2[[#This Row],[Kvinneandel]]))</f>
        <v>0.12826135732659469</v>
      </c>
      <c r="P261" s="41">
        <f>IF(Tabell2[[#This Row],[Eldreandel]]&lt;=G$433,G$433,IF(Tabell2[[#This Row],[Eldreandel]]&gt;=G$434,G$434,Tabell2[[#This Row],[Eldreandel]]))</f>
        <v>0.12680115273775217</v>
      </c>
      <c r="Q261" s="41">
        <f>IF(Tabell2[[#This Row],[Sysselsettingsvekst10]]&lt;=H$433,H$433,IF(Tabell2[[#This Row],[Sysselsettingsvekst10]]&gt;=H$434,H$434,Tabell2[[#This Row],[Sysselsettingsvekst10]]))</f>
        <v>0.20522519352568613</v>
      </c>
      <c r="R261" s="41">
        <f>IF(Tabell2[[#This Row],[Yrkesaktivandel]]&lt;=I$433,I$433,IF(Tabell2[[#This Row],[Yrkesaktivandel]]&gt;=I$434,I$434,Tabell2[[#This Row],[Yrkesaktivandel]]))</f>
        <v>0.89775663832815256</v>
      </c>
      <c r="S261" s="41">
        <f>IF(Tabell2[[#This Row],[Inntekt]]&lt;=J$433,J$433,IF(Tabell2[[#This Row],[Inntekt]]&gt;=J$434,J$434,Tabell2[[#This Row],[Inntekt]]))</f>
        <v>365700</v>
      </c>
      <c r="T261" s="44">
        <f>IF(Tabell2[[#This Row],[NIBR11-T]]&lt;=K$436,100,IF(Tabell2[[#This Row],[NIBR11-T]]&gt;=K$435,0,100*(K$435-Tabell2[[#This Row],[NIBR11-T]])/K$438))</f>
        <v>70</v>
      </c>
      <c r="U261" s="44">
        <f>(L$435-Tabell2[[#This Row],[ReisetidOslo-T]])*100/L$438</f>
        <v>50.984366197493351</v>
      </c>
      <c r="V261" s="44">
        <f>100-(M$435-Tabell2[[#This Row],[Beftettotal-T]])*100/M$438</f>
        <v>100</v>
      </c>
      <c r="W261" s="44">
        <f>100-(N$435-Tabell2[[#This Row],[Befvekst10-T]])*100/N$438</f>
        <v>91.019725717564356</v>
      </c>
      <c r="X261" s="44">
        <f>100-(O$435-Tabell2[[#This Row],[Kvinneandel-T]])*100/O$438</f>
        <v>100</v>
      </c>
      <c r="Y261" s="44">
        <f>(P$435-Tabell2[[#This Row],[Eldreandel-T]])*100/P$438</f>
        <v>84.940391784751895</v>
      </c>
      <c r="Z261" s="44">
        <f>100-(Q$435-Tabell2[[#This Row],[Sysselsettingsvekst10-T]])*100/Q$438</f>
        <v>87.438914393250485</v>
      </c>
      <c r="AA261" s="44">
        <f>100-(R$435-Tabell2[[#This Row],[Yrkesaktivandel-T]])*100/R$438</f>
        <v>53.26567868482158</v>
      </c>
      <c r="AB261" s="44">
        <f>100-(S$435-Tabell2[[#This Row],[Inntekt-T]])*100/S$438</f>
        <v>100</v>
      </c>
      <c r="AC261" s="44">
        <f>Tabell2[[#This Row],[NIBR11-I]]*Vekter!$B$3</f>
        <v>14</v>
      </c>
      <c r="AD261" s="44">
        <f>Tabell2[[#This Row],[ReisetidOslo-I]]*Vekter!$C$3</f>
        <v>5.0984366197493358</v>
      </c>
      <c r="AE261" s="44">
        <f>Tabell2[[#This Row],[Beftettotal-I]]*Vekter!$E$4</f>
        <v>10</v>
      </c>
      <c r="AF261" s="44">
        <f>Tabell2[[#This Row],[Befvekst10-I]]*Vekter!$F$3</f>
        <v>18.203945143512872</v>
      </c>
      <c r="AG261" s="44">
        <f>Tabell2[[#This Row],[Kvinneandel-I]]*Vekter!$G$3</f>
        <v>5</v>
      </c>
      <c r="AH261" s="44">
        <f>Tabell2[[#This Row],[Eldreandel-I]]*Vekter!$H$3</f>
        <v>4.2470195892375946</v>
      </c>
      <c r="AI261" s="44">
        <f>Tabell2[[#This Row],[Sysselsettingsvekst10-I]]*Vekter!$I$3</f>
        <v>8.7438914393250489</v>
      </c>
      <c r="AJ261" s="44">
        <f>Tabell2[[#This Row],[Yrkesaktivandel-I]]*Vekter!$K$3</f>
        <v>5.326567868482158</v>
      </c>
      <c r="AK261" s="44">
        <f>Tabell2[[#This Row],[Inntekt-I]]*Vekter!$M$3</f>
        <v>10</v>
      </c>
      <c r="AL26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80.619860660307012</v>
      </c>
    </row>
    <row r="262" spans="1:38" s="38" customFormat="1" ht="12.75">
      <c r="A262" s="42" t="s">
        <v>260</v>
      </c>
      <c r="B262" s="38">
        <f>'Rådata-K'!Q262</f>
        <v>5</v>
      </c>
      <c r="C262" s="44">
        <f>'Rådata-K'!P262</f>
        <v>163.25430925117001</v>
      </c>
      <c r="D262" s="41">
        <f>'Rådata-K'!R262</f>
        <v>272.02421750057113</v>
      </c>
      <c r="E262" s="41">
        <f>'Rådata-K'!S262</f>
        <v>7.1451068616422919E-2</v>
      </c>
      <c r="F262" s="41">
        <f>'Rådata-K'!T262</f>
        <v>0.1186326796287742</v>
      </c>
      <c r="G262" s="41">
        <f>'Rådata-K'!U262</f>
        <v>0.13820182253391006</v>
      </c>
      <c r="H262" s="41">
        <f>'Rådata-K'!V262</f>
        <v>0.19121655729429587</v>
      </c>
      <c r="I262" s="41">
        <f>'Rådata-K'!W262</f>
        <v>0.83700937213727011</v>
      </c>
      <c r="J262" s="41">
        <f>'Rådata-K'!O262</f>
        <v>347100</v>
      </c>
      <c r="K262" s="41">
        <f>Tabell2[[#This Row],[NIBR11]]</f>
        <v>5</v>
      </c>
      <c r="L262" s="41">
        <f>IF(Tabell2[[#This Row],[ReisetidOslo]]&lt;=C$433,C$433,IF(Tabell2[[#This Row],[ReisetidOslo]]&gt;=C$434,C$434,Tabell2[[#This Row],[ReisetidOslo]]))</f>
        <v>163.25430925117001</v>
      </c>
      <c r="M262" s="41">
        <f>IF(Tabell2[[#This Row],[Beftettotal]]&lt;=D$433,D$433,IF(Tabell2[[#This Row],[Beftettotal]]&gt;=D$434,D$434,Tabell2[[#This Row],[Beftettotal]]))</f>
        <v>123.5691465212405</v>
      </c>
      <c r="N262" s="41">
        <f>IF(Tabell2[[#This Row],[Befvekst10]]&lt;=E$433,E$433,IF(Tabell2[[#This Row],[Befvekst10]]&gt;=E$434,E$434,Tabell2[[#This Row],[Befvekst10]]))</f>
        <v>7.1451068616422919E-2</v>
      </c>
      <c r="O262" s="41">
        <f>IF(Tabell2[[#This Row],[Kvinneandel]]&lt;=F$433,F$433,IF(Tabell2[[#This Row],[Kvinneandel]]&gt;=F$434,F$434,Tabell2[[#This Row],[Kvinneandel]]))</f>
        <v>0.1186326796287742</v>
      </c>
      <c r="P262" s="41">
        <f>IF(Tabell2[[#This Row],[Eldreandel]]&lt;=G$433,G$433,IF(Tabell2[[#This Row],[Eldreandel]]&gt;=G$434,G$434,Tabell2[[#This Row],[Eldreandel]]))</f>
        <v>0.13820182253391006</v>
      </c>
      <c r="Q262" s="41">
        <f>IF(Tabell2[[#This Row],[Sysselsettingsvekst10]]&lt;=H$433,H$433,IF(Tabell2[[#This Row],[Sysselsettingsvekst10]]&gt;=H$434,H$434,Tabell2[[#This Row],[Sysselsettingsvekst10]]))</f>
        <v>0.19121655729429587</v>
      </c>
      <c r="R262" s="41">
        <f>IF(Tabell2[[#This Row],[Yrkesaktivandel]]&lt;=I$433,I$433,IF(Tabell2[[#This Row],[Yrkesaktivandel]]&gt;=I$434,I$434,Tabell2[[#This Row],[Yrkesaktivandel]]))</f>
        <v>0.83700937213727011</v>
      </c>
      <c r="S262" s="41">
        <f>IF(Tabell2[[#This Row],[Inntekt]]&lt;=J$433,J$433,IF(Tabell2[[#This Row],[Inntekt]]&gt;=J$434,J$434,Tabell2[[#This Row],[Inntekt]]))</f>
        <v>347100</v>
      </c>
      <c r="T262" s="44">
        <f>IF(Tabell2[[#This Row],[NIBR11-T]]&lt;=K$436,100,IF(Tabell2[[#This Row],[NIBR11-T]]&gt;=K$435,0,100*(K$435-Tabell2[[#This Row],[NIBR11-T]])/K$438))</f>
        <v>60</v>
      </c>
      <c r="U262" s="44">
        <f>(L$435-Tabell2[[#This Row],[ReisetidOslo-T]])*100/L$438</f>
        <v>51.410040701757865</v>
      </c>
      <c r="V262" s="44">
        <f>100-(M$435-Tabell2[[#This Row],[Beftettotal-T]])*100/M$438</f>
        <v>100</v>
      </c>
      <c r="W262" s="44">
        <f>100-(N$435-Tabell2[[#This Row],[Befvekst10-T]])*100/N$438</f>
        <v>67.590378826817087</v>
      </c>
      <c r="X262" s="44">
        <f>100-(O$435-Tabell2[[#This Row],[Kvinneandel-T]])*100/O$438</f>
        <v>73.651497864262353</v>
      </c>
      <c r="Y262" s="44">
        <f>(P$435-Tabell2[[#This Row],[Eldreandel-T]])*100/P$438</f>
        <v>71.517292739541546</v>
      </c>
      <c r="Z262" s="44">
        <f>100-(Q$435-Tabell2[[#This Row],[Sysselsettingsvekst10-T]])*100/Q$438</f>
        <v>83.320136084974607</v>
      </c>
      <c r="AA262" s="44">
        <f>100-(R$435-Tabell2[[#This Row],[Yrkesaktivandel-T]])*100/R$438</f>
        <v>7.9007374685416494</v>
      </c>
      <c r="AB262" s="44">
        <f>100-(S$435-Tabell2[[#This Row],[Inntekt-T]])*100/S$438</f>
        <v>74.714518760195759</v>
      </c>
      <c r="AC262" s="44">
        <f>Tabell2[[#This Row],[NIBR11-I]]*Vekter!$B$3</f>
        <v>12</v>
      </c>
      <c r="AD262" s="44">
        <f>Tabell2[[#This Row],[ReisetidOslo-I]]*Vekter!$C$3</f>
        <v>5.1410040701757866</v>
      </c>
      <c r="AE262" s="44">
        <f>Tabell2[[#This Row],[Beftettotal-I]]*Vekter!$E$4</f>
        <v>10</v>
      </c>
      <c r="AF262" s="44">
        <f>Tabell2[[#This Row],[Befvekst10-I]]*Vekter!$F$3</f>
        <v>13.518075765363418</v>
      </c>
      <c r="AG262" s="44">
        <f>Tabell2[[#This Row],[Kvinneandel-I]]*Vekter!$G$3</f>
        <v>3.6825748932131179</v>
      </c>
      <c r="AH262" s="44">
        <f>Tabell2[[#This Row],[Eldreandel-I]]*Vekter!$H$3</f>
        <v>3.5758646369770775</v>
      </c>
      <c r="AI262" s="44">
        <f>Tabell2[[#This Row],[Sysselsettingsvekst10-I]]*Vekter!$I$3</f>
        <v>8.3320136084974603</v>
      </c>
      <c r="AJ262" s="44">
        <f>Tabell2[[#This Row],[Yrkesaktivandel-I]]*Vekter!$K$3</f>
        <v>0.79007374685416498</v>
      </c>
      <c r="AK262" s="44">
        <f>Tabell2[[#This Row],[Inntekt-I]]*Vekter!$M$3</f>
        <v>7.4714518760195761</v>
      </c>
      <c r="AL26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64.5110585971006</v>
      </c>
    </row>
    <row r="263" spans="1:38" s="38" customFormat="1" ht="12.75">
      <c r="A263" s="42" t="s">
        <v>261</v>
      </c>
      <c r="B263" s="38">
        <f>'Rådata-K'!Q263</f>
        <v>11</v>
      </c>
      <c r="C263" s="44">
        <f>'Rådata-K'!P263</f>
        <v>222.10938798839999</v>
      </c>
      <c r="D263" s="41">
        <f>'Rådata-K'!R263</f>
        <v>8.7947459958985537</v>
      </c>
      <c r="E263" s="41">
        <f>'Rådata-K'!S263</f>
        <v>-0.13105924596050267</v>
      </c>
      <c r="F263" s="41">
        <f>'Rådata-K'!T263</f>
        <v>8.7957497048406136E-2</v>
      </c>
      <c r="G263" s="41">
        <f>'Rådata-K'!U263</f>
        <v>0.18919716646989373</v>
      </c>
      <c r="H263" s="41">
        <f>'Rådata-K'!V263</f>
        <v>-0.11881188118811881</v>
      </c>
      <c r="I263" s="41">
        <f>'Rådata-K'!W263</f>
        <v>0.89513108614232206</v>
      </c>
      <c r="J263" s="41">
        <f>'Rådata-K'!O263</f>
        <v>326800</v>
      </c>
      <c r="K263" s="41">
        <f>Tabell2[[#This Row],[NIBR11]]</f>
        <v>11</v>
      </c>
      <c r="L263" s="41">
        <f>IF(Tabell2[[#This Row],[ReisetidOslo]]&lt;=C$433,C$433,IF(Tabell2[[#This Row],[ReisetidOslo]]&gt;=C$434,C$434,Tabell2[[#This Row],[ReisetidOslo]]))</f>
        <v>222.10938798839999</v>
      </c>
      <c r="M263" s="41">
        <f>IF(Tabell2[[#This Row],[Beftettotal]]&lt;=D$433,D$433,IF(Tabell2[[#This Row],[Beftettotal]]&gt;=D$434,D$434,Tabell2[[#This Row],[Beftettotal]]))</f>
        <v>8.7947459958985537</v>
      </c>
      <c r="N263" s="41">
        <f>IF(Tabell2[[#This Row],[Befvekst10]]&lt;=E$433,E$433,IF(Tabell2[[#This Row],[Befvekst10]]&gt;=E$434,E$434,Tabell2[[#This Row],[Befvekst10]]))</f>
        <v>-9.1923232174966049E-2</v>
      </c>
      <c r="O263" s="41">
        <f>IF(Tabell2[[#This Row],[Kvinneandel]]&lt;=F$433,F$433,IF(Tabell2[[#This Row],[Kvinneandel]]&gt;=F$434,F$434,Tabell2[[#This Row],[Kvinneandel]]))</f>
        <v>9.1717808671657367E-2</v>
      </c>
      <c r="P263" s="41">
        <f>IF(Tabell2[[#This Row],[Eldreandel]]&lt;=G$433,G$433,IF(Tabell2[[#This Row],[Eldreandel]]&gt;=G$434,G$434,Tabell2[[#This Row],[Eldreandel]]))</f>
        <v>0.18919716646989373</v>
      </c>
      <c r="Q263" s="41">
        <f>IF(Tabell2[[#This Row],[Sysselsettingsvekst10]]&lt;=H$433,H$433,IF(Tabell2[[#This Row],[Sysselsettingsvekst10]]&gt;=H$434,H$434,Tabell2[[#This Row],[Sysselsettingsvekst10]]))</f>
        <v>-9.2168803558721979E-2</v>
      </c>
      <c r="R263" s="41">
        <f>IF(Tabell2[[#This Row],[Yrkesaktivandel]]&lt;=I$433,I$433,IF(Tabell2[[#This Row],[Yrkesaktivandel]]&gt;=I$434,I$434,Tabell2[[#This Row],[Yrkesaktivandel]]))</f>
        <v>0.89513108614232206</v>
      </c>
      <c r="S263" s="41">
        <f>IF(Tabell2[[#This Row],[Inntekt]]&lt;=J$433,J$433,IF(Tabell2[[#This Row],[Inntekt]]&gt;=J$434,J$434,Tabell2[[#This Row],[Inntekt]]))</f>
        <v>326800</v>
      </c>
      <c r="T263" s="44">
        <f>IF(Tabell2[[#This Row],[NIBR11-T]]&lt;=K$436,100,IF(Tabell2[[#This Row],[NIBR11-T]]&gt;=K$435,0,100*(K$435-Tabell2[[#This Row],[NIBR11-T]])/K$438))</f>
        <v>0</v>
      </c>
      <c r="U263" s="44">
        <f>(L$435-Tabell2[[#This Row],[ReisetidOslo-T]])*100/L$438</f>
        <v>25.281293662934967</v>
      </c>
      <c r="V263" s="44">
        <f>100-(M$435-Tabell2[[#This Row],[Beftettotal-T]])*100/M$438</f>
        <v>6.1137584648237322</v>
      </c>
      <c r="W263" s="44">
        <f>100-(N$435-Tabell2[[#This Row],[Befvekst10-T]])*100/N$438</f>
        <v>0</v>
      </c>
      <c r="X263" s="44">
        <f>100-(O$435-Tabell2[[#This Row],[Kvinneandel-T]])*100/O$438</f>
        <v>0</v>
      </c>
      <c r="Y263" s="44">
        <f>(P$435-Tabell2[[#This Row],[Eldreandel-T]])*100/P$438</f>
        <v>11.475596529029135</v>
      </c>
      <c r="Z263" s="44">
        <f>100-(Q$435-Tabell2[[#This Row],[Sysselsettingsvekst10-T]])*100/Q$438</f>
        <v>0</v>
      </c>
      <c r="AA263" s="44">
        <f>100-(R$435-Tabell2[[#This Row],[Yrkesaktivandel-T]])*100/R$438</f>
        <v>51.304964597767693</v>
      </c>
      <c r="AB263" s="44">
        <f>100-(S$435-Tabell2[[#This Row],[Inntekt-T]])*100/S$438</f>
        <v>47.117998912452421</v>
      </c>
      <c r="AC263" s="44">
        <f>Tabell2[[#This Row],[NIBR11-I]]*Vekter!$B$3</f>
        <v>0</v>
      </c>
      <c r="AD263" s="44">
        <f>Tabell2[[#This Row],[ReisetidOslo-I]]*Vekter!$C$3</f>
        <v>2.5281293662934967</v>
      </c>
      <c r="AE263" s="44">
        <f>Tabell2[[#This Row],[Beftettotal-I]]*Vekter!$E$4</f>
        <v>0.61137584648237331</v>
      </c>
      <c r="AF263" s="44">
        <f>Tabell2[[#This Row],[Befvekst10-I]]*Vekter!$F$3</f>
        <v>0</v>
      </c>
      <c r="AG263" s="44">
        <f>Tabell2[[#This Row],[Kvinneandel-I]]*Vekter!$G$3</f>
        <v>0</v>
      </c>
      <c r="AH263" s="44">
        <f>Tabell2[[#This Row],[Eldreandel-I]]*Vekter!$H$3</f>
        <v>0.57377982645145675</v>
      </c>
      <c r="AI263" s="44">
        <f>Tabell2[[#This Row],[Sysselsettingsvekst10-I]]*Vekter!$I$3</f>
        <v>0</v>
      </c>
      <c r="AJ263" s="44">
        <f>Tabell2[[#This Row],[Yrkesaktivandel-I]]*Vekter!$K$3</f>
        <v>5.1304964597767695</v>
      </c>
      <c r="AK263" s="44">
        <f>Tabell2[[#This Row],[Inntekt-I]]*Vekter!$M$3</f>
        <v>4.7117998912452421</v>
      </c>
      <c r="AL26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13.555581390249339</v>
      </c>
    </row>
    <row r="264" spans="1:38" s="38" customFormat="1" ht="12.75">
      <c r="A264" s="42" t="s">
        <v>262</v>
      </c>
      <c r="B264" s="38">
        <f>'Rådata-K'!Q264</f>
        <v>6</v>
      </c>
      <c r="C264" s="44">
        <f>'Rådata-K'!P264</f>
        <v>196.13497547899999</v>
      </c>
      <c r="D264" s="41">
        <f>'Rådata-K'!R264</f>
        <v>27.7891119939869</v>
      </c>
      <c r="E264" s="41">
        <f>'Rådata-K'!S264</f>
        <v>-1.7090770983668846E-2</v>
      </c>
      <c r="F264" s="41">
        <f>'Rådata-K'!T264</f>
        <v>9.428129829984544E-2</v>
      </c>
      <c r="G264" s="41">
        <f>'Rådata-K'!U264</f>
        <v>0.18044822256568779</v>
      </c>
      <c r="H264" s="41">
        <f>'Rådata-K'!V264</f>
        <v>3.5361842105263053E-2</v>
      </c>
      <c r="I264" s="41">
        <f>'Rådata-K'!W264</f>
        <v>0.89959294436906379</v>
      </c>
      <c r="J264" s="41">
        <f>'Rådata-K'!O264</f>
        <v>333100</v>
      </c>
      <c r="K264" s="41">
        <f>Tabell2[[#This Row],[NIBR11]]</f>
        <v>6</v>
      </c>
      <c r="L264" s="41">
        <f>IF(Tabell2[[#This Row],[ReisetidOslo]]&lt;=C$433,C$433,IF(Tabell2[[#This Row],[ReisetidOslo]]&gt;=C$434,C$434,Tabell2[[#This Row],[ReisetidOslo]]))</f>
        <v>196.13497547899999</v>
      </c>
      <c r="M264" s="41">
        <f>IF(Tabell2[[#This Row],[Beftettotal]]&lt;=D$433,D$433,IF(Tabell2[[#This Row],[Beftettotal]]&gt;=D$434,D$434,Tabell2[[#This Row],[Beftettotal]]))</f>
        <v>27.7891119939869</v>
      </c>
      <c r="N264" s="41">
        <f>IF(Tabell2[[#This Row],[Befvekst10]]&lt;=E$433,E$433,IF(Tabell2[[#This Row],[Befvekst10]]&gt;=E$434,E$434,Tabell2[[#This Row],[Befvekst10]]))</f>
        <v>-1.7090770983668846E-2</v>
      </c>
      <c r="O264" s="41">
        <f>IF(Tabell2[[#This Row],[Kvinneandel]]&lt;=F$433,F$433,IF(Tabell2[[#This Row],[Kvinneandel]]&gt;=F$434,F$434,Tabell2[[#This Row],[Kvinneandel]]))</f>
        <v>9.428129829984544E-2</v>
      </c>
      <c r="P264" s="41">
        <f>IF(Tabell2[[#This Row],[Eldreandel]]&lt;=G$433,G$433,IF(Tabell2[[#This Row],[Eldreandel]]&gt;=G$434,G$434,Tabell2[[#This Row],[Eldreandel]]))</f>
        <v>0.18044822256568779</v>
      </c>
      <c r="Q264" s="41">
        <f>IF(Tabell2[[#This Row],[Sysselsettingsvekst10]]&lt;=H$433,H$433,IF(Tabell2[[#This Row],[Sysselsettingsvekst10]]&gt;=H$434,H$434,Tabell2[[#This Row],[Sysselsettingsvekst10]]))</f>
        <v>3.5361842105263053E-2</v>
      </c>
      <c r="R264" s="41">
        <f>IF(Tabell2[[#This Row],[Yrkesaktivandel]]&lt;=I$433,I$433,IF(Tabell2[[#This Row],[Yrkesaktivandel]]&gt;=I$434,I$434,Tabell2[[#This Row],[Yrkesaktivandel]]))</f>
        <v>0.89959294436906379</v>
      </c>
      <c r="S264" s="41">
        <f>IF(Tabell2[[#This Row],[Inntekt]]&lt;=J$433,J$433,IF(Tabell2[[#This Row],[Inntekt]]&gt;=J$434,J$434,Tabell2[[#This Row],[Inntekt]]))</f>
        <v>333100</v>
      </c>
      <c r="T264" s="44">
        <f>IF(Tabell2[[#This Row],[NIBR11-T]]&lt;=K$436,100,IF(Tabell2[[#This Row],[NIBR11-T]]&gt;=K$435,0,100*(K$435-Tabell2[[#This Row],[NIBR11-T]])/K$438))</f>
        <v>50</v>
      </c>
      <c r="U264" s="44">
        <f>(L$435-Tabell2[[#This Row],[ReisetidOslo-T]])*100/L$438</f>
        <v>36.812649469461782</v>
      </c>
      <c r="V264" s="44">
        <f>100-(M$435-Tabell2[[#This Row],[Beftettotal-T]])*100/M$438</f>
        <v>21.65127925117983</v>
      </c>
      <c r="W264" s="44">
        <f>100-(N$435-Tabell2[[#This Row],[Befvekst10-T]])*100/N$438</f>
        <v>30.959302509403344</v>
      </c>
      <c r="X264" s="44">
        <f>100-(O$435-Tabell2[[#This Row],[Kvinneandel-T]])*100/O$438</f>
        <v>7.0148896933733482</v>
      </c>
      <c r="Y264" s="44">
        <f>(P$435-Tabell2[[#This Row],[Eldreandel-T]])*100/P$438</f>
        <v>21.776565039381325</v>
      </c>
      <c r="Z264" s="44">
        <f>100-(Q$435-Tabell2[[#This Row],[Sysselsettingsvekst10-T]])*100/Q$438</f>
        <v>37.496187946134512</v>
      </c>
      <c r="AA264" s="44">
        <f>100-(R$435-Tabell2[[#This Row],[Yrkesaktivandel-T]])*100/R$438</f>
        <v>54.636998265513114</v>
      </c>
      <c r="AB264" s="44">
        <f>100-(S$435-Tabell2[[#This Row],[Inntekt-T]])*100/S$438</f>
        <v>55.682436106579665</v>
      </c>
      <c r="AC264" s="44">
        <f>Tabell2[[#This Row],[NIBR11-I]]*Vekter!$B$3</f>
        <v>10</v>
      </c>
      <c r="AD264" s="44">
        <f>Tabell2[[#This Row],[ReisetidOslo-I]]*Vekter!$C$3</f>
        <v>3.6812649469461785</v>
      </c>
      <c r="AE264" s="44">
        <f>Tabell2[[#This Row],[Beftettotal-I]]*Vekter!$E$4</f>
        <v>2.1651279251179831</v>
      </c>
      <c r="AF264" s="44">
        <f>Tabell2[[#This Row],[Befvekst10-I]]*Vekter!$F$3</f>
        <v>6.1918605018806687</v>
      </c>
      <c r="AG264" s="44">
        <f>Tabell2[[#This Row],[Kvinneandel-I]]*Vekter!$G$3</f>
        <v>0.35074448466866742</v>
      </c>
      <c r="AH264" s="44">
        <f>Tabell2[[#This Row],[Eldreandel-I]]*Vekter!$H$3</f>
        <v>1.0888282519690662</v>
      </c>
      <c r="AI264" s="44">
        <f>Tabell2[[#This Row],[Sysselsettingsvekst10-I]]*Vekter!$I$3</f>
        <v>3.7496187946134514</v>
      </c>
      <c r="AJ264" s="44">
        <f>Tabell2[[#This Row],[Yrkesaktivandel-I]]*Vekter!$K$3</f>
        <v>5.4636998265513119</v>
      </c>
      <c r="AK264" s="44">
        <f>Tabell2[[#This Row],[Inntekt-I]]*Vekter!$M$3</f>
        <v>5.5682436106579667</v>
      </c>
      <c r="AL26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38.259388342405288</v>
      </c>
    </row>
    <row r="265" spans="1:38" s="38" customFormat="1" ht="12.75">
      <c r="A265" s="42" t="s">
        <v>263</v>
      </c>
      <c r="B265" s="38">
        <f>'Rådata-K'!Q265</f>
        <v>6</v>
      </c>
      <c r="C265" s="44">
        <f>'Rådata-K'!P265</f>
        <v>196.72895152569998</v>
      </c>
      <c r="D265" s="41">
        <f>'Rådata-K'!R265</f>
        <v>72.864657259747858</v>
      </c>
      <c r="E265" s="41">
        <f>'Rådata-K'!S265</f>
        <v>4.2154287079054109E-2</v>
      </c>
      <c r="F265" s="41">
        <f>'Rådata-K'!T265</f>
        <v>0.11619113097284291</v>
      </c>
      <c r="G265" s="41">
        <f>'Rådata-K'!U265</f>
        <v>0.14632748940071044</v>
      </c>
      <c r="H265" s="41">
        <f>'Rådata-K'!V265</f>
        <v>0.15375950436496755</v>
      </c>
      <c r="I265" s="41">
        <f>'Rådata-K'!W265</f>
        <v>0.87789768185451633</v>
      </c>
      <c r="J265" s="41">
        <f>'Rådata-K'!O265</f>
        <v>373600</v>
      </c>
      <c r="K265" s="41">
        <f>Tabell2[[#This Row],[NIBR11]]</f>
        <v>6</v>
      </c>
      <c r="L265" s="41">
        <f>IF(Tabell2[[#This Row],[ReisetidOslo]]&lt;=C$433,C$433,IF(Tabell2[[#This Row],[ReisetidOslo]]&gt;=C$434,C$434,Tabell2[[#This Row],[ReisetidOslo]]))</f>
        <v>196.72895152569998</v>
      </c>
      <c r="M265" s="41">
        <f>IF(Tabell2[[#This Row],[Beftettotal]]&lt;=D$433,D$433,IF(Tabell2[[#This Row],[Beftettotal]]&gt;=D$434,D$434,Tabell2[[#This Row],[Beftettotal]]))</f>
        <v>72.864657259747858</v>
      </c>
      <c r="N265" s="41">
        <f>IF(Tabell2[[#This Row],[Befvekst10]]&lt;=E$433,E$433,IF(Tabell2[[#This Row],[Befvekst10]]&gt;=E$434,E$434,Tabell2[[#This Row],[Befvekst10]]))</f>
        <v>4.2154287079054109E-2</v>
      </c>
      <c r="O265" s="41">
        <f>IF(Tabell2[[#This Row],[Kvinneandel]]&lt;=F$433,F$433,IF(Tabell2[[#This Row],[Kvinneandel]]&gt;=F$434,F$434,Tabell2[[#This Row],[Kvinneandel]]))</f>
        <v>0.11619113097284291</v>
      </c>
      <c r="P265" s="41">
        <f>IF(Tabell2[[#This Row],[Eldreandel]]&lt;=G$433,G$433,IF(Tabell2[[#This Row],[Eldreandel]]&gt;=G$434,G$434,Tabell2[[#This Row],[Eldreandel]]))</f>
        <v>0.14632748940071044</v>
      </c>
      <c r="Q265" s="41">
        <f>IF(Tabell2[[#This Row],[Sysselsettingsvekst10]]&lt;=H$433,H$433,IF(Tabell2[[#This Row],[Sysselsettingsvekst10]]&gt;=H$434,H$434,Tabell2[[#This Row],[Sysselsettingsvekst10]]))</f>
        <v>0.15375950436496755</v>
      </c>
      <c r="R265" s="41">
        <f>IF(Tabell2[[#This Row],[Yrkesaktivandel]]&lt;=I$433,I$433,IF(Tabell2[[#This Row],[Yrkesaktivandel]]&gt;=I$434,I$434,Tabell2[[#This Row],[Yrkesaktivandel]]))</f>
        <v>0.87789768185451633</v>
      </c>
      <c r="S265" s="41">
        <f>IF(Tabell2[[#This Row],[Inntekt]]&lt;=J$433,J$433,IF(Tabell2[[#This Row],[Inntekt]]&gt;=J$434,J$434,Tabell2[[#This Row],[Inntekt]]))</f>
        <v>365700</v>
      </c>
      <c r="T265" s="44">
        <f>IF(Tabell2[[#This Row],[NIBR11-T]]&lt;=K$436,100,IF(Tabell2[[#This Row],[NIBR11-T]]&gt;=K$435,0,100*(K$435-Tabell2[[#This Row],[NIBR11-T]])/K$438))</f>
        <v>50</v>
      </c>
      <c r="U265" s="44">
        <f>(L$435-Tabell2[[#This Row],[ReisetidOslo-T]])*100/L$438</f>
        <v>36.548953451984076</v>
      </c>
      <c r="V265" s="44">
        <f>100-(M$435-Tabell2[[#This Row],[Beftettotal-T]])*100/M$438</f>
        <v>58.523382357626424</v>
      </c>
      <c r="W265" s="44">
        <f>100-(N$435-Tabell2[[#This Row],[Befvekst10-T]])*100/N$438</f>
        <v>55.469864444045641</v>
      </c>
      <c r="X265" s="44">
        <f>100-(O$435-Tabell2[[#This Row],[Kvinneandel-T]])*100/O$438</f>
        <v>66.970294900134178</v>
      </c>
      <c r="Y265" s="44">
        <f>(P$435-Tabell2[[#This Row],[Eldreandel-T]])*100/P$438</f>
        <v>61.950167902875926</v>
      </c>
      <c r="Z265" s="44">
        <f>100-(Q$435-Tabell2[[#This Row],[Sysselsettingsvekst10-T]])*100/Q$438</f>
        <v>72.307122787394803</v>
      </c>
      <c r="AA265" s="44">
        <f>100-(R$435-Tabell2[[#This Row],[Yrkesaktivandel-T]])*100/R$438</f>
        <v>38.435375207257266</v>
      </c>
      <c r="AB265" s="44">
        <f>100-(S$435-Tabell2[[#This Row],[Inntekt-T]])*100/S$438</f>
        <v>100</v>
      </c>
      <c r="AC265" s="44">
        <f>Tabell2[[#This Row],[NIBR11-I]]*Vekter!$B$3</f>
        <v>10</v>
      </c>
      <c r="AD265" s="44">
        <f>Tabell2[[#This Row],[ReisetidOslo-I]]*Vekter!$C$3</f>
        <v>3.6548953451984079</v>
      </c>
      <c r="AE265" s="44">
        <f>Tabell2[[#This Row],[Beftettotal-I]]*Vekter!$E$4</f>
        <v>5.8523382357626428</v>
      </c>
      <c r="AF265" s="44">
        <f>Tabell2[[#This Row],[Befvekst10-I]]*Vekter!$F$3</f>
        <v>11.093972888809128</v>
      </c>
      <c r="AG265" s="44">
        <f>Tabell2[[#This Row],[Kvinneandel-I]]*Vekter!$G$3</f>
        <v>3.348514745006709</v>
      </c>
      <c r="AH265" s="44">
        <f>Tabell2[[#This Row],[Eldreandel-I]]*Vekter!$H$3</f>
        <v>3.0975083951437963</v>
      </c>
      <c r="AI265" s="44">
        <f>Tabell2[[#This Row],[Sysselsettingsvekst10-I]]*Vekter!$I$3</f>
        <v>7.2307122787394809</v>
      </c>
      <c r="AJ265" s="44">
        <f>Tabell2[[#This Row],[Yrkesaktivandel-I]]*Vekter!$K$3</f>
        <v>3.843537520725727</v>
      </c>
      <c r="AK265" s="44">
        <f>Tabell2[[#This Row],[Inntekt-I]]*Vekter!$M$3</f>
        <v>10</v>
      </c>
      <c r="AL26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58.121479409385891</v>
      </c>
    </row>
    <row r="266" spans="1:38" s="38" customFormat="1" ht="12.75">
      <c r="A266" s="42" t="s">
        <v>264</v>
      </c>
      <c r="B266" s="38">
        <f>'Rådata-K'!Q266</f>
        <v>5</v>
      </c>
      <c r="C266" s="44">
        <f>'Rådata-K'!P266</f>
        <v>184.39490742629999</v>
      </c>
      <c r="D266" s="41">
        <f>'Rådata-K'!R266</f>
        <v>80.353110244303011</v>
      </c>
      <c r="E266" s="41">
        <f>'Rådata-K'!S266</f>
        <v>0.17466986794717898</v>
      </c>
      <c r="F266" s="41">
        <f>'Rådata-K'!T266</f>
        <v>0.11420541645375575</v>
      </c>
      <c r="G266" s="41">
        <f>'Rådata-K'!U266</f>
        <v>0.11484414920797138</v>
      </c>
      <c r="H266" s="41">
        <f>'Rådata-K'!V266</f>
        <v>0.40070729053318832</v>
      </c>
      <c r="I266" s="41">
        <f>'Rådata-K'!W266</f>
        <v>0.90489662676822635</v>
      </c>
      <c r="J266" s="41">
        <f>'Rådata-K'!O266</f>
        <v>374400</v>
      </c>
      <c r="K266" s="41">
        <f>Tabell2[[#This Row],[NIBR11]]</f>
        <v>5</v>
      </c>
      <c r="L266" s="41">
        <f>IF(Tabell2[[#This Row],[ReisetidOslo]]&lt;=C$433,C$433,IF(Tabell2[[#This Row],[ReisetidOslo]]&gt;=C$434,C$434,Tabell2[[#This Row],[ReisetidOslo]]))</f>
        <v>184.39490742629999</v>
      </c>
      <c r="M266" s="41">
        <f>IF(Tabell2[[#This Row],[Beftettotal]]&lt;=D$433,D$433,IF(Tabell2[[#This Row],[Beftettotal]]&gt;=D$434,D$434,Tabell2[[#This Row],[Beftettotal]]))</f>
        <v>80.353110244303011</v>
      </c>
      <c r="N266" s="41">
        <f>IF(Tabell2[[#This Row],[Befvekst10]]&lt;=E$433,E$433,IF(Tabell2[[#This Row],[Befvekst10]]&gt;=E$434,E$434,Tabell2[[#This Row],[Befvekst10]]))</f>
        <v>0.149789129298837</v>
      </c>
      <c r="O266" s="41">
        <f>IF(Tabell2[[#This Row],[Kvinneandel]]&lt;=F$433,F$433,IF(Tabell2[[#This Row],[Kvinneandel]]&gt;=F$434,F$434,Tabell2[[#This Row],[Kvinneandel]]))</f>
        <v>0.11420541645375575</v>
      </c>
      <c r="P266" s="41">
        <f>IF(Tabell2[[#This Row],[Eldreandel]]&lt;=G$433,G$433,IF(Tabell2[[#This Row],[Eldreandel]]&gt;=G$434,G$434,Tabell2[[#This Row],[Eldreandel]]))</f>
        <v>0.11484414920797138</v>
      </c>
      <c r="Q266" s="41">
        <f>IF(Tabell2[[#This Row],[Sysselsettingsvekst10]]&lt;=H$433,H$433,IF(Tabell2[[#This Row],[Sysselsettingsvekst10]]&gt;=H$434,H$434,Tabell2[[#This Row],[Sysselsettingsvekst10]]))</f>
        <v>0.24794749265568336</v>
      </c>
      <c r="R266" s="41">
        <f>IF(Tabell2[[#This Row],[Yrkesaktivandel]]&lt;=I$433,I$433,IF(Tabell2[[#This Row],[Yrkesaktivandel]]&gt;=I$434,I$434,Tabell2[[#This Row],[Yrkesaktivandel]]))</f>
        <v>0.90489662676822635</v>
      </c>
      <c r="S266" s="41">
        <f>IF(Tabell2[[#This Row],[Inntekt]]&lt;=J$433,J$433,IF(Tabell2[[#This Row],[Inntekt]]&gt;=J$434,J$434,Tabell2[[#This Row],[Inntekt]]))</f>
        <v>365700</v>
      </c>
      <c r="T266" s="44">
        <f>IF(Tabell2[[#This Row],[NIBR11-T]]&lt;=K$436,100,IF(Tabell2[[#This Row],[NIBR11-T]]&gt;=K$435,0,100*(K$435-Tabell2[[#This Row],[NIBR11-T]])/K$438))</f>
        <v>60</v>
      </c>
      <c r="U266" s="44">
        <f>(L$435-Tabell2[[#This Row],[ReisetidOslo-T]])*100/L$438</f>
        <v>42.024659629827447</v>
      </c>
      <c r="V266" s="44">
        <f>100-(M$435-Tabell2[[#This Row],[Beftettotal-T]])*100/M$438</f>
        <v>64.648987914394468</v>
      </c>
      <c r="W266" s="44">
        <f>100-(N$435-Tabell2[[#This Row],[Befvekst10-T]])*100/N$438</f>
        <v>100</v>
      </c>
      <c r="X266" s="44">
        <f>100-(O$435-Tabell2[[#This Row],[Kvinneandel-T]])*100/O$438</f>
        <v>61.536464327637553</v>
      </c>
      <c r="Y266" s="44">
        <f>(P$435-Tabell2[[#This Row],[Eldreandel-T]])*100/P$438</f>
        <v>99.01851574886031</v>
      </c>
      <c r="Z266" s="44">
        <f>100-(Q$435-Tabell2[[#This Row],[Sysselsettingsvekst10-T]])*100/Q$438</f>
        <v>100</v>
      </c>
      <c r="AA266" s="44">
        <f>100-(R$435-Tabell2[[#This Row],[Yrkesaktivandel-T]])*100/R$438</f>
        <v>58.59769074362071</v>
      </c>
      <c r="AB266" s="44">
        <f>100-(S$435-Tabell2[[#This Row],[Inntekt-T]])*100/S$438</f>
        <v>100</v>
      </c>
      <c r="AC266" s="44">
        <f>Tabell2[[#This Row],[NIBR11-I]]*Vekter!$B$3</f>
        <v>12</v>
      </c>
      <c r="AD266" s="44">
        <f>Tabell2[[#This Row],[ReisetidOslo-I]]*Vekter!$C$3</f>
        <v>4.2024659629827452</v>
      </c>
      <c r="AE266" s="44">
        <f>Tabell2[[#This Row],[Beftettotal-I]]*Vekter!$E$4</f>
        <v>6.4648987914394471</v>
      </c>
      <c r="AF266" s="44">
        <f>Tabell2[[#This Row],[Befvekst10-I]]*Vekter!$F$3</f>
        <v>20</v>
      </c>
      <c r="AG266" s="44">
        <f>Tabell2[[#This Row],[Kvinneandel-I]]*Vekter!$G$3</f>
        <v>3.0768232163818778</v>
      </c>
      <c r="AH266" s="44">
        <f>Tabell2[[#This Row],[Eldreandel-I]]*Vekter!$H$3</f>
        <v>4.9509257874430155</v>
      </c>
      <c r="AI266" s="44">
        <f>Tabell2[[#This Row],[Sysselsettingsvekst10-I]]*Vekter!$I$3</f>
        <v>10</v>
      </c>
      <c r="AJ266" s="44">
        <f>Tabell2[[#This Row],[Yrkesaktivandel-I]]*Vekter!$K$3</f>
        <v>5.8597690743620712</v>
      </c>
      <c r="AK266" s="44">
        <f>Tabell2[[#This Row],[Inntekt-I]]*Vekter!$M$3</f>
        <v>10</v>
      </c>
      <c r="AL26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76.554882832609167</v>
      </c>
    </row>
    <row r="267" spans="1:38" s="38" customFormat="1" ht="12.75">
      <c r="A267" s="42" t="s">
        <v>265</v>
      </c>
      <c r="B267" s="38">
        <f>'Rådata-K'!Q267</f>
        <v>5</v>
      </c>
      <c r="C267" s="44">
        <f>'Rådata-K'!P267</f>
        <v>192.1349900772</v>
      </c>
      <c r="D267" s="41">
        <f>'Rådata-K'!R267</f>
        <v>60.738581146744409</v>
      </c>
      <c r="E267" s="41">
        <f>'Rådata-K'!S267</f>
        <v>4.6025104602510414E-2</v>
      </c>
      <c r="F267" s="41">
        <f>'Rådata-K'!T267</f>
        <v>0.1236</v>
      </c>
      <c r="G267" s="41">
        <f>'Rådata-K'!U267</f>
        <v>0.1386</v>
      </c>
      <c r="H267" s="41">
        <f>'Rådata-K'!V267</f>
        <v>-3.1003937007873961E-2</v>
      </c>
      <c r="I267" s="41">
        <f>'Rådata-K'!W267</f>
        <v>0.875</v>
      </c>
      <c r="J267" s="41">
        <f>'Rådata-K'!O267</f>
        <v>345200</v>
      </c>
      <c r="K267" s="41">
        <f>Tabell2[[#This Row],[NIBR11]]</f>
        <v>5</v>
      </c>
      <c r="L267" s="41">
        <f>IF(Tabell2[[#This Row],[ReisetidOslo]]&lt;=C$433,C$433,IF(Tabell2[[#This Row],[ReisetidOslo]]&gt;=C$434,C$434,Tabell2[[#This Row],[ReisetidOslo]]))</f>
        <v>192.1349900772</v>
      </c>
      <c r="M267" s="41">
        <f>IF(Tabell2[[#This Row],[Beftettotal]]&lt;=D$433,D$433,IF(Tabell2[[#This Row],[Beftettotal]]&gt;=D$434,D$434,Tabell2[[#This Row],[Beftettotal]]))</f>
        <v>60.738581146744409</v>
      </c>
      <c r="N267" s="41">
        <f>IF(Tabell2[[#This Row],[Befvekst10]]&lt;=E$433,E$433,IF(Tabell2[[#This Row],[Befvekst10]]&gt;=E$434,E$434,Tabell2[[#This Row],[Befvekst10]]))</f>
        <v>4.6025104602510414E-2</v>
      </c>
      <c r="O267" s="41">
        <f>IF(Tabell2[[#This Row],[Kvinneandel]]&lt;=F$433,F$433,IF(Tabell2[[#This Row],[Kvinneandel]]&gt;=F$434,F$434,Tabell2[[#This Row],[Kvinneandel]]))</f>
        <v>0.1236</v>
      </c>
      <c r="P267" s="41">
        <f>IF(Tabell2[[#This Row],[Eldreandel]]&lt;=G$433,G$433,IF(Tabell2[[#This Row],[Eldreandel]]&gt;=G$434,G$434,Tabell2[[#This Row],[Eldreandel]]))</f>
        <v>0.1386</v>
      </c>
      <c r="Q267" s="41">
        <f>IF(Tabell2[[#This Row],[Sysselsettingsvekst10]]&lt;=H$433,H$433,IF(Tabell2[[#This Row],[Sysselsettingsvekst10]]&gt;=H$434,H$434,Tabell2[[#This Row],[Sysselsettingsvekst10]]))</f>
        <v>-3.1003937007873961E-2</v>
      </c>
      <c r="R267" s="41">
        <f>IF(Tabell2[[#This Row],[Yrkesaktivandel]]&lt;=I$433,I$433,IF(Tabell2[[#This Row],[Yrkesaktivandel]]&gt;=I$434,I$434,Tabell2[[#This Row],[Yrkesaktivandel]]))</f>
        <v>0.875</v>
      </c>
      <c r="S267" s="41">
        <f>IF(Tabell2[[#This Row],[Inntekt]]&lt;=J$433,J$433,IF(Tabell2[[#This Row],[Inntekt]]&gt;=J$434,J$434,Tabell2[[#This Row],[Inntekt]]))</f>
        <v>345200</v>
      </c>
      <c r="T267" s="44">
        <f>IF(Tabell2[[#This Row],[NIBR11-T]]&lt;=K$436,100,IF(Tabell2[[#This Row],[NIBR11-T]]&gt;=K$435,0,100*(K$435-Tabell2[[#This Row],[NIBR11-T]])/K$438))</f>
        <v>60</v>
      </c>
      <c r="U267" s="44">
        <f>(L$435-Tabell2[[#This Row],[ReisetidOslo-T]])*100/L$438</f>
        <v>38.588445355985733</v>
      </c>
      <c r="V267" s="44">
        <f>100-(M$435-Tabell2[[#This Row],[Beftettotal-T]])*100/M$438</f>
        <v>48.604169487784411</v>
      </c>
      <c r="W267" s="44">
        <f>100-(N$435-Tabell2[[#This Row],[Befvekst10-T]])*100/N$438</f>
        <v>57.07127924130905</v>
      </c>
      <c r="X267" s="44">
        <f>100-(O$435-Tabell2[[#This Row],[Kvinneandel-T]])*100/O$438</f>
        <v>87.244376919686744</v>
      </c>
      <c r="Y267" s="44">
        <f>(P$435-Tabell2[[#This Row],[Eldreandel-T]])*100/P$438</f>
        <v>71.048480322336246</v>
      </c>
      <c r="Z267" s="44">
        <f>100-(Q$435-Tabell2[[#This Row],[Sysselsettingsvekst10-T]])*100/Q$438</f>
        <v>17.983515412707646</v>
      </c>
      <c r="AA267" s="44">
        <f>100-(R$435-Tabell2[[#This Row],[Yrkesaktivandel-T]])*100/R$438</f>
        <v>36.271439688240541</v>
      </c>
      <c r="AB267" s="44">
        <f>100-(S$435-Tabell2[[#This Row],[Inntekt-T]])*100/S$438</f>
        <v>72.131593257204997</v>
      </c>
      <c r="AC267" s="44">
        <f>Tabell2[[#This Row],[NIBR11-I]]*Vekter!$B$3</f>
        <v>12</v>
      </c>
      <c r="AD267" s="44">
        <f>Tabell2[[#This Row],[ReisetidOslo-I]]*Vekter!$C$3</f>
        <v>3.8588445355985734</v>
      </c>
      <c r="AE267" s="44">
        <f>Tabell2[[#This Row],[Beftettotal-I]]*Vekter!$E$4</f>
        <v>4.8604169487784414</v>
      </c>
      <c r="AF267" s="44">
        <f>Tabell2[[#This Row],[Befvekst10-I]]*Vekter!$F$3</f>
        <v>11.41425584826181</v>
      </c>
      <c r="AG267" s="44">
        <f>Tabell2[[#This Row],[Kvinneandel-I]]*Vekter!$G$3</f>
        <v>4.3622188459843372</v>
      </c>
      <c r="AH267" s="44">
        <f>Tabell2[[#This Row],[Eldreandel-I]]*Vekter!$H$3</f>
        <v>3.5524240161168126</v>
      </c>
      <c r="AI267" s="44">
        <f>Tabell2[[#This Row],[Sysselsettingsvekst10-I]]*Vekter!$I$3</f>
        <v>1.7983515412707647</v>
      </c>
      <c r="AJ267" s="44">
        <f>Tabell2[[#This Row],[Yrkesaktivandel-I]]*Vekter!$K$3</f>
        <v>3.6271439688240541</v>
      </c>
      <c r="AK267" s="44">
        <f>Tabell2[[#This Row],[Inntekt-I]]*Vekter!$M$3</f>
        <v>7.2131593257205004</v>
      </c>
      <c r="AL26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52.68681503055528</v>
      </c>
    </row>
    <row r="268" spans="1:38" s="38" customFormat="1" ht="12.75">
      <c r="A268" s="42" t="s">
        <v>266</v>
      </c>
      <c r="B268" s="38">
        <f>'Rådata-K'!Q268</f>
        <v>6</v>
      </c>
      <c r="C268" s="44">
        <f>'Rådata-K'!P268</f>
        <v>166.68273346682</v>
      </c>
      <c r="D268" s="41">
        <f>'Rådata-K'!R268</f>
        <v>15.876755611564663</v>
      </c>
      <c r="E268" s="41">
        <f>'Rådata-K'!S268</f>
        <v>4.370272541721687E-2</v>
      </c>
      <c r="F268" s="41">
        <f>'Rådata-K'!T268</f>
        <v>0.11998159438628782</v>
      </c>
      <c r="G268" s="41">
        <f>'Rådata-K'!U268</f>
        <v>0.14851029564017026</v>
      </c>
      <c r="H268" s="41">
        <f>'Rådata-K'!V268</f>
        <v>9.6989966555183882E-2</v>
      </c>
      <c r="I268" s="41">
        <f>'Rådata-K'!W268</f>
        <v>0.884349593495935</v>
      </c>
      <c r="J268" s="41">
        <f>'Rådata-K'!O268</f>
        <v>321400</v>
      </c>
      <c r="K268" s="41">
        <f>Tabell2[[#This Row],[NIBR11]]</f>
        <v>6</v>
      </c>
      <c r="L268" s="41">
        <f>IF(Tabell2[[#This Row],[ReisetidOslo]]&lt;=C$433,C$433,IF(Tabell2[[#This Row],[ReisetidOslo]]&gt;=C$434,C$434,Tabell2[[#This Row],[ReisetidOslo]]))</f>
        <v>166.68273346682</v>
      </c>
      <c r="M268" s="41">
        <f>IF(Tabell2[[#This Row],[Beftettotal]]&lt;=D$433,D$433,IF(Tabell2[[#This Row],[Beftettotal]]&gt;=D$434,D$434,Tabell2[[#This Row],[Beftettotal]]))</f>
        <v>15.876755611564663</v>
      </c>
      <c r="N268" s="41">
        <f>IF(Tabell2[[#This Row],[Befvekst10]]&lt;=E$433,E$433,IF(Tabell2[[#This Row],[Befvekst10]]&gt;=E$434,E$434,Tabell2[[#This Row],[Befvekst10]]))</f>
        <v>4.370272541721687E-2</v>
      </c>
      <c r="O268" s="41">
        <f>IF(Tabell2[[#This Row],[Kvinneandel]]&lt;=F$433,F$433,IF(Tabell2[[#This Row],[Kvinneandel]]&gt;=F$434,F$434,Tabell2[[#This Row],[Kvinneandel]]))</f>
        <v>0.11998159438628782</v>
      </c>
      <c r="P268" s="41">
        <f>IF(Tabell2[[#This Row],[Eldreandel]]&lt;=G$433,G$433,IF(Tabell2[[#This Row],[Eldreandel]]&gt;=G$434,G$434,Tabell2[[#This Row],[Eldreandel]]))</f>
        <v>0.14851029564017026</v>
      </c>
      <c r="Q268" s="41">
        <f>IF(Tabell2[[#This Row],[Sysselsettingsvekst10]]&lt;=H$433,H$433,IF(Tabell2[[#This Row],[Sysselsettingsvekst10]]&gt;=H$434,H$434,Tabell2[[#This Row],[Sysselsettingsvekst10]]))</f>
        <v>9.6989966555183882E-2</v>
      </c>
      <c r="R268" s="41">
        <f>IF(Tabell2[[#This Row],[Yrkesaktivandel]]&lt;=I$433,I$433,IF(Tabell2[[#This Row],[Yrkesaktivandel]]&gt;=I$434,I$434,Tabell2[[#This Row],[Yrkesaktivandel]]))</f>
        <v>0.884349593495935</v>
      </c>
      <c r="S268" s="41">
        <f>IF(Tabell2[[#This Row],[Inntekt]]&lt;=J$433,J$433,IF(Tabell2[[#This Row],[Inntekt]]&gt;=J$434,J$434,Tabell2[[#This Row],[Inntekt]]))</f>
        <v>321400</v>
      </c>
      <c r="T268" s="44">
        <f>IF(Tabell2[[#This Row],[NIBR11-T]]&lt;=K$436,100,IF(Tabell2[[#This Row],[NIBR11-T]]&gt;=K$435,0,100*(K$435-Tabell2[[#This Row],[NIBR11-T]])/K$438))</f>
        <v>50</v>
      </c>
      <c r="U268" s="44">
        <f>(L$435-Tabell2[[#This Row],[ReisetidOslo-T]])*100/L$438</f>
        <v>49.887989742104196</v>
      </c>
      <c r="V268" s="44">
        <f>100-(M$435-Tabell2[[#This Row],[Beftettotal-T]])*100/M$438</f>
        <v>11.90689057692795</v>
      </c>
      <c r="W268" s="44">
        <f>100-(N$435-Tabell2[[#This Row],[Befvekst10-T]])*100/N$438</f>
        <v>56.110476421323675</v>
      </c>
      <c r="X268" s="44">
        <f>100-(O$435-Tabell2[[#This Row],[Kvinneandel-T]])*100/O$438</f>
        <v>77.342750649400301</v>
      </c>
      <c r="Y268" s="44">
        <f>(P$435-Tabell2[[#This Row],[Eldreandel-T]])*100/P$438</f>
        <v>59.380141327889369</v>
      </c>
      <c r="Z268" s="44">
        <f>100-(Q$435-Tabell2[[#This Row],[Sysselsettingsvekst10-T]])*100/Q$438</f>
        <v>55.615909093242145</v>
      </c>
      <c r="AA268" s="44">
        <f>100-(R$435-Tabell2[[#This Row],[Yrkesaktivandel-T]])*100/R$438</f>
        <v>43.253544166925117</v>
      </c>
      <c r="AB268" s="44">
        <f>100-(S$435-Tabell2[[#This Row],[Inntekt-T]])*100/S$438</f>
        <v>39.777052746057642</v>
      </c>
      <c r="AC268" s="44">
        <f>Tabell2[[#This Row],[NIBR11-I]]*Vekter!$B$3</f>
        <v>10</v>
      </c>
      <c r="AD268" s="44">
        <f>Tabell2[[#This Row],[ReisetidOslo-I]]*Vekter!$C$3</f>
        <v>4.98879897421042</v>
      </c>
      <c r="AE268" s="44">
        <f>Tabell2[[#This Row],[Beftettotal-I]]*Vekter!$E$4</f>
        <v>1.1906890576927951</v>
      </c>
      <c r="AF268" s="44">
        <f>Tabell2[[#This Row],[Befvekst10-I]]*Vekter!$F$3</f>
        <v>11.222095284264736</v>
      </c>
      <c r="AG268" s="44">
        <f>Tabell2[[#This Row],[Kvinneandel-I]]*Vekter!$G$3</f>
        <v>3.8671375324700152</v>
      </c>
      <c r="AH268" s="44">
        <f>Tabell2[[#This Row],[Eldreandel-I]]*Vekter!$H$3</f>
        <v>2.9690070663944685</v>
      </c>
      <c r="AI268" s="44">
        <f>Tabell2[[#This Row],[Sysselsettingsvekst10-I]]*Vekter!$I$3</f>
        <v>5.5615909093242148</v>
      </c>
      <c r="AJ268" s="44">
        <f>Tabell2[[#This Row],[Yrkesaktivandel-I]]*Vekter!$K$3</f>
        <v>4.3253544166925115</v>
      </c>
      <c r="AK268" s="44">
        <f>Tabell2[[#This Row],[Inntekt-I]]*Vekter!$M$3</f>
        <v>3.9777052746057642</v>
      </c>
      <c r="AL26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48.102378515654934</v>
      </c>
    </row>
    <row r="269" spans="1:38" s="38" customFormat="1" ht="12.75">
      <c r="A269" s="42" t="s">
        <v>267</v>
      </c>
      <c r="B269" s="38">
        <f>'Rådata-K'!Q269</f>
        <v>6</v>
      </c>
      <c r="C269" s="44">
        <f>'Rådata-K'!P269</f>
        <v>164.22849042957</v>
      </c>
      <c r="D269" s="41">
        <f>'Rådata-K'!R269</f>
        <v>12.918374953410362</v>
      </c>
      <c r="E269" s="41">
        <f>'Rådata-K'!S269</f>
        <v>1.7615971814445075E-2</v>
      </c>
      <c r="F269" s="41">
        <f>'Rådata-K'!T269</f>
        <v>0.11569532602423543</v>
      </c>
      <c r="G269" s="41">
        <f>'Rådata-K'!U269</f>
        <v>0.15551067512983266</v>
      </c>
      <c r="H269" s="41">
        <f>'Rådata-K'!V269</f>
        <v>0.1001407129455909</v>
      </c>
      <c r="I269" s="41">
        <f>'Rådata-K'!W269</f>
        <v>0.90660088465464439</v>
      </c>
      <c r="J269" s="41">
        <f>'Rådata-K'!O269</f>
        <v>323700</v>
      </c>
      <c r="K269" s="41">
        <f>Tabell2[[#This Row],[NIBR11]]</f>
        <v>6</v>
      </c>
      <c r="L269" s="41">
        <f>IF(Tabell2[[#This Row],[ReisetidOslo]]&lt;=C$433,C$433,IF(Tabell2[[#This Row],[ReisetidOslo]]&gt;=C$434,C$434,Tabell2[[#This Row],[ReisetidOslo]]))</f>
        <v>164.22849042957</v>
      </c>
      <c r="M269" s="41">
        <f>IF(Tabell2[[#This Row],[Beftettotal]]&lt;=D$433,D$433,IF(Tabell2[[#This Row],[Beftettotal]]&gt;=D$434,D$434,Tabell2[[#This Row],[Beftettotal]]))</f>
        <v>12.918374953410362</v>
      </c>
      <c r="N269" s="41">
        <f>IF(Tabell2[[#This Row],[Befvekst10]]&lt;=E$433,E$433,IF(Tabell2[[#This Row],[Befvekst10]]&gt;=E$434,E$434,Tabell2[[#This Row],[Befvekst10]]))</f>
        <v>1.7615971814445075E-2</v>
      </c>
      <c r="O269" s="41">
        <f>IF(Tabell2[[#This Row],[Kvinneandel]]&lt;=F$433,F$433,IF(Tabell2[[#This Row],[Kvinneandel]]&gt;=F$434,F$434,Tabell2[[#This Row],[Kvinneandel]]))</f>
        <v>0.11569532602423543</v>
      </c>
      <c r="P269" s="41">
        <f>IF(Tabell2[[#This Row],[Eldreandel]]&lt;=G$433,G$433,IF(Tabell2[[#This Row],[Eldreandel]]&gt;=G$434,G$434,Tabell2[[#This Row],[Eldreandel]]))</f>
        <v>0.15551067512983266</v>
      </c>
      <c r="Q269" s="41">
        <f>IF(Tabell2[[#This Row],[Sysselsettingsvekst10]]&lt;=H$433,H$433,IF(Tabell2[[#This Row],[Sysselsettingsvekst10]]&gt;=H$434,H$434,Tabell2[[#This Row],[Sysselsettingsvekst10]]))</f>
        <v>0.1001407129455909</v>
      </c>
      <c r="R269" s="41">
        <f>IF(Tabell2[[#This Row],[Yrkesaktivandel]]&lt;=I$433,I$433,IF(Tabell2[[#This Row],[Yrkesaktivandel]]&gt;=I$434,I$434,Tabell2[[#This Row],[Yrkesaktivandel]]))</f>
        <v>0.90660088465464439</v>
      </c>
      <c r="S269" s="41">
        <f>IF(Tabell2[[#This Row],[Inntekt]]&lt;=J$433,J$433,IF(Tabell2[[#This Row],[Inntekt]]&gt;=J$434,J$434,Tabell2[[#This Row],[Inntekt]]))</f>
        <v>323700</v>
      </c>
      <c r="T269" s="44">
        <f>IF(Tabell2[[#This Row],[NIBR11-T]]&lt;=K$436,100,IF(Tabell2[[#This Row],[NIBR11-T]]&gt;=K$435,0,100*(K$435-Tabell2[[#This Row],[NIBR11-T]])/K$438))</f>
        <v>50</v>
      </c>
      <c r="U269" s="44">
        <f>(L$435-Tabell2[[#This Row],[ReisetidOslo-T]])*100/L$438</f>
        <v>50.977552391037214</v>
      </c>
      <c r="V269" s="44">
        <f>100-(M$435-Tabell2[[#This Row],[Beftettotal-T]])*100/M$438</f>
        <v>9.4869150444646806</v>
      </c>
      <c r="W269" s="44">
        <f>100-(N$435-Tabell2[[#This Row],[Befvekst10-T]])*100/N$438</f>
        <v>45.317998352054929</v>
      </c>
      <c r="X269" s="44">
        <f>100-(O$435-Tabell2[[#This Row],[Kvinneandel-T]])*100/O$438</f>
        <v>65.613543936266069</v>
      </c>
      <c r="Y269" s="44">
        <f>(P$435-Tabell2[[#This Row],[Eldreandel-T]])*100/P$438</f>
        <v>51.137924956052601</v>
      </c>
      <c r="Z269" s="44">
        <f>100-(Q$435-Tabell2[[#This Row],[Sysselsettingsvekst10-T]])*100/Q$438</f>
        <v>56.542282344237691</v>
      </c>
      <c r="AA269" s="44">
        <f>100-(R$435-Tabell2[[#This Row],[Yrkesaktivandel-T]])*100/R$438</f>
        <v>59.870399190973686</v>
      </c>
      <c r="AB269" s="44">
        <f>100-(S$435-Tabell2[[#This Row],[Inntekt-T]])*100/S$438</f>
        <v>42.903752039151712</v>
      </c>
      <c r="AC269" s="44">
        <f>Tabell2[[#This Row],[NIBR11-I]]*Vekter!$B$3</f>
        <v>10</v>
      </c>
      <c r="AD269" s="44">
        <f>Tabell2[[#This Row],[ReisetidOslo-I]]*Vekter!$C$3</f>
        <v>5.097755239103722</v>
      </c>
      <c r="AE269" s="44">
        <f>Tabell2[[#This Row],[Beftettotal-I]]*Vekter!$E$4</f>
        <v>0.9486915044464681</v>
      </c>
      <c r="AF269" s="44">
        <f>Tabell2[[#This Row],[Befvekst10-I]]*Vekter!$F$3</f>
        <v>9.0635996704109854</v>
      </c>
      <c r="AG269" s="44">
        <f>Tabell2[[#This Row],[Kvinneandel-I]]*Vekter!$G$3</f>
        <v>3.2806771968133037</v>
      </c>
      <c r="AH269" s="44">
        <f>Tabell2[[#This Row],[Eldreandel-I]]*Vekter!$H$3</f>
        <v>2.55689624780263</v>
      </c>
      <c r="AI269" s="44">
        <f>Tabell2[[#This Row],[Sysselsettingsvekst10-I]]*Vekter!$I$3</f>
        <v>5.6542282344237691</v>
      </c>
      <c r="AJ269" s="44">
        <f>Tabell2[[#This Row],[Yrkesaktivandel-I]]*Vekter!$K$3</f>
        <v>5.9870399190973691</v>
      </c>
      <c r="AK269" s="44">
        <f>Tabell2[[#This Row],[Inntekt-I]]*Vekter!$M$3</f>
        <v>4.290375203915171</v>
      </c>
      <c r="AL26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46.87926321601342</v>
      </c>
    </row>
    <row r="270" spans="1:38" s="38" customFormat="1" ht="12.75">
      <c r="A270" s="42" t="s">
        <v>268</v>
      </c>
      <c r="B270" s="38">
        <f>'Rådata-K'!Q270</f>
        <v>4</v>
      </c>
      <c r="C270" s="44">
        <f>'Rådata-K'!P270</f>
        <v>194.3731327381</v>
      </c>
      <c r="D270" s="41">
        <f>'Rådata-K'!R270</f>
        <v>16.643990929705218</v>
      </c>
      <c r="E270" s="41">
        <f>'Rådata-K'!S270</f>
        <v>5.0572519083969425E-2</v>
      </c>
      <c r="F270" s="41">
        <f>'Rådata-K'!T270</f>
        <v>0.11625794732061762</v>
      </c>
      <c r="G270" s="41">
        <f>'Rådata-K'!U270</f>
        <v>0.14850136239782016</v>
      </c>
      <c r="H270" s="41">
        <f>'Rådata-K'!V270</f>
        <v>0.27868852459016402</v>
      </c>
      <c r="I270" s="41">
        <f>'Rådata-K'!W270</f>
        <v>0.9189614476789929</v>
      </c>
      <c r="J270" s="41">
        <f>'Rådata-K'!O270</f>
        <v>329200</v>
      </c>
      <c r="K270" s="41">
        <f>Tabell2[[#This Row],[NIBR11]]</f>
        <v>4</v>
      </c>
      <c r="L270" s="41">
        <f>IF(Tabell2[[#This Row],[ReisetidOslo]]&lt;=C$433,C$433,IF(Tabell2[[#This Row],[ReisetidOslo]]&gt;=C$434,C$434,Tabell2[[#This Row],[ReisetidOslo]]))</f>
        <v>194.3731327381</v>
      </c>
      <c r="M270" s="41">
        <f>IF(Tabell2[[#This Row],[Beftettotal]]&lt;=D$433,D$433,IF(Tabell2[[#This Row],[Beftettotal]]&gt;=D$434,D$434,Tabell2[[#This Row],[Beftettotal]]))</f>
        <v>16.643990929705218</v>
      </c>
      <c r="N270" s="41">
        <f>IF(Tabell2[[#This Row],[Befvekst10]]&lt;=E$433,E$433,IF(Tabell2[[#This Row],[Befvekst10]]&gt;=E$434,E$434,Tabell2[[#This Row],[Befvekst10]]))</f>
        <v>5.0572519083969425E-2</v>
      </c>
      <c r="O270" s="41">
        <f>IF(Tabell2[[#This Row],[Kvinneandel]]&lt;=F$433,F$433,IF(Tabell2[[#This Row],[Kvinneandel]]&gt;=F$434,F$434,Tabell2[[#This Row],[Kvinneandel]]))</f>
        <v>0.11625794732061762</v>
      </c>
      <c r="P270" s="41">
        <f>IF(Tabell2[[#This Row],[Eldreandel]]&lt;=G$433,G$433,IF(Tabell2[[#This Row],[Eldreandel]]&gt;=G$434,G$434,Tabell2[[#This Row],[Eldreandel]]))</f>
        <v>0.14850136239782016</v>
      </c>
      <c r="Q270" s="41">
        <f>IF(Tabell2[[#This Row],[Sysselsettingsvekst10]]&lt;=H$433,H$433,IF(Tabell2[[#This Row],[Sysselsettingsvekst10]]&gt;=H$434,H$434,Tabell2[[#This Row],[Sysselsettingsvekst10]]))</f>
        <v>0.24794749265568336</v>
      </c>
      <c r="R270" s="41">
        <f>IF(Tabell2[[#This Row],[Yrkesaktivandel]]&lt;=I$433,I$433,IF(Tabell2[[#This Row],[Yrkesaktivandel]]&gt;=I$434,I$434,Tabell2[[#This Row],[Yrkesaktivandel]]))</f>
        <v>0.9189614476789929</v>
      </c>
      <c r="S270" s="41">
        <f>IF(Tabell2[[#This Row],[Inntekt]]&lt;=J$433,J$433,IF(Tabell2[[#This Row],[Inntekt]]&gt;=J$434,J$434,Tabell2[[#This Row],[Inntekt]]))</f>
        <v>329200</v>
      </c>
      <c r="T270" s="44">
        <f>IF(Tabell2[[#This Row],[NIBR11-T]]&lt;=K$436,100,IF(Tabell2[[#This Row],[NIBR11-T]]&gt;=K$435,0,100*(K$435-Tabell2[[#This Row],[NIBR11-T]])/K$438))</f>
        <v>70</v>
      </c>
      <c r="U270" s="44">
        <f>(L$435-Tabell2[[#This Row],[ReisetidOslo-T]])*100/L$438</f>
        <v>37.594820597032495</v>
      </c>
      <c r="V270" s="44">
        <f>100-(M$435-Tabell2[[#This Row],[Beftettotal-T]])*100/M$438</f>
        <v>12.534494293989894</v>
      </c>
      <c r="W270" s="44">
        <f>100-(N$435-Tabell2[[#This Row],[Befvekst10-T]])*100/N$438</f>
        <v>58.952612266120802</v>
      </c>
      <c r="X270" s="44">
        <f>100-(O$435-Tabell2[[#This Row],[Kvinneandel-T]])*100/O$438</f>
        <v>67.153135237851842</v>
      </c>
      <c r="Y270" s="44">
        <f>(P$435-Tabell2[[#This Row],[Eldreandel-T]])*100/P$438</f>
        <v>59.390659288588544</v>
      </c>
      <c r="Z270" s="44">
        <f>100-(Q$435-Tabell2[[#This Row],[Sysselsettingsvekst10-T]])*100/Q$438</f>
        <v>100</v>
      </c>
      <c r="AA270" s="44">
        <f>100-(R$435-Tabell2[[#This Row],[Yrkesaktivandel-T]])*100/R$438</f>
        <v>69.101040340119823</v>
      </c>
      <c r="AB270" s="44">
        <f>100-(S$435-Tabell2[[#This Row],[Inntekt-T]])*100/S$438</f>
        <v>50.380641653072324</v>
      </c>
      <c r="AC270" s="44">
        <f>Tabell2[[#This Row],[NIBR11-I]]*Vekter!$B$3</f>
        <v>14</v>
      </c>
      <c r="AD270" s="44">
        <f>Tabell2[[#This Row],[ReisetidOslo-I]]*Vekter!$C$3</f>
        <v>3.7594820597032497</v>
      </c>
      <c r="AE270" s="44">
        <f>Tabell2[[#This Row],[Beftettotal-I]]*Vekter!$E$4</f>
        <v>1.2534494293989895</v>
      </c>
      <c r="AF270" s="44">
        <f>Tabell2[[#This Row],[Befvekst10-I]]*Vekter!$F$3</f>
        <v>11.790522453224161</v>
      </c>
      <c r="AG270" s="44">
        <f>Tabell2[[#This Row],[Kvinneandel-I]]*Vekter!$G$3</f>
        <v>3.3576567618925921</v>
      </c>
      <c r="AH270" s="44">
        <f>Tabell2[[#This Row],[Eldreandel-I]]*Vekter!$H$3</f>
        <v>2.9695329644294275</v>
      </c>
      <c r="AI270" s="44">
        <f>Tabell2[[#This Row],[Sysselsettingsvekst10-I]]*Vekter!$I$3</f>
        <v>10</v>
      </c>
      <c r="AJ270" s="44">
        <f>Tabell2[[#This Row],[Yrkesaktivandel-I]]*Vekter!$K$3</f>
        <v>6.910104034011983</v>
      </c>
      <c r="AK270" s="44">
        <f>Tabell2[[#This Row],[Inntekt-I]]*Vekter!$M$3</f>
        <v>5.0380641653072331</v>
      </c>
      <c r="AL27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59.07881186796763</v>
      </c>
    </row>
    <row r="271" spans="1:38" s="38" customFormat="1" ht="12.75">
      <c r="A271" s="42" t="s">
        <v>269</v>
      </c>
      <c r="B271" s="38">
        <f>'Rådata-K'!Q271</f>
        <v>9</v>
      </c>
      <c r="C271" s="44">
        <f>'Rådata-K'!P271</f>
        <v>235.66948088730001</v>
      </c>
      <c r="D271" s="41">
        <f>'Rådata-K'!R271</f>
        <v>1.8419992793098332</v>
      </c>
      <c r="E271" s="41">
        <f>'Rådata-K'!S271</f>
        <v>-8.7664041994750641E-2</v>
      </c>
      <c r="F271" s="41">
        <f>'Rådata-K'!T271</f>
        <v>0.10586881472957423</v>
      </c>
      <c r="G271" s="41">
        <f>'Rådata-K'!U271</f>
        <v>0.1852704257767549</v>
      </c>
      <c r="H271" s="41">
        <f>'Rådata-K'!V271</f>
        <v>4.318181818181821E-2</v>
      </c>
      <c r="I271" s="41">
        <f>'Rådata-K'!W271</f>
        <v>1.038293216630197</v>
      </c>
      <c r="J271" s="41">
        <f>'Rådata-K'!O271</f>
        <v>309900</v>
      </c>
      <c r="K271" s="41">
        <f>Tabell2[[#This Row],[NIBR11]]</f>
        <v>9</v>
      </c>
      <c r="L271" s="41">
        <f>IF(Tabell2[[#This Row],[ReisetidOslo]]&lt;=C$433,C$433,IF(Tabell2[[#This Row],[ReisetidOslo]]&gt;=C$434,C$434,Tabell2[[#This Row],[ReisetidOslo]]))</f>
        <v>235.66948088730001</v>
      </c>
      <c r="M271" s="41">
        <f>IF(Tabell2[[#This Row],[Beftettotal]]&lt;=D$433,D$433,IF(Tabell2[[#This Row],[Beftettotal]]&gt;=D$434,D$434,Tabell2[[#This Row],[Beftettotal]]))</f>
        <v>1.8419992793098332</v>
      </c>
      <c r="N271" s="41">
        <f>IF(Tabell2[[#This Row],[Befvekst10]]&lt;=E$433,E$433,IF(Tabell2[[#This Row],[Befvekst10]]&gt;=E$434,E$434,Tabell2[[#This Row],[Befvekst10]]))</f>
        <v>-8.7664041994750641E-2</v>
      </c>
      <c r="O271" s="41">
        <f>IF(Tabell2[[#This Row],[Kvinneandel]]&lt;=F$433,F$433,IF(Tabell2[[#This Row],[Kvinneandel]]&gt;=F$434,F$434,Tabell2[[#This Row],[Kvinneandel]]))</f>
        <v>0.10586881472957423</v>
      </c>
      <c r="P271" s="41">
        <f>IF(Tabell2[[#This Row],[Eldreandel]]&lt;=G$433,G$433,IF(Tabell2[[#This Row],[Eldreandel]]&gt;=G$434,G$434,Tabell2[[#This Row],[Eldreandel]]))</f>
        <v>0.1852704257767549</v>
      </c>
      <c r="Q271" s="41">
        <f>IF(Tabell2[[#This Row],[Sysselsettingsvekst10]]&lt;=H$433,H$433,IF(Tabell2[[#This Row],[Sysselsettingsvekst10]]&gt;=H$434,H$434,Tabell2[[#This Row],[Sysselsettingsvekst10]]))</f>
        <v>4.318181818181821E-2</v>
      </c>
      <c r="R271" s="41">
        <f>IF(Tabell2[[#This Row],[Yrkesaktivandel]]&lt;=I$433,I$433,IF(Tabell2[[#This Row],[Yrkesaktivandel]]&gt;=I$434,I$434,Tabell2[[#This Row],[Yrkesaktivandel]]))</f>
        <v>0.96033761343949164</v>
      </c>
      <c r="S271" s="41">
        <f>IF(Tabell2[[#This Row],[Inntekt]]&lt;=J$433,J$433,IF(Tabell2[[#This Row],[Inntekt]]&gt;=J$434,J$434,Tabell2[[#This Row],[Inntekt]]))</f>
        <v>309900</v>
      </c>
      <c r="T271" s="44">
        <f>IF(Tabell2[[#This Row],[NIBR11-T]]&lt;=K$436,100,IF(Tabell2[[#This Row],[NIBR11-T]]&gt;=K$435,0,100*(K$435-Tabell2[[#This Row],[NIBR11-T]])/K$438))</f>
        <v>20</v>
      </c>
      <c r="U271" s="44">
        <f>(L$435-Tabell2[[#This Row],[ReisetidOslo-T]])*100/L$438</f>
        <v>19.261282394915501</v>
      </c>
      <c r="V271" s="44">
        <f>100-(M$435-Tabell2[[#This Row],[Beftettotal-T]])*100/M$438</f>
        <v>0.42636428477378274</v>
      </c>
      <c r="W271" s="44">
        <f>100-(N$435-Tabell2[[#This Row],[Befvekst10-T]])*100/N$438</f>
        <v>1.7620903433509341</v>
      </c>
      <c r="X271" s="44">
        <f>100-(O$435-Tabell2[[#This Row],[Kvinneandel-T]])*100/O$438</f>
        <v>38.723677854982881</v>
      </c>
      <c r="Y271" s="44">
        <f>(P$435-Tabell2[[#This Row],[Eldreandel-T]])*100/P$438</f>
        <v>16.098923946741373</v>
      </c>
      <c r="Z271" s="44">
        <f>100-(Q$435-Tabell2[[#This Row],[Sysselsettingsvekst10-T]])*100/Q$438</f>
        <v>39.795394471547674</v>
      </c>
      <c r="AA271" s="44">
        <f>100-(R$435-Tabell2[[#This Row],[Yrkesaktivandel-T]])*100/R$438</f>
        <v>100</v>
      </c>
      <c r="AB271" s="44">
        <f>100-(S$435-Tabell2[[#This Row],[Inntekt-T]])*100/S$438</f>
        <v>24.143556280587276</v>
      </c>
      <c r="AC271" s="44">
        <f>Tabell2[[#This Row],[NIBR11-I]]*Vekter!$B$3</f>
        <v>4</v>
      </c>
      <c r="AD271" s="44">
        <f>Tabell2[[#This Row],[ReisetidOslo-I]]*Vekter!$C$3</f>
        <v>1.9261282394915502</v>
      </c>
      <c r="AE271" s="44">
        <f>Tabell2[[#This Row],[Beftettotal-I]]*Vekter!$E$4</f>
        <v>4.263642847737828E-2</v>
      </c>
      <c r="AF271" s="44">
        <f>Tabell2[[#This Row],[Befvekst10-I]]*Vekter!$F$3</f>
        <v>0.35241806867018682</v>
      </c>
      <c r="AG271" s="44">
        <f>Tabell2[[#This Row],[Kvinneandel-I]]*Vekter!$G$3</f>
        <v>1.9361838927491442</v>
      </c>
      <c r="AH271" s="44">
        <f>Tabell2[[#This Row],[Eldreandel-I]]*Vekter!$H$3</f>
        <v>0.80494619733706863</v>
      </c>
      <c r="AI271" s="44">
        <f>Tabell2[[#This Row],[Sysselsettingsvekst10-I]]*Vekter!$I$3</f>
        <v>3.9795394471547674</v>
      </c>
      <c r="AJ271" s="44">
        <f>Tabell2[[#This Row],[Yrkesaktivandel-I]]*Vekter!$K$3</f>
        <v>10</v>
      </c>
      <c r="AK271" s="44">
        <f>Tabell2[[#This Row],[Inntekt-I]]*Vekter!$M$3</f>
        <v>2.4143556280587277</v>
      </c>
      <c r="AL27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25.456207901938825</v>
      </c>
    </row>
    <row r="272" spans="1:38" s="38" customFormat="1" ht="12.75">
      <c r="A272" s="42" t="s">
        <v>270</v>
      </c>
      <c r="B272" s="38">
        <f>'Rådata-K'!Q272</f>
        <v>5</v>
      </c>
      <c r="C272" s="44">
        <f>'Rådata-K'!P272</f>
        <v>227.09592204469999</v>
      </c>
      <c r="D272" s="41">
        <f>'Rådata-K'!R272</f>
        <v>5.3134128459433558</v>
      </c>
      <c r="E272" s="41">
        <f>'Rådata-K'!S272</f>
        <v>-1.7296604740550947E-2</v>
      </c>
      <c r="F272" s="41">
        <f>'Rådata-K'!T272</f>
        <v>0.10582355497609734</v>
      </c>
      <c r="G272" s="41">
        <f>'Rådata-K'!U272</f>
        <v>0.18187744458930899</v>
      </c>
      <c r="H272" s="41">
        <f>'Rådata-K'!V272</f>
        <v>-4.4157874169597489E-2</v>
      </c>
      <c r="I272" s="41">
        <f>'Rådata-K'!W272</f>
        <v>0.99563492063492065</v>
      </c>
      <c r="J272" s="41">
        <f>'Rådata-K'!O272</f>
        <v>325600</v>
      </c>
      <c r="K272" s="41">
        <f>Tabell2[[#This Row],[NIBR11]]</f>
        <v>5</v>
      </c>
      <c r="L272" s="41">
        <f>IF(Tabell2[[#This Row],[ReisetidOslo]]&lt;=C$433,C$433,IF(Tabell2[[#This Row],[ReisetidOslo]]&gt;=C$434,C$434,Tabell2[[#This Row],[ReisetidOslo]]))</f>
        <v>227.09592204469999</v>
      </c>
      <c r="M272" s="41">
        <f>IF(Tabell2[[#This Row],[Beftettotal]]&lt;=D$433,D$433,IF(Tabell2[[#This Row],[Beftettotal]]&gt;=D$434,D$434,Tabell2[[#This Row],[Beftettotal]]))</f>
        <v>5.3134128459433558</v>
      </c>
      <c r="N272" s="41">
        <f>IF(Tabell2[[#This Row],[Befvekst10]]&lt;=E$433,E$433,IF(Tabell2[[#This Row],[Befvekst10]]&gt;=E$434,E$434,Tabell2[[#This Row],[Befvekst10]]))</f>
        <v>-1.7296604740550947E-2</v>
      </c>
      <c r="O272" s="41">
        <f>IF(Tabell2[[#This Row],[Kvinneandel]]&lt;=F$433,F$433,IF(Tabell2[[#This Row],[Kvinneandel]]&gt;=F$434,F$434,Tabell2[[#This Row],[Kvinneandel]]))</f>
        <v>0.10582355497609734</v>
      </c>
      <c r="P272" s="41">
        <f>IF(Tabell2[[#This Row],[Eldreandel]]&lt;=G$433,G$433,IF(Tabell2[[#This Row],[Eldreandel]]&gt;=G$434,G$434,Tabell2[[#This Row],[Eldreandel]]))</f>
        <v>0.18187744458930899</v>
      </c>
      <c r="Q272" s="41">
        <f>IF(Tabell2[[#This Row],[Sysselsettingsvekst10]]&lt;=H$433,H$433,IF(Tabell2[[#This Row],[Sysselsettingsvekst10]]&gt;=H$434,H$434,Tabell2[[#This Row],[Sysselsettingsvekst10]]))</f>
        <v>-4.4157874169597489E-2</v>
      </c>
      <c r="R272" s="41">
        <f>IF(Tabell2[[#This Row],[Yrkesaktivandel]]&lt;=I$433,I$433,IF(Tabell2[[#This Row],[Yrkesaktivandel]]&gt;=I$434,I$434,Tabell2[[#This Row],[Yrkesaktivandel]]))</f>
        <v>0.96033761343949164</v>
      </c>
      <c r="S272" s="41">
        <f>IF(Tabell2[[#This Row],[Inntekt]]&lt;=J$433,J$433,IF(Tabell2[[#This Row],[Inntekt]]&gt;=J$434,J$434,Tabell2[[#This Row],[Inntekt]]))</f>
        <v>325600</v>
      </c>
      <c r="T272" s="44">
        <f>IF(Tabell2[[#This Row],[NIBR11-T]]&lt;=K$436,100,IF(Tabell2[[#This Row],[NIBR11-T]]&gt;=K$435,0,100*(K$435-Tabell2[[#This Row],[NIBR11-T]])/K$438))</f>
        <v>60</v>
      </c>
      <c r="U272" s="44">
        <f>(L$435-Tabell2[[#This Row],[ReisetidOslo-T]])*100/L$438</f>
        <v>23.067518917356054</v>
      </c>
      <c r="V272" s="44">
        <f>100-(M$435-Tabell2[[#This Row],[Beftettotal-T]])*100/M$438</f>
        <v>3.2660042314314097</v>
      </c>
      <c r="W272" s="44">
        <f>100-(N$435-Tabell2[[#This Row],[Befvekst10-T]])*100/N$438</f>
        <v>30.874146021904295</v>
      </c>
      <c r="X272" s="44">
        <f>100-(O$435-Tabell2[[#This Row],[Kvinneandel-T]])*100/O$438</f>
        <v>38.599826299393008</v>
      </c>
      <c r="Y272" s="44">
        <f>(P$435-Tabell2[[#This Row],[Eldreandel-T]])*100/P$438</f>
        <v>20.093805243362269</v>
      </c>
      <c r="Z272" s="44">
        <f>100-(Q$435-Tabell2[[#This Row],[Sysselsettingsvekst10-T]])*100/Q$438</f>
        <v>14.116033228486913</v>
      </c>
      <c r="AA272" s="44">
        <f>100-(R$435-Tabell2[[#This Row],[Yrkesaktivandel-T]])*100/R$438</f>
        <v>100</v>
      </c>
      <c r="AB272" s="44">
        <f>100-(S$435-Tabell2[[#This Row],[Inntekt-T]])*100/S$438</f>
        <v>45.486677542142466</v>
      </c>
      <c r="AC272" s="44">
        <f>Tabell2[[#This Row],[NIBR11-I]]*Vekter!$B$3</f>
        <v>12</v>
      </c>
      <c r="AD272" s="44">
        <f>Tabell2[[#This Row],[ReisetidOslo-I]]*Vekter!$C$3</f>
        <v>2.3067518917356056</v>
      </c>
      <c r="AE272" s="44">
        <f>Tabell2[[#This Row],[Beftettotal-I]]*Vekter!$E$4</f>
        <v>0.32660042314314097</v>
      </c>
      <c r="AF272" s="44">
        <f>Tabell2[[#This Row],[Befvekst10-I]]*Vekter!$F$3</f>
        <v>6.1748292043808597</v>
      </c>
      <c r="AG272" s="44">
        <f>Tabell2[[#This Row],[Kvinneandel-I]]*Vekter!$G$3</f>
        <v>1.9299913149696506</v>
      </c>
      <c r="AH272" s="44">
        <f>Tabell2[[#This Row],[Eldreandel-I]]*Vekter!$H$3</f>
        <v>1.0046902621681135</v>
      </c>
      <c r="AI272" s="44">
        <f>Tabell2[[#This Row],[Sysselsettingsvekst10-I]]*Vekter!$I$3</f>
        <v>1.4116033228486913</v>
      </c>
      <c r="AJ272" s="44">
        <f>Tabell2[[#This Row],[Yrkesaktivandel-I]]*Vekter!$K$3</f>
        <v>10</v>
      </c>
      <c r="AK272" s="44">
        <f>Tabell2[[#This Row],[Inntekt-I]]*Vekter!$M$3</f>
        <v>4.5486677542142466</v>
      </c>
      <c r="AL27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39.703134173460313</v>
      </c>
    </row>
    <row r="273" spans="1:38" s="38" customFormat="1" ht="12.75">
      <c r="A273" s="42" t="s">
        <v>271</v>
      </c>
      <c r="B273" s="38">
        <f>'Rådata-K'!Q273</f>
        <v>4</v>
      </c>
      <c r="C273" s="44">
        <f>'Rådata-K'!P273</f>
        <v>213.5395451352</v>
      </c>
      <c r="D273" s="41">
        <f>'Rådata-K'!R273</f>
        <v>4.1528373674411077</v>
      </c>
      <c r="E273" s="41">
        <f>'Rådata-K'!S273</f>
        <v>1.953125E-3</v>
      </c>
      <c r="F273" s="41">
        <f>'Rådata-K'!T273</f>
        <v>0.11013645224171539</v>
      </c>
      <c r="G273" s="41">
        <f>'Rådata-K'!U273</f>
        <v>0.16276803118908381</v>
      </c>
      <c r="H273" s="41">
        <f>'Rådata-K'!V273</f>
        <v>-0.12820512820512819</v>
      </c>
      <c r="I273" s="41">
        <f>'Rådata-K'!W273</f>
        <v>0.93321616871704749</v>
      </c>
      <c r="J273" s="41">
        <f>'Rådata-K'!O273</f>
        <v>308000</v>
      </c>
      <c r="K273" s="41">
        <f>Tabell2[[#This Row],[NIBR11]]</f>
        <v>4</v>
      </c>
      <c r="L273" s="41">
        <f>IF(Tabell2[[#This Row],[ReisetidOslo]]&lt;=C$433,C$433,IF(Tabell2[[#This Row],[ReisetidOslo]]&gt;=C$434,C$434,Tabell2[[#This Row],[ReisetidOslo]]))</f>
        <v>213.5395451352</v>
      </c>
      <c r="M273" s="41">
        <f>IF(Tabell2[[#This Row],[Beftettotal]]&lt;=D$433,D$433,IF(Tabell2[[#This Row],[Beftettotal]]&gt;=D$434,D$434,Tabell2[[#This Row],[Beftettotal]]))</f>
        <v>4.1528373674411077</v>
      </c>
      <c r="N273" s="41">
        <f>IF(Tabell2[[#This Row],[Befvekst10]]&lt;=E$433,E$433,IF(Tabell2[[#This Row],[Befvekst10]]&gt;=E$434,E$434,Tabell2[[#This Row],[Befvekst10]]))</f>
        <v>1.953125E-3</v>
      </c>
      <c r="O273" s="41">
        <f>IF(Tabell2[[#This Row],[Kvinneandel]]&lt;=F$433,F$433,IF(Tabell2[[#This Row],[Kvinneandel]]&gt;=F$434,F$434,Tabell2[[#This Row],[Kvinneandel]]))</f>
        <v>0.11013645224171539</v>
      </c>
      <c r="P273" s="41">
        <f>IF(Tabell2[[#This Row],[Eldreandel]]&lt;=G$433,G$433,IF(Tabell2[[#This Row],[Eldreandel]]&gt;=G$434,G$434,Tabell2[[#This Row],[Eldreandel]]))</f>
        <v>0.16276803118908381</v>
      </c>
      <c r="Q273" s="41">
        <f>IF(Tabell2[[#This Row],[Sysselsettingsvekst10]]&lt;=H$433,H$433,IF(Tabell2[[#This Row],[Sysselsettingsvekst10]]&gt;=H$434,H$434,Tabell2[[#This Row],[Sysselsettingsvekst10]]))</f>
        <v>-9.2168803558721979E-2</v>
      </c>
      <c r="R273" s="41">
        <f>IF(Tabell2[[#This Row],[Yrkesaktivandel]]&lt;=I$433,I$433,IF(Tabell2[[#This Row],[Yrkesaktivandel]]&gt;=I$434,I$434,Tabell2[[#This Row],[Yrkesaktivandel]]))</f>
        <v>0.93321616871704749</v>
      </c>
      <c r="S273" s="41">
        <f>IF(Tabell2[[#This Row],[Inntekt]]&lt;=J$433,J$433,IF(Tabell2[[#This Row],[Inntekt]]&gt;=J$434,J$434,Tabell2[[#This Row],[Inntekt]]))</f>
        <v>308000</v>
      </c>
      <c r="T273" s="44">
        <f>IF(Tabell2[[#This Row],[NIBR11-T]]&lt;=K$436,100,IF(Tabell2[[#This Row],[NIBR11-T]]&gt;=K$435,0,100*(K$435-Tabell2[[#This Row],[NIBR11-T]])/K$438))</f>
        <v>70</v>
      </c>
      <c r="U273" s="44">
        <f>(L$435-Tabell2[[#This Row],[ReisetidOslo-T]])*100/L$438</f>
        <v>29.085880469682063</v>
      </c>
      <c r="V273" s="44">
        <f>100-(M$435-Tabell2[[#This Row],[Beftettotal-T]])*100/M$438</f>
        <v>2.3166455835471425</v>
      </c>
      <c r="W273" s="44">
        <f>100-(N$435-Tabell2[[#This Row],[Befvekst10-T]])*100/N$438</f>
        <v>38.838045602041099</v>
      </c>
      <c r="X273" s="44">
        <f>100-(O$435-Tabell2[[#This Row],[Kvinneandel-T]])*100/O$438</f>
        <v>50.401901971743847</v>
      </c>
      <c r="Y273" s="44">
        <f>(P$435-Tabell2[[#This Row],[Eldreandel-T]])*100/P$438</f>
        <v>42.593145488576418</v>
      </c>
      <c r="Z273" s="44">
        <f>100-(Q$435-Tabell2[[#This Row],[Sysselsettingsvekst10-T]])*100/Q$438</f>
        <v>0</v>
      </c>
      <c r="AA273" s="44">
        <f>100-(R$435-Tabell2[[#This Row],[Yrkesaktivandel-T]])*100/R$438</f>
        <v>79.74620385931162</v>
      </c>
      <c r="AB273" s="44">
        <f>100-(S$435-Tabell2[[#This Row],[Inntekt-T]])*100/S$438</f>
        <v>21.560630777596515</v>
      </c>
      <c r="AC273" s="44">
        <f>Tabell2[[#This Row],[NIBR11-I]]*Vekter!$B$3</f>
        <v>14</v>
      </c>
      <c r="AD273" s="44">
        <f>Tabell2[[#This Row],[ReisetidOslo-I]]*Vekter!$C$3</f>
        <v>2.9085880469682066</v>
      </c>
      <c r="AE273" s="44">
        <f>Tabell2[[#This Row],[Beftettotal-I]]*Vekter!$E$4</f>
        <v>0.23166455835471425</v>
      </c>
      <c r="AF273" s="44">
        <f>Tabell2[[#This Row],[Befvekst10-I]]*Vekter!$F$3</f>
        <v>7.7676091204082205</v>
      </c>
      <c r="AG273" s="44">
        <f>Tabell2[[#This Row],[Kvinneandel-I]]*Vekter!$G$3</f>
        <v>2.5200950985871926</v>
      </c>
      <c r="AH273" s="44">
        <f>Tabell2[[#This Row],[Eldreandel-I]]*Vekter!$H$3</f>
        <v>2.1296572744288209</v>
      </c>
      <c r="AI273" s="44">
        <f>Tabell2[[#This Row],[Sysselsettingsvekst10-I]]*Vekter!$I$3</f>
        <v>0</v>
      </c>
      <c r="AJ273" s="44">
        <f>Tabell2[[#This Row],[Yrkesaktivandel-I]]*Vekter!$K$3</f>
        <v>7.9746203859311624</v>
      </c>
      <c r="AK273" s="44">
        <f>Tabell2[[#This Row],[Inntekt-I]]*Vekter!$M$3</f>
        <v>2.1560630777596517</v>
      </c>
      <c r="AL27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39.688297562437967</v>
      </c>
    </row>
    <row r="274" spans="1:38" s="38" customFormat="1" ht="12.75">
      <c r="A274" s="42" t="s">
        <v>272</v>
      </c>
      <c r="B274" s="38">
        <f>'Rådata-K'!Q274</f>
        <v>4</v>
      </c>
      <c r="C274" s="44">
        <f>'Rådata-K'!P274</f>
        <v>199.1282133032</v>
      </c>
      <c r="D274" s="41">
        <f>'Rådata-K'!R274</f>
        <v>22.691339748334567</v>
      </c>
      <c r="E274" s="41">
        <f>'Rådata-K'!S274</f>
        <v>2.9277464410421672E-2</v>
      </c>
      <c r="F274" s="41">
        <f>'Rådata-K'!T274</f>
        <v>0.11664926931106472</v>
      </c>
      <c r="G274" s="41">
        <f>'Rådata-K'!U274</f>
        <v>0.13987473903966596</v>
      </c>
      <c r="H274" s="41">
        <f>'Rådata-K'!V274</f>
        <v>1.0567010309278313E-2</v>
      </c>
      <c r="I274" s="41">
        <f>'Rådata-K'!W274</f>
        <v>0.94748858447488582</v>
      </c>
      <c r="J274" s="41">
        <f>'Rådata-K'!O274</f>
        <v>336200</v>
      </c>
      <c r="K274" s="41">
        <f>Tabell2[[#This Row],[NIBR11]]</f>
        <v>4</v>
      </c>
      <c r="L274" s="41">
        <f>IF(Tabell2[[#This Row],[ReisetidOslo]]&lt;=C$433,C$433,IF(Tabell2[[#This Row],[ReisetidOslo]]&gt;=C$434,C$434,Tabell2[[#This Row],[ReisetidOslo]]))</f>
        <v>199.1282133032</v>
      </c>
      <c r="M274" s="41">
        <f>IF(Tabell2[[#This Row],[Beftettotal]]&lt;=D$433,D$433,IF(Tabell2[[#This Row],[Beftettotal]]&gt;=D$434,D$434,Tabell2[[#This Row],[Beftettotal]]))</f>
        <v>22.691339748334567</v>
      </c>
      <c r="N274" s="41">
        <f>IF(Tabell2[[#This Row],[Befvekst10]]&lt;=E$433,E$433,IF(Tabell2[[#This Row],[Befvekst10]]&gt;=E$434,E$434,Tabell2[[#This Row],[Befvekst10]]))</f>
        <v>2.9277464410421672E-2</v>
      </c>
      <c r="O274" s="41">
        <f>IF(Tabell2[[#This Row],[Kvinneandel]]&lt;=F$433,F$433,IF(Tabell2[[#This Row],[Kvinneandel]]&gt;=F$434,F$434,Tabell2[[#This Row],[Kvinneandel]]))</f>
        <v>0.11664926931106472</v>
      </c>
      <c r="P274" s="41">
        <f>IF(Tabell2[[#This Row],[Eldreandel]]&lt;=G$433,G$433,IF(Tabell2[[#This Row],[Eldreandel]]&gt;=G$434,G$434,Tabell2[[#This Row],[Eldreandel]]))</f>
        <v>0.13987473903966596</v>
      </c>
      <c r="Q274" s="41">
        <f>IF(Tabell2[[#This Row],[Sysselsettingsvekst10]]&lt;=H$433,H$433,IF(Tabell2[[#This Row],[Sysselsettingsvekst10]]&gt;=H$434,H$434,Tabell2[[#This Row],[Sysselsettingsvekst10]]))</f>
        <v>1.0567010309278313E-2</v>
      </c>
      <c r="R274" s="41">
        <f>IF(Tabell2[[#This Row],[Yrkesaktivandel]]&lt;=I$433,I$433,IF(Tabell2[[#This Row],[Yrkesaktivandel]]&gt;=I$434,I$434,Tabell2[[#This Row],[Yrkesaktivandel]]))</f>
        <v>0.94748858447488582</v>
      </c>
      <c r="S274" s="41">
        <f>IF(Tabell2[[#This Row],[Inntekt]]&lt;=J$433,J$433,IF(Tabell2[[#This Row],[Inntekt]]&gt;=J$434,J$434,Tabell2[[#This Row],[Inntekt]]))</f>
        <v>336200</v>
      </c>
      <c r="T274" s="44">
        <f>IF(Tabell2[[#This Row],[NIBR11-T]]&lt;=K$436,100,IF(Tabell2[[#This Row],[NIBR11-T]]&gt;=K$435,0,100*(K$435-Tabell2[[#This Row],[NIBR11-T]])/K$438))</f>
        <v>70</v>
      </c>
      <c r="U274" s="44">
        <f>(L$435-Tabell2[[#This Row],[ReisetidOslo-T]])*100/L$438</f>
        <v>35.483799765857775</v>
      </c>
      <c r="V274" s="44">
        <f>100-(M$435-Tabell2[[#This Row],[Beftettotal-T]])*100/M$438</f>
        <v>17.481266825447705</v>
      </c>
      <c r="W274" s="44">
        <f>100-(N$435-Tabell2[[#This Row],[Befvekst10-T]])*100/N$438</f>
        <v>50.142531332028518</v>
      </c>
      <c r="X274" s="44">
        <f>100-(O$435-Tabell2[[#This Row],[Kvinneandel-T]])*100/O$438</f>
        <v>68.223972649243279</v>
      </c>
      <c r="Y274" s="44">
        <f>(P$435-Tabell2[[#This Row],[Eldreandel-T]])*100/P$438</f>
        <v>69.547608119897831</v>
      </c>
      <c r="Z274" s="44">
        <f>100-(Q$435-Tabell2[[#This Row],[Sysselsettingsvekst10-T]])*100/Q$438</f>
        <v>30.206083922317205</v>
      </c>
      <c r="AA274" s="44">
        <f>100-(R$435-Tabell2[[#This Row],[Yrkesaktivandel-T]])*100/R$438</f>
        <v>90.40458146982246</v>
      </c>
      <c r="AB274" s="44">
        <f>100-(S$435-Tabell2[[#This Row],[Inntekt-T]])*100/S$438</f>
        <v>59.896682979880367</v>
      </c>
      <c r="AC274" s="44">
        <f>Tabell2[[#This Row],[NIBR11-I]]*Vekter!$B$3</f>
        <v>14</v>
      </c>
      <c r="AD274" s="44">
        <f>Tabell2[[#This Row],[ReisetidOslo-I]]*Vekter!$C$3</f>
        <v>3.5483799765857778</v>
      </c>
      <c r="AE274" s="44">
        <f>Tabell2[[#This Row],[Beftettotal-I]]*Vekter!$E$4</f>
        <v>1.7481266825447705</v>
      </c>
      <c r="AF274" s="44">
        <f>Tabell2[[#This Row],[Befvekst10-I]]*Vekter!$F$3</f>
        <v>10.028506266405705</v>
      </c>
      <c r="AG274" s="44">
        <f>Tabell2[[#This Row],[Kvinneandel-I]]*Vekter!$G$3</f>
        <v>3.4111986324621641</v>
      </c>
      <c r="AH274" s="44">
        <f>Tabell2[[#This Row],[Eldreandel-I]]*Vekter!$H$3</f>
        <v>3.4773804059948916</v>
      </c>
      <c r="AI274" s="44">
        <f>Tabell2[[#This Row],[Sysselsettingsvekst10-I]]*Vekter!$I$3</f>
        <v>3.0206083922317206</v>
      </c>
      <c r="AJ274" s="44">
        <f>Tabell2[[#This Row],[Yrkesaktivandel-I]]*Vekter!$K$3</f>
        <v>9.040458146982246</v>
      </c>
      <c r="AK274" s="44">
        <f>Tabell2[[#This Row],[Inntekt-I]]*Vekter!$M$3</f>
        <v>5.9896682979880369</v>
      </c>
      <c r="AL27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54.264326801195324</v>
      </c>
    </row>
    <row r="275" spans="1:38" s="38" customFormat="1" ht="12.75">
      <c r="A275" s="42" t="s">
        <v>273</v>
      </c>
      <c r="B275" s="38">
        <f>'Rådata-K'!Q275</f>
        <v>4</v>
      </c>
      <c r="C275" s="44">
        <f>'Rådata-K'!P275</f>
        <v>186.05373095760001</v>
      </c>
      <c r="D275" s="41">
        <f>'Rådata-K'!R275</f>
        <v>34.785500498836051</v>
      </c>
      <c r="E275" s="41">
        <f>'Rådata-K'!S275</f>
        <v>0.17198879551820734</v>
      </c>
      <c r="F275" s="41">
        <f>'Rådata-K'!T275</f>
        <v>0.12308795411089866</v>
      </c>
      <c r="G275" s="41">
        <f>'Rådata-K'!U275</f>
        <v>0.10540152963671127</v>
      </c>
      <c r="H275" s="41">
        <f>'Rådata-K'!V275</f>
        <v>9.1896407685881476E-2</v>
      </c>
      <c r="I275" s="41">
        <f>'Rådata-K'!W275</f>
        <v>0.89271089271089266</v>
      </c>
      <c r="J275" s="41">
        <f>'Rådata-K'!O275</f>
        <v>388100</v>
      </c>
      <c r="K275" s="41">
        <f>Tabell2[[#This Row],[NIBR11]]</f>
        <v>4</v>
      </c>
      <c r="L275" s="41">
        <f>IF(Tabell2[[#This Row],[ReisetidOslo]]&lt;=C$433,C$433,IF(Tabell2[[#This Row],[ReisetidOslo]]&gt;=C$434,C$434,Tabell2[[#This Row],[ReisetidOslo]]))</f>
        <v>186.05373095760001</v>
      </c>
      <c r="M275" s="41">
        <f>IF(Tabell2[[#This Row],[Beftettotal]]&lt;=D$433,D$433,IF(Tabell2[[#This Row],[Beftettotal]]&gt;=D$434,D$434,Tabell2[[#This Row],[Beftettotal]]))</f>
        <v>34.785500498836051</v>
      </c>
      <c r="N275" s="41">
        <f>IF(Tabell2[[#This Row],[Befvekst10]]&lt;=E$433,E$433,IF(Tabell2[[#This Row],[Befvekst10]]&gt;=E$434,E$434,Tabell2[[#This Row],[Befvekst10]]))</f>
        <v>0.149789129298837</v>
      </c>
      <c r="O275" s="41">
        <f>IF(Tabell2[[#This Row],[Kvinneandel]]&lt;=F$433,F$433,IF(Tabell2[[#This Row],[Kvinneandel]]&gt;=F$434,F$434,Tabell2[[#This Row],[Kvinneandel]]))</f>
        <v>0.12308795411089866</v>
      </c>
      <c r="P275" s="41">
        <f>IF(Tabell2[[#This Row],[Eldreandel]]&lt;=G$433,G$433,IF(Tabell2[[#This Row],[Eldreandel]]&gt;=G$434,G$434,Tabell2[[#This Row],[Eldreandel]]))</f>
        <v>0.11401054306234992</v>
      </c>
      <c r="Q275" s="41">
        <f>IF(Tabell2[[#This Row],[Sysselsettingsvekst10]]&lt;=H$433,H$433,IF(Tabell2[[#This Row],[Sysselsettingsvekst10]]&gt;=H$434,H$434,Tabell2[[#This Row],[Sysselsettingsvekst10]]))</f>
        <v>9.1896407685881476E-2</v>
      </c>
      <c r="R275" s="41">
        <f>IF(Tabell2[[#This Row],[Yrkesaktivandel]]&lt;=I$433,I$433,IF(Tabell2[[#This Row],[Yrkesaktivandel]]&gt;=I$434,I$434,Tabell2[[#This Row],[Yrkesaktivandel]]))</f>
        <v>0.89271089271089266</v>
      </c>
      <c r="S275" s="41">
        <f>IF(Tabell2[[#This Row],[Inntekt]]&lt;=J$433,J$433,IF(Tabell2[[#This Row],[Inntekt]]&gt;=J$434,J$434,Tabell2[[#This Row],[Inntekt]]))</f>
        <v>365700</v>
      </c>
      <c r="T275" s="44">
        <f>IF(Tabell2[[#This Row],[NIBR11-T]]&lt;=K$436,100,IF(Tabell2[[#This Row],[NIBR11-T]]&gt;=K$435,0,100*(K$435-Tabell2[[#This Row],[NIBR11-T]])/K$438))</f>
        <v>70</v>
      </c>
      <c r="U275" s="44">
        <f>(L$435-Tabell2[[#This Row],[ReisetidOslo-T]])*100/L$438</f>
        <v>41.288223941330664</v>
      </c>
      <c r="V275" s="44">
        <f>100-(M$435-Tabell2[[#This Row],[Beftettotal-T]])*100/M$438</f>
        <v>27.374372711338353</v>
      </c>
      <c r="W275" s="44">
        <f>100-(N$435-Tabell2[[#This Row],[Befvekst10-T]])*100/N$438</f>
        <v>100</v>
      </c>
      <c r="X275" s="44">
        <f>100-(O$435-Tabell2[[#This Row],[Kvinneandel-T]])*100/O$438</f>
        <v>85.843183253640973</v>
      </c>
      <c r="Y275" s="44">
        <f>(P$435-Tabell2[[#This Row],[Eldreandel-T]])*100/P$438</f>
        <v>100</v>
      </c>
      <c r="Z275" s="44">
        <f>100-(Q$435-Tabell2[[#This Row],[Sysselsettingsvekst10-T]])*100/Q$438</f>
        <v>54.118315791775792</v>
      </c>
      <c r="AA275" s="44">
        <f>100-(R$435-Tabell2[[#This Row],[Yrkesaktivandel-T]])*100/R$438</f>
        <v>49.497608651842008</v>
      </c>
      <c r="AB275" s="44">
        <f>100-(S$435-Tabell2[[#This Row],[Inntekt-T]])*100/S$438</f>
        <v>100</v>
      </c>
      <c r="AC275" s="44">
        <f>Tabell2[[#This Row],[NIBR11-I]]*Vekter!$B$3</f>
        <v>14</v>
      </c>
      <c r="AD275" s="44">
        <f>Tabell2[[#This Row],[ReisetidOslo-I]]*Vekter!$C$3</f>
        <v>4.1288223941330662</v>
      </c>
      <c r="AE275" s="44">
        <f>Tabell2[[#This Row],[Beftettotal-I]]*Vekter!$E$4</f>
        <v>2.7374372711338353</v>
      </c>
      <c r="AF275" s="44">
        <f>Tabell2[[#This Row],[Befvekst10-I]]*Vekter!$F$3</f>
        <v>20</v>
      </c>
      <c r="AG275" s="44">
        <f>Tabell2[[#This Row],[Kvinneandel-I]]*Vekter!$G$3</f>
        <v>4.292159162682049</v>
      </c>
      <c r="AH275" s="44">
        <f>Tabell2[[#This Row],[Eldreandel-I]]*Vekter!$H$3</f>
        <v>5</v>
      </c>
      <c r="AI275" s="44">
        <f>Tabell2[[#This Row],[Sysselsettingsvekst10-I]]*Vekter!$I$3</f>
        <v>5.41183157917758</v>
      </c>
      <c r="AJ275" s="44">
        <f>Tabell2[[#This Row],[Yrkesaktivandel-I]]*Vekter!$K$3</f>
        <v>4.9497608651842011</v>
      </c>
      <c r="AK275" s="44">
        <f>Tabell2[[#This Row],[Inntekt-I]]*Vekter!$M$3</f>
        <v>10</v>
      </c>
      <c r="AL27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70.52001127231074</v>
      </c>
    </row>
    <row r="276" spans="1:38" s="38" customFormat="1" ht="12.75">
      <c r="A276" s="42" t="s">
        <v>274</v>
      </c>
      <c r="B276" s="38">
        <f>'Rådata-K'!Q276</f>
        <v>4</v>
      </c>
      <c r="C276" s="44">
        <f>'Rådata-K'!P276</f>
        <v>188.77297840750001</v>
      </c>
      <c r="D276" s="41">
        <f>'Rådata-K'!R276</f>
        <v>140.59945504087193</v>
      </c>
      <c r="E276" s="41">
        <f>'Rådata-K'!S276</f>
        <v>0.141908713692946</v>
      </c>
      <c r="F276" s="41">
        <f>'Rådata-K'!T276</f>
        <v>0.12681686046511628</v>
      </c>
      <c r="G276" s="41">
        <f>'Rådata-K'!U276</f>
        <v>0.13178294573643412</v>
      </c>
      <c r="H276" s="41">
        <f>'Rådata-K'!V276</f>
        <v>-3.0357788218286941E-2</v>
      </c>
      <c r="I276" s="41">
        <f>'Rådata-K'!W276</f>
        <v>0.9323116219667944</v>
      </c>
      <c r="J276" s="41">
        <f>'Rådata-K'!O276</f>
        <v>337100</v>
      </c>
      <c r="K276" s="41">
        <f>Tabell2[[#This Row],[NIBR11]]</f>
        <v>4</v>
      </c>
      <c r="L276" s="41">
        <f>IF(Tabell2[[#This Row],[ReisetidOslo]]&lt;=C$433,C$433,IF(Tabell2[[#This Row],[ReisetidOslo]]&gt;=C$434,C$434,Tabell2[[#This Row],[ReisetidOslo]]))</f>
        <v>188.77297840750001</v>
      </c>
      <c r="M276" s="41">
        <f>IF(Tabell2[[#This Row],[Beftettotal]]&lt;=D$433,D$433,IF(Tabell2[[#This Row],[Beftettotal]]&gt;=D$434,D$434,Tabell2[[#This Row],[Beftettotal]]))</f>
        <v>123.5691465212405</v>
      </c>
      <c r="N276" s="41">
        <f>IF(Tabell2[[#This Row],[Befvekst10]]&lt;=E$433,E$433,IF(Tabell2[[#This Row],[Befvekst10]]&gt;=E$434,E$434,Tabell2[[#This Row],[Befvekst10]]))</f>
        <v>0.141908713692946</v>
      </c>
      <c r="O276" s="41">
        <f>IF(Tabell2[[#This Row],[Kvinneandel]]&lt;=F$433,F$433,IF(Tabell2[[#This Row],[Kvinneandel]]&gt;=F$434,F$434,Tabell2[[#This Row],[Kvinneandel]]))</f>
        <v>0.12681686046511628</v>
      </c>
      <c r="P276" s="41">
        <f>IF(Tabell2[[#This Row],[Eldreandel]]&lt;=G$433,G$433,IF(Tabell2[[#This Row],[Eldreandel]]&gt;=G$434,G$434,Tabell2[[#This Row],[Eldreandel]]))</f>
        <v>0.13178294573643412</v>
      </c>
      <c r="Q276" s="41">
        <f>IF(Tabell2[[#This Row],[Sysselsettingsvekst10]]&lt;=H$433,H$433,IF(Tabell2[[#This Row],[Sysselsettingsvekst10]]&gt;=H$434,H$434,Tabell2[[#This Row],[Sysselsettingsvekst10]]))</f>
        <v>-3.0357788218286941E-2</v>
      </c>
      <c r="R276" s="41">
        <f>IF(Tabell2[[#This Row],[Yrkesaktivandel]]&lt;=I$433,I$433,IF(Tabell2[[#This Row],[Yrkesaktivandel]]&gt;=I$434,I$434,Tabell2[[#This Row],[Yrkesaktivandel]]))</f>
        <v>0.9323116219667944</v>
      </c>
      <c r="S276" s="41">
        <f>IF(Tabell2[[#This Row],[Inntekt]]&lt;=J$433,J$433,IF(Tabell2[[#This Row],[Inntekt]]&gt;=J$434,J$434,Tabell2[[#This Row],[Inntekt]]))</f>
        <v>337100</v>
      </c>
      <c r="T276" s="44">
        <f>IF(Tabell2[[#This Row],[NIBR11-T]]&lt;=K$436,100,IF(Tabell2[[#This Row],[NIBR11-T]]&gt;=K$435,0,100*(K$435-Tabell2[[#This Row],[NIBR11-T]])/K$438))</f>
        <v>70</v>
      </c>
      <c r="U276" s="44">
        <f>(L$435-Tabell2[[#This Row],[ReisetidOslo-T]])*100/L$438</f>
        <v>40.081012426558587</v>
      </c>
      <c r="V276" s="44">
        <f>100-(M$435-Tabell2[[#This Row],[Beftettotal-T]])*100/M$438</f>
        <v>100</v>
      </c>
      <c r="W276" s="44">
        <f>100-(N$435-Tabell2[[#This Row],[Befvekst10-T]])*100/N$438</f>
        <v>96.739754823526027</v>
      </c>
      <c r="X276" s="44">
        <f>100-(O$435-Tabell2[[#This Row],[Kvinneandel-T]])*100/O$438</f>
        <v>96.047190503806632</v>
      </c>
      <c r="Y276" s="44">
        <f>(P$435-Tabell2[[#This Row],[Eldreandel-T]])*100/P$438</f>
        <v>79.074850370108052</v>
      </c>
      <c r="Z276" s="44">
        <f>100-(Q$435-Tabell2[[#This Row],[Sysselsettingsvekst10-T]])*100/Q$438</f>
        <v>18.173494192548191</v>
      </c>
      <c r="AA276" s="44">
        <f>100-(R$435-Tabell2[[#This Row],[Yrkesaktivandel-T]])*100/R$438</f>
        <v>79.070704981326443</v>
      </c>
      <c r="AB276" s="44">
        <f>100-(S$435-Tabell2[[#This Row],[Inntekt-T]])*100/S$438</f>
        <v>61.120174007612832</v>
      </c>
      <c r="AC276" s="44">
        <f>Tabell2[[#This Row],[NIBR11-I]]*Vekter!$B$3</f>
        <v>14</v>
      </c>
      <c r="AD276" s="44">
        <f>Tabell2[[#This Row],[ReisetidOslo-I]]*Vekter!$C$3</f>
        <v>4.0081012426558589</v>
      </c>
      <c r="AE276" s="44">
        <f>Tabell2[[#This Row],[Beftettotal-I]]*Vekter!$E$4</f>
        <v>10</v>
      </c>
      <c r="AF276" s="44">
        <f>Tabell2[[#This Row],[Befvekst10-I]]*Vekter!$F$3</f>
        <v>19.347950964705205</v>
      </c>
      <c r="AG276" s="44">
        <f>Tabell2[[#This Row],[Kvinneandel-I]]*Vekter!$G$3</f>
        <v>4.8023595251903322</v>
      </c>
      <c r="AH276" s="44">
        <f>Tabell2[[#This Row],[Eldreandel-I]]*Vekter!$H$3</f>
        <v>3.9537425185054027</v>
      </c>
      <c r="AI276" s="44">
        <f>Tabell2[[#This Row],[Sysselsettingsvekst10-I]]*Vekter!$I$3</f>
        <v>1.8173494192548192</v>
      </c>
      <c r="AJ276" s="44">
        <f>Tabell2[[#This Row],[Yrkesaktivandel-I]]*Vekter!$K$3</f>
        <v>7.9070704981326445</v>
      </c>
      <c r="AK276" s="44">
        <f>Tabell2[[#This Row],[Inntekt-I]]*Vekter!$M$3</f>
        <v>6.1120174007612835</v>
      </c>
      <c r="AL27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71.948591569205547</v>
      </c>
    </row>
    <row r="277" spans="1:38" s="38" customFormat="1" ht="12.75">
      <c r="A277" s="42" t="s">
        <v>275</v>
      </c>
      <c r="B277" s="38">
        <f>'Rådata-K'!Q277</f>
        <v>4</v>
      </c>
      <c r="C277" s="44">
        <f>'Rådata-K'!P277</f>
        <v>157.29413837288001</v>
      </c>
      <c r="D277" s="41">
        <f>'Rådata-K'!R277</f>
        <v>181.93580492659868</v>
      </c>
      <c r="E277" s="41">
        <f>'Rådata-K'!S277</f>
        <v>0.13558005901537507</v>
      </c>
      <c r="F277" s="41">
        <f>'Rådata-K'!T277</f>
        <v>0.12035010940919037</v>
      </c>
      <c r="G277" s="41">
        <f>'Rådata-K'!U277</f>
        <v>0.12623085339168491</v>
      </c>
      <c r="H277" s="41">
        <f>'Rådata-K'!V277</f>
        <v>1.4913007456503813E-2</v>
      </c>
      <c r="I277" s="41">
        <f>'Rådata-K'!W277</f>
        <v>0.931396484375</v>
      </c>
      <c r="J277" s="41">
        <f>'Rådata-K'!O277</f>
        <v>356100</v>
      </c>
      <c r="K277" s="41">
        <f>Tabell2[[#This Row],[NIBR11]]</f>
        <v>4</v>
      </c>
      <c r="L277" s="41">
        <f>IF(Tabell2[[#This Row],[ReisetidOslo]]&lt;=C$433,C$433,IF(Tabell2[[#This Row],[ReisetidOslo]]&gt;=C$434,C$434,Tabell2[[#This Row],[ReisetidOslo]]))</f>
        <v>157.29413837288001</v>
      </c>
      <c r="M277" s="41">
        <f>IF(Tabell2[[#This Row],[Beftettotal]]&lt;=D$433,D$433,IF(Tabell2[[#This Row],[Beftettotal]]&gt;=D$434,D$434,Tabell2[[#This Row],[Beftettotal]]))</f>
        <v>123.5691465212405</v>
      </c>
      <c r="N277" s="41">
        <f>IF(Tabell2[[#This Row],[Befvekst10]]&lt;=E$433,E$433,IF(Tabell2[[#This Row],[Befvekst10]]&gt;=E$434,E$434,Tabell2[[#This Row],[Befvekst10]]))</f>
        <v>0.13558005901537507</v>
      </c>
      <c r="O277" s="41">
        <f>IF(Tabell2[[#This Row],[Kvinneandel]]&lt;=F$433,F$433,IF(Tabell2[[#This Row],[Kvinneandel]]&gt;=F$434,F$434,Tabell2[[#This Row],[Kvinneandel]]))</f>
        <v>0.12035010940919037</v>
      </c>
      <c r="P277" s="41">
        <f>IF(Tabell2[[#This Row],[Eldreandel]]&lt;=G$433,G$433,IF(Tabell2[[#This Row],[Eldreandel]]&gt;=G$434,G$434,Tabell2[[#This Row],[Eldreandel]]))</f>
        <v>0.12623085339168491</v>
      </c>
      <c r="Q277" s="41">
        <f>IF(Tabell2[[#This Row],[Sysselsettingsvekst10]]&lt;=H$433,H$433,IF(Tabell2[[#This Row],[Sysselsettingsvekst10]]&gt;=H$434,H$434,Tabell2[[#This Row],[Sysselsettingsvekst10]]))</f>
        <v>1.4913007456503813E-2</v>
      </c>
      <c r="R277" s="41">
        <f>IF(Tabell2[[#This Row],[Yrkesaktivandel]]&lt;=I$433,I$433,IF(Tabell2[[#This Row],[Yrkesaktivandel]]&gt;=I$434,I$434,Tabell2[[#This Row],[Yrkesaktivandel]]))</f>
        <v>0.931396484375</v>
      </c>
      <c r="S277" s="41">
        <f>IF(Tabell2[[#This Row],[Inntekt]]&lt;=J$433,J$433,IF(Tabell2[[#This Row],[Inntekt]]&gt;=J$434,J$434,Tabell2[[#This Row],[Inntekt]]))</f>
        <v>356100</v>
      </c>
      <c r="T277" s="44">
        <f>IF(Tabell2[[#This Row],[NIBR11-T]]&lt;=K$436,100,IF(Tabell2[[#This Row],[NIBR11-T]]&gt;=K$435,0,100*(K$435-Tabell2[[#This Row],[NIBR11-T]])/K$438))</f>
        <v>70</v>
      </c>
      <c r="U277" s="44">
        <f>(L$435-Tabell2[[#This Row],[ReisetidOslo-T]])*100/L$438</f>
        <v>54.056062090707044</v>
      </c>
      <c r="V277" s="44">
        <f>100-(M$435-Tabell2[[#This Row],[Beftettotal-T]])*100/M$438</f>
        <v>100</v>
      </c>
      <c r="W277" s="44">
        <f>100-(N$435-Tabell2[[#This Row],[Befvekst10-T]])*100/N$438</f>
        <v>94.121496229309756</v>
      </c>
      <c r="X277" s="44">
        <f>100-(O$435-Tabell2[[#This Row],[Kvinneandel-T]])*100/O$438</f>
        <v>78.351177680891581</v>
      </c>
      <c r="Y277" s="44">
        <f>(P$435-Tabell2[[#This Row],[Eldreandel-T]])*100/P$438</f>
        <v>85.611859755016184</v>
      </c>
      <c r="Z277" s="44">
        <f>100-(Q$435-Tabell2[[#This Row],[Sysselsettingsvekst10-T]])*100/Q$438</f>
        <v>31.483881309739616</v>
      </c>
      <c r="AA277" s="44">
        <f>100-(R$435-Tabell2[[#This Row],[Yrkesaktivandel-T]])*100/R$438</f>
        <v>78.387297057649505</v>
      </c>
      <c r="AB277" s="44">
        <f>100-(S$435-Tabell2[[#This Row],[Inntekt-T]])*100/S$438</f>
        <v>86.949429037520389</v>
      </c>
      <c r="AC277" s="44">
        <f>Tabell2[[#This Row],[NIBR11-I]]*Vekter!$B$3</f>
        <v>14</v>
      </c>
      <c r="AD277" s="44">
        <f>Tabell2[[#This Row],[ReisetidOslo-I]]*Vekter!$C$3</f>
        <v>5.4056062090707044</v>
      </c>
      <c r="AE277" s="44">
        <f>Tabell2[[#This Row],[Beftettotal-I]]*Vekter!$E$4</f>
        <v>10</v>
      </c>
      <c r="AF277" s="44">
        <f>Tabell2[[#This Row],[Befvekst10-I]]*Vekter!$F$3</f>
        <v>18.824299245861951</v>
      </c>
      <c r="AG277" s="44">
        <f>Tabell2[[#This Row],[Kvinneandel-I]]*Vekter!$G$3</f>
        <v>3.9175588840445794</v>
      </c>
      <c r="AH277" s="44">
        <f>Tabell2[[#This Row],[Eldreandel-I]]*Vekter!$H$3</f>
        <v>4.2805929877508095</v>
      </c>
      <c r="AI277" s="44">
        <f>Tabell2[[#This Row],[Sysselsettingsvekst10-I]]*Vekter!$I$3</f>
        <v>3.1483881309739616</v>
      </c>
      <c r="AJ277" s="44">
        <f>Tabell2[[#This Row],[Yrkesaktivandel-I]]*Vekter!$K$3</f>
        <v>7.8387297057649512</v>
      </c>
      <c r="AK277" s="44">
        <f>Tabell2[[#This Row],[Inntekt-I]]*Vekter!$M$3</f>
        <v>8.6949429037520396</v>
      </c>
      <c r="AL27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76.110118067218991</v>
      </c>
    </row>
    <row r="278" spans="1:38" s="38" customFormat="1" ht="12.75">
      <c r="A278" s="42" t="s">
        <v>276</v>
      </c>
      <c r="B278" s="38">
        <f>'Rådata-K'!Q278</f>
        <v>4</v>
      </c>
      <c r="C278" s="44">
        <f>'Rådata-K'!P278</f>
        <v>191.7233183299</v>
      </c>
      <c r="D278" s="41">
        <f>'Rådata-K'!R278</f>
        <v>34.434722542021646</v>
      </c>
      <c r="E278" s="41">
        <f>'Rådata-K'!S278</f>
        <v>2.1865391185514227E-2</v>
      </c>
      <c r="F278" s="41">
        <f>'Rådata-K'!T278</f>
        <v>0.1111111111111111</v>
      </c>
      <c r="G278" s="41">
        <f>'Rådata-K'!U278</f>
        <v>0.15602362643486015</v>
      </c>
      <c r="H278" s="41">
        <f>'Rådata-K'!V278</f>
        <v>5.1436851002173434E-2</v>
      </c>
      <c r="I278" s="41">
        <f>'Rådata-K'!W278</f>
        <v>0.90553809897879023</v>
      </c>
      <c r="J278" s="41">
        <f>'Rådata-K'!O278</f>
        <v>344400</v>
      </c>
      <c r="K278" s="41">
        <f>Tabell2[[#This Row],[NIBR11]]</f>
        <v>4</v>
      </c>
      <c r="L278" s="41">
        <f>IF(Tabell2[[#This Row],[ReisetidOslo]]&lt;=C$433,C$433,IF(Tabell2[[#This Row],[ReisetidOslo]]&gt;=C$434,C$434,Tabell2[[#This Row],[ReisetidOslo]]))</f>
        <v>191.7233183299</v>
      </c>
      <c r="M278" s="41">
        <f>IF(Tabell2[[#This Row],[Beftettotal]]&lt;=D$433,D$433,IF(Tabell2[[#This Row],[Beftettotal]]&gt;=D$434,D$434,Tabell2[[#This Row],[Beftettotal]]))</f>
        <v>34.434722542021646</v>
      </c>
      <c r="N278" s="41">
        <f>IF(Tabell2[[#This Row],[Befvekst10]]&lt;=E$433,E$433,IF(Tabell2[[#This Row],[Befvekst10]]&gt;=E$434,E$434,Tabell2[[#This Row],[Befvekst10]]))</f>
        <v>2.1865391185514227E-2</v>
      </c>
      <c r="O278" s="41">
        <f>IF(Tabell2[[#This Row],[Kvinneandel]]&lt;=F$433,F$433,IF(Tabell2[[#This Row],[Kvinneandel]]&gt;=F$434,F$434,Tabell2[[#This Row],[Kvinneandel]]))</f>
        <v>0.1111111111111111</v>
      </c>
      <c r="P278" s="41">
        <f>IF(Tabell2[[#This Row],[Eldreandel]]&lt;=G$433,G$433,IF(Tabell2[[#This Row],[Eldreandel]]&gt;=G$434,G$434,Tabell2[[#This Row],[Eldreandel]]))</f>
        <v>0.15602362643486015</v>
      </c>
      <c r="Q278" s="41">
        <f>IF(Tabell2[[#This Row],[Sysselsettingsvekst10]]&lt;=H$433,H$433,IF(Tabell2[[#This Row],[Sysselsettingsvekst10]]&gt;=H$434,H$434,Tabell2[[#This Row],[Sysselsettingsvekst10]]))</f>
        <v>5.1436851002173434E-2</v>
      </c>
      <c r="R278" s="41">
        <f>IF(Tabell2[[#This Row],[Yrkesaktivandel]]&lt;=I$433,I$433,IF(Tabell2[[#This Row],[Yrkesaktivandel]]&gt;=I$434,I$434,Tabell2[[#This Row],[Yrkesaktivandel]]))</f>
        <v>0.90553809897879023</v>
      </c>
      <c r="S278" s="41">
        <f>IF(Tabell2[[#This Row],[Inntekt]]&lt;=J$433,J$433,IF(Tabell2[[#This Row],[Inntekt]]&gt;=J$434,J$434,Tabell2[[#This Row],[Inntekt]]))</f>
        <v>344400</v>
      </c>
      <c r="T278" s="44">
        <f>IF(Tabell2[[#This Row],[NIBR11-T]]&lt;=K$436,100,IF(Tabell2[[#This Row],[NIBR11-T]]&gt;=K$435,0,100*(K$435-Tabell2[[#This Row],[NIBR11-T]])/K$438))</f>
        <v>70</v>
      </c>
      <c r="U278" s="44">
        <f>(L$435-Tabell2[[#This Row],[ReisetidOslo-T]])*100/L$438</f>
        <v>38.77120727184785</v>
      </c>
      <c r="V278" s="44">
        <f>100-(M$435-Tabell2[[#This Row],[Beftettotal-T]])*100/M$438</f>
        <v>27.08743395297455</v>
      </c>
      <c r="W278" s="44">
        <f>100-(N$435-Tabell2[[#This Row],[Befvekst10-T]])*100/N$438</f>
        <v>47.076046366297554</v>
      </c>
      <c r="X278" s="44">
        <f>100-(O$435-Tabell2[[#This Row],[Kvinneandel-T]])*100/O$438</f>
        <v>53.069018070946299</v>
      </c>
      <c r="Y278" s="44">
        <f>(P$435-Tabell2[[#This Row],[Eldreandel-T]])*100/P$438</f>
        <v>50.53397831994581</v>
      </c>
      <c r="Z278" s="44">
        <f>100-(Q$435-Tabell2[[#This Row],[Sysselsettingsvekst10-T]])*100/Q$438</f>
        <v>42.222515110057557</v>
      </c>
      <c r="AA278" s="44">
        <f>100-(R$435-Tabell2[[#This Row],[Yrkesaktivandel-T]])*100/R$438</f>
        <v>59.076730393449019</v>
      </c>
      <c r="AB278" s="44">
        <f>100-(S$435-Tabell2[[#This Row],[Inntekt-T]])*100/S$438</f>
        <v>71.044045676998365</v>
      </c>
      <c r="AC278" s="44">
        <f>Tabell2[[#This Row],[NIBR11-I]]*Vekter!$B$3</f>
        <v>14</v>
      </c>
      <c r="AD278" s="44">
        <f>Tabell2[[#This Row],[ReisetidOslo-I]]*Vekter!$C$3</f>
        <v>3.877120727184785</v>
      </c>
      <c r="AE278" s="44">
        <f>Tabell2[[#This Row],[Beftettotal-I]]*Vekter!$E$4</f>
        <v>2.7087433952974553</v>
      </c>
      <c r="AF278" s="44">
        <f>Tabell2[[#This Row],[Befvekst10-I]]*Vekter!$F$3</f>
        <v>9.4152092732595118</v>
      </c>
      <c r="AG278" s="44">
        <f>Tabell2[[#This Row],[Kvinneandel-I]]*Vekter!$G$3</f>
        <v>2.6534509035473151</v>
      </c>
      <c r="AH278" s="44">
        <f>Tabell2[[#This Row],[Eldreandel-I]]*Vekter!$H$3</f>
        <v>2.5266989159972906</v>
      </c>
      <c r="AI278" s="44">
        <f>Tabell2[[#This Row],[Sysselsettingsvekst10-I]]*Vekter!$I$3</f>
        <v>4.2222515110057559</v>
      </c>
      <c r="AJ278" s="44">
        <f>Tabell2[[#This Row],[Yrkesaktivandel-I]]*Vekter!$K$3</f>
        <v>5.9076730393449024</v>
      </c>
      <c r="AK278" s="44">
        <f>Tabell2[[#This Row],[Inntekt-I]]*Vekter!$M$3</f>
        <v>7.1044045676998371</v>
      </c>
      <c r="AL27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52.415552333336862</v>
      </c>
    </row>
    <row r="279" spans="1:38" s="38" customFormat="1" ht="12.75">
      <c r="A279" s="42" t="s">
        <v>277</v>
      </c>
      <c r="B279" s="38">
        <f>'Rådata-K'!Q279</f>
        <v>4</v>
      </c>
      <c r="C279" s="44">
        <f>'Rådata-K'!P279</f>
        <v>205.1225935901</v>
      </c>
      <c r="D279" s="41">
        <f>'Rådata-K'!R279</f>
        <v>18.568791708078944</v>
      </c>
      <c r="E279" s="41">
        <f>'Rådata-K'!S279</f>
        <v>1.7901618929016205E-2</v>
      </c>
      <c r="F279" s="41">
        <f>'Rådata-K'!T279</f>
        <v>0.10307386450527603</v>
      </c>
      <c r="G279" s="41">
        <f>'Rådata-K'!U279</f>
        <v>0.1455880103991436</v>
      </c>
      <c r="H279" s="41">
        <f>'Rådata-K'!V279</f>
        <v>-4.037591367908111E-2</v>
      </c>
      <c r="I279" s="41">
        <f>'Rådata-K'!W279</f>
        <v>0.86440677966101698</v>
      </c>
      <c r="J279" s="41">
        <f>'Rådata-K'!O279</f>
        <v>324500</v>
      </c>
      <c r="K279" s="41">
        <f>Tabell2[[#This Row],[NIBR11]]</f>
        <v>4</v>
      </c>
      <c r="L279" s="41">
        <f>IF(Tabell2[[#This Row],[ReisetidOslo]]&lt;=C$433,C$433,IF(Tabell2[[#This Row],[ReisetidOslo]]&gt;=C$434,C$434,Tabell2[[#This Row],[ReisetidOslo]]))</f>
        <v>205.1225935901</v>
      </c>
      <c r="M279" s="41">
        <f>IF(Tabell2[[#This Row],[Beftettotal]]&lt;=D$433,D$433,IF(Tabell2[[#This Row],[Beftettotal]]&gt;=D$434,D$434,Tabell2[[#This Row],[Beftettotal]]))</f>
        <v>18.568791708078944</v>
      </c>
      <c r="N279" s="41">
        <f>IF(Tabell2[[#This Row],[Befvekst10]]&lt;=E$433,E$433,IF(Tabell2[[#This Row],[Befvekst10]]&gt;=E$434,E$434,Tabell2[[#This Row],[Befvekst10]]))</f>
        <v>1.7901618929016205E-2</v>
      </c>
      <c r="O279" s="41">
        <f>IF(Tabell2[[#This Row],[Kvinneandel]]&lt;=F$433,F$433,IF(Tabell2[[#This Row],[Kvinneandel]]&gt;=F$434,F$434,Tabell2[[#This Row],[Kvinneandel]]))</f>
        <v>0.10307386450527603</v>
      </c>
      <c r="P279" s="41">
        <f>IF(Tabell2[[#This Row],[Eldreandel]]&lt;=G$433,G$433,IF(Tabell2[[#This Row],[Eldreandel]]&gt;=G$434,G$434,Tabell2[[#This Row],[Eldreandel]]))</f>
        <v>0.1455880103991436</v>
      </c>
      <c r="Q279" s="41">
        <f>IF(Tabell2[[#This Row],[Sysselsettingsvekst10]]&lt;=H$433,H$433,IF(Tabell2[[#This Row],[Sysselsettingsvekst10]]&gt;=H$434,H$434,Tabell2[[#This Row],[Sysselsettingsvekst10]]))</f>
        <v>-4.037591367908111E-2</v>
      </c>
      <c r="R279" s="41">
        <f>IF(Tabell2[[#This Row],[Yrkesaktivandel]]&lt;=I$433,I$433,IF(Tabell2[[#This Row],[Yrkesaktivandel]]&gt;=I$434,I$434,Tabell2[[#This Row],[Yrkesaktivandel]]))</f>
        <v>0.86440677966101698</v>
      </c>
      <c r="S279" s="41">
        <f>IF(Tabell2[[#This Row],[Inntekt]]&lt;=J$433,J$433,IF(Tabell2[[#This Row],[Inntekt]]&gt;=J$434,J$434,Tabell2[[#This Row],[Inntekt]]))</f>
        <v>324500</v>
      </c>
      <c r="T279" s="44">
        <f>IF(Tabell2[[#This Row],[NIBR11-T]]&lt;=K$436,100,IF(Tabell2[[#This Row],[NIBR11-T]]&gt;=K$435,0,100*(K$435-Tabell2[[#This Row],[NIBR11-T]])/K$438))</f>
        <v>70</v>
      </c>
      <c r="U279" s="44">
        <f>(L$435-Tabell2[[#This Row],[ReisetidOslo-T]])*100/L$438</f>
        <v>32.82259108970932</v>
      </c>
      <c r="V279" s="44">
        <f>100-(M$435-Tabell2[[#This Row],[Beftettotal-T]])*100/M$438</f>
        <v>14.108994443486125</v>
      </c>
      <c r="W279" s="44">
        <f>100-(N$435-Tabell2[[#This Row],[Befvekst10-T]])*100/N$438</f>
        <v>45.436174813047423</v>
      </c>
      <c r="X279" s="44">
        <f>100-(O$435-Tabell2[[#This Row],[Kvinneandel-T]])*100/O$438</f>
        <v>31.075405240055602</v>
      </c>
      <c r="Y279" s="44">
        <f>(P$435-Tabell2[[#This Row],[Eldreandel-T]])*100/P$438</f>
        <v>62.82082726389261</v>
      </c>
      <c r="Z279" s="44">
        <f>100-(Q$435-Tabell2[[#This Row],[Sysselsettingsvekst10-T]])*100/Q$438</f>
        <v>15.227994205544093</v>
      </c>
      <c r="AA279" s="44">
        <f>100-(R$435-Tabell2[[#This Row],[Yrkesaktivandel-T]])*100/R$438</f>
        <v>28.360617554137775</v>
      </c>
      <c r="AB279" s="44">
        <f>100-(S$435-Tabell2[[#This Row],[Inntekt-T]])*100/S$438</f>
        <v>43.991299619358344</v>
      </c>
      <c r="AC279" s="44">
        <f>Tabell2[[#This Row],[NIBR11-I]]*Vekter!$B$3</f>
        <v>14</v>
      </c>
      <c r="AD279" s="44">
        <f>Tabell2[[#This Row],[ReisetidOslo-I]]*Vekter!$C$3</f>
        <v>3.2822591089709321</v>
      </c>
      <c r="AE279" s="44">
        <f>Tabell2[[#This Row],[Beftettotal-I]]*Vekter!$E$4</f>
        <v>1.4108994443486127</v>
      </c>
      <c r="AF279" s="44">
        <f>Tabell2[[#This Row],[Befvekst10-I]]*Vekter!$F$3</f>
        <v>9.0872349626094842</v>
      </c>
      <c r="AG279" s="44">
        <f>Tabell2[[#This Row],[Kvinneandel-I]]*Vekter!$G$3</f>
        <v>1.5537702620027802</v>
      </c>
      <c r="AH279" s="44">
        <f>Tabell2[[#This Row],[Eldreandel-I]]*Vekter!$H$3</f>
        <v>3.1410413631946308</v>
      </c>
      <c r="AI279" s="44">
        <f>Tabell2[[#This Row],[Sysselsettingsvekst10-I]]*Vekter!$I$3</f>
        <v>1.5227994205544093</v>
      </c>
      <c r="AJ279" s="44">
        <f>Tabell2[[#This Row],[Yrkesaktivandel-I]]*Vekter!$K$3</f>
        <v>2.8360617554137777</v>
      </c>
      <c r="AK279" s="44">
        <f>Tabell2[[#This Row],[Inntekt-I]]*Vekter!$M$3</f>
        <v>4.3991299619358344</v>
      </c>
      <c r="AL27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41.233196279030459</v>
      </c>
    </row>
    <row r="280" spans="1:38" s="38" customFormat="1" ht="12.75">
      <c r="A280" s="42" t="s">
        <v>278</v>
      </c>
      <c r="B280" s="38">
        <f>'Rådata-K'!Q280</f>
        <v>5</v>
      </c>
      <c r="C280" s="44">
        <f>'Rådata-K'!P280</f>
        <v>204.25833785169999</v>
      </c>
      <c r="D280" s="41">
        <f>'Rådata-K'!R280</f>
        <v>4.9447147868806631</v>
      </c>
      <c r="E280" s="41">
        <f>'Rådata-K'!S280</f>
        <v>6.3677008535429902E-3</v>
      </c>
      <c r="F280" s="41">
        <f>'Rådata-K'!T280</f>
        <v>0.10083467959073775</v>
      </c>
      <c r="G280" s="41">
        <f>'Rådata-K'!U280</f>
        <v>0.1762250942380183</v>
      </c>
      <c r="H280" s="41">
        <f>'Rådata-K'!V280</f>
        <v>8.1089168162776781E-2</v>
      </c>
      <c r="I280" s="41">
        <f>'Rådata-K'!W280</f>
        <v>0.92722891566265064</v>
      </c>
      <c r="J280" s="41">
        <f>'Rådata-K'!O280</f>
        <v>324200</v>
      </c>
      <c r="K280" s="41">
        <f>Tabell2[[#This Row],[NIBR11]]</f>
        <v>5</v>
      </c>
      <c r="L280" s="41">
        <f>IF(Tabell2[[#This Row],[ReisetidOslo]]&lt;=C$433,C$433,IF(Tabell2[[#This Row],[ReisetidOslo]]&gt;=C$434,C$434,Tabell2[[#This Row],[ReisetidOslo]]))</f>
        <v>204.25833785169999</v>
      </c>
      <c r="M280" s="41">
        <f>IF(Tabell2[[#This Row],[Beftettotal]]&lt;=D$433,D$433,IF(Tabell2[[#This Row],[Beftettotal]]&gt;=D$434,D$434,Tabell2[[#This Row],[Beftettotal]]))</f>
        <v>4.9447147868806631</v>
      </c>
      <c r="N280" s="41">
        <f>IF(Tabell2[[#This Row],[Befvekst10]]&lt;=E$433,E$433,IF(Tabell2[[#This Row],[Befvekst10]]&gt;=E$434,E$434,Tabell2[[#This Row],[Befvekst10]]))</f>
        <v>6.3677008535429902E-3</v>
      </c>
      <c r="O280" s="41">
        <f>IF(Tabell2[[#This Row],[Kvinneandel]]&lt;=F$433,F$433,IF(Tabell2[[#This Row],[Kvinneandel]]&gt;=F$434,F$434,Tabell2[[#This Row],[Kvinneandel]]))</f>
        <v>0.10083467959073775</v>
      </c>
      <c r="P280" s="41">
        <f>IF(Tabell2[[#This Row],[Eldreandel]]&lt;=G$433,G$433,IF(Tabell2[[#This Row],[Eldreandel]]&gt;=G$434,G$434,Tabell2[[#This Row],[Eldreandel]]))</f>
        <v>0.1762250942380183</v>
      </c>
      <c r="Q280" s="41">
        <f>IF(Tabell2[[#This Row],[Sysselsettingsvekst10]]&lt;=H$433,H$433,IF(Tabell2[[#This Row],[Sysselsettingsvekst10]]&gt;=H$434,H$434,Tabell2[[#This Row],[Sysselsettingsvekst10]]))</f>
        <v>8.1089168162776781E-2</v>
      </c>
      <c r="R280" s="41">
        <f>IF(Tabell2[[#This Row],[Yrkesaktivandel]]&lt;=I$433,I$433,IF(Tabell2[[#This Row],[Yrkesaktivandel]]&gt;=I$434,I$434,Tabell2[[#This Row],[Yrkesaktivandel]]))</f>
        <v>0.92722891566265064</v>
      </c>
      <c r="S280" s="41">
        <f>IF(Tabell2[[#This Row],[Inntekt]]&lt;=J$433,J$433,IF(Tabell2[[#This Row],[Inntekt]]&gt;=J$434,J$434,Tabell2[[#This Row],[Inntekt]]))</f>
        <v>324200</v>
      </c>
      <c r="T280" s="44">
        <f>IF(Tabell2[[#This Row],[NIBR11-T]]&lt;=K$436,100,IF(Tabell2[[#This Row],[NIBR11-T]]&gt;=K$435,0,100*(K$435-Tabell2[[#This Row],[NIBR11-T]])/K$438))</f>
        <v>60</v>
      </c>
      <c r="U280" s="44">
        <f>(L$435-Tabell2[[#This Row],[ReisetidOslo-T]])*100/L$438</f>
        <v>33.206277936282511</v>
      </c>
      <c r="V280" s="44">
        <f>100-(M$435-Tabell2[[#This Row],[Beftettotal-T]])*100/M$438</f>
        <v>2.9644067073470524</v>
      </c>
      <c r="W280" s="44">
        <f>100-(N$435-Tabell2[[#This Row],[Befvekst10-T]])*100/N$438</f>
        <v>40.664421310186846</v>
      </c>
      <c r="X280" s="44">
        <f>100-(O$435-Tabell2[[#This Row],[Kvinneandel-T]])*100/O$438</f>
        <v>24.947962785898241</v>
      </c>
      <c r="Y280" s="44">
        <f>(P$435-Tabell2[[#This Row],[Eldreandel-T]])*100/P$438</f>
        <v>26.748857969227021</v>
      </c>
      <c r="Z280" s="44">
        <f>100-(Q$435-Tabell2[[#This Row],[Sysselsettingsvekst10-T]])*100/Q$438</f>
        <v>50.940802793018463</v>
      </c>
      <c r="AA280" s="44">
        <f>100-(R$435-Tabell2[[#This Row],[Yrkesaktivandel-T]])*100/R$438</f>
        <v>75.275033387109019</v>
      </c>
      <c r="AB280" s="44">
        <f>100-(S$435-Tabell2[[#This Row],[Inntekt-T]])*100/S$438</f>
        <v>43.58346927678086</v>
      </c>
      <c r="AC280" s="44">
        <f>Tabell2[[#This Row],[NIBR11-I]]*Vekter!$B$3</f>
        <v>12</v>
      </c>
      <c r="AD280" s="44">
        <f>Tabell2[[#This Row],[ReisetidOslo-I]]*Vekter!$C$3</f>
        <v>3.3206277936282511</v>
      </c>
      <c r="AE280" s="44">
        <f>Tabell2[[#This Row],[Beftettotal-I]]*Vekter!$E$4</f>
        <v>0.29644067073470526</v>
      </c>
      <c r="AF280" s="44">
        <f>Tabell2[[#This Row],[Befvekst10-I]]*Vekter!$F$3</f>
        <v>8.1328842620373702</v>
      </c>
      <c r="AG280" s="44">
        <f>Tabell2[[#This Row],[Kvinneandel-I]]*Vekter!$G$3</f>
        <v>1.2473981392949121</v>
      </c>
      <c r="AH280" s="44">
        <f>Tabell2[[#This Row],[Eldreandel-I]]*Vekter!$H$3</f>
        <v>1.3374428984613511</v>
      </c>
      <c r="AI280" s="44">
        <f>Tabell2[[#This Row],[Sysselsettingsvekst10-I]]*Vekter!$I$3</f>
        <v>5.0940802793018465</v>
      </c>
      <c r="AJ280" s="44">
        <f>Tabell2[[#This Row],[Yrkesaktivandel-I]]*Vekter!$K$3</f>
        <v>7.5275033387109023</v>
      </c>
      <c r="AK280" s="44">
        <f>Tabell2[[#This Row],[Inntekt-I]]*Vekter!$M$3</f>
        <v>4.3583469276780864</v>
      </c>
      <c r="AL28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43.314724309847421</v>
      </c>
    </row>
    <row r="281" spans="1:38" s="38" customFormat="1" ht="12.75">
      <c r="A281" s="42" t="s">
        <v>279</v>
      </c>
      <c r="B281" s="38">
        <f>'Rådata-K'!Q281</f>
        <v>4</v>
      </c>
      <c r="C281" s="44">
        <f>'Rådata-K'!P281</f>
        <v>192.0717023416</v>
      </c>
      <c r="D281" s="41">
        <f>'Rådata-K'!R281</f>
        <v>2.8710146035629638</v>
      </c>
      <c r="E281" s="41">
        <f>'Rådata-K'!S281</f>
        <v>-7.5123152709359653E-2</v>
      </c>
      <c r="F281" s="41">
        <f>'Rådata-K'!T281</f>
        <v>0.10119840213049268</v>
      </c>
      <c r="G281" s="41">
        <f>'Rådata-K'!U281</f>
        <v>0.17476697736351532</v>
      </c>
      <c r="H281" s="41">
        <f>'Rådata-K'!V281</f>
        <v>-0.13513513513513509</v>
      </c>
      <c r="I281" s="41">
        <f>'Rådata-K'!W281</f>
        <v>0.92136150234741787</v>
      </c>
      <c r="J281" s="41">
        <f>'Rådata-K'!O281</f>
        <v>316400</v>
      </c>
      <c r="K281" s="41">
        <f>Tabell2[[#This Row],[NIBR11]]</f>
        <v>4</v>
      </c>
      <c r="L281" s="41">
        <f>IF(Tabell2[[#This Row],[ReisetidOslo]]&lt;=C$433,C$433,IF(Tabell2[[#This Row],[ReisetidOslo]]&gt;=C$434,C$434,Tabell2[[#This Row],[ReisetidOslo]]))</f>
        <v>192.0717023416</v>
      </c>
      <c r="M281" s="41">
        <f>IF(Tabell2[[#This Row],[Beftettotal]]&lt;=D$433,D$433,IF(Tabell2[[#This Row],[Beftettotal]]&gt;=D$434,D$434,Tabell2[[#This Row],[Beftettotal]]))</f>
        <v>2.8710146035629638</v>
      </c>
      <c r="N281" s="41">
        <f>IF(Tabell2[[#This Row],[Befvekst10]]&lt;=E$433,E$433,IF(Tabell2[[#This Row],[Befvekst10]]&gt;=E$434,E$434,Tabell2[[#This Row],[Befvekst10]]))</f>
        <v>-7.5123152709359653E-2</v>
      </c>
      <c r="O281" s="41">
        <f>IF(Tabell2[[#This Row],[Kvinneandel]]&lt;=F$433,F$433,IF(Tabell2[[#This Row],[Kvinneandel]]&gt;=F$434,F$434,Tabell2[[#This Row],[Kvinneandel]]))</f>
        <v>0.10119840213049268</v>
      </c>
      <c r="P281" s="41">
        <f>IF(Tabell2[[#This Row],[Eldreandel]]&lt;=G$433,G$433,IF(Tabell2[[#This Row],[Eldreandel]]&gt;=G$434,G$434,Tabell2[[#This Row],[Eldreandel]]))</f>
        <v>0.17476697736351532</v>
      </c>
      <c r="Q281" s="41">
        <f>IF(Tabell2[[#This Row],[Sysselsettingsvekst10]]&lt;=H$433,H$433,IF(Tabell2[[#This Row],[Sysselsettingsvekst10]]&gt;=H$434,H$434,Tabell2[[#This Row],[Sysselsettingsvekst10]]))</f>
        <v>-9.2168803558721979E-2</v>
      </c>
      <c r="R281" s="41">
        <f>IF(Tabell2[[#This Row],[Yrkesaktivandel]]&lt;=I$433,I$433,IF(Tabell2[[#This Row],[Yrkesaktivandel]]&gt;=I$434,I$434,Tabell2[[#This Row],[Yrkesaktivandel]]))</f>
        <v>0.92136150234741787</v>
      </c>
      <c r="S281" s="41">
        <f>IF(Tabell2[[#This Row],[Inntekt]]&lt;=J$433,J$433,IF(Tabell2[[#This Row],[Inntekt]]&gt;=J$434,J$434,Tabell2[[#This Row],[Inntekt]]))</f>
        <v>316400</v>
      </c>
      <c r="T281" s="44">
        <f>IF(Tabell2[[#This Row],[NIBR11-T]]&lt;=K$436,100,IF(Tabell2[[#This Row],[NIBR11-T]]&gt;=K$435,0,100*(K$435-Tabell2[[#This Row],[NIBR11-T]])/K$438))</f>
        <v>70</v>
      </c>
      <c r="U281" s="44">
        <f>(L$435-Tabell2[[#This Row],[ReisetidOslo-T]])*100/L$438</f>
        <v>38.616541983662252</v>
      </c>
      <c r="V281" s="44">
        <f>100-(M$435-Tabell2[[#This Row],[Beftettotal-T]])*100/M$438</f>
        <v>1.2681058302231634</v>
      </c>
      <c r="W281" s="44">
        <f>100-(N$435-Tabell2[[#This Row],[Befvekst10-T]])*100/N$438</f>
        <v>6.9504428168962988</v>
      </c>
      <c r="X281" s="44">
        <f>100-(O$435-Tabell2[[#This Row],[Kvinneandel-T]])*100/O$438</f>
        <v>25.943275373598425</v>
      </c>
      <c r="Y281" s="44">
        <f>(P$435-Tabell2[[#This Row],[Eldreandel-T]])*100/P$438</f>
        <v>28.465638437032702</v>
      </c>
      <c r="Z281" s="44">
        <f>100-(Q$435-Tabell2[[#This Row],[Sysselsettingsvekst10-T]])*100/Q$438</f>
        <v>0</v>
      </c>
      <c r="AA281" s="44">
        <f>100-(R$435-Tabell2[[#This Row],[Yrkesaktivandel-T]])*100/R$438</f>
        <v>70.893357028196533</v>
      </c>
      <c r="AB281" s="44">
        <f>100-(S$435-Tabell2[[#This Row],[Inntekt-T]])*100/S$438</f>
        <v>32.979880369766178</v>
      </c>
      <c r="AC281" s="44">
        <f>Tabell2[[#This Row],[NIBR11-I]]*Vekter!$B$3</f>
        <v>14</v>
      </c>
      <c r="AD281" s="44">
        <f>Tabell2[[#This Row],[ReisetidOslo-I]]*Vekter!$C$3</f>
        <v>3.8616541983662254</v>
      </c>
      <c r="AE281" s="44">
        <f>Tabell2[[#This Row],[Beftettotal-I]]*Vekter!$E$4</f>
        <v>0.12681058302231635</v>
      </c>
      <c r="AF281" s="44">
        <f>Tabell2[[#This Row],[Befvekst10-I]]*Vekter!$F$3</f>
        <v>1.3900885633792599</v>
      </c>
      <c r="AG281" s="44">
        <f>Tabell2[[#This Row],[Kvinneandel-I]]*Vekter!$G$3</f>
        <v>1.2971637686799213</v>
      </c>
      <c r="AH281" s="44">
        <f>Tabell2[[#This Row],[Eldreandel-I]]*Vekter!$H$3</f>
        <v>1.4232819218516353</v>
      </c>
      <c r="AI281" s="44">
        <f>Tabell2[[#This Row],[Sysselsettingsvekst10-I]]*Vekter!$I$3</f>
        <v>0</v>
      </c>
      <c r="AJ281" s="44">
        <f>Tabell2[[#This Row],[Yrkesaktivandel-I]]*Vekter!$K$3</f>
        <v>7.0893357028196533</v>
      </c>
      <c r="AK281" s="44">
        <f>Tabell2[[#This Row],[Inntekt-I]]*Vekter!$M$3</f>
        <v>3.2979880369766179</v>
      </c>
      <c r="AL28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32.48632277509563</v>
      </c>
    </row>
    <row r="282" spans="1:38" s="38" customFormat="1" ht="12.75">
      <c r="A282" s="42" t="s">
        <v>280</v>
      </c>
      <c r="B282" s="38">
        <f>'Rådata-K'!Q282</f>
        <v>4</v>
      </c>
      <c r="C282" s="44">
        <f>'Rådata-K'!P282</f>
        <v>190.2255716059</v>
      </c>
      <c r="D282" s="41">
        <f>'Rådata-K'!R282</f>
        <v>20.981530343007915</v>
      </c>
      <c r="E282" s="41">
        <f>'Rådata-K'!S282</f>
        <v>1.6359918200409052E-2</v>
      </c>
      <c r="F282" s="41">
        <f>'Rådata-K'!T282</f>
        <v>0.10211267605633803</v>
      </c>
      <c r="G282" s="41">
        <f>'Rådata-K'!U282</f>
        <v>0.17203219315895371</v>
      </c>
      <c r="H282" s="41">
        <f>'Rådata-K'!V282</f>
        <v>-5.8553386911595839E-2</v>
      </c>
      <c r="I282" s="41">
        <f>'Rådata-K'!W282</f>
        <v>0.95585412667946257</v>
      </c>
      <c r="J282" s="41">
        <f>'Rådata-K'!O282</f>
        <v>343200</v>
      </c>
      <c r="K282" s="41">
        <f>Tabell2[[#This Row],[NIBR11]]</f>
        <v>4</v>
      </c>
      <c r="L282" s="41">
        <f>IF(Tabell2[[#This Row],[ReisetidOslo]]&lt;=C$433,C$433,IF(Tabell2[[#This Row],[ReisetidOslo]]&gt;=C$434,C$434,Tabell2[[#This Row],[ReisetidOslo]]))</f>
        <v>190.2255716059</v>
      </c>
      <c r="M282" s="41">
        <f>IF(Tabell2[[#This Row],[Beftettotal]]&lt;=D$433,D$433,IF(Tabell2[[#This Row],[Beftettotal]]&gt;=D$434,D$434,Tabell2[[#This Row],[Beftettotal]]))</f>
        <v>20.981530343007915</v>
      </c>
      <c r="N282" s="41">
        <f>IF(Tabell2[[#This Row],[Befvekst10]]&lt;=E$433,E$433,IF(Tabell2[[#This Row],[Befvekst10]]&gt;=E$434,E$434,Tabell2[[#This Row],[Befvekst10]]))</f>
        <v>1.6359918200409052E-2</v>
      </c>
      <c r="O282" s="41">
        <f>IF(Tabell2[[#This Row],[Kvinneandel]]&lt;=F$433,F$433,IF(Tabell2[[#This Row],[Kvinneandel]]&gt;=F$434,F$434,Tabell2[[#This Row],[Kvinneandel]]))</f>
        <v>0.10211267605633803</v>
      </c>
      <c r="P282" s="41">
        <f>IF(Tabell2[[#This Row],[Eldreandel]]&lt;=G$433,G$433,IF(Tabell2[[#This Row],[Eldreandel]]&gt;=G$434,G$434,Tabell2[[#This Row],[Eldreandel]]))</f>
        <v>0.17203219315895371</v>
      </c>
      <c r="Q282" s="41">
        <f>IF(Tabell2[[#This Row],[Sysselsettingsvekst10]]&lt;=H$433,H$433,IF(Tabell2[[#This Row],[Sysselsettingsvekst10]]&gt;=H$434,H$434,Tabell2[[#This Row],[Sysselsettingsvekst10]]))</f>
        <v>-5.8553386911595839E-2</v>
      </c>
      <c r="R282" s="41">
        <f>IF(Tabell2[[#This Row],[Yrkesaktivandel]]&lt;=I$433,I$433,IF(Tabell2[[#This Row],[Yrkesaktivandel]]&gt;=I$434,I$434,Tabell2[[#This Row],[Yrkesaktivandel]]))</f>
        <v>0.95585412667946257</v>
      </c>
      <c r="S282" s="41">
        <f>IF(Tabell2[[#This Row],[Inntekt]]&lt;=J$433,J$433,IF(Tabell2[[#This Row],[Inntekt]]&gt;=J$434,J$434,Tabell2[[#This Row],[Inntekt]]))</f>
        <v>343200</v>
      </c>
      <c r="T282" s="44">
        <f>IF(Tabell2[[#This Row],[NIBR11-T]]&lt;=K$436,100,IF(Tabell2[[#This Row],[NIBR11-T]]&gt;=K$435,0,100*(K$435-Tabell2[[#This Row],[NIBR11-T]])/K$438))</f>
        <v>70</v>
      </c>
      <c r="U282" s="44">
        <f>(L$435-Tabell2[[#This Row],[ReisetidOslo-T]])*100/L$438</f>
        <v>39.43613281641035</v>
      </c>
      <c r="V282" s="44">
        <f>100-(M$435-Tabell2[[#This Row],[Beftettotal-T]])*100/M$438</f>
        <v>16.082631083741788</v>
      </c>
      <c r="W282" s="44">
        <f>100-(N$435-Tabell2[[#This Row],[Befvekst10-T]])*100/N$438</f>
        <v>44.798350285080843</v>
      </c>
      <c r="X282" s="44">
        <f>100-(O$435-Tabell2[[#This Row],[Kvinneandel-T]])*100/O$438</f>
        <v>28.445150422675866</v>
      </c>
      <c r="Y282" s="44">
        <f>(P$435-Tabell2[[#This Row],[Eldreandel-T]])*100/P$438</f>
        <v>31.685561468000461</v>
      </c>
      <c r="Z282" s="44">
        <f>100-(Q$435-Tabell2[[#This Row],[Sysselsettingsvekst10-T]])*100/Q$438</f>
        <v>9.883506618552417</v>
      </c>
      <c r="AA282" s="44">
        <f>100-(R$435-Tabell2[[#This Row],[Yrkesaktivandel-T]])*100/R$438</f>
        <v>96.651814541356003</v>
      </c>
      <c r="AB282" s="44">
        <f>100-(S$435-Tabell2[[#This Row],[Inntekt-T]])*100/S$438</f>
        <v>69.412724306688418</v>
      </c>
      <c r="AC282" s="44">
        <f>Tabell2[[#This Row],[NIBR11-I]]*Vekter!$B$3</f>
        <v>14</v>
      </c>
      <c r="AD282" s="44">
        <f>Tabell2[[#This Row],[ReisetidOslo-I]]*Vekter!$C$3</f>
        <v>3.943613281641035</v>
      </c>
      <c r="AE282" s="44">
        <f>Tabell2[[#This Row],[Beftettotal-I]]*Vekter!$E$4</f>
        <v>1.608263108374179</v>
      </c>
      <c r="AF282" s="44">
        <f>Tabell2[[#This Row],[Befvekst10-I]]*Vekter!$F$3</f>
        <v>8.9596700570161687</v>
      </c>
      <c r="AG282" s="44">
        <f>Tabell2[[#This Row],[Kvinneandel-I]]*Vekter!$G$3</f>
        <v>1.4222575211337933</v>
      </c>
      <c r="AH282" s="44">
        <f>Tabell2[[#This Row],[Eldreandel-I]]*Vekter!$H$3</f>
        <v>1.5842780734000232</v>
      </c>
      <c r="AI282" s="44">
        <f>Tabell2[[#This Row],[Sysselsettingsvekst10-I]]*Vekter!$I$3</f>
        <v>0.98835066185524179</v>
      </c>
      <c r="AJ282" s="44">
        <f>Tabell2[[#This Row],[Yrkesaktivandel-I]]*Vekter!$K$3</f>
        <v>9.6651814541356007</v>
      </c>
      <c r="AK282" s="44">
        <f>Tabell2[[#This Row],[Inntekt-I]]*Vekter!$M$3</f>
        <v>6.9412724306688425</v>
      </c>
      <c r="AL28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49.112886588224882</v>
      </c>
    </row>
    <row r="283" spans="1:38" s="38" customFormat="1" ht="12.75">
      <c r="A283" s="42" t="s">
        <v>281</v>
      </c>
      <c r="B283" s="38">
        <f>'Rådata-K'!Q283</f>
        <v>11</v>
      </c>
      <c r="C283" s="44">
        <f>'Rådata-K'!P283</f>
        <v>253.085921533</v>
      </c>
      <c r="D283" s="41">
        <f>'Rådata-K'!R283</f>
        <v>64.39764936336924</v>
      </c>
      <c r="E283" s="41">
        <f>'Rådata-K'!S283</f>
        <v>7.6628352490422103E-3</v>
      </c>
      <c r="F283" s="41">
        <f>'Rådata-K'!T283</f>
        <v>0.10038022813688213</v>
      </c>
      <c r="G283" s="41">
        <f>'Rådata-K'!U283</f>
        <v>0.17870722433460076</v>
      </c>
      <c r="H283" s="41">
        <f>'Rådata-K'!V283</f>
        <v>4.3760129659643487E-2</v>
      </c>
      <c r="I283" s="41">
        <f>'Rådata-K'!W283</f>
        <v>0.94077134986225897</v>
      </c>
      <c r="J283" s="41">
        <f>'Rådata-K'!O283</f>
        <v>368200</v>
      </c>
      <c r="K283" s="41">
        <f>Tabell2[[#This Row],[NIBR11]]</f>
        <v>11</v>
      </c>
      <c r="L283" s="41">
        <f>IF(Tabell2[[#This Row],[ReisetidOslo]]&lt;=C$433,C$433,IF(Tabell2[[#This Row],[ReisetidOslo]]&gt;=C$434,C$434,Tabell2[[#This Row],[ReisetidOslo]]))</f>
        <v>253.085921533</v>
      </c>
      <c r="M283" s="41">
        <f>IF(Tabell2[[#This Row],[Beftettotal]]&lt;=D$433,D$433,IF(Tabell2[[#This Row],[Beftettotal]]&gt;=D$434,D$434,Tabell2[[#This Row],[Beftettotal]]))</f>
        <v>64.39764936336924</v>
      </c>
      <c r="N283" s="41">
        <f>IF(Tabell2[[#This Row],[Befvekst10]]&lt;=E$433,E$433,IF(Tabell2[[#This Row],[Befvekst10]]&gt;=E$434,E$434,Tabell2[[#This Row],[Befvekst10]]))</f>
        <v>7.6628352490422103E-3</v>
      </c>
      <c r="O283" s="41">
        <f>IF(Tabell2[[#This Row],[Kvinneandel]]&lt;=F$433,F$433,IF(Tabell2[[#This Row],[Kvinneandel]]&gt;=F$434,F$434,Tabell2[[#This Row],[Kvinneandel]]))</f>
        <v>0.10038022813688213</v>
      </c>
      <c r="P283" s="41">
        <f>IF(Tabell2[[#This Row],[Eldreandel]]&lt;=G$433,G$433,IF(Tabell2[[#This Row],[Eldreandel]]&gt;=G$434,G$434,Tabell2[[#This Row],[Eldreandel]]))</f>
        <v>0.17870722433460076</v>
      </c>
      <c r="Q283" s="41">
        <f>IF(Tabell2[[#This Row],[Sysselsettingsvekst10]]&lt;=H$433,H$433,IF(Tabell2[[#This Row],[Sysselsettingsvekst10]]&gt;=H$434,H$434,Tabell2[[#This Row],[Sysselsettingsvekst10]]))</f>
        <v>4.3760129659643487E-2</v>
      </c>
      <c r="R283" s="41">
        <f>IF(Tabell2[[#This Row],[Yrkesaktivandel]]&lt;=I$433,I$433,IF(Tabell2[[#This Row],[Yrkesaktivandel]]&gt;=I$434,I$434,Tabell2[[#This Row],[Yrkesaktivandel]]))</f>
        <v>0.94077134986225897</v>
      </c>
      <c r="S283" s="41">
        <f>IF(Tabell2[[#This Row],[Inntekt]]&lt;=J$433,J$433,IF(Tabell2[[#This Row],[Inntekt]]&gt;=J$434,J$434,Tabell2[[#This Row],[Inntekt]]))</f>
        <v>365700</v>
      </c>
      <c r="T283" s="44">
        <f>IF(Tabell2[[#This Row],[NIBR11-T]]&lt;=K$436,100,IF(Tabell2[[#This Row],[NIBR11-T]]&gt;=K$435,0,100*(K$435-Tabell2[[#This Row],[NIBR11-T]])/K$438))</f>
        <v>0</v>
      </c>
      <c r="U283" s="44">
        <f>(L$435-Tabell2[[#This Row],[ReisetidOslo-T]])*100/L$438</f>
        <v>11.52924326232141</v>
      </c>
      <c r="V283" s="44">
        <f>100-(M$435-Tabell2[[#This Row],[Beftettotal-T]])*100/M$438</f>
        <v>51.597312216540153</v>
      </c>
      <c r="W283" s="44">
        <f>100-(N$435-Tabell2[[#This Row],[Befvekst10-T]])*100/N$438</f>
        <v>41.200237677873773</v>
      </c>
      <c r="X283" s="44">
        <f>100-(O$435-Tabell2[[#This Row],[Kvinneandel-T]])*100/O$438</f>
        <v>23.704374052502985</v>
      </c>
      <c r="Y283" s="44">
        <f>(P$435-Tabell2[[#This Row],[Eldreandel-T]])*100/P$438</f>
        <v>23.826408786394595</v>
      </c>
      <c r="Z283" s="44">
        <f>100-(Q$435-Tabell2[[#This Row],[Sysselsettingsvekst10-T]])*100/Q$438</f>
        <v>39.965427923123514</v>
      </c>
      <c r="AA283" s="44">
        <f>100-(R$435-Tabell2[[#This Row],[Yrkesaktivandel-T]])*100/R$438</f>
        <v>85.388274194689231</v>
      </c>
      <c r="AB283" s="44">
        <f>100-(S$435-Tabell2[[#This Row],[Inntekt-T]])*100/S$438</f>
        <v>100</v>
      </c>
      <c r="AC283" s="44">
        <f>Tabell2[[#This Row],[NIBR11-I]]*Vekter!$B$3</f>
        <v>0</v>
      </c>
      <c r="AD283" s="44">
        <f>Tabell2[[#This Row],[ReisetidOslo-I]]*Vekter!$C$3</f>
        <v>1.1529243262321411</v>
      </c>
      <c r="AE283" s="44">
        <f>Tabell2[[#This Row],[Beftettotal-I]]*Vekter!$E$4</f>
        <v>5.1597312216540159</v>
      </c>
      <c r="AF283" s="44">
        <f>Tabell2[[#This Row],[Befvekst10-I]]*Vekter!$F$3</f>
        <v>8.2400475355747549</v>
      </c>
      <c r="AG283" s="44">
        <f>Tabell2[[#This Row],[Kvinneandel-I]]*Vekter!$G$3</f>
        <v>1.1852187026251493</v>
      </c>
      <c r="AH283" s="44">
        <f>Tabell2[[#This Row],[Eldreandel-I]]*Vekter!$H$3</f>
        <v>1.1913204393197299</v>
      </c>
      <c r="AI283" s="44">
        <f>Tabell2[[#This Row],[Sysselsettingsvekst10-I]]*Vekter!$I$3</f>
        <v>3.9965427923123515</v>
      </c>
      <c r="AJ283" s="44">
        <f>Tabell2[[#This Row],[Yrkesaktivandel-I]]*Vekter!$K$3</f>
        <v>8.5388274194689231</v>
      </c>
      <c r="AK283" s="44">
        <f>Tabell2[[#This Row],[Inntekt-I]]*Vekter!$M$3</f>
        <v>10</v>
      </c>
      <c r="AL28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39.464612437187064</v>
      </c>
    </row>
    <row r="284" spans="1:38" s="38" customFormat="1" ht="12.75">
      <c r="A284" s="42" t="s">
        <v>282</v>
      </c>
      <c r="B284" s="38">
        <f>'Rådata-K'!Q284</f>
        <v>4</v>
      </c>
      <c r="C284" s="44">
        <f>'Rådata-K'!P284</f>
        <v>186.91059359010001</v>
      </c>
      <c r="D284" s="41">
        <f>'Rådata-K'!R284</f>
        <v>55.830928535053467</v>
      </c>
      <c r="E284" s="41">
        <f>'Rådata-K'!S284</f>
        <v>8.6913417052214115E-2</v>
      </c>
      <c r="F284" s="41">
        <f>'Rådata-K'!T284</f>
        <v>0.11340833079963515</v>
      </c>
      <c r="G284" s="41">
        <f>'Rådata-K'!U284</f>
        <v>0.15992702949224688</v>
      </c>
      <c r="H284" s="41">
        <f>'Rådata-K'!V284</f>
        <v>0.15031503150315029</v>
      </c>
      <c r="I284" s="41">
        <f>'Rådata-K'!W284</f>
        <v>0.9342541436464088</v>
      </c>
      <c r="J284" s="41">
        <f>'Rådata-K'!O284</f>
        <v>355200</v>
      </c>
      <c r="K284" s="41">
        <f>Tabell2[[#This Row],[NIBR11]]</f>
        <v>4</v>
      </c>
      <c r="L284" s="41">
        <f>IF(Tabell2[[#This Row],[ReisetidOslo]]&lt;=C$433,C$433,IF(Tabell2[[#This Row],[ReisetidOslo]]&gt;=C$434,C$434,Tabell2[[#This Row],[ReisetidOslo]]))</f>
        <v>186.91059359010001</v>
      </c>
      <c r="M284" s="41">
        <f>IF(Tabell2[[#This Row],[Beftettotal]]&lt;=D$433,D$433,IF(Tabell2[[#This Row],[Beftettotal]]&gt;=D$434,D$434,Tabell2[[#This Row],[Beftettotal]]))</f>
        <v>55.830928535053467</v>
      </c>
      <c r="N284" s="41">
        <f>IF(Tabell2[[#This Row],[Befvekst10]]&lt;=E$433,E$433,IF(Tabell2[[#This Row],[Befvekst10]]&gt;=E$434,E$434,Tabell2[[#This Row],[Befvekst10]]))</f>
        <v>8.6913417052214115E-2</v>
      </c>
      <c r="O284" s="41">
        <f>IF(Tabell2[[#This Row],[Kvinneandel]]&lt;=F$433,F$433,IF(Tabell2[[#This Row],[Kvinneandel]]&gt;=F$434,F$434,Tabell2[[#This Row],[Kvinneandel]]))</f>
        <v>0.11340833079963515</v>
      </c>
      <c r="P284" s="41">
        <f>IF(Tabell2[[#This Row],[Eldreandel]]&lt;=G$433,G$433,IF(Tabell2[[#This Row],[Eldreandel]]&gt;=G$434,G$434,Tabell2[[#This Row],[Eldreandel]]))</f>
        <v>0.15992702949224688</v>
      </c>
      <c r="Q284" s="41">
        <f>IF(Tabell2[[#This Row],[Sysselsettingsvekst10]]&lt;=H$433,H$433,IF(Tabell2[[#This Row],[Sysselsettingsvekst10]]&gt;=H$434,H$434,Tabell2[[#This Row],[Sysselsettingsvekst10]]))</f>
        <v>0.15031503150315029</v>
      </c>
      <c r="R284" s="41">
        <f>IF(Tabell2[[#This Row],[Yrkesaktivandel]]&lt;=I$433,I$433,IF(Tabell2[[#This Row],[Yrkesaktivandel]]&gt;=I$434,I$434,Tabell2[[#This Row],[Yrkesaktivandel]]))</f>
        <v>0.9342541436464088</v>
      </c>
      <c r="S284" s="41">
        <f>IF(Tabell2[[#This Row],[Inntekt]]&lt;=J$433,J$433,IF(Tabell2[[#This Row],[Inntekt]]&gt;=J$434,J$434,Tabell2[[#This Row],[Inntekt]]))</f>
        <v>355200</v>
      </c>
      <c r="T284" s="44">
        <f>IF(Tabell2[[#This Row],[NIBR11-T]]&lt;=K$436,100,IF(Tabell2[[#This Row],[NIBR11-T]]&gt;=K$435,0,100*(K$435-Tabell2[[#This Row],[NIBR11-T]])/K$438))</f>
        <v>70</v>
      </c>
      <c r="U284" s="44">
        <f>(L$435-Tabell2[[#This Row],[ReisetidOslo-T]])*100/L$438</f>
        <v>40.907819268497391</v>
      </c>
      <c r="V284" s="44">
        <f>100-(M$435-Tabell2[[#This Row],[Beftettotal-T]])*100/M$438</f>
        <v>44.589676217830721</v>
      </c>
      <c r="W284" s="44">
        <f>100-(N$435-Tabell2[[#This Row],[Befvekst10-T]])*100/N$438</f>
        <v>73.987382414681591</v>
      </c>
      <c r="X284" s="44">
        <f>100-(O$435-Tabell2[[#This Row],[Kvinneandel-T]])*100/O$438</f>
        <v>59.355270427594952</v>
      </c>
      <c r="Y284" s="44">
        <f>(P$435-Tabell2[[#This Row],[Eldreandel-T]])*100/P$438</f>
        <v>45.938128533090577</v>
      </c>
      <c r="Z284" s="44">
        <f>100-(Q$435-Tabell2[[#This Row],[Sysselsettingsvekst10-T]])*100/Q$438</f>
        <v>71.294388937192608</v>
      </c>
      <c r="AA284" s="44">
        <f>100-(R$435-Tabell2[[#This Row],[Yrkesaktivandel-T]])*100/R$438</f>
        <v>80.521344447638469</v>
      </c>
      <c r="AB284" s="44">
        <f>100-(S$435-Tabell2[[#This Row],[Inntekt-T]])*100/S$438</f>
        <v>85.725938009787924</v>
      </c>
      <c r="AC284" s="44">
        <f>Tabell2[[#This Row],[NIBR11-I]]*Vekter!$B$3</f>
        <v>14</v>
      </c>
      <c r="AD284" s="44">
        <f>Tabell2[[#This Row],[ReisetidOslo-I]]*Vekter!$C$3</f>
        <v>4.090781926849739</v>
      </c>
      <c r="AE284" s="44">
        <f>Tabell2[[#This Row],[Beftettotal-I]]*Vekter!$E$4</f>
        <v>4.4589676217830725</v>
      </c>
      <c r="AF284" s="44">
        <f>Tabell2[[#This Row],[Befvekst10-I]]*Vekter!$F$3</f>
        <v>14.797476482936318</v>
      </c>
      <c r="AG284" s="44">
        <f>Tabell2[[#This Row],[Kvinneandel-I]]*Vekter!$G$3</f>
        <v>2.967763521379748</v>
      </c>
      <c r="AH284" s="44">
        <f>Tabell2[[#This Row],[Eldreandel-I]]*Vekter!$H$3</f>
        <v>2.2969064266545289</v>
      </c>
      <c r="AI284" s="44">
        <f>Tabell2[[#This Row],[Sysselsettingsvekst10-I]]*Vekter!$I$3</f>
        <v>7.1294388937192608</v>
      </c>
      <c r="AJ284" s="44">
        <f>Tabell2[[#This Row],[Yrkesaktivandel-I]]*Vekter!$K$3</f>
        <v>8.0521344447638477</v>
      </c>
      <c r="AK284" s="44">
        <f>Tabell2[[#This Row],[Inntekt-I]]*Vekter!$M$3</f>
        <v>8.5725938009787921</v>
      </c>
      <c r="AL28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66.366063119065302</v>
      </c>
    </row>
    <row r="285" spans="1:38" s="38" customFormat="1" ht="12.75">
      <c r="A285" s="42" t="s">
        <v>283</v>
      </c>
      <c r="B285" s="38">
        <f>'Rådata-K'!Q285</f>
        <v>4</v>
      </c>
      <c r="C285" s="44">
        <f>'Rådata-K'!P285</f>
        <v>167.65322236270001</v>
      </c>
      <c r="D285" s="41">
        <f>'Rådata-K'!R285</f>
        <v>25.659478910202644</v>
      </c>
      <c r="E285" s="41">
        <f>'Rådata-K'!S285</f>
        <v>5.9783216001787931E-2</v>
      </c>
      <c r="F285" s="41">
        <f>'Rådata-K'!T285</f>
        <v>0.11503584985238297</v>
      </c>
      <c r="G285" s="41">
        <f>'Rådata-K'!U285</f>
        <v>0.1315900463939266</v>
      </c>
      <c r="H285" s="41">
        <f>'Rådata-K'!V285</f>
        <v>4.9283154121863904E-2</v>
      </c>
      <c r="I285" s="41">
        <f>'Rådata-K'!W285</f>
        <v>0.90664961636828645</v>
      </c>
      <c r="J285" s="41">
        <f>'Rådata-K'!O285</f>
        <v>338300</v>
      </c>
      <c r="K285" s="41">
        <f>Tabell2[[#This Row],[NIBR11]]</f>
        <v>4</v>
      </c>
      <c r="L285" s="41">
        <f>IF(Tabell2[[#This Row],[ReisetidOslo]]&lt;=C$433,C$433,IF(Tabell2[[#This Row],[ReisetidOslo]]&gt;=C$434,C$434,Tabell2[[#This Row],[ReisetidOslo]]))</f>
        <v>167.65322236270001</v>
      </c>
      <c r="M285" s="41">
        <f>IF(Tabell2[[#This Row],[Beftettotal]]&lt;=D$433,D$433,IF(Tabell2[[#This Row],[Beftettotal]]&gt;=D$434,D$434,Tabell2[[#This Row],[Beftettotal]]))</f>
        <v>25.659478910202644</v>
      </c>
      <c r="N285" s="41">
        <f>IF(Tabell2[[#This Row],[Befvekst10]]&lt;=E$433,E$433,IF(Tabell2[[#This Row],[Befvekst10]]&gt;=E$434,E$434,Tabell2[[#This Row],[Befvekst10]]))</f>
        <v>5.9783216001787931E-2</v>
      </c>
      <c r="O285" s="41">
        <f>IF(Tabell2[[#This Row],[Kvinneandel]]&lt;=F$433,F$433,IF(Tabell2[[#This Row],[Kvinneandel]]&gt;=F$434,F$434,Tabell2[[#This Row],[Kvinneandel]]))</f>
        <v>0.11503584985238297</v>
      </c>
      <c r="P285" s="41">
        <f>IF(Tabell2[[#This Row],[Eldreandel]]&lt;=G$433,G$433,IF(Tabell2[[#This Row],[Eldreandel]]&gt;=G$434,G$434,Tabell2[[#This Row],[Eldreandel]]))</f>
        <v>0.1315900463939266</v>
      </c>
      <c r="Q285" s="41">
        <f>IF(Tabell2[[#This Row],[Sysselsettingsvekst10]]&lt;=H$433,H$433,IF(Tabell2[[#This Row],[Sysselsettingsvekst10]]&gt;=H$434,H$434,Tabell2[[#This Row],[Sysselsettingsvekst10]]))</f>
        <v>4.9283154121863904E-2</v>
      </c>
      <c r="R285" s="41">
        <f>IF(Tabell2[[#This Row],[Yrkesaktivandel]]&lt;=I$433,I$433,IF(Tabell2[[#This Row],[Yrkesaktivandel]]&gt;=I$434,I$434,Tabell2[[#This Row],[Yrkesaktivandel]]))</f>
        <v>0.90664961636828645</v>
      </c>
      <c r="S285" s="41">
        <f>IF(Tabell2[[#This Row],[Inntekt]]&lt;=J$433,J$433,IF(Tabell2[[#This Row],[Inntekt]]&gt;=J$434,J$434,Tabell2[[#This Row],[Inntekt]]))</f>
        <v>338300</v>
      </c>
      <c r="T285" s="44">
        <f>IF(Tabell2[[#This Row],[NIBR11-T]]&lt;=K$436,100,IF(Tabell2[[#This Row],[NIBR11-T]]&gt;=K$435,0,100*(K$435-Tabell2[[#This Row],[NIBR11-T]])/K$438))</f>
        <v>70</v>
      </c>
      <c r="U285" s="44">
        <f>(L$435-Tabell2[[#This Row],[ReisetidOslo-T]])*100/L$438</f>
        <v>49.457140622393567</v>
      </c>
      <c r="V285" s="44">
        <f>100-(M$435-Tabell2[[#This Row],[Beftettotal-T]])*100/M$438</f>
        <v>19.909224880429079</v>
      </c>
      <c r="W285" s="44">
        <f>100-(N$435-Tabell2[[#This Row],[Befvekst10-T]])*100/N$438</f>
        <v>62.763214612503809</v>
      </c>
      <c r="X285" s="44">
        <f>100-(O$435-Tabell2[[#This Row],[Kvinneandel-T]])*100/O$438</f>
        <v>63.808913033888267</v>
      </c>
      <c r="Y285" s="44">
        <f>(P$435-Tabell2[[#This Row],[Eldreandel-T]])*100/P$438</f>
        <v>79.301969217204814</v>
      </c>
      <c r="Z285" s="44">
        <f>100-(Q$435-Tabell2[[#This Row],[Sysselsettingsvekst10-T]])*100/Q$438</f>
        <v>41.58929144383491</v>
      </c>
      <c r="AA285" s="44">
        <f>100-(R$435-Tabell2[[#This Row],[Yrkesaktivandel-T]])*100/R$438</f>
        <v>59.906791138519011</v>
      </c>
      <c r="AB285" s="44">
        <f>100-(S$435-Tabell2[[#This Row],[Inntekt-T]])*100/S$438</f>
        <v>62.751495377922787</v>
      </c>
      <c r="AC285" s="44">
        <f>Tabell2[[#This Row],[NIBR11-I]]*Vekter!$B$3</f>
        <v>14</v>
      </c>
      <c r="AD285" s="44">
        <f>Tabell2[[#This Row],[ReisetidOslo-I]]*Vekter!$C$3</f>
        <v>4.9457140622393574</v>
      </c>
      <c r="AE285" s="44">
        <f>Tabell2[[#This Row],[Beftettotal-I]]*Vekter!$E$4</f>
        <v>1.9909224880429079</v>
      </c>
      <c r="AF285" s="44">
        <f>Tabell2[[#This Row],[Befvekst10-I]]*Vekter!$F$3</f>
        <v>12.552642922500763</v>
      </c>
      <c r="AG285" s="44">
        <f>Tabell2[[#This Row],[Kvinneandel-I]]*Vekter!$G$3</f>
        <v>3.1904456516944135</v>
      </c>
      <c r="AH285" s="44">
        <f>Tabell2[[#This Row],[Eldreandel-I]]*Vekter!$H$3</f>
        <v>3.9650984608602409</v>
      </c>
      <c r="AI285" s="44">
        <f>Tabell2[[#This Row],[Sysselsettingsvekst10-I]]*Vekter!$I$3</f>
        <v>4.1589291443834915</v>
      </c>
      <c r="AJ285" s="44">
        <f>Tabell2[[#This Row],[Yrkesaktivandel-I]]*Vekter!$K$3</f>
        <v>5.9906791138519013</v>
      </c>
      <c r="AK285" s="44">
        <f>Tabell2[[#This Row],[Inntekt-I]]*Vekter!$M$3</f>
        <v>6.275149537792279</v>
      </c>
      <c r="AL28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57.069581381365353</v>
      </c>
    </row>
    <row r="286" spans="1:38" s="38" customFormat="1" ht="12.75">
      <c r="A286" s="42" t="s">
        <v>284</v>
      </c>
      <c r="B286" s="38">
        <f>'Rådata-K'!Q286</f>
        <v>4</v>
      </c>
      <c r="C286" s="44">
        <f>'Rådata-K'!P286</f>
        <v>187.30630696579999</v>
      </c>
      <c r="D286" s="41">
        <f>'Rådata-K'!R286</f>
        <v>22.620925341745533</v>
      </c>
      <c r="E286" s="41">
        <f>'Rådata-K'!S286</f>
        <v>5.195599022004882E-2</v>
      </c>
      <c r="F286" s="41">
        <f>'Rådata-K'!T286</f>
        <v>0.1199883788495061</v>
      </c>
      <c r="G286" s="41">
        <f>'Rådata-K'!U286</f>
        <v>0.13277164439279487</v>
      </c>
      <c r="H286" s="41">
        <f>'Rådata-K'!V286</f>
        <v>4.0066777963272182E-2</v>
      </c>
      <c r="I286" s="41">
        <f>'Rådata-K'!W286</f>
        <v>0.92125579001544</v>
      </c>
      <c r="J286" s="41">
        <f>'Rådata-K'!O286</f>
        <v>332500</v>
      </c>
      <c r="K286" s="41">
        <f>Tabell2[[#This Row],[NIBR11]]</f>
        <v>4</v>
      </c>
      <c r="L286" s="41">
        <f>IF(Tabell2[[#This Row],[ReisetidOslo]]&lt;=C$433,C$433,IF(Tabell2[[#This Row],[ReisetidOslo]]&gt;=C$434,C$434,Tabell2[[#This Row],[ReisetidOslo]]))</f>
        <v>187.30630696579999</v>
      </c>
      <c r="M286" s="41">
        <f>IF(Tabell2[[#This Row],[Beftettotal]]&lt;=D$433,D$433,IF(Tabell2[[#This Row],[Beftettotal]]&gt;=D$434,D$434,Tabell2[[#This Row],[Beftettotal]]))</f>
        <v>22.620925341745533</v>
      </c>
      <c r="N286" s="41">
        <f>IF(Tabell2[[#This Row],[Befvekst10]]&lt;=E$433,E$433,IF(Tabell2[[#This Row],[Befvekst10]]&gt;=E$434,E$434,Tabell2[[#This Row],[Befvekst10]]))</f>
        <v>5.195599022004882E-2</v>
      </c>
      <c r="O286" s="41">
        <f>IF(Tabell2[[#This Row],[Kvinneandel]]&lt;=F$433,F$433,IF(Tabell2[[#This Row],[Kvinneandel]]&gt;=F$434,F$434,Tabell2[[#This Row],[Kvinneandel]]))</f>
        <v>0.1199883788495061</v>
      </c>
      <c r="P286" s="41">
        <f>IF(Tabell2[[#This Row],[Eldreandel]]&lt;=G$433,G$433,IF(Tabell2[[#This Row],[Eldreandel]]&gt;=G$434,G$434,Tabell2[[#This Row],[Eldreandel]]))</f>
        <v>0.13277164439279487</v>
      </c>
      <c r="Q286" s="41">
        <f>IF(Tabell2[[#This Row],[Sysselsettingsvekst10]]&lt;=H$433,H$433,IF(Tabell2[[#This Row],[Sysselsettingsvekst10]]&gt;=H$434,H$434,Tabell2[[#This Row],[Sysselsettingsvekst10]]))</f>
        <v>4.0066777963272182E-2</v>
      </c>
      <c r="R286" s="41">
        <f>IF(Tabell2[[#This Row],[Yrkesaktivandel]]&lt;=I$433,I$433,IF(Tabell2[[#This Row],[Yrkesaktivandel]]&gt;=I$434,I$434,Tabell2[[#This Row],[Yrkesaktivandel]]))</f>
        <v>0.92125579001544</v>
      </c>
      <c r="S286" s="41">
        <f>IF(Tabell2[[#This Row],[Inntekt]]&lt;=J$433,J$433,IF(Tabell2[[#This Row],[Inntekt]]&gt;=J$434,J$434,Tabell2[[#This Row],[Inntekt]]))</f>
        <v>332500</v>
      </c>
      <c r="T286" s="44">
        <f>IF(Tabell2[[#This Row],[NIBR11-T]]&lt;=K$436,100,IF(Tabell2[[#This Row],[NIBR11-T]]&gt;=K$435,0,100*(K$435-Tabell2[[#This Row],[NIBR11-T]])/K$438))</f>
        <v>70</v>
      </c>
      <c r="U286" s="44">
        <f>(L$435-Tabell2[[#This Row],[ReisetidOslo-T]])*100/L$438</f>
        <v>40.732142081152077</v>
      </c>
      <c r="V286" s="44">
        <f>100-(M$435-Tabell2[[#This Row],[Beftettotal-T]])*100/M$438</f>
        <v>17.423667361156774</v>
      </c>
      <c r="W286" s="44">
        <f>100-(N$435-Tabell2[[#This Row],[Befvekst10-T]])*100/N$438</f>
        <v>59.524974857609251</v>
      </c>
      <c r="X286" s="44">
        <f>100-(O$435-Tabell2[[#This Row],[Kvinneandel-T]])*100/O$438</f>
        <v>77.361316069202147</v>
      </c>
      <c r="Y286" s="44">
        <f>(P$435-Tabell2[[#This Row],[Eldreandel-T]])*100/P$438</f>
        <v>77.910760871202527</v>
      </c>
      <c r="Z286" s="44">
        <f>100-(Q$435-Tabell2[[#This Row],[Sysselsettingsvekst10-T]])*100/Q$438</f>
        <v>38.879519444911978</v>
      </c>
      <c r="AA286" s="44">
        <f>100-(R$435-Tabell2[[#This Row],[Yrkesaktivandel-T]])*100/R$438</f>
        <v>70.814413002782402</v>
      </c>
      <c r="AB286" s="44">
        <f>100-(S$435-Tabell2[[#This Row],[Inntekt-T]])*100/S$438</f>
        <v>54.866775421424684</v>
      </c>
      <c r="AC286" s="44">
        <f>Tabell2[[#This Row],[NIBR11-I]]*Vekter!$B$3</f>
        <v>14</v>
      </c>
      <c r="AD286" s="44">
        <f>Tabell2[[#This Row],[ReisetidOslo-I]]*Vekter!$C$3</f>
        <v>4.0732142081152078</v>
      </c>
      <c r="AE286" s="44">
        <f>Tabell2[[#This Row],[Beftettotal-I]]*Vekter!$E$4</f>
        <v>1.7423667361156774</v>
      </c>
      <c r="AF286" s="44">
        <f>Tabell2[[#This Row],[Befvekst10-I]]*Vekter!$F$3</f>
        <v>11.904994971521852</v>
      </c>
      <c r="AG286" s="44">
        <f>Tabell2[[#This Row],[Kvinneandel-I]]*Vekter!$G$3</f>
        <v>3.8680658034601074</v>
      </c>
      <c r="AH286" s="44">
        <f>Tabell2[[#This Row],[Eldreandel-I]]*Vekter!$H$3</f>
        <v>3.8955380435601263</v>
      </c>
      <c r="AI286" s="44">
        <f>Tabell2[[#This Row],[Sysselsettingsvekst10-I]]*Vekter!$I$3</f>
        <v>3.8879519444911979</v>
      </c>
      <c r="AJ286" s="44">
        <f>Tabell2[[#This Row],[Yrkesaktivandel-I]]*Vekter!$K$3</f>
        <v>7.0814413002782404</v>
      </c>
      <c r="AK286" s="44">
        <f>Tabell2[[#This Row],[Inntekt-I]]*Vekter!$M$3</f>
        <v>5.4866775421424689</v>
      </c>
      <c r="AL28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55.940250549684876</v>
      </c>
    </row>
    <row r="287" spans="1:38" s="38" customFormat="1" ht="12.75">
      <c r="A287" s="42" t="s">
        <v>285</v>
      </c>
      <c r="B287" s="38">
        <f>'Rådata-K'!Q287</f>
        <v>5</v>
      </c>
      <c r="C287" s="44">
        <f>'Rådata-K'!P287</f>
        <v>173.6378757432</v>
      </c>
      <c r="D287" s="41">
        <f>'Rådata-K'!R287</f>
        <v>31.77840909090909</v>
      </c>
      <c r="E287" s="41">
        <f>'Rådata-K'!S287</f>
        <v>3.0018416206261556E-2</v>
      </c>
      <c r="F287" s="41">
        <f>'Rådata-K'!T287</f>
        <v>0.10066154121222957</v>
      </c>
      <c r="G287" s="41">
        <f>'Rådata-K'!U287</f>
        <v>0.14911496513499017</v>
      </c>
      <c r="H287" s="41">
        <f>'Rådata-K'!V287</f>
        <v>3.1521242576519004E-2</v>
      </c>
      <c r="I287" s="41">
        <f>'Rådata-K'!W287</f>
        <v>0.91386356491669285</v>
      </c>
      <c r="J287" s="41">
        <f>'Rådata-K'!O287</f>
        <v>341600</v>
      </c>
      <c r="K287" s="41">
        <f>Tabell2[[#This Row],[NIBR11]]</f>
        <v>5</v>
      </c>
      <c r="L287" s="41">
        <f>IF(Tabell2[[#This Row],[ReisetidOslo]]&lt;=C$433,C$433,IF(Tabell2[[#This Row],[ReisetidOslo]]&gt;=C$434,C$434,Tabell2[[#This Row],[ReisetidOslo]]))</f>
        <v>173.6378757432</v>
      </c>
      <c r="M287" s="41">
        <f>IF(Tabell2[[#This Row],[Beftettotal]]&lt;=D$433,D$433,IF(Tabell2[[#This Row],[Beftettotal]]&gt;=D$434,D$434,Tabell2[[#This Row],[Beftettotal]]))</f>
        <v>31.77840909090909</v>
      </c>
      <c r="N287" s="41">
        <f>IF(Tabell2[[#This Row],[Befvekst10]]&lt;=E$433,E$433,IF(Tabell2[[#This Row],[Befvekst10]]&gt;=E$434,E$434,Tabell2[[#This Row],[Befvekst10]]))</f>
        <v>3.0018416206261556E-2</v>
      </c>
      <c r="O287" s="41">
        <f>IF(Tabell2[[#This Row],[Kvinneandel]]&lt;=F$433,F$433,IF(Tabell2[[#This Row],[Kvinneandel]]&gt;=F$434,F$434,Tabell2[[#This Row],[Kvinneandel]]))</f>
        <v>0.10066154121222957</v>
      </c>
      <c r="P287" s="41">
        <f>IF(Tabell2[[#This Row],[Eldreandel]]&lt;=G$433,G$433,IF(Tabell2[[#This Row],[Eldreandel]]&gt;=G$434,G$434,Tabell2[[#This Row],[Eldreandel]]))</f>
        <v>0.14911496513499017</v>
      </c>
      <c r="Q287" s="41">
        <f>IF(Tabell2[[#This Row],[Sysselsettingsvekst10]]&lt;=H$433,H$433,IF(Tabell2[[#This Row],[Sysselsettingsvekst10]]&gt;=H$434,H$434,Tabell2[[#This Row],[Sysselsettingsvekst10]]))</f>
        <v>3.1521242576519004E-2</v>
      </c>
      <c r="R287" s="41">
        <f>IF(Tabell2[[#This Row],[Yrkesaktivandel]]&lt;=I$433,I$433,IF(Tabell2[[#This Row],[Yrkesaktivandel]]&gt;=I$434,I$434,Tabell2[[#This Row],[Yrkesaktivandel]]))</f>
        <v>0.91386356491669285</v>
      </c>
      <c r="S287" s="41">
        <f>IF(Tabell2[[#This Row],[Inntekt]]&lt;=J$433,J$433,IF(Tabell2[[#This Row],[Inntekt]]&gt;=J$434,J$434,Tabell2[[#This Row],[Inntekt]]))</f>
        <v>341600</v>
      </c>
      <c r="T287" s="44">
        <f>IF(Tabell2[[#This Row],[NIBR11-T]]&lt;=K$436,100,IF(Tabell2[[#This Row],[NIBR11-T]]&gt;=K$435,0,100*(K$435-Tabell2[[#This Row],[NIBR11-T]])/K$438))</f>
        <v>60</v>
      </c>
      <c r="U287" s="44">
        <f>(L$435-Tabell2[[#This Row],[ReisetidOslo-T]])*100/L$438</f>
        <v>46.80025021209827</v>
      </c>
      <c r="V287" s="44">
        <f>100-(M$435-Tabell2[[#This Row],[Beftettotal-T]])*100/M$438</f>
        <v>24.914551453716996</v>
      </c>
      <c r="W287" s="44">
        <f>100-(N$435-Tabell2[[#This Row],[Befvekst10-T]])*100/N$438</f>
        <v>50.449074113424572</v>
      </c>
      <c r="X287" s="44">
        <f>100-(O$435-Tabell2[[#This Row],[Kvinneandel-T]])*100/O$438</f>
        <v>24.474176345114856</v>
      </c>
      <c r="Y287" s="44">
        <f>(P$435-Tabell2[[#This Row],[Eldreandel-T]])*100/P$438</f>
        <v>58.668206093933172</v>
      </c>
      <c r="Z287" s="44">
        <f>100-(Q$435-Tabell2[[#This Row],[Sysselsettingsvekst10-T]])*100/Q$438</f>
        <v>36.366986090330762</v>
      </c>
      <c r="AA287" s="44">
        <f>100-(R$435-Tabell2[[#This Row],[Yrkesaktivandel-T]])*100/R$438</f>
        <v>65.294035246054548</v>
      </c>
      <c r="AB287" s="44">
        <f>100-(S$435-Tabell2[[#This Row],[Inntekt-T]])*100/S$438</f>
        <v>67.23762914627514</v>
      </c>
      <c r="AC287" s="44">
        <f>Tabell2[[#This Row],[NIBR11-I]]*Vekter!$B$3</f>
        <v>12</v>
      </c>
      <c r="AD287" s="44">
        <f>Tabell2[[#This Row],[ReisetidOslo-I]]*Vekter!$C$3</f>
        <v>4.6800250212098273</v>
      </c>
      <c r="AE287" s="44">
        <f>Tabell2[[#This Row],[Beftettotal-I]]*Vekter!$E$4</f>
        <v>2.4914551453716998</v>
      </c>
      <c r="AF287" s="44">
        <f>Tabell2[[#This Row],[Befvekst10-I]]*Vekter!$F$3</f>
        <v>10.089814822684914</v>
      </c>
      <c r="AG287" s="44">
        <f>Tabell2[[#This Row],[Kvinneandel-I]]*Vekter!$G$3</f>
        <v>1.2237088172557429</v>
      </c>
      <c r="AH287" s="44">
        <f>Tabell2[[#This Row],[Eldreandel-I]]*Vekter!$H$3</f>
        <v>2.9334103046966589</v>
      </c>
      <c r="AI287" s="44">
        <f>Tabell2[[#This Row],[Sysselsettingsvekst10-I]]*Vekter!$I$3</f>
        <v>3.6366986090330764</v>
      </c>
      <c r="AJ287" s="44">
        <f>Tabell2[[#This Row],[Yrkesaktivandel-I]]*Vekter!$K$3</f>
        <v>6.5294035246054554</v>
      </c>
      <c r="AK287" s="44">
        <f>Tabell2[[#This Row],[Inntekt-I]]*Vekter!$M$3</f>
        <v>6.723762914627514</v>
      </c>
      <c r="AL28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50.30827915948489</v>
      </c>
    </row>
    <row r="288" spans="1:38" s="38" customFormat="1" ht="12.75">
      <c r="A288" s="42" t="s">
        <v>286</v>
      </c>
      <c r="B288" s="38">
        <f>'Rådata-K'!Q288</f>
        <v>4</v>
      </c>
      <c r="C288" s="44">
        <f>'Rådata-K'!P288</f>
        <v>176.70352430949998</v>
      </c>
      <c r="D288" s="41">
        <f>'Rådata-K'!R288</f>
        <v>6.7514856409853659</v>
      </c>
      <c r="E288" s="41">
        <f>'Rådata-K'!S288</f>
        <v>-1.8271792919680285E-2</v>
      </c>
      <c r="F288" s="41">
        <f>'Rådata-K'!T288</f>
        <v>0.10934470725087243</v>
      </c>
      <c r="G288" s="41">
        <f>'Rådata-K'!U288</f>
        <v>0.15587436991081816</v>
      </c>
      <c r="H288" s="41">
        <f>'Rådata-K'!V288</f>
        <v>0.41190765492102055</v>
      </c>
      <c r="I288" s="41">
        <f>'Rådata-K'!W288</f>
        <v>0.94101694915254241</v>
      </c>
      <c r="J288" s="41">
        <f>'Rådata-K'!O288</f>
        <v>328400</v>
      </c>
      <c r="K288" s="41">
        <f>Tabell2[[#This Row],[NIBR11]]</f>
        <v>4</v>
      </c>
      <c r="L288" s="41">
        <f>IF(Tabell2[[#This Row],[ReisetidOslo]]&lt;=C$433,C$433,IF(Tabell2[[#This Row],[ReisetidOslo]]&gt;=C$434,C$434,Tabell2[[#This Row],[ReisetidOslo]]))</f>
        <v>176.70352430949998</v>
      </c>
      <c r="M288" s="41">
        <f>IF(Tabell2[[#This Row],[Beftettotal]]&lt;=D$433,D$433,IF(Tabell2[[#This Row],[Beftettotal]]&gt;=D$434,D$434,Tabell2[[#This Row],[Beftettotal]]))</f>
        <v>6.7514856409853659</v>
      </c>
      <c r="N288" s="41">
        <f>IF(Tabell2[[#This Row],[Befvekst10]]&lt;=E$433,E$433,IF(Tabell2[[#This Row],[Befvekst10]]&gt;=E$434,E$434,Tabell2[[#This Row],[Befvekst10]]))</f>
        <v>-1.8271792919680285E-2</v>
      </c>
      <c r="O288" s="41">
        <f>IF(Tabell2[[#This Row],[Kvinneandel]]&lt;=F$433,F$433,IF(Tabell2[[#This Row],[Kvinneandel]]&gt;=F$434,F$434,Tabell2[[#This Row],[Kvinneandel]]))</f>
        <v>0.10934470725087243</v>
      </c>
      <c r="P288" s="41">
        <f>IF(Tabell2[[#This Row],[Eldreandel]]&lt;=G$433,G$433,IF(Tabell2[[#This Row],[Eldreandel]]&gt;=G$434,G$434,Tabell2[[#This Row],[Eldreandel]]))</f>
        <v>0.15587436991081816</v>
      </c>
      <c r="Q288" s="41">
        <f>IF(Tabell2[[#This Row],[Sysselsettingsvekst10]]&lt;=H$433,H$433,IF(Tabell2[[#This Row],[Sysselsettingsvekst10]]&gt;=H$434,H$434,Tabell2[[#This Row],[Sysselsettingsvekst10]]))</f>
        <v>0.24794749265568336</v>
      </c>
      <c r="R288" s="41">
        <f>IF(Tabell2[[#This Row],[Yrkesaktivandel]]&lt;=I$433,I$433,IF(Tabell2[[#This Row],[Yrkesaktivandel]]&gt;=I$434,I$434,Tabell2[[#This Row],[Yrkesaktivandel]]))</f>
        <v>0.94101694915254241</v>
      </c>
      <c r="S288" s="41">
        <f>IF(Tabell2[[#This Row],[Inntekt]]&lt;=J$433,J$433,IF(Tabell2[[#This Row],[Inntekt]]&gt;=J$434,J$434,Tabell2[[#This Row],[Inntekt]]))</f>
        <v>328400</v>
      </c>
      <c r="T288" s="44">
        <f>IF(Tabell2[[#This Row],[NIBR11-T]]&lt;=K$436,100,IF(Tabell2[[#This Row],[NIBR11-T]]&gt;=K$435,0,100*(K$435-Tabell2[[#This Row],[NIBR11-T]])/K$438))</f>
        <v>70</v>
      </c>
      <c r="U288" s="44">
        <f>(L$435-Tabell2[[#This Row],[ReisetidOslo-T]])*100/L$438</f>
        <v>45.439253716682622</v>
      </c>
      <c r="V288" s="44">
        <f>100-(M$435-Tabell2[[#This Row],[Beftettotal-T]])*100/M$438</f>
        <v>4.4423575747073585</v>
      </c>
      <c r="W288" s="44">
        <f>100-(N$435-Tabell2[[#This Row],[Befvekst10-T]])*100/N$438</f>
        <v>30.470696163906439</v>
      </c>
      <c r="X288" s="44">
        <f>100-(O$435-Tabell2[[#This Row],[Kvinneandel-T]])*100/O$438</f>
        <v>48.235322589103653</v>
      </c>
      <c r="Y288" s="44">
        <f>(P$435-Tabell2[[#This Row],[Eldreandel-T]])*100/P$438</f>
        <v>50.709712302350475</v>
      </c>
      <c r="Z288" s="44">
        <f>100-(Q$435-Tabell2[[#This Row],[Sysselsettingsvekst10-T]])*100/Q$438</f>
        <v>100</v>
      </c>
      <c r="AA288" s="44">
        <f>100-(R$435-Tabell2[[#This Row],[Yrkesaktivandel-T]])*100/R$438</f>
        <v>85.571683227969174</v>
      </c>
      <c r="AB288" s="44">
        <f>100-(S$435-Tabell2[[#This Row],[Inntekt-T]])*100/S$438</f>
        <v>49.293094072865685</v>
      </c>
      <c r="AC288" s="44">
        <f>Tabell2[[#This Row],[NIBR11-I]]*Vekter!$B$3</f>
        <v>14</v>
      </c>
      <c r="AD288" s="44">
        <f>Tabell2[[#This Row],[ReisetidOslo-I]]*Vekter!$C$3</f>
        <v>4.5439253716682622</v>
      </c>
      <c r="AE288" s="44">
        <f>Tabell2[[#This Row],[Beftettotal-I]]*Vekter!$E$4</f>
        <v>0.44423575747073585</v>
      </c>
      <c r="AF288" s="44">
        <f>Tabell2[[#This Row],[Befvekst10-I]]*Vekter!$F$3</f>
        <v>6.0941392327812878</v>
      </c>
      <c r="AG288" s="44">
        <f>Tabell2[[#This Row],[Kvinneandel-I]]*Vekter!$G$3</f>
        <v>2.4117661294551827</v>
      </c>
      <c r="AH288" s="44">
        <f>Tabell2[[#This Row],[Eldreandel-I]]*Vekter!$H$3</f>
        <v>2.535485615117524</v>
      </c>
      <c r="AI288" s="44">
        <f>Tabell2[[#This Row],[Sysselsettingsvekst10-I]]*Vekter!$I$3</f>
        <v>10</v>
      </c>
      <c r="AJ288" s="44">
        <f>Tabell2[[#This Row],[Yrkesaktivandel-I]]*Vekter!$K$3</f>
        <v>8.5571683227969171</v>
      </c>
      <c r="AK288" s="44">
        <f>Tabell2[[#This Row],[Inntekt-I]]*Vekter!$M$3</f>
        <v>4.9293094072865689</v>
      </c>
      <c r="AL28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53.516029836576479</v>
      </c>
    </row>
    <row r="289" spans="1:38" s="38" customFormat="1" ht="12.75">
      <c r="A289" s="42" t="s">
        <v>287</v>
      </c>
      <c r="B289" s="38">
        <f>'Rådata-K'!Q289</f>
        <v>5</v>
      </c>
      <c r="C289" s="44">
        <f>'Rådata-K'!P289</f>
        <v>195.8399490354</v>
      </c>
      <c r="D289" s="41">
        <f>'Rådata-K'!R289</f>
        <v>9.2039653330167415</v>
      </c>
      <c r="E289" s="41">
        <f>'Rådata-K'!S289</f>
        <v>-1.4303877940241572E-2</v>
      </c>
      <c r="F289" s="41">
        <f>'Rådata-K'!T289</f>
        <v>0.10254756530151564</v>
      </c>
      <c r="G289" s="41">
        <f>'Rådata-K'!U289</f>
        <v>0.18961625282167044</v>
      </c>
      <c r="H289" s="41">
        <f>'Rådata-K'!V289</f>
        <v>1.7907634307257281E-2</v>
      </c>
      <c r="I289" s="41">
        <f>'Rådata-K'!W289</f>
        <v>0.87242798353909468</v>
      </c>
      <c r="J289" s="41">
        <f>'Rådata-K'!O289</f>
        <v>299700</v>
      </c>
      <c r="K289" s="41">
        <f>Tabell2[[#This Row],[NIBR11]]</f>
        <v>5</v>
      </c>
      <c r="L289" s="41">
        <f>IF(Tabell2[[#This Row],[ReisetidOslo]]&lt;=C$433,C$433,IF(Tabell2[[#This Row],[ReisetidOslo]]&gt;=C$434,C$434,Tabell2[[#This Row],[ReisetidOslo]]))</f>
        <v>195.8399490354</v>
      </c>
      <c r="M289" s="41">
        <f>IF(Tabell2[[#This Row],[Beftettotal]]&lt;=D$433,D$433,IF(Tabell2[[#This Row],[Beftettotal]]&gt;=D$434,D$434,Tabell2[[#This Row],[Beftettotal]]))</f>
        <v>9.2039653330167415</v>
      </c>
      <c r="N289" s="41">
        <f>IF(Tabell2[[#This Row],[Befvekst10]]&lt;=E$433,E$433,IF(Tabell2[[#This Row],[Befvekst10]]&gt;=E$434,E$434,Tabell2[[#This Row],[Befvekst10]]))</f>
        <v>-1.4303877940241572E-2</v>
      </c>
      <c r="O289" s="41">
        <f>IF(Tabell2[[#This Row],[Kvinneandel]]&lt;=F$433,F$433,IF(Tabell2[[#This Row],[Kvinneandel]]&gt;=F$434,F$434,Tabell2[[#This Row],[Kvinneandel]]))</f>
        <v>0.10254756530151564</v>
      </c>
      <c r="P289" s="41">
        <f>IF(Tabell2[[#This Row],[Eldreandel]]&lt;=G$433,G$433,IF(Tabell2[[#This Row],[Eldreandel]]&gt;=G$434,G$434,Tabell2[[#This Row],[Eldreandel]]))</f>
        <v>0.18961625282167044</v>
      </c>
      <c r="Q289" s="41">
        <f>IF(Tabell2[[#This Row],[Sysselsettingsvekst10]]&lt;=H$433,H$433,IF(Tabell2[[#This Row],[Sysselsettingsvekst10]]&gt;=H$434,H$434,Tabell2[[#This Row],[Sysselsettingsvekst10]]))</f>
        <v>1.7907634307257281E-2</v>
      </c>
      <c r="R289" s="41">
        <f>IF(Tabell2[[#This Row],[Yrkesaktivandel]]&lt;=I$433,I$433,IF(Tabell2[[#This Row],[Yrkesaktivandel]]&gt;=I$434,I$434,Tabell2[[#This Row],[Yrkesaktivandel]]))</f>
        <v>0.87242798353909468</v>
      </c>
      <c r="S289" s="41">
        <f>IF(Tabell2[[#This Row],[Inntekt]]&lt;=J$433,J$433,IF(Tabell2[[#This Row],[Inntekt]]&gt;=J$434,J$434,Tabell2[[#This Row],[Inntekt]]))</f>
        <v>299700</v>
      </c>
      <c r="T289" s="44">
        <f>IF(Tabell2[[#This Row],[NIBR11-T]]&lt;=K$436,100,IF(Tabell2[[#This Row],[NIBR11-T]]&gt;=K$435,0,100*(K$435-Tabell2[[#This Row],[NIBR11-T]])/K$438))</f>
        <v>60</v>
      </c>
      <c r="U289" s="44">
        <f>(L$435-Tabell2[[#This Row],[ReisetidOslo-T]])*100/L$438</f>
        <v>36.943626633709655</v>
      </c>
      <c r="V289" s="44">
        <f>100-(M$435-Tabell2[[#This Row],[Beftettotal-T]])*100/M$438</f>
        <v>6.44850267041042</v>
      </c>
      <c r="W289" s="44">
        <f>100-(N$435-Tabell2[[#This Row],[Befvekst10-T]])*100/N$438</f>
        <v>32.112281623270192</v>
      </c>
      <c r="X289" s="44">
        <f>100-(O$435-Tabell2[[#This Row],[Kvinneandel-T]])*100/O$438</f>
        <v>29.635207932645827</v>
      </c>
      <c r="Y289" s="44">
        <f>(P$435-Tabell2[[#This Row],[Eldreandel-T]])*100/P$438</f>
        <v>10.982166080732984</v>
      </c>
      <c r="Z289" s="44">
        <f>100-(Q$435-Tabell2[[#This Row],[Sysselsettingsvekst10-T]])*100/Q$438</f>
        <v>32.364352749680748</v>
      </c>
      <c r="AA289" s="44">
        <f>100-(R$435-Tabell2[[#This Row],[Yrkesaktivandel-T]])*100/R$438</f>
        <v>34.350705096009847</v>
      </c>
      <c r="AB289" s="44">
        <f>100-(S$435-Tabell2[[#This Row],[Inntekt-T]])*100/S$438</f>
        <v>10.277324632952698</v>
      </c>
      <c r="AC289" s="44">
        <f>Tabell2[[#This Row],[NIBR11-I]]*Vekter!$B$3</f>
        <v>12</v>
      </c>
      <c r="AD289" s="44">
        <f>Tabell2[[#This Row],[ReisetidOslo-I]]*Vekter!$C$3</f>
        <v>3.6943626633709656</v>
      </c>
      <c r="AE289" s="44">
        <f>Tabell2[[#This Row],[Beftettotal-I]]*Vekter!$E$4</f>
        <v>0.64485026704104209</v>
      </c>
      <c r="AF289" s="44">
        <f>Tabell2[[#This Row],[Befvekst10-I]]*Vekter!$F$3</f>
        <v>6.4224563246540392</v>
      </c>
      <c r="AG289" s="44">
        <f>Tabell2[[#This Row],[Kvinneandel-I]]*Vekter!$G$3</f>
        <v>1.4817603966322914</v>
      </c>
      <c r="AH289" s="44">
        <f>Tabell2[[#This Row],[Eldreandel-I]]*Vekter!$H$3</f>
        <v>0.54910830403664923</v>
      </c>
      <c r="AI289" s="44">
        <f>Tabell2[[#This Row],[Sysselsettingsvekst10-I]]*Vekter!$I$3</f>
        <v>3.2364352749680751</v>
      </c>
      <c r="AJ289" s="44">
        <f>Tabell2[[#This Row],[Yrkesaktivandel-I]]*Vekter!$K$3</f>
        <v>3.435070509600985</v>
      </c>
      <c r="AK289" s="44">
        <f>Tabell2[[#This Row],[Inntekt-I]]*Vekter!$M$3</f>
        <v>1.0277324632952698</v>
      </c>
      <c r="AL28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32.491776203599322</v>
      </c>
    </row>
    <row r="290" spans="1:38" s="38" customFormat="1" ht="12.75">
      <c r="A290" s="42" t="s">
        <v>288</v>
      </c>
      <c r="B290" s="38">
        <f>'Rådata-K'!Q290</f>
        <v>9</v>
      </c>
      <c r="C290" s="44">
        <f>'Rådata-K'!P290</f>
        <v>220.9231681631</v>
      </c>
      <c r="D290" s="41">
        <f>'Rådata-K'!R290</f>
        <v>4.1998120706660984</v>
      </c>
      <c r="E290" s="41">
        <f>'Rådata-K'!S290</f>
        <v>-2.1484906173511065E-2</v>
      </c>
      <c r="F290" s="41">
        <f>'Rådata-K'!T290</f>
        <v>0.10297387437465258</v>
      </c>
      <c r="G290" s="41">
        <f>'Rådata-K'!U290</f>
        <v>0.16939966648137855</v>
      </c>
      <c r="H290" s="41">
        <f>'Rådata-K'!V290</f>
        <v>-8.5470085470085166E-3</v>
      </c>
      <c r="I290" s="41">
        <f>'Rådata-K'!W290</f>
        <v>0.86432038834951452</v>
      </c>
      <c r="J290" s="41">
        <f>'Rådata-K'!O290</f>
        <v>332900</v>
      </c>
      <c r="K290" s="41">
        <f>Tabell2[[#This Row],[NIBR11]]</f>
        <v>9</v>
      </c>
      <c r="L290" s="41">
        <f>IF(Tabell2[[#This Row],[ReisetidOslo]]&lt;=C$433,C$433,IF(Tabell2[[#This Row],[ReisetidOslo]]&gt;=C$434,C$434,Tabell2[[#This Row],[ReisetidOslo]]))</f>
        <v>220.9231681631</v>
      </c>
      <c r="M290" s="41">
        <f>IF(Tabell2[[#This Row],[Beftettotal]]&lt;=D$433,D$433,IF(Tabell2[[#This Row],[Beftettotal]]&gt;=D$434,D$434,Tabell2[[#This Row],[Beftettotal]]))</f>
        <v>4.1998120706660984</v>
      </c>
      <c r="N290" s="41">
        <f>IF(Tabell2[[#This Row],[Befvekst10]]&lt;=E$433,E$433,IF(Tabell2[[#This Row],[Befvekst10]]&gt;=E$434,E$434,Tabell2[[#This Row],[Befvekst10]]))</f>
        <v>-2.1484906173511065E-2</v>
      </c>
      <c r="O290" s="41">
        <f>IF(Tabell2[[#This Row],[Kvinneandel]]&lt;=F$433,F$433,IF(Tabell2[[#This Row],[Kvinneandel]]&gt;=F$434,F$434,Tabell2[[#This Row],[Kvinneandel]]))</f>
        <v>0.10297387437465258</v>
      </c>
      <c r="P290" s="41">
        <f>IF(Tabell2[[#This Row],[Eldreandel]]&lt;=G$433,G$433,IF(Tabell2[[#This Row],[Eldreandel]]&gt;=G$434,G$434,Tabell2[[#This Row],[Eldreandel]]))</f>
        <v>0.16939966648137855</v>
      </c>
      <c r="Q290" s="41">
        <f>IF(Tabell2[[#This Row],[Sysselsettingsvekst10]]&lt;=H$433,H$433,IF(Tabell2[[#This Row],[Sysselsettingsvekst10]]&gt;=H$434,H$434,Tabell2[[#This Row],[Sysselsettingsvekst10]]))</f>
        <v>-8.5470085470085166E-3</v>
      </c>
      <c r="R290" s="41">
        <f>IF(Tabell2[[#This Row],[Yrkesaktivandel]]&lt;=I$433,I$433,IF(Tabell2[[#This Row],[Yrkesaktivandel]]&gt;=I$434,I$434,Tabell2[[#This Row],[Yrkesaktivandel]]))</f>
        <v>0.86432038834951452</v>
      </c>
      <c r="S290" s="41">
        <f>IF(Tabell2[[#This Row],[Inntekt]]&lt;=J$433,J$433,IF(Tabell2[[#This Row],[Inntekt]]&gt;=J$434,J$434,Tabell2[[#This Row],[Inntekt]]))</f>
        <v>332900</v>
      </c>
      <c r="T290" s="44">
        <f>IF(Tabell2[[#This Row],[NIBR11-T]]&lt;=K$436,100,IF(Tabell2[[#This Row],[NIBR11-T]]&gt;=K$435,0,100*(K$435-Tabell2[[#This Row],[NIBR11-T]])/K$438))</f>
        <v>20</v>
      </c>
      <c r="U290" s="44">
        <f>(L$435-Tabell2[[#This Row],[ReisetidOslo-T]])*100/L$438</f>
        <v>25.807916656442131</v>
      </c>
      <c r="V290" s="44">
        <f>100-(M$435-Tabell2[[#This Row],[Beftettotal-T]])*100/M$438</f>
        <v>2.3550712108023362</v>
      </c>
      <c r="W290" s="44">
        <f>100-(N$435-Tabell2[[#This Row],[Befvekst10-T]])*100/N$438</f>
        <v>29.141383407935109</v>
      </c>
      <c r="X290" s="44">
        <f>100-(O$435-Tabell2[[#This Row],[Kvinneandel-T]])*100/O$438</f>
        <v>30.801786135442626</v>
      </c>
      <c r="Y290" s="44">
        <f>(P$435-Tabell2[[#This Row],[Eldreandel-T]])*100/P$438</f>
        <v>34.785086931334085</v>
      </c>
      <c r="Z290" s="44">
        <f>100-(Q$435-Tabell2[[#This Row],[Sysselsettingsvekst10-T]])*100/Q$438</f>
        <v>24.586235926490048</v>
      </c>
      <c r="AA290" s="44">
        <f>100-(R$435-Tabell2[[#This Row],[Yrkesaktivandel-T]])*100/R$438</f>
        <v>28.296102111490669</v>
      </c>
      <c r="AB290" s="44">
        <f>100-(S$435-Tabell2[[#This Row],[Inntekt-T]])*100/S$438</f>
        <v>55.410549211528007</v>
      </c>
      <c r="AC290" s="44">
        <f>Tabell2[[#This Row],[NIBR11-I]]*Vekter!$B$3</f>
        <v>4</v>
      </c>
      <c r="AD290" s="44">
        <f>Tabell2[[#This Row],[ReisetidOslo-I]]*Vekter!$C$3</f>
        <v>2.5807916656442131</v>
      </c>
      <c r="AE290" s="44">
        <f>Tabell2[[#This Row],[Beftettotal-I]]*Vekter!$E$4</f>
        <v>0.23550712108023364</v>
      </c>
      <c r="AF290" s="44">
        <f>Tabell2[[#This Row],[Befvekst10-I]]*Vekter!$F$3</f>
        <v>5.8282766815870222</v>
      </c>
      <c r="AG290" s="44">
        <f>Tabell2[[#This Row],[Kvinneandel-I]]*Vekter!$G$3</f>
        <v>1.5400893067721313</v>
      </c>
      <c r="AH290" s="44">
        <f>Tabell2[[#This Row],[Eldreandel-I]]*Vekter!$H$3</f>
        <v>1.7392543465667043</v>
      </c>
      <c r="AI290" s="44">
        <f>Tabell2[[#This Row],[Sysselsettingsvekst10-I]]*Vekter!$I$3</f>
        <v>2.4586235926490048</v>
      </c>
      <c r="AJ290" s="44">
        <f>Tabell2[[#This Row],[Yrkesaktivandel-I]]*Vekter!$K$3</f>
        <v>2.8296102111490669</v>
      </c>
      <c r="AK290" s="44">
        <f>Tabell2[[#This Row],[Inntekt-I]]*Vekter!$M$3</f>
        <v>5.5410549211528011</v>
      </c>
      <c r="AL29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26.753207846601178</v>
      </c>
    </row>
    <row r="291" spans="1:38" s="38" customFormat="1" ht="12.75">
      <c r="A291" s="42" t="s">
        <v>289</v>
      </c>
      <c r="B291" s="38">
        <f>'Rådata-K'!Q291</f>
        <v>9</v>
      </c>
      <c r="C291" s="44">
        <f>'Rådata-K'!P291</f>
        <v>243.89762441799999</v>
      </c>
      <c r="D291" s="41">
        <f>'Rådata-K'!R291</f>
        <v>4.3591302246211754</v>
      </c>
      <c r="E291" s="41">
        <f>'Rådata-K'!S291</f>
        <v>-4.5235803657362794E-2</v>
      </c>
      <c r="F291" s="41">
        <f>'Rådata-K'!T291</f>
        <v>9.7782258064516125E-2</v>
      </c>
      <c r="G291" s="41">
        <f>'Rådata-K'!U291</f>
        <v>0.16935483870967741</v>
      </c>
      <c r="H291" s="41">
        <f>'Rådata-K'!V291</f>
        <v>6.0357675111773368E-2</v>
      </c>
      <c r="I291" s="41">
        <f>'Rådata-K'!W291</f>
        <v>0.91451955137920582</v>
      </c>
      <c r="J291" s="41">
        <f>'Rådata-K'!O291</f>
        <v>298900</v>
      </c>
      <c r="K291" s="41">
        <f>Tabell2[[#This Row],[NIBR11]]</f>
        <v>9</v>
      </c>
      <c r="L291" s="41">
        <f>IF(Tabell2[[#This Row],[ReisetidOslo]]&lt;=C$433,C$433,IF(Tabell2[[#This Row],[ReisetidOslo]]&gt;=C$434,C$434,Tabell2[[#This Row],[ReisetidOslo]]))</f>
        <v>243.89762441799999</v>
      </c>
      <c r="M291" s="41">
        <f>IF(Tabell2[[#This Row],[Beftettotal]]&lt;=D$433,D$433,IF(Tabell2[[#This Row],[Beftettotal]]&gt;=D$434,D$434,Tabell2[[#This Row],[Beftettotal]]))</f>
        <v>4.3591302246211754</v>
      </c>
      <c r="N291" s="41">
        <f>IF(Tabell2[[#This Row],[Befvekst10]]&lt;=E$433,E$433,IF(Tabell2[[#This Row],[Befvekst10]]&gt;=E$434,E$434,Tabell2[[#This Row],[Befvekst10]]))</f>
        <v>-4.5235803657362794E-2</v>
      </c>
      <c r="O291" s="41">
        <f>IF(Tabell2[[#This Row],[Kvinneandel]]&lt;=F$433,F$433,IF(Tabell2[[#This Row],[Kvinneandel]]&gt;=F$434,F$434,Tabell2[[#This Row],[Kvinneandel]]))</f>
        <v>9.7782258064516125E-2</v>
      </c>
      <c r="P291" s="41">
        <f>IF(Tabell2[[#This Row],[Eldreandel]]&lt;=G$433,G$433,IF(Tabell2[[#This Row],[Eldreandel]]&gt;=G$434,G$434,Tabell2[[#This Row],[Eldreandel]]))</f>
        <v>0.16935483870967741</v>
      </c>
      <c r="Q291" s="41">
        <f>IF(Tabell2[[#This Row],[Sysselsettingsvekst10]]&lt;=H$433,H$433,IF(Tabell2[[#This Row],[Sysselsettingsvekst10]]&gt;=H$434,H$434,Tabell2[[#This Row],[Sysselsettingsvekst10]]))</f>
        <v>6.0357675111773368E-2</v>
      </c>
      <c r="R291" s="41">
        <f>IF(Tabell2[[#This Row],[Yrkesaktivandel]]&lt;=I$433,I$433,IF(Tabell2[[#This Row],[Yrkesaktivandel]]&gt;=I$434,I$434,Tabell2[[#This Row],[Yrkesaktivandel]]))</f>
        <v>0.91451955137920582</v>
      </c>
      <c r="S291" s="41">
        <f>IF(Tabell2[[#This Row],[Inntekt]]&lt;=J$433,J$433,IF(Tabell2[[#This Row],[Inntekt]]&gt;=J$434,J$434,Tabell2[[#This Row],[Inntekt]]))</f>
        <v>298900</v>
      </c>
      <c r="T291" s="44">
        <f>IF(Tabell2[[#This Row],[NIBR11-T]]&lt;=K$436,100,IF(Tabell2[[#This Row],[NIBR11-T]]&gt;=K$435,0,100*(K$435-Tabell2[[#This Row],[NIBR11-T]])/K$438))</f>
        <v>20</v>
      </c>
      <c r="U291" s="44">
        <f>(L$435-Tabell2[[#This Row],[ReisetidOslo-T]])*100/L$438</f>
        <v>15.608393204627323</v>
      </c>
      <c r="V291" s="44">
        <f>100-(M$435-Tabell2[[#This Row],[Beftettotal-T]])*100/M$438</f>
        <v>2.4853945460992293</v>
      </c>
      <c r="W291" s="44">
        <f>100-(N$435-Tabell2[[#This Row],[Befvekst10-T]])*100/N$438</f>
        <v>19.31528376659513</v>
      </c>
      <c r="X291" s="44">
        <f>100-(O$435-Tabell2[[#This Row],[Kvinneandel-T]])*100/O$438</f>
        <v>16.595129964312875</v>
      </c>
      <c r="Y291" s="44">
        <f>(P$435-Tabell2[[#This Row],[Eldreandel-T]])*100/P$438</f>
        <v>34.83786695481335</v>
      </c>
      <c r="Z291" s="44">
        <f>100-(Q$435-Tabell2[[#This Row],[Sysselsettingsvekst10-T]])*100/Q$438</f>
        <v>44.845389758785458</v>
      </c>
      <c r="AA291" s="44">
        <f>100-(R$435-Tabell2[[#This Row],[Yrkesaktivandel-T]])*100/R$438</f>
        <v>65.783913872313491</v>
      </c>
      <c r="AB291" s="44">
        <f>100-(S$435-Tabell2[[#This Row],[Inntekt-T]])*100/S$438</f>
        <v>9.1897770527460523</v>
      </c>
      <c r="AC291" s="44">
        <f>Tabell2[[#This Row],[NIBR11-I]]*Vekter!$B$3</f>
        <v>4</v>
      </c>
      <c r="AD291" s="44">
        <f>Tabell2[[#This Row],[ReisetidOslo-I]]*Vekter!$C$3</f>
        <v>1.5608393204627324</v>
      </c>
      <c r="AE291" s="44">
        <f>Tabell2[[#This Row],[Beftettotal-I]]*Vekter!$E$4</f>
        <v>0.24853945460992294</v>
      </c>
      <c r="AF291" s="44">
        <f>Tabell2[[#This Row],[Befvekst10-I]]*Vekter!$F$3</f>
        <v>3.8630567533190261</v>
      </c>
      <c r="AG291" s="44">
        <f>Tabell2[[#This Row],[Kvinneandel-I]]*Vekter!$G$3</f>
        <v>0.82975649821564379</v>
      </c>
      <c r="AH291" s="44">
        <f>Tabell2[[#This Row],[Eldreandel-I]]*Vekter!$H$3</f>
        <v>1.7418933477406675</v>
      </c>
      <c r="AI291" s="44">
        <f>Tabell2[[#This Row],[Sysselsettingsvekst10-I]]*Vekter!$I$3</f>
        <v>4.4845389758785457</v>
      </c>
      <c r="AJ291" s="44">
        <f>Tabell2[[#This Row],[Yrkesaktivandel-I]]*Vekter!$K$3</f>
        <v>6.5783913872313491</v>
      </c>
      <c r="AK291" s="44">
        <f>Tabell2[[#This Row],[Inntekt-I]]*Vekter!$M$3</f>
        <v>0.91897770527460532</v>
      </c>
      <c r="AL29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24.225993442732495</v>
      </c>
    </row>
    <row r="292" spans="1:38" s="38" customFormat="1" ht="12.75">
      <c r="A292" s="42" t="s">
        <v>290</v>
      </c>
      <c r="B292" s="38">
        <f>'Rådata-K'!Q292</f>
        <v>9</v>
      </c>
      <c r="C292" s="44">
        <f>'Rådata-K'!P292</f>
        <v>254.30360304050001</v>
      </c>
      <c r="D292" s="41">
        <f>'Rådata-K'!R292</f>
        <v>3.3046340845783742</v>
      </c>
      <c r="E292" s="41">
        <f>'Rådata-K'!S292</f>
        <v>-2.0637898686679201E-2</v>
      </c>
      <c r="F292" s="41">
        <f>'Rådata-K'!T292</f>
        <v>9.5785440613026823E-2</v>
      </c>
      <c r="G292" s="41">
        <f>'Rådata-K'!U292</f>
        <v>0.19492337164750959</v>
      </c>
      <c r="H292" s="41">
        <f>'Rådata-K'!V292</f>
        <v>-7.7163712200208567E-2</v>
      </c>
      <c r="I292" s="41">
        <f>'Rådata-K'!W292</f>
        <v>0.99074930619796486</v>
      </c>
      <c r="J292" s="41">
        <f>'Rådata-K'!O292</f>
        <v>297900</v>
      </c>
      <c r="K292" s="41">
        <f>Tabell2[[#This Row],[NIBR11]]</f>
        <v>9</v>
      </c>
      <c r="L292" s="41">
        <f>IF(Tabell2[[#This Row],[ReisetidOslo]]&lt;=C$433,C$433,IF(Tabell2[[#This Row],[ReisetidOslo]]&gt;=C$434,C$434,Tabell2[[#This Row],[ReisetidOslo]]))</f>
        <v>254.30360304050001</v>
      </c>
      <c r="M292" s="41">
        <f>IF(Tabell2[[#This Row],[Beftettotal]]&lt;=D$433,D$433,IF(Tabell2[[#This Row],[Beftettotal]]&gt;=D$434,D$434,Tabell2[[#This Row],[Beftettotal]]))</f>
        <v>3.3046340845783742</v>
      </c>
      <c r="N292" s="41">
        <f>IF(Tabell2[[#This Row],[Befvekst10]]&lt;=E$433,E$433,IF(Tabell2[[#This Row],[Befvekst10]]&gt;=E$434,E$434,Tabell2[[#This Row],[Befvekst10]]))</f>
        <v>-2.0637898686679201E-2</v>
      </c>
      <c r="O292" s="41">
        <f>IF(Tabell2[[#This Row],[Kvinneandel]]&lt;=F$433,F$433,IF(Tabell2[[#This Row],[Kvinneandel]]&gt;=F$434,F$434,Tabell2[[#This Row],[Kvinneandel]]))</f>
        <v>9.5785440613026823E-2</v>
      </c>
      <c r="P292" s="41">
        <f>IF(Tabell2[[#This Row],[Eldreandel]]&lt;=G$433,G$433,IF(Tabell2[[#This Row],[Eldreandel]]&gt;=G$434,G$434,Tabell2[[#This Row],[Eldreandel]]))</f>
        <v>0.19492337164750959</v>
      </c>
      <c r="Q292" s="41">
        <f>IF(Tabell2[[#This Row],[Sysselsettingsvekst10]]&lt;=H$433,H$433,IF(Tabell2[[#This Row],[Sysselsettingsvekst10]]&gt;=H$434,H$434,Tabell2[[#This Row],[Sysselsettingsvekst10]]))</f>
        <v>-7.7163712200208567E-2</v>
      </c>
      <c r="R292" s="41">
        <f>IF(Tabell2[[#This Row],[Yrkesaktivandel]]&lt;=I$433,I$433,IF(Tabell2[[#This Row],[Yrkesaktivandel]]&gt;=I$434,I$434,Tabell2[[#This Row],[Yrkesaktivandel]]))</f>
        <v>0.96033761343949164</v>
      </c>
      <c r="S292" s="41">
        <f>IF(Tabell2[[#This Row],[Inntekt]]&lt;=J$433,J$433,IF(Tabell2[[#This Row],[Inntekt]]&gt;=J$434,J$434,Tabell2[[#This Row],[Inntekt]]))</f>
        <v>297900</v>
      </c>
      <c r="T292" s="44">
        <f>IF(Tabell2[[#This Row],[NIBR11-T]]&lt;=K$436,100,IF(Tabell2[[#This Row],[NIBR11-T]]&gt;=K$435,0,100*(K$435-Tabell2[[#This Row],[NIBR11-T]])/K$438))</f>
        <v>20</v>
      </c>
      <c r="U292" s="44">
        <f>(L$435-Tabell2[[#This Row],[ReisetidOslo-T]])*100/L$438</f>
        <v>10.988652836380922</v>
      </c>
      <c r="V292" s="44">
        <f>100-(M$435-Tabell2[[#This Row],[Beftettotal-T]])*100/M$438</f>
        <v>1.622809519744763</v>
      </c>
      <c r="W292" s="44">
        <f>100-(N$435-Tabell2[[#This Row],[Befvekst10-T]])*100/N$438</f>
        <v>29.491803006530475</v>
      </c>
      <c r="X292" s="44">
        <f>100-(O$435-Tabell2[[#This Row],[Kvinneandel-T]])*100/O$438</f>
        <v>11.130916649004448</v>
      </c>
      <c r="Y292" s="44">
        <f>(P$435-Tabell2[[#This Row],[Eldreandel-T]])*100/P$438</f>
        <v>4.733587451787244</v>
      </c>
      <c r="Z292" s="44">
        <f>100-(Q$435-Tabell2[[#This Row],[Sysselsettingsvekst10-T]])*100/Q$438</f>
        <v>4.4117531343027281</v>
      </c>
      <c r="AA292" s="44">
        <f>100-(R$435-Tabell2[[#This Row],[Yrkesaktivandel-T]])*100/R$438</f>
        <v>100</v>
      </c>
      <c r="AB292" s="44">
        <f>100-(S$435-Tabell2[[#This Row],[Inntekt-T]])*100/S$438</f>
        <v>7.8303425774877695</v>
      </c>
      <c r="AC292" s="44">
        <f>Tabell2[[#This Row],[NIBR11-I]]*Vekter!$B$3</f>
        <v>4</v>
      </c>
      <c r="AD292" s="44">
        <f>Tabell2[[#This Row],[ReisetidOslo-I]]*Vekter!$C$3</f>
        <v>1.0988652836380923</v>
      </c>
      <c r="AE292" s="44">
        <f>Tabell2[[#This Row],[Beftettotal-I]]*Vekter!$E$4</f>
        <v>0.16228095197447631</v>
      </c>
      <c r="AF292" s="44">
        <f>Tabell2[[#This Row],[Befvekst10-I]]*Vekter!$F$3</f>
        <v>5.898360601306095</v>
      </c>
      <c r="AG292" s="44">
        <f>Tabell2[[#This Row],[Kvinneandel-I]]*Vekter!$G$3</f>
        <v>0.55654583245022238</v>
      </c>
      <c r="AH292" s="44">
        <f>Tabell2[[#This Row],[Eldreandel-I]]*Vekter!$H$3</f>
        <v>0.23667937258936222</v>
      </c>
      <c r="AI292" s="44">
        <f>Tabell2[[#This Row],[Sysselsettingsvekst10-I]]*Vekter!$I$3</f>
        <v>0.44117531343027283</v>
      </c>
      <c r="AJ292" s="44">
        <f>Tabell2[[#This Row],[Yrkesaktivandel-I]]*Vekter!$K$3</f>
        <v>10</v>
      </c>
      <c r="AK292" s="44">
        <f>Tabell2[[#This Row],[Inntekt-I]]*Vekter!$M$3</f>
        <v>0.783034257748777</v>
      </c>
      <c r="AL29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23.176941613137299</v>
      </c>
    </row>
    <row r="293" spans="1:38" s="38" customFormat="1" ht="12.75">
      <c r="A293" s="42" t="s">
        <v>291</v>
      </c>
      <c r="B293" s="38">
        <f>'Rådata-K'!Q293</f>
        <v>9</v>
      </c>
      <c r="C293" s="44">
        <f>'Rådata-K'!P293</f>
        <v>222.7438501076</v>
      </c>
      <c r="D293" s="41">
        <f>'Rådata-K'!R293</f>
        <v>5.4514650189356191</v>
      </c>
      <c r="E293" s="41">
        <f>'Rådata-K'!S293</f>
        <v>-6.2285714285714278E-2</v>
      </c>
      <c r="F293" s="41">
        <f>'Rådata-K'!T293</f>
        <v>9.8720292504570387E-2</v>
      </c>
      <c r="G293" s="41">
        <f>'Rådata-K'!U293</f>
        <v>0.20658135283363802</v>
      </c>
      <c r="H293" s="41">
        <f>'Rådata-K'!V293</f>
        <v>-9.7754293262879766E-2</v>
      </c>
      <c r="I293" s="41">
        <f>'Rådata-K'!W293</f>
        <v>0.88583973655323822</v>
      </c>
      <c r="J293" s="41">
        <f>'Rådata-K'!O293</f>
        <v>301200</v>
      </c>
      <c r="K293" s="41">
        <f>Tabell2[[#This Row],[NIBR11]]</f>
        <v>9</v>
      </c>
      <c r="L293" s="41">
        <f>IF(Tabell2[[#This Row],[ReisetidOslo]]&lt;=C$433,C$433,IF(Tabell2[[#This Row],[ReisetidOslo]]&gt;=C$434,C$434,Tabell2[[#This Row],[ReisetidOslo]]))</f>
        <v>222.7438501076</v>
      </c>
      <c r="M293" s="41">
        <f>IF(Tabell2[[#This Row],[Beftettotal]]&lt;=D$433,D$433,IF(Tabell2[[#This Row],[Beftettotal]]&gt;=D$434,D$434,Tabell2[[#This Row],[Beftettotal]]))</f>
        <v>5.4514650189356191</v>
      </c>
      <c r="N293" s="41">
        <f>IF(Tabell2[[#This Row],[Befvekst10]]&lt;=E$433,E$433,IF(Tabell2[[#This Row],[Befvekst10]]&gt;=E$434,E$434,Tabell2[[#This Row],[Befvekst10]]))</f>
        <v>-6.2285714285714278E-2</v>
      </c>
      <c r="O293" s="41">
        <f>IF(Tabell2[[#This Row],[Kvinneandel]]&lt;=F$433,F$433,IF(Tabell2[[#This Row],[Kvinneandel]]&gt;=F$434,F$434,Tabell2[[#This Row],[Kvinneandel]]))</f>
        <v>9.8720292504570387E-2</v>
      </c>
      <c r="P293" s="41">
        <f>IF(Tabell2[[#This Row],[Eldreandel]]&lt;=G$433,G$433,IF(Tabell2[[#This Row],[Eldreandel]]&gt;=G$434,G$434,Tabell2[[#This Row],[Eldreandel]]))</f>
        <v>0.1989437597342919</v>
      </c>
      <c r="Q293" s="41">
        <f>IF(Tabell2[[#This Row],[Sysselsettingsvekst10]]&lt;=H$433,H$433,IF(Tabell2[[#This Row],[Sysselsettingsvekst10]]&gt;=H$434,H$434,Tabell2[[#This Row],[Sysselsettingsvekst10]]))</f>
        <v>-9.2168803558721979E-2</v>
      </c>
      <c r="R293" s="41">
        <f>IF(Tabell2[[#This Row],[Yrkesaktivandel]]&lt;=I$433,I$433,IF(Tabell2[[#This Row],[Yrkesaktivandel]]&gt;=I$434,I$434,Tabell2[[#This Row],[Yrkesaktivandel]]))</f>
        <v>0.88583973655323822</v>
      </c>
      <c r="S293" s="41">
        <f>IF(Tabell2[[#This Row],[Inntekt]]&lt;=J$433,J$433,IF(Tabell2[[#This Row],[Inntekt]]&gt;=J$434,J$434,Tabell2[[#This Row],[Inntekt]]))</f>
        <v>301200</v>
      </c>
      <c r="T293" s="44">
        <f>IF(Tabell2[[#This Row],[NIBR11-T]]&lt;=K$436,100,IF(Tabell2[[#This Row],[NIBR11-T]]&gt;=K$435,0,100*(K$435-Tabell2[[#This Row],[NIBR11-T]])/K$438))</f>
        <v>20</v>
      </c>
      <c r="U293" s="44">
        <f>(L$435-Tabell2[[#This Row],[ReisetidOslo-T]])*100/L$438</f>
        <v>24.999623829609163</v>
      </c>
      <c r="V293" s="44">
        <f>100-(M$435-Tabell2[[#This Row],[Beftettotal-T]])*100/M$438</f>
        <v>3.378931849425328</v>
      </c>
      <c r="W293" s="44">
        <f>100-(N$435-Tabell2[[#This Row],[Befvekst10-T]])*100/N$438</f>
        <v>12.261482080826013</v>
      </c>
      <c r="X293" s="44">
        <f>100-(O$435-Tabell2[[#This Row],[Kvinneandel-T]])*100/O$438</f>
        <v>19.162024736661493</v>
      </c>
      <c r="Y293" s="44">
        <f>(P$435-Tabell2[[#This Row],[Eldreandel-T]])*100/P$438</f>
        <v>0</v>
      </c>
      <c r="Z293" s="44">
        <f>100-(Q$435-Tabell2[[#This Row],[Sysselsettingsvekst10-T]])*100/Q$438</f>
        <v>0</v>
      </c>
      <c r="AA293" s="44">
        <f>100-(R$435-Tabell2[[#This Row],[Yrkesaktivandel-T]])*100/R$438</f>
        <v>44.366355597582626</v>
      </c>
      <c r="AB293" s="44">
        <f>100-(S$435-Tabell2[[#This Row],[Inntekt-T]])*100/S$438</f>
        <v>12.31647634584013</v>
      </c>
      <c r="AC293" s="44">
        <f>Tabell2[[#This Row],[NIBR11-I]]*Vekter!$B$3</f>
        <v>4</v>
      </c>
      <c r="AD293" s="44">
        <f>Tabell2[[#This Row],[ReisetidOslo-I]]*Vekter!$C$3</f>
        <v>2.4999623829609163</v>
      </c>
      <c r="AE293" s="44">
        <f>Tabell2[[#This Row],[Beftettotal-I]]*Vekter!$E$4</f>
        <v>0.33789318494253284</v>
      </c>
      <c r="AF293" s="44">
        <f>Tabell2[[#This Row],[Befvekst10-I]]*Vekter!$F$3</f>
        <v>2.4522964161652028</v>
      </c>
      <c r="AG293" s="44">
        <f>Tabell2[[#This Row],[Kvinneandel-I]]*Vekter!$G$3</f>
        <v>0.95810123683307469</v>
      </c>
      <c r="AH293" s="44">
        <f>Tabell2[[#This Row],[Eldreandel-I]]*Vekter!$H$3</f>
        <v>0</v>
      </c>
      <c r="AI293" s="44">
        <f>Tabell2[[#This Row],[Sysselsettingsvekst10-I]]*Vekter!$I$3</f>
        <v>0</v>
      </c>
      <c r="AJ293" s="44">
        <f>Tabell2[[#This Row],[Yrkesaktivandel-I]]*Vekter!$K$3</f>
        <v>4.4366355597582627</v>
      </c>
      <c r="AK293" s="44">
        <f>Tabell2[[#This Row],[Inntekt-I]]*Vekter!$M$3</f>
        <v>1.2316476345840131</v>
      </c>
      <c r="AL29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15.916536415244002</v>
      </c>
    </row>
    <row r="294" spans="1:38" s="38" customFormat="1" ht="12.75">
      <c r="A294" s="42" t="s">
        <v>292</v>
      </c>
      <c r="B294" s="38">
        <f>'Rådata-K'!Q294</f>
        <v>11</v>
      </c>
      <c r="C294" s="44">
        <f>'Rådata-K'!P294</f>
        <v>249.9183892133</v>
      </c>
      <c r="D294" s="41">
        <f>'Rådata-K'!R294</f>
        <v>7.7425306933503659</v>
      </c>
      <c r="E294" s="41">
        <f>'Rådata-K'!S294</f>
        <v>-6.3117217689995675E-2</v>
      </c>
      <c r="F294" s="41">
        <f>'Rådata-K'!T294</f>
        <v>9.4867094408799271E-2</v>
      </c>
      <c r="G294" s="41">
        <f>'Rådata-K'!U294</f>
        <v>0.19660861594867093</v>
      </c>
      <c r="H294" s="41">
        <f>'Rådata-K'!V294</f>
        <v>4.8832271762208057E-2</v>
      </c>
      <c r="I294" s="41">
        <f>'Rådata-K'!W294</f>
        <v>0.90116279069767447</v>
      </c>
      <c r="J294" s="41">
        <f>'Rådata-K'!O294</f>
        <v>328200</v>
      </c>
      <c r="K294" s="41">
        <f>Tabell2[[#This Row],[NIBR11]]</f>
        <v>11</v>
      </c>
      <c r="L294" s="41">
        <f>IF(Tabell2[[#This Row],[ReisetidOslo]]&lt;=C$433,C$433,IF(Tabell2[[#This Row],[ReisetidOslo]]&gt;=C$434,C$434,Tabell2[[#This Row],[ReisetidOslo]]))</f>
        <v>249.9183892133</v>
      </c>
      <c r="M294" s="41">
        <f>IF(Tabell2[[#This Row],[Beftettotal]]&lt;=D$433,D$433,IF(Tabell2[[#This Row],[Beftettotal]]&gt;=D$434,D$434,Tabell2[[#This Row],[Beftettotal]]))</f>
        <v>7.7425306933503659</v>
      </c>
      <c r="N294" s="41">
        <f>IF(Tabell2[[#This Row],[Befvekst10]]&lt;=E$433,E$433,IF(Tabell2[[#This Row],[Befvekst10]]&gt;=E$434,E$434,Tabell2[[#This Row],[Befvekst10]]))</f>
        <v>-6.3117217689995675E-2</v>
      </c>
      <c r="O294" s="41">
        <f>IF(Tabell2[[#This Row],[Kvinneandel]]&lt;=F$433,F$433,IF(Tabell2[[#This Row],[Kvinneandel]]&gt;=F$434,F$434,Tabell2[[#This Row],[Kvinneandel]]))</f>
        <v>9.4867094408799271E-2</v>
      </c>
      <c r="P294" s="41">
        <f>IF(Tabell2[[#This Row],[Eldreandel]]&lt;=G$433,G$433,IF(Tabell2[[#This Row],[Eldreandel]]&gt;=G$434,G$434,Tabell2[[#This Row],[Eldreandel]]))</f>
        <v>0.19660861594867093</v>
      </c>
      <c r="Q294" s="41">
        <f>IF(Tabell2[[#This Row],[Sysselsettingsvekst10]]&lt;=H$433,H$433,IF(Tabell2[[#This Row],[Sysselsettingsvekst10]]&gt;=H$434,H$434,Tabell2[[#This Row],[Sysselsettingsvekst10]]))</f>
        <v>4.8832271762208057E-2</v>
      </c>
      <c r="R294" s="41">
        <f>IF(Tabell2[[#This Row],[Yrkesaktivandel]]&lt;=I$433,I$433,IF(Tabell2[[#This Row],[Yrkesaktivandel]]&gt;=I$434,I$434,Tabell2[[#This Row],[Yrkesaktivandel]]))</f>
        <v>0.90116279069767447</v>
      </c>
      <c r="S294" s="41">
        <f>IF(Tabell2[[#This Row],[Inntekt]]&lt;=J$433,J$433,IF(Tabell2[[#This Row],[Inntekt]]&gt;=J$434,J$434,Tabell2[[#This Row],[Inntekt]]))</f>
        <v>328200</v>
      </c>
      <c r="T294" s="44">
        <f>IF(Tabell2[[#This Row],[NIBR11-T]]&lt;=K$436,100,IF(Tabell2[[#This Row],[NIBR11-T]]&gt;=K$435,0,100*(K$435-Tabell2[[#This Row],[NIBR11-T]])/K$438))</f>
        <v>0</v>
      </c>
      <c r="U294" s="44">
        <f>(L$435-Tabell2[[#This Row],[ReisetidOslo-T]])*100/L$438</f>
        <v>12.935471110358991</v>
      </c>
      <c r="V294" s="44">
        <f>100-(M$435-Tabell2[[#This Row],[Beftettotal-T]])*100/M$438</f>
        <v>5.2530391790781579</v>
      </c>
      <c r="W294" s="44">
        <f>100-(N$435-Tabell2[[#This Row],[Befvekst10-T]])*100/N$438</f>
        <v>11.917476751842656</v>
      </c>
      <c r="X294" s="44">
        <f>100-(O$435-Tabell2[[#This Row],[Kvinneandel-T]])*100/O$438</f>
        <v>8.617897968473315</v>
      </c>
      <c r="Y294" s="44">
        <f>(P$435-Tabell2[[#This Row],[Eldreandel-T]])*100/P$438</f>
        <v>2.7493881394373147</v>
      </c>
      <c r="Z294" s="44">
        <f>100-(Q$435-Tabell2[[#This Row],[Sysselsettingsvekst10-T]])*100/Q$438</f>
        <v>41.456724329387782</v>
      </c>
      <c r="AA294" s="44">
        <f>100-(R$435-Tabell2[[#This Row],[Yrkesaktivandel-T]])*100/R$438</f>
        <v>55.809330633396776</v>
      </c>
      <c r="AB294" s="44">
        <f>100-(S$435-Tabell2[[#This Row],[Inntekt-T]])*100/S$438</f>
        <v>49.021207177814027</v>
      </c>
      <c r="AC294" s="44">
        <f>Tabell2[[#This Row],[NIBR11-I]]*Vekter!$B$3</f>
        <v>0</v>
      </c>
      <c r="AD294" s="44">
        <f>Tabell2[[#This Row],[ReisetidOslo-I]]*Vekter!$C$3</f>
        <v>1.2935471110358991</v>
      </c>
      <c r="AE294" s="44">
        <f>Tabell2[[#This Row],[Beftettotal-I]]*Vekter!$E$4</f>
        <v>0.52530391790781583</v>
      </c>
      <c r="AF294" s="44">
        <f>Tabell2[[#This Row],[Befvekst10-I]]*Vekter!$F$3</f>
        <v>2.3834953503685314</v>
      </c>
      <c r="AG294" s="44">
        <f>Tabell2[[#This Row],[Kvinneandel-I]]*Vekter!$G$3</f>
        <v>0.4308948984236658</v>
      </c>
      <c r="AH294" s="44">
        <f>Tabell2[[#This Row],[Eldreandel-I]]*Vekter!$H$3</f>
        <v>0.13746940697186574</v>
      </c>
      <c r="AI294" s="44">
        <f>Tabell2[[#This Row],[Sysselsettingsvekst10-I]]*Vekter!$I$3</f>
        <v>4.1456724329387784</v>
      </c>
      <c r="AJ294" s="44">
        <f>Tabell2[[#This Row],[Yrkesaktivandel-I]]*Vekter!$K$3</f>
        <v>5.5809330633396783</v>
      </c>
      <c r="AK294" s="44">
        <f>Tabell2[[#This Row],[Inntekt-I]]*Vekter!$M$3</f>
        <v>4.9021207177814032</v>
      </c>
      <c r="AL29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19.399436898767636</v>
      </c>
    </row>
    <row r="295" spans="1:38" s="38" customFormat="1" ht="12.75">
      <c r="A295" s="42" t="s">
        <v>293</v>
      </c>
      <c r="B295" s="38">
        <f>'Rådata-K'!Q295</f>
        <v>11</v>
      </c>
      <c r="C295" s="44">
        <f>'Rådata-K'!P295</f>
        <v>221.96109544550001</v>
      </c>
      <c r="D295" s="41">
        <f>'Rådata-K'!R295</f>
        <v>5.452371338944622</v>
      </c>
      <c r="E295" s="41">
        <f>'Rådata-K'!S295</f>
        <v>-6.2983720309580993E-2</v>
      </c>
      <c r="F295" s="41">
        <f>'Rådata-K'!T295</f>
        <v>9.3990316149245232E-2</v>
      </c>
      <c r="G295" s="41">
        <f>'Rådata-K'!U295</f>
        <v>0.18513244090002848</v>
      </c>
      <c r="H295" s="41">
        <f>'Rådata-K'!V295</f>
        <v>2.9716655148583238E-2</v>
      </c>
      <c r="I295" s="41">
        <f>'Rådata-K'!W295</f>
        <v>0.89401622718052742</v>
      </c>
      <c r="J295" s="41">
        <f>'Rådata-K'!O295</f>
        <v>317000</v>
      </c>
      <c r="K295" s="41">
        <f>Tabell2[[#This Row],[NIBR11]]</f>
        <v>11</v>
      </c>
      <c r="L295" s="41">
        <f>IF(Tabell2[[#This Row],[ReisetidOslo]]&lt;=C$433,C$433,IF(Tabell2[[#This Row],[ReisetidOslo]]&gt;=C$434,C$434,Tabell2[[#This Row],[ReisetidOslo]]))</f>
        <v>221.96109544550001</v>
      </c>
      <c r="M295" s="41">
        <f>IF(Tabell2[[#This Row],[Beftettotal]]&lt;=D$433,D$433,IF(Tabell2[[#This Row],[Beftettotal]]&gt;=D$434,D$434,Tabell2[[#This Row],[Beftettotal]]))</f>
        <v>5.452371338944622</v>
      </c>
      <c r="N295" s="41">
        <f>IF(Tabell2[[#This Row],[Befvekst10]]&lt;=E$433,E$433,IF(Tabell2[[#This Row],[Befvekst10]]&gt;=E$434,E$434,Tabell2[[#This Row],[Befvekst10]]))</f>
        <v>-6.2983720309580993E-2</v>
      </c>
      <c r="O295" s="41">
        <f>IF(Tabell2[[#This Row],[Kvinneandel]]&lt;=F$433,F$433,IF(Tabell2[[#This Row],[Kvinneandel]]&gt;=F$434,F$434,Tabell2[[#This Row],[Kvinneandel]]))</f>
        <v>9.3990316149245232E-2</v>
      </c>
      <c r="P295" s="41">
        <f>IF(Tabell2[[#This Row],[Eldreandel]]&lt;=G$433,G$433,IF(Tabell2[[#This Row],[Eldreandel]]&gt;=G$434,G$434,Tabell2[[#This Row],[Eldreandel]]))</f>
        <v>0.18513244090002848</v>
      </c>
      <c r="Q295" s="41">
        <f>IF(Tabell2[[#This Row],[Sysselsettingsvekst10]]&lt;=H$433,H$433,IF(Tabell2[[#This Row],[Sysselsettingsvekst10]]&gt;=H$434,H$434,Tabell2[[#This Row],[Sysselsettingsvekst10]]))</f>
        <v>2.9716655148583238E-2</v>
      </c>
      <c r="R295" s="41">
        <f>IF(Tabell2[[#This Row],[Yrkesaktivandel]]&lt;=I$433,I$433,IF(Tabell2[[#This Row],[Yrkesaktivandel]]&gt;=I$434,I$434,Tabell2[[#This Row],[Yrkesaktivandel]]))</f>
        <v>0.89401622718052742</v>
      </c>
      <c r="S295" s="41">
        <f>IF(Tabell2[[#This Row],[Inntekt]]&lt;=J$433,J$433,IF(Tabell2[[#This Row],[Inntekt]]&gt;=J$434,J$434,Tabell2[[#This Row],[Inntekt]]))</f>
        <v>317000</v>
      </c>
      <c r="T295" s="44">
        <f>IF(Tabell2[[#This Row],[NIBR11-T]]&lt;=K$436,100,IF(Tabell2[[#This Row],[NIBR11-T]]&gt;=K$435,0,100*(K$435-Tabell2[[#This Row],[NIBR11-T]])/K$438))</f>
        <v>0</v>
      </c>
      <c r="U295" s="44">
        <f>(L$435-Tabell2[[#This Row],[ReisetidOslo-T]])*100/L$438</f>
        <v>25.347128225122482</v>
      </c>
      <c r="V295" s="44">
        <f>100-(M$435-Tabell2[[#This Row],[Beftettotal-T]])*100/M$438</f>
        <v>3.3796732253670285</v>
      </c>
      <c r="W295" s="44">
        <f>100-(N$435-Tabell2[[#This Row],[Befvekst10-T]])*100/N$438</f>
        <v>11.97270660421789</v>
      </c>
      <c r="X295" s="44">
        <f>100-(O$435-Tabell2[[#This Row],[Kvinneandel-T]])*100/O$438</f>
        <v>6.2186283522873822</v>
      </c>
      <c r="Y295" s="44">
        <f>(P$435-Tabell2[[#This Row],[Eldreandel-T]])*100/P$438</f>
        <v>16.261386740608458</v>
      </c>
      <c r="Z295" s="44">
        <f>100-(Q$435-Tabell2[[#This Row],[Sysselsettingsvekst10-T]])*100/Q$438</f>
        <v>35.836406565614851</v>
      </c>
      <c r="AA295" s="44">
        <f>100-(R$435-Tabell2[[#This Row],[Yrkesaktivandel-T]])*100/R$438</f>
        <v>50.472408427958563</v>
      </c>
      <c r="AB295" s="44">
        <f>100-(S$435-Tabell2[[#This Row],[Inntekt-T]])*100/S$438</f>
        <v>33.795541054921159</v>
      </c>
      <c r="AC295" s="44">
        <f>Tabell2[[#This Row],[NIBR11-I]]*Vekter!$B$3</f>
        <v>0</v>
      </c>
      <c r="AD295" s="44">
        <f>Tabell2[[#This Row],[ReisetidOslo-I]]*Vekter!$C$3</f>
        <v>2.5347128225122484</v>
      </c>
      <c r="AE295" s="44">
        <f>Tabell2[[#This Row],[Beftettotal-I]]*Vekter!$E$4</f>
        <v>0.33796732253670286</v>
      </c>
      <c r="AF295" s="44">
        <f>Tabell2[[#This Row],[Befvekst10-I]]*Vekter!$F$3</f>
        <v>2.3945413208435782</v>
      </c>
      <c r="AG295" s="44">
        <f>Tabell2[[#This Row],[Kvinneandel-I]]*Vekter!$G$3</f>
        <v>0.31093141761436915</v>
      </c>
      <c r="AH295" s="44">
        <f>Tabell2[[#This Row],[Eldreandel-I]]*Vekter!$H$3</f>
        <v>0.81306933703042295</v>
      </c>
      <c r="AI295" s="44">
        <f>Tabell2[[#This Row],[Sysselsettingsvekst10-I]]*Vekter!$I$3</f>
        <v>3.5836406565614851</v>
      </c>
      <c r="AJ295" s="44">
        <f>Tabell2[[#This Row],[Yrkesaktivandel-I]]*Vekter!$K$3</f>
        <v>5.0472408427958566</v>
      </c>
      <c r="AK295" s="44">
        <f>Tabell2[[#This Row],[Inntekt-I]]*Vekter!$M$3</f>
        <v>3.3795541054921161</v>
      </c>
      <c r="AL29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18.401657825386778</v>
      </c>
    </row>
    <row r="296" spans="1:38" s="38" customFormat="1" ht="12.75">
      <c r="A296" s="42" t="s">
        <v>294</v>
      </c>
      <c r="B296" s="38">
        <f>'Rådata-K'!Q296</f>
        <v>2</v>
      </c>
      <c r="C296" s="44">
        <f>'Rådata-K'!P296</f>
        <v>180.31742073930002</v>
      </c>
      <c r="D296" s="41">
        <f>'Rådata-K'!R296</f>
        <v>515.18550978673682</v>
      </c>
      <c r="E296" s="41">
        <f>'Rådata-K'!S296</f>
        <v>0.16472049033076197</v>
      </c>
      <c r="F296" s="41">
        <f>'Rådata-K'!T296</f>
        <v>0.15278880395581465</v>
      </c>
      <c r="G296" s="41">
        <f>'Rådata-K'!U296</f>
        <v>0.110849003107492</v>
      </c>
      <c r="H296" s="41">
        <f>'Rådata-K'!V296</f>
        <v>0.20944133394182929</v>
      </c>
      <c r="I296" s="41">
        <f>'Rådata-K'!W296</f>
        <v>0.83961008596813069</v>
      </c>
      <c r="J296" s="41">
        <f>'Rådata-K'!O296</f>
        <v>358300</v>
      </c>
      <c r="K296" s="41">
        <f>Tabell2[[#This Row],[NIBR11]]</f>
        <v>2</v>
      </c>
      <c r="L296" s="41">
        <f>IF(Tabell2[[#This Row],[ReisetidOslo]]&lt;=C$433,C$433,IF(Tabell2[[#This Row],[ReisetidOslo]]&gt;=C$434,C$434,Tabell2[[#This Row],[ReisetidOslo]]))</f>
        <v>180.31742073930002</v>
      </c>
      <c r="M296" s="41">
        <f>IF(Tabell2[[#This Row],[Beftettotal]]&lt;=D$433,D$433,IF(Tabell2[[#This Row],[Beftettotal]]&gt;=D$434,D$434,Tabell2[[#This Row],[Beftettotal]]))</f>
        <v>123.5691465212405</v>
      </c>
      <c r="N296" s="41">
        <f>IF(Tabell2[[#This Row],[Befvekst10]]&lt;=E$433,E$433,IF(Tabell2[[#This Row],[Befvekst10]]&gt;=E$434,E$434,Tabell2[[#This Row],[Befvekst10]]))</f>
        <v>0.149789129298837</v>
      </c>
      <c r="O296" s="41">
        <f>IF(Tabell2[[#This Row],[Kvinneandel]]&lt;=F$433,F$433,IF(Tabell2[[#This Row],[Kvinneandel]]&gt;=F$434,F$434,Tabell2[[#This Row],[Kvinneandel]]))</f>
        <v>0.12826135732659469</v>
      </c>
      <c r="P296" s="41">
        <f>IF(Tabell2[[#This Row],[Eldreandel]]&lt;=G$433,G$433,IF(Tabell2[[#This Row],[Eldreandel]]&gt;=G$434,G$434,Tabell2[[#This Row],[Eldreandel]]))</f>
        <v>0.11401054306234992</v>
      </c>
      <c r="Q296" s="41">
        <f>IF(Tabell2[[#This Row],[Sysselsettingsvekst10]]&lt;=H$433,H$433,IF(Tabell2[[#This Row],[Sysselsettingsvekst10]]&gt;=H$434,H$434,Tabell2[[#This Row],[Sysselsettingsvekst10]]))</f>
        <v>0.20944133394182929</v>
      </c>
      <c r="R296" s="41">
        <f>IF(Tabell2[[#This Row],[Yrkesaktivandel]]&lt;=I$433,I$433,IF(Tabell2[[#This Row],[Yrkesaktivandel]]&gt;=I$434,I$434,Tabell2[[#This Row],[Yrkesaktivandel]]))</f>
        <v>0.83961008596813069</v>
      </c>
      <c r="S296" s="41">
        <f>IF(Tabell2[[#This Row],[Inntekt]]&lt;=J$433,J$433,IF(Tabell2[[#This Row],[Inntekt]]&gt;=J$434,J$434,Tabell2[[#This Row],[Inntekt]]))</f>
        <v>358300</v>
      </c>
      <c r="T296" s="44">
        <f>IF(Tabell2[[#This Row],[NIBR11-T]]&lt;=K$436,100,IF(Tabell2[[#This Row],[NIBR11-T]]&gt;=K$435,0,100*(K$435-Tabell2[[#This Row],[NIBR11-T]])/K$438))</f>
        <v>90</v>
      </c>
      <c r="U296" s="44">
        <f>(L$435-Tabell2[[#This Row],[ReisetidOslo-T]])*100/L$438</f>
        <v>43.83486225778514</v>
      </c>
      <c r="V296" s="44">
        <f>100-(M$435-Tabell2[[#This Row],[Beftettotal-T]])*100/M$438</f>
        <v>100</v>
      </c>
      <c r="W296" s="44">
        <f>100-(N$435-Tabell2[[#This Row],[Befvekst10-T]])*100/N$438</f>
        <v>100</v>
      </c>
      <c r="X296" s="44">
        <f>100-(O$435-Tabell2[[#This Row],[Kvinneandel-T]])*100/O$438</f>
        <v>100</v>
      </c>
      <c r="Y296" s="44">
        <f>(P$435-Tabell2[[#This Row],[Eldreandel-T]])*100/P$438</f>
        <v>100</v>
      </c>
      <c r="Z296" s="44">
        <f>100-(Q$435-Tabell2[[#This Row],[Sysselsettingsvekst10-T]])*100/Q$438</f>
        <v>88.678531683886078</v>
      </c>
      <c r="AA296" s="44">
        <f>100-(R$435-Tabell2[[#This Row],[Yrkesaktivandel-T]])*100/R$438</f>
        <v>9.8429027288947992</v>
      </c>
      <c r="AB296" s="44">
        <f>100-(S$435-Tabell2[[#This Row],[Inntekt-T]])*100/S$438</f>
        <v>89.940184883088634</v>
      </c>
      <c r="AC296" s="44">
        <f>Tabell2[[#This Row],[NIBR11-I]]*Vekter!$B$3</f>
        <v>18</v>
      </c>
      <c r="AD296" s="44">
        <f>Tabell2[[#This Row],[ReisetidOslo-I]]*Vekter!$C$3</f>
        <v>4.3834862257785145</v>
      </c>
      <c r="AE296" s="44">
        <f>Tabell2[[#This Row],[Beftettotal-I]]*Vekter!$E$4</f>
        <v>10</v>
      </c>
      <c r="AF296" s="44">
        <f>Tabell2[[#This Row],[Befvekst10-I]]*Vekter!$F$3</f>
        <v>20</v>
      </c>
      <c r="AG296" s="44">
        <f>Tabell2[[#This Row],[Kvinneandel-I]]*Vekter!$G$3</f>
        <v>5</v>
      </c>
      <c r="AH296" s="44">
        <f>Tabell2[[#This Row],[Eldreandel-I]]*Vekter!$H$3</f>
        <v>5</v>
      </c>
      <c r="AI296" s="44">
        <f>Tabell2[[#This Row],[Sysselsettingsvekst10-I]]*Vekter!$I$3</f>
        <v>8.8678531683886082</v>
      </c>
      <c r="AJ296" s="44">
        <f>Tabell2[[#This Row],[Yrkesaktivandel-I]]*Vekter!$K$3</f>
        <v>0.98429027288948001</v>
      </c>
      <c r="AK296" s="44">
        <f>Tabell2[[#This Row],[Inntekt-I]]*Vekter!$M$3</f>
        <v>8.9940184883088641</v>
      </c>
      <c r="AL29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81.229648155365467</v>
      </c>
    </row>
    <row r="297" spans="1:38" s="38" customFormat="1" ht="12.75">
      <c r="A297" s="42" t="s">
        <v>295</v>
      </c>
      <c r="B297" s="38">
        <f>'Rådata-K'!Q297</f>
        <v>9</v>
      </c>
      <c r="C297" s="44">
        <f>'Rådata-K'!P297</f>
        <v>253.51839397929999</v>
      </c>
      <c r="D297" s="41">
        <f>'Rådata-K'!R297</f>
        <v>6.2972743141028502</v>
      </c>
      <c r="E297" s="41">
        <f>'Rådata-K'!S297</f>
        <v>-1.3323983169705511E-2</v>
      </c>
      <c r="F297" s="41">
        <f>'Rådata-K'!T297</f>
        <v>0.10589907604832978</v>
      </c>
      <c r="G297" s="41">
        <f>'Rådata-K'!U297</f>
        <v>0.16796967543236199</v>
      </c>
      <c r="H297" s="41">
        <f>'Rådata-K'!V297</f>
        <v>0.1034288926363125</v>
      </c>
      <c r="I297" s="41">
        <f>'Rådata-K'!W297</f>
        <v>0.89804772234273322</v>
      </c>
      <c r="J297" s="41">
        <f>'Rådata-K'!O297</f>
        <v>315800</v>
      </c>
      <c r="K297" s="41">
        <f>Tabell2[[#This Row],[NIBR11]]</f>
        <v>9</v>
      </c>
      <c r="L297" s="41">
        <f>IF(Tabell2[[#This Row],[ReisetidOslo]]&lt;=C$433,C$433,IF(Tabell2[[#This Row],[ReisetidOslo]]&gt;=C$434,C$434,Tabell2[[#This Row],[ReisetidOslo]]))</f>
        <v>253.51839397929999</v>
      </c>
      <c r="M297" s="41">
        <f>IF(Tabell2[[#This Row],[Beftettotal]]&lt;=D$433,D$433,IF(Tabell2[[#This Row],[Beftettotal]]&gt;=D$434,D$434,Tabell2[[#This Row],[Beftettotal]]))</f>
        <v>6.2972743141028502</v>
      </c>
      <c r="N297" s="41">
        <f>IF(Tabell2[[#This Row],[Befvekst10]]&lt;=E$433,E$433,IF(Tabell2[[#This Row],[Befvekst10]]&gt;=E$434,E$434,Tabell2[[#This Row],[Befvekst10]]))</f>
        <v>-1.3323983169705511E-2</v>
      </c>
      <c r="O297" s="41">
        <f>IF(Tabell2[[#This Row],[Kvinneandel]]&lt;=F$433,F$433,IF(Tabell2[[#This Row],[Kvinneandel]]&gt;=F$434,F$434,Tabell2[[#This Row],[Kvinneandel]]))</f>
        <v>0.10589907604832978</v>
      </c>
      <c r="P297" s="41">
        <f>IF(Tabell2[[#This Row],[Eldreandel]]&lt;=G$433,G$433,IF(Tabell2[[#This Row],[Eldreandel]]&gt;=G$434,G$434,Tabell2[[#This Row],[Eldreandel]]))</f>
        <v>0.16796967543236199</v>
      </c>
      <c r="Q297" s="41">
        <f>IF(Tabell2[[#This Row],[Sysselsettingsvekst10]]&lt;=H$433,H$433,IF(Tabell2[[#This Row],[Sysselsettingsvekst10]]&gt;=H$434,H$434,Tabell2[[#This Row],[Sysselsettingsvekst10]]))</f>
        <v>0.1034288926363125</v>
      </c>
      <c r="R297" s="41">
        <f>IF(Tabell2[[#This Row],[Yrkesaktivandel]]&lt;=I$433,I$433,IF(Tabell2[[#This Row],[Yrkesaktivandel]]&gt;=I$434,I$434,Tabell2[[#This Row],[Yrkesaktivandel]]))</f>
        <v>0.89804772234273322</v>
      </c>
      <c r="S297" s="41">
        <f>IF(Tabell2[[#This Row],[Inntekt]]&lt;=J$433,J$433,IF(Tabell2[[#This Row],[Inntekt]]&gt;=J$434,J$434,Tabell2[[#This Row],[Inntekt]]))</f>
        <v>315800</v>
      </c>
      <c r="T297" s="44">
        <f>IF(Tabell2[[#This Row],[NIBR11-T]]&lt;=K$436,100,IF(Tabell2[[#This Row],[NIBR11-T]]&gt;=K$435,0,100*(K$435-Tabell2[[#This Row],[NIBR11-T]])/K$438))</f>
        <v>20</v>
      </c>
      <c r="U297" s="44">
        <f>(L$435-Tabell2[[#This Row],[ReisetidOslo-T]])*100/L$438</f>
        <v>11.337246863827339</v>
      </c>
      <c r="V297" s="44">
        <f>100-(M$435-Tabell2[[#This Row],[Beftettotal-T]])*100/M$438</f>
        <v>4.070809614983645</v>
      </c>
      <c r="W297" s="44">
        <f>100-(N$435-Tabell2[[#This Row],[Befvekst10-T]])*100/N$438</f>
        <v>32.517678668154986</v>
      </c>
      <c r="X297" s="44">
        <f>100-(O$435-Tabell2[[#This Row],[Kvinneandel-T]])*100/O$438</f>
        <v>38.806486777130253</v>
      </c>
      <c r="Y297" s="44">
        <f>(P$435-Tabell2[[#This Row],[Eldreandel-T]])*100/P$438</f>
        <v>36.468752174509746</v>
      </c>
      <c r="Z297" s="44">
        <f>100-(Q$435-Tabell2[[#This Row],[Sysselsettingsvekst10-T]])*100/Q$438</f>
        <v>57.509063332776023</v>
      </c>
      <c r="AA297" s="44">
        <f>100-(R$435-Tabell2[[#This Row],[Yrkesaktivandel-T]])*100/R$438</f>
        <v>53.483054873718011</v>
      </c>
      <c r="AB297" s="44">
        <f>100-(S$435-Tabell2[[#This Row],[Inntekt-T]])*100/S$438</f>
        <v>32.164219684611197</v>
      </c>
      <c r="AC297" s="44">
        <f>Tabell2[[#This Row],[NIBR11-I]]*Vekter!$B$3</f>
        <v>4</v>
      </c>
      <c r="AD297" s="44">
        <f>Tabell2[[#This Row],[ReisetidOslo-I]]*Vekter!$C$3</f>
        <v>1.1337246863827339</v>
      </c>
      <c r="AE297" s="44">
        <f>Tabell2[[#This Row],[Beftettotal-I]]*Vekter!$E$4</f>
        <v>0.40708096149836454</v>
      </c>
      <c r="AF297" s="44">
        <f>Tabell2[[#This Row],[Befvekst10-I]]*Vekter!$F$3</f>
        <v>6.5035357336309971</v>
      </c>
      <c r="AG297" s="44">
        <f>Tabell2[[#This Row],[Kvinneandel-I]]*Vekter!$G$3</f>
        <v>1.9403243388565128</v>
      </c>
      <c r="AH297" s="44">
        <f>Tabell2[[#This Row],[Eldreandel-I]]*Vekter!$H$3</f>
        <v>1.8234376087254873</v>
      </c>
      <c r="AI297" s="44">
        <f>Tabell2[[#This Row],[Sysselsettingsvekst10-I]]*Vekter!$I$3</f>
        <v>5.7509063332776025</v>
      </c>
      <c r="AJ297" s="44">
        <f>Tabell2[[#This Row],[Yrkesaktivandel-I]]*Vekter!$K$3</f>
        <v>5.3483054873718014</v>
      </c>
      <c r="AK297" s="44">
        <f>Tabell2[[#This Row],[Inntekt-I]]*Vekter!$M$3</f>
        <v>3.2164219684611197</v>
      </c>
      <c r="AL29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30.123737118204616</v>
      </c>
    </row>
    <row r="298" spans="1:38" s="38" customFormat="1" ht="12.75">
      <c r="A298" s="42" t="s">
        <v>296</v>
      </c>
      <c r="B298" s="38">
        <f>'Rådata-K'!Q298</f>
        <v>5</v>
      </c>
      <c r="C298" s="44">
        <f>'Rådata-K'!P298</f>
        <v>236.80215346099999</v>
      </c>
      <c r="D298" s="41">
        <f>'Rådata-K'!R298</f>
        <v>1.9299246522791209</v>
      </c>
      <c r="E298" s="41">
        <f>'Rådata-K'!S298</f>
        <v>-7.1022727272727293E-2</v>
      </c>
      <c r="F298" s="41">
        <f>'Rådata-K'!T298</f>
        <v>9.5820591233435268E-2</v>
      </c>
      <c r="G298" s="41">
        <f>'Rådata-K'!U298</f>
        <v>0.1875637104994903</v>
      </c>
      <c r="H298" s="41">
        <f>'Rådata-K'!V298</f>
        <v>-1.2594458438287104E-2</v>
      </c>
      <c r="I298" s="41">
        <f>'Rådata-K'!W298</f>
        <v>0.95167286245353155</v>
      </c>
      <c r="J298" s="41">
        <f>'Rådata-K'!O298</f>
        <v>292000</v>
      </c>
      <c r="K298" s="41">
        <f>Tabell2[[#This Row],[NIBR11]]</f>
        <v>5</v>
      </c>
      <c r="L298" s="41">
        <f>IF(Tabell2[[#This Row],[ReisetidOslo]]&lt;=C$433,C$433,IF(Tabell2[[#This Row],[ReisetidOslo]]&gt;=C$434,C$434,Tabell2[[#This Row],[ReisetidOslo]]))</f>
        <v>236.80215346099999</v>
      </c>
      <c r="M298" s="41">
        <f>IF(Tabell2[[#This Row],[Beftettotal]]&lt;=D$433,D$433,IF(Tabell2[[#This Row],[Beftettotal]]&gt;=D$434,D$434,Tabell2[[#This Row],[Beftettotal]]))</f>
        <v>1.9299246522791209</v>
      </c>
      <c r="N298" s="41">
        <f>IF(Tabell2[[#This Row],[Befvekst10]]&lt;=E$433,E$433,IF(Tabell2[[#This Row],[Befvekst10]]&gt;=E$434,E$434,Tabell2[[#This Row],[Befvekst10]]))</f>
        <v>-7.1022727272727293E-2</v>
      </c>
      <c r="O298" s="41">
        <f>IF(Tabell2[[#This Row],[Kvinneandel]]&lt;=F$433,F$433,IF(Tabell2[[#This Row],[Kvinneandel]]&gt;=F$434,F$434,Tabell2[[#This Row],[Kvinneandel]]))</f>
        <v>9.5820591233435268E-2</v>
      </c>
      <c r="P298" s="41">
        <f>IF(Tabell2[[#This Row],[Eldreandel]]&lt;=G$433,G$433,IF(Tabell2[[#This Row],[Eldreandel]]&gt;=G$434,G$434,Tabell2[[#This Row],[Eldreandel]]))</f>
        <v>0.1875637104994903</v>
      </c>
      <c r="Q298" s="41">
        <f>IF(Tabell2[[#This Row],[Sysselsettingsvekst10]]&lt;=H$433,H$433,IF(Tabell2[[#This Row],[Sysselsettingsvekst10]]&gt;=H$434,H$434,Tabell2[[#This Row],[Sysselsettingsvekst10]]))</f>
        <v>-1.2594458438287104E-2</v>
      </c>
      <c r="R298" s="41">
        <f>IF(Tabell2[[#This Row],[Yrkesaktivandel]]&lt;=I$433,I$433,IF(Tabell2[[#This Row],[Yrkesaktivandel]]&gt;=I$434,I$434,Tabell2[[#This Row],[Yrkesaktivandel]]))</f>
        <v>0.95167286245353155</v>
      </c>
      <c r="S298" s="41">
        <f>IF(Tabell2[[#This Row],[Inntekt]]&lt;=J$433,J$433,IF(Tabell2[[#This Row],[Inntekt]]&gt;=J$434,J$434,Tabell2[[#This Row],[Inntekt]]))</f>
        <v>292140</v>
      </c>
      <c r="T298" s="44">
        <f>IF(Tabell2[[#This Row],[NIBR11-T]]&lt;=K$436,100,IF(Tabell2[[#This Row],[NIBR11-T]]&gt;=K$435,0,100*(K$435-Tabell2[[#This Row],[NIBR11-T]])/K$438))</f>
        <v>60</v>
      </c>
      <c r="U298" s="44">
        <f>(L$435-Tabell2[[#This Row],[ReisetidOslo-T]])*100/L$438</f>
        <v>18.758431735448145</v>
      </c>
      <c r="V298" s="44">
        <f>100-(M$435-Tabell2[[#This Row],[Beftettotal-T]])*100/M$438</f>
        <v>0.49828783885797634</v>
      </c>
      <c r="W298" s="44">
        <f>100-(N$435-Tabell2[[#This Row],[Befvekst10-T]])*100/N$438</f>
        <v>8.6468498238158844</v>
      </c>
      <c r="X298" s="44">
        <f>100-(O$435-Tabell2[[#This Row],[Kvinneandel-T]])*100/O$438</f>
        <v>11.227104955018063</v>
      </c>
      <c r="Y298" s="44">
        <f>(P$435-Tabell2[[#This Row],[Eldreandel-T]])*100/P$438</f>
        <v>13.3988204859325</v>
      </c>
      <c r="Z298" s="44">
        <f>100-(Q$435-Tabell2[[#This Row],[Sysselsettingsvekst10-T]])*100/Q$438</f>
        <v>23.396216531263207</v>
      </c>
      <c r="AA298" s="44">
        <f>100-(R$435-Tabell2[[#This Row],[Yrkesaktivandel-T]])*100/R$438</f>
        <v>93.529323313140637</v>
      </c>
      <c r="AB298" s="44">
        <f>100-(S$435-Tabell2[[#This Row],[Inntekt-T]])*100/S$438</f>
        <v>0</v>
      </c>
      <c r="AC298" s="44">
        <f>Tabell2[[#This Row],[NIBR11-I]]*Vekter!$B$3</f>
        <v>12</v>
      </c>
      <c r="AD298" s="44">
        <f>Tabell2[[#This Row],[ReisetidOslo-I]]*Vekter!$C$3</f>
        <v>1.8758431735448147</v>
      </c>
      <c r="AE298" s="44">
        <f>Tabell2[[#This Row],[Beftettotal-I]]*Vekter!$E$4</f>
        <v>4.9828783885797638E-2</v>
      </c>
      <c r="AF298" s="44">
        <f>Tabell2[[#This Row],[Befvekst10-I]]*Vekter!$F$3</f>
        <v>1.7293699647631771</v>
      </c>
      <c r="AG298" s="44">
        <f>Tabell2[[#This Row],[Kvinneandel-I]]*Vekter!$G$3</f>
        <v>0.56135524775090317</v>
      </c>
      <c r="AH298" s="44">
        <f>Tabell2[[#This Row],[Eldreandel-I]]*Vekter!$H$3</f>
        <v>0.66994102429662505</v>
      </c>
      <c r="AI298" s="44">
        <f>Tabell2[[#This Row],[Sysselsettingsvekst10-I]]*Vekter!$I$3</f>
        <v>2.3396216531263208</v>
      </c>
      <c r="AJ298" s="44">
        <f>Tabell2[[#This Row],[Yrkesaktivandel-I]]*Vekter!$K$3</f>
        <v>9.3529323313140633</v>
      </c>
      <c r="AK298" s="44">
        <f>Tabell2[[#This Row],[Inntekt-I]]*Vekter!$M$3</f>
        <v>0</v>
      </c>
      <c r="AL29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28.578892178681706</v>
      </c>
    </row>
    <row r="299" spans="1:38" s="38" customFormat="1" ht="12.75">
      <c r="A299" s="42" t="s">
        <v>297</v>
      </c>
      <c r="B299" s="38">
        <f>'Rådata-K'!Q299</f>
        <v>10</v>
      </c>
      <c r="C299" s="44">
        <f>'Rådata-K'!P299</f>
        <v>283.11354722999999</v>
      </c>
      <c r="D299" s="41">
        <f>'Rådata-K'!R299</f>
        <v>6.417120100363233</v>
      </c>
      <c r="E299" s="41">
        <f>'Rådata-K'!S299</f>
        <v>8.5904714885213451E-2</v>
      </c>
      <c r="F299" s="41">
        <f>'Rådata-K'!T299</f>
        <v>0.11343487156171857</v>
      </c>
      <c r="G299" s="41">
        <f>'Rådata-K'!U299</f>
        <v>0.16003637190270517</v>
      </c>
      <c r="H299" s="41">
        <f>'Rådata-K'!V299</f>
        <v>0.23303670745272531</v>
      </c>
      <c r="I299" s="41">
        <f>'Rådata-K'!W299</f>
        <v>0.88354037267080743</v>
      </c>
      <c r="J299" s="41">
        <f>'Rådata-K'!O299</f>
        <v>306900</v>
      </c>
      <c r="K299" s="41">
        <f>Tabell2[[#This Row],[NIBR11]]</f>
        <v>10</v>
      </c>
      <c r="L299" s="41">
        <f>IF(Tabell2[[#This Row],[ReisetidOslo]]&lt;=C$433,C$433,IF(Tabell2[[#This Row],[ReisetidOslo]]&gt;=C$434,C$434,Tabell2[[#This Row],[ReisetidOslo]]))</f>
        <v>279.05557553043002</v>
      </c>
      <c r="M299" s="41">
        <f>IF(Tabell2[[#This Row],[Beftettotal]]&lt;=D$433,D$433,IF(Tabell2[[#This Row],[Beftettotal]]&gt;=D$434,D$434,Tabell2[[#This Row],[Beftettotal]]))</f>
        <v>6.417120100363233</v>
      </c>
      <c r="N299" s="41">
        <f>IF(Tabell2[[#This Row],[Befvekst10]]&lt;=E$433,E$433,IF(Tabell2[[#This Row],[Befvekst10]]&gt;=E$434,E$434,Tabell2[[#This Row],[Befvekst10]]))</f>
        <v>8.5904714885213451E-2</v>
      </c>
      <c r="O299" s="41">
        <f>IF(Tabell2[[#This Row],[Kvinneandel]]&lt;=F$433,F$433,IF(Tabell2[[#This Row],[Kvinneandel]]&gt;=F$434,F$434,Tabell2[[#This Row],[Kvinneandel]]))</f>
        <v>0.11343487156171857</v>
      </c>
      <c r="P299" s="41">
        <f>IF(Tabell2[[#This Row],[Eldreandel]]&lt;=G$433,G$433,IF(Tabell2[[#This Row],[Eldreandel]]&gt;=G$434,G$434,Tabell2[[#This Row],[Eldreandel]]))</f>
        <v>0.16003637190270517</v>
      </c>
      <c r="Q299" s="41">
        <f>IF(Tabell2[[#This Row],[Sysselsettingsvekst10]]&lt;=H$433,H$433,IF(Tabell2[[#This Row],[Sysselsettingsvekst10]]&gt;=H$434,H$434,Tabell2[[#This Row],[Sysselsettingsvekst10]]))</f>
        <v>0.23303670745272531</v>
      </c>
      <c r="R299" s="41">
        <f>IF(Tabell2[[#This Row],[Yrkesaktivandel]]&lt;=I$433,I$433,IF(Tabell2[[#This Row],[Yrkesaktivandel]]&gt;=I$434,I$434,Tabell2[[#This Row],[Yrkesaktivandel]]))</f>
        <v>0.88354037267080743</v>
      </c>
      <c r="S299" s="41">
        <f>IF(Tabell2[[#This Row],[Inntekt]]&lt;=J$433,J$433,IF(Tabell2[[#This Row],[Inntekt]]&gt;=J$434,J$434,Tabell2[[#This Row],[Inntekt]]))</f>
        <v>306900</v>
      </c>
      <c r="T299" s="44">
        <f>IF(Tabell2[[#This Row],[NIBR11-T]]&lt;=K$436,100,IF(Tabell2[[#This Row],[NIBR11-T]]&gt;=K$435,0,100*(K$435-Tabell2[[#This Row],[NIBR11-T]])/K$438))</f>
        <v>10</v>
      </c>
      <c r="U299" s="44">
        <f>(L$435-Tabell2[[#This Row],[ReisetidOslo-T]])*100/L$438</f>
        <v>0</v>
      </c>
      <c r="V299" s="44">
        <f>100-(M$435-Tabell2[[#This Row],[Beftettotal-T]])*100/M$438</f>
        <v>4.1688442845991034</v>
      </c>
      <c r="W299" s="44">
        <f>100-(N$435-Tabell2[[#This Row],[Befvekst10-T]])*100/N$438</f>
        <v>73.570067321299419</v>
      </c>
      <c r="X299" s="44">
        <f>100-(O$435-Tabell2[[#This Row],[Kvinneandel-T]])*100/O$438</f>
        <v>59.427898191072515</v>
      </c>
      <c r="Y299" s="44">
        <f>(P$435-Tabell2[[#This Row],[Eldreandel-T]])*100/P$438</f>
        <v>45.809389254463433</v>
      </c>
      <c r="Z299" s="44">
        <f>100-(Q$435-Tabell2[[#This Row],[Sysselsettingsvekst10-T]])*100/Q$438</f>
        <v>95.61597448610388</v>
      </c>
      <c r="AA299" s="44">
        <f>100-(R$435-Tabell2[[#This Row],[Yrkesaktivandel-T]])*100/R$438</f>
        <v>42.649232936728367</v>
      </c>
      <c r="AB299" s="44">
        <f>100-(S$435-Tabell2[[#This Row],[Inntekt-T]])*100/S$438</f>
        <v>20.0652528548124</v>
      </c>
      <c r="AC299" s="44">
        <f>Tabell2[[#This Row],[NIBR11-I]]*Vekter!$B$3</f>
        <v>2</v>
      </c>
      <c r="AD299" s="44">
        <f>Tabell2[[#This Row],[ReisetidOslo-I]]*Vekter!$C$3</f>
        <v>0</v>
      </c>
      <c r="AE299" s="44">
        <f>Tabell2[[#This Row],[Beftettotal-I]]*Vekter!$E$4</f>
        <v>0.41688442845991036</v>
      </c>
      <c r="AF299" s="44">
        <f>Tabell2[[#This Row],[Befvekst10-I]]*Vekter!$F$3</f>
        <v>14.714013464259885</v>
      </c>
      <c r="AG299" s="44">
        <f>Tabell2[[#This Row],[Kvinneandel-I]]*Vekter!$G$3</f>
        <v>2.9713949095536258</v>
      </c>
      <c r="AH299" s="44">
        <f>Tabell2[[#This Row],[Eldreandel-I]]*Vekter!$H$3</f>
        <v>2.2904694627231716</v>
      </c>
      <c r="AI299" s="44">
        <f>Tabell2[[#This Row],[Sysselsettingsvekst10-I]]*Vekter!$I$3</f>
        <v>9.5615974486103887</v>
      </c>
      <c r="AJ299" s="44">
        <f>Tabell2[[#This Row],[Yrkesaktivandel-I]]*Vekter!$K$3</f>
        <v>4.2649232936728367</v>
      </c>
      <c r="AK299" s="44">
        <f>Tabell2[[#This Row],[Inntekt-I]]*Vekter!$M$3</f>
        <v>2.0065252854812399</v>
      </c>
      <c r="AL29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38.225808292761052</v>
      </c>
    </row>
    <row r="300" spans="1:38" s="38" customFormat="1" ht="12.75">
      <c r="A300" s="42" t="s">
        <v>298</v>
      </c>
      <c r="B300" s="38">
        <f>'Rådata-K'!Q300</f>
        <v>10</v>
      </c>
      <c r="C300" s="44">
        <f>'Rådata-K'!P300</f>
        <v>308.97379864100003</v>
      </c>
      <c r="D300" s="41">
        <f>'Rådata-K'!R300</f>
        <v>18.110595257834522</v>
      </c>
      <c r="E300" s="41">
        <f>'Rådata-K'!S300</f>
        <v>6.3793523252982709E-2</v>
      </c>
      <c r="F300" s="41">
        <f>'Rådata-K'!T300</f>
        <v>0.11993591210803388</v>
      </c>
      <c r="G300" s="41">
        <f>'Rådata-K'!U300</f>
        <v>0.16044861524376289</v>
      </c>
      <c r="H300" s="41">
        <f>'Rådata-K'!V300</f>
        <v>6.4233576642335866E-2</v>
      </c>
      <c r="I300" s="41">
        <f>'Rådata-K'!W300</f>
        <v>0.85996835443037978</v>
      </c>
      <c r="J300" s="41">
        <f>'Rådata-K'!O300</f>
        <v>320500</v>
      </c>
      <c r="K300" s="41">
        <f>Tabell2[[#This Row],[NIBR11]]</f>
        <v>10</v>
      </c>
      <c r="L300" s="41">
        <f>IF(Tabell2[[#This Row],[ReisetidOslo]]&lt;=C$433,C$433,IF(Tabell2[[#This Row],[ReisetidOslo]]&gt;=C$434,C$434,Tabell2[[#This Row],[ReisetidOslo]]))</f>
        <v>279.05557553043002</v>
      </c>
      <c r="M300" s="41">
        <f>IF(Tabell2[[#This Row],[Beftettotal]]&lt;=D$433,D$433,IF(Tabell2[[#This Row],[Beftettotal]]&gt;=D$434,D$434,Tabell2[[#This Row],[Beftettotal]]))</f>
        <v>18.110595257834522</v>
      </c>
      <c r="N300" s="41">
        <f>IF(Tabell2[[#This Row],[Befvekst10]]&lt;=E$433,E$433,IF(Tabell2[[#This Row],[Befvekst10]]&gt;=E$434,E$434,Tabell2[[#This Row],[Befvekst10]]))</f>
        <v>6.3793523252982709E-2</v>
      </c>
      <c r="O300" s="41">
        <f>IF(Tabell2[[#This Row],[Kvinneandel]]&lt;=F$433,F$433,IF(Tabell2[[#This Row],[Kvinneandel]]&gt;=F$434,F$434,Tabell2[[#This Row],[Kvinneandel]]))</f>
        <v>0.11993591210803388</v>
      </c>
      <c r="P300" s="41">
        <f>IF(Tabell2[[#This Row],[Eldreandel]]&lt;=G$433,G$433,IF(Tabell2[[#This Row],[Eldreandel]]&gt;=G$434,G$434,Tabell2[[#This Row],[Eldreandel]]))</f>
        <v>0.16044861524376289</v>
      </c>
      <c r="Q300" s="41">
        <f>IF(Tabell2[[#This Row],[Sysselsettingsvekst10]]&lt;=H$433,H$433,IF(Tabell2[[#This Row],[Sysselsettingsvekst10]]&gt;=H$434,H$434,Tabell2[[#This Row],[Sysselsettingsvekst10]]))</f>
        <v>6.4233576642335866E-2</v>
      </c>
      <c r="R300" s="41">
        <f>IF(Tabell2[[#This Row],[Yrkesaktivandel]]&lt;=I$433,I$433,IF(Tabell2[[#This Row],[Yrkesaktivandel]]&gt;=I$434,I$434,Tabell2[[#This Row],[Yrkesaktivandel]]))</f>
        <v>0.85996835443037978</v>
      </c>
      <c r="S300" s="41">
        <f>IF(Tabell2[[#This Row],[Inntekt]]&lt;=J$433,J$433,IF(Tabell2[[#This Row],[Inntekt]]&gt;=J$434,J$434,Tabell2[[#This Row],[Inntekt]]))</f>
        <v>320500</v>
      </c>
      <c r="T300" s="44">
        <f>IF(Tabell2[[#This Row],[NIBR11-T]]&lt;=K$436,100,IF(Tabell2[[#This Row],[NIBR11-T]]&gt;=K$435,0,100*(K$435-Tabell2[[#This Row],[NIBR11-T]])/K$438))</f>
        <v>10</v>
      </c>
      <c r="U300" s="44">
        <f>(L$435-Tabell2[[#This Row],[ReisetidOslo-T]])*100/L$438</f>
        <v>0</v>
      </c>
      <c r="V300" s="44">
        <f>100-(M$435-Tabell2[[#This Row],[Beftettotal-T]])*100/M$438</f>
        <v>13.734186625703543</v>
      </c>
      <c r="W300" s="44">
        <f>100-(N$435-Tabell2[[#This Row],[Befvekst10-T]])*100/N$438</f>
        <v>64.422338385381025</v>
      </c>
      <c r="X300" s="44">
        <f>100-(O$435-Tabell2[[#This Row],[Kvinneandel-T]])*100/O$438</f>
        <v>77.217742871186715</v>
      </c>
      <c r="Y300" s="44">
        <f>(P$435-Tabell2[[#This Row],[Eldreandel-T]])*100/P$438</f>
        <v>45.324015737232799</v>
      </c>
      <c r="Z300" s="44">
        <f>100-(Q$435-Tabell2[[#This Row],[Sysselsettingsvekst10-T]])*100/Q$438</f>
        <v>45.984971006053641</v>
      </c>
      <c r="AA300" s="44">
        <f>100-(R$435-Tabell2[[#This Row],[Yrkesaktivandel-T]])*100/R$438</f>
        <v>25.046083216937745</v>
      </c>
      <c r="AB300" s="44">
        <f>100-(S$435-Tabell2[[#This Row],[Inntekt-T]])*100/S$438</f>
        <v>38.553561718325177</v>
      </c>
      <c r="AC300" s="44">
        <f>Tabell2[[#This Row],[NIBR11-I]]*Vekter!$B$3</f>
        <v>2</v>
      </c>
      <c r="AD300" s="44">
        <f>Tabell2[[#This Row],[ReisetidOslo-I]]*Vekter!$C$3</f>
        <v>0</v>
      </c>
      <c r="AE300" s="44">
        <f>Tabell2[[#This Row],[Beftettotal-I]]*Vekter!$E$4</f>
        <v>1.3734186625703544</v>
      </c>
      <c r="AF300" s="44">
        <f>Tabell2[[#This Row],[Befvekst10-I]]*Vekter!$F$3</f>
        <v>12.884467677076206</v>
      </c>
      <c r="AG300" s="44">
        <f>Tabell2[[#This Row],[Kvinneandel-I]]*Vekter!$G$3</f>
        <v>3.8608871435593359</v>
      </c>
      <c r="AH300" s="44">
        <f>Tabell2[[#This Row],[Eldreandel-I]]*Vekter!$H$3</f>
        <v>2.2662007868616398</v>
      </c>
      <c r="AI300" s="44">
        <f>Tabell2[[#This Row],[Sysselsettingsvekst10-I]]*Vekter!$I$3</f>
        <v>4.5984971006053641</v>
      </c>
      <c r="AJ300" s="44">
        <f>Tabell2[[#This Row],[Yrkesaktivandel-I]]*Vekter!$K$3</f>
        <v>2.5046083216937749</v>
      </c>
      <c r="AK300" s="44">
        <f>Tabell2[[#This Row],[Inntekt-I]]*Vekter!$M$3</f>
        <v>3.855356171832518</v>
      </c>
      <c r="AL30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33.343435864199193</v>
      </c>
    </row>
    <row r="301" spans="1:38" s="38" customFormat="1" ht="12.75">
      <c r="A301" s="42" t="s">
        <v>299</v>
      </c>
      <c r="B301" s="38">
        <f>'Rådata-K'!Q301</f>
        <v>10</v>
      </c>
      <c r="C301" s="44">
        <f>'Rådata-K'!P301</f>
        <v>173.98429202072001</v>
      </c>
      <c r="D301" s="41">
        <f>'Rådata-K'!R301</f>
        <v>69.589450788471993</v>
      </c>
      <c r="E301" s="41">
        <f>'Rådata-K'!S301</f>
        <v>6.6863323500492289E-3</v>
      </c>
      <c r="F301" s="41">
        <f>'Rådata-K'!T301</f>
        <v>0.10841961320570424</v>
      </c>
      <c r="G301" s="41">
        <f>'Rådata-K'!U301</f>
        <v>0.15647587419417855</v>
      </c>
      <c r="H301" s="41">
        <f>'Rådata-K'!V301</f>
        <v>5.086206896551726E-2</v>
      </c>
      <c r="I301" s="41">
        <f>'Rådata-K'!W301</f>
        <v>0.8830631252155916</v>
      </c>
      <c r="J301" s="41">
        <f>'Rådata-K'!O301</f>
        <v>320900</v>
      </c>
      <c r="K301" s="41">
        <f>Tabell2[[#This Row],[NIBR11]]</f>
        <v>10</v>
      </c>
      <c r="L301" s="41">
        <f>IF(Tabell2[[#This Row],[ReisetidOslo]]&lt;=C$433,C$433,IF(Tabell2[[#This Row],[ReisetidOslo]]&gt;=C$434,C$434,Tabell2[[#This Row],[ReisetidOslo]]))</f>
        <v>173.98429202072001</v>
      </c>
      <c r="M301" s="41">
        <f>IF(Tabell2[[#This Row],[Beftettotal]]&lt;=D$433,D$433,IF(Tabell2[[#This Row],[Beftettotal]]&gt;=D$434,D$434,Tabell2[[#This Row],[Beftettotal]]))</f>
        <v>69.589450788471993</v>
      </c>
      <c r="N301" s="41">
        <f>IF(Tabell2[[#This Row],[Befvekst10]]&lt;=E$433,E$433,IF(Tabell2[[#This Row],[Befvekst10]]&gt;=E$434,E$434,Tabell2[[#This Row],[Befvekst10]]))</f>
        <v>6.6863323500492289E-3</v>
      </c>
      <c r="O301" s="41">
        <f>IF(Tabell2[[#This Row],[Kvinneandel]]&lt;=F$433,F$433,IF(Tabell2[[#This Row],[Kvinneandel]]&gt;=F$434,F$434,Tabell2[[#This Row],[Kvinneandel]]))</f>
        <v>0.10841961320570424</v>
      </c>
      <c r="P301" s="41">
        <f>IF(Tabell2[[#This Row],[Eldreandel]]&lt;=G$433,G$433,IF(Tabell2[[#This Row],[Eldreandel]]&gt;=G$434,G$434,Tabell2[[#This Row],[Eldreandel]]))</f>
        <v>0.15647587419417855</v>
      </c>
      <c r="Q301" s="41">
        <f>IF(Tabell2[[#This Row],[Sysselsettingsvekst10]]&lt;=H$433,H$433,IF(Tabell2[[#This Row],[Sysselsettingsvekst10]]&gt;=H$434,H$434,Tabell2[[#This Row],[Sysselsettingsvekst10]]))</f>
        <v>5.086206896551726E-2</v>
      </c>
      <c r="R301" s="41">
        <f>IF(Tabell2[[#This Row],[Yrkesaktivandel]]&lt;=I$433,I$433,IF(Tabell2[[#This Row],[Yrkesaktivandel]]&gt;=I$434,I$434,Tabell2[[#This Row],[Yrkesaktivandel]]))</f>
        <v>0.8830631252155916</v>
      </c>
      <c r="S301" s="41">
        <f>IF(Tabell2[[#This Row],[Inntekt]]&lt;=J$433,J$433,IF(Tabell2[[#This Row],[Inntekt]]&gt;=J$434,J$434,Tabell2[[#This Row],[Inntekt]]))</f>
        <v>320900</v>
      </c>
      <c r="T301" s="44">
        <f>IF(Tabell2[[#This Row],[NIBR11-T]]&lt;=K$436,100,IF(Tabell2[[#This Row],[NIBR11-T]]&gt;=K$435,0,100*(K$435-Tabell2[[#This Row],[NIBR11-T]])/K$438))</f>
        <v>10</v>
      </c>
      <c r="U301" s="44">
        <f>(L$435-Tabell2[[#This Row],[ReisetidOslo-T]])*100/L$438</f>
        <v>46.64645850066649</v>
      </c>
      <c r="V301" s="44">
        <f>100-(M$435-Tabell2[[#This Row],[Beftettotal-T]])*100/M$438</f>
        <v>55.844241151640482</v>
      </c>
      <c r="W301" s="44">
        <f>100-(N$435-Tabell2[[#This Row],[Befvekst10-T]])*100/N$438</f>
        <v>40.796243900708667</v>
      </c>
      <c r="X301" s="44">
        <f>100-(O$435-Tabell2[[#This Row],[Kvinneandel-T]])*100/O$438</f>
        <v>45.70383870420951</v>
      </c>
      <c r="Y301" s="44">
        <f>(P$435-Tabell2[[#This Row],[Eldreandel-T]])*100/P$438</f>
        <v>50.001503774603634</v>
      </c>
      <c r="Z301" s="44">
        <f>100-(Q$435-Tabell2[[#This Row],[Sysselsettingsvekst10-T]])*100/Q$438</f>
        <v>42.053519374465445</v>
      </c>
      <c r="AA301" s="44">
        <f>100-(R$435-Tabell2[[#This Row],[Yrkesaktivandel-T]])*100/R$438</f>
        <v>42.292833314011936</v>
      </c>
      <c r="AB301" s="44">
        <f>100-(S$435-Tabell2[[#This Row],[Inntekt-T]])*100/S$438</f>
        <v>39.097335508428493</v>
      </c>
      <c r="AC301" s="44">
        <f>Tabell2[[#This Row],[NIBR11-I]]*Vekter!$B$3</f>
        <v>2</v>
      </c>
      <c r="AD301" s="44">
        <f>Tabell2[[#This Row],[ReisetidOslo-I]]*Vekter!$C$3</f>
        <v>4.6646458500666492</v>
      </c>
      <c r="AE301" s="44">
        <f>Tabell2[[#This Row],[Beftettotal-I]]*Vekter!$E$4</f>
        <v>5.5844241151640484</v>
      </c>
      <c r="AF301" s="44">
        <f>Tabell2[[#This Row],[Befvekst10-I]]*Vekter!$F$3</f>
        <v>8.1592487801417342</v>
      </c>
      <c r="AG301" s="44">
        <f>Tabell2[[#This Row],[Kvinneandel-I]]*Vekter!$G$3</f>
        <v>2.2851919352104755</v>
      </c>
      <c r="AH301" s="44">
        <f>Tabell2[[#This Row],[Eldreandel-I]]*Vekter!$H$3</f>
        <v>2.500075188730182</v>
      </c>
      <c r="AI301" s="44">
        <f>Tabell2[[#This Row],[Sysselsettingsvekst10-I]]*Vekter!$I$3</f>
        <v>4.2053519374465447</v>
      </c>
      <c r="AJ301" s="44">
        <f>Tabell2[[#This Row],[Yrkesaktivandel-I]]*Vekter!$K$3</f>
        <v>4.2292833314011942</v>
      </c>
      <c r="AK301" s="44">
        <f>Tabell2[[#This Row],[Inntekt-I]]*Vekter!$M$3</f>
        <v>3.9097335508428497</v>
      </c>
      <c r="AL30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37.537954689003683</v>
      </c>
    </row>
    <row r="302" spans="1:38" s="38" customFormat="1" ht="12.75">
      <c r="A302" s="42" t="s">
        <v>300</v>
      </c>
      <c r="B302" s="38">
        <f>'Rådata-K'!Q302</f>
        <v>5</v>
      </c>
      <c r="C302" s="44">
        <f>'Rådata-K'!P302</f>
        <v>215.07900993980002</v>
      </c>
      <c r="D302" s="41">
        <f>'Rådata-K'!R302</f>
        <v>5.3988541207580427</v>
      </c>
      <c r="E302" s="41">
        <f>'Rådata-K'!S302</f>
        <v>-5.0913115661317065E-2</v>
      </c>
      <c r="F302" s="41">
        <f>'Rådata-K'!T302</f>
        <v>8.9795918367346933E-2</v>
      </c>
      <c r="G302" s="41">
        <f>'Rådata-K'!U302</f>
        <v>0.19766763848396501</v>
      </c>
      <c r="H302" s="41">
        <f>'Rådata-K'!V302</f>
        <v>-4.2016806722689037E-2</v>
      </c>
      <c r="I302" s="41">
        <f>'Rådata-K'!W302</f>
        <v>0.9529025191675794</v>
      </c>
      <c r="J302" s="41">
        <f>'Rådata-K'!O302</f>
        <v>287700</v>
      </c>
      <c r="K302" s="41">
        <f>Tabell2[[#This Row],[NIBR11]]</f>
        <v>5</v>
      </c>
      <c r="L302" s="41">
        <f>IF(Tabell2[[#This Row],[ReisetidOslo]]&lt;=C$433,C$433,IF(Tabell2[[#This Row],[ReisetidOslo]]&gt;=C$434,C$434,Tabell2[[#This Row],[ReisetidOslo]]))</f>
        <v>215.07900993980002</v>
      </c>
      <c r="M302" s="41">
        <f>IF(Tabell2[[#This Row],[Beftettotal]]&lt;=D$433,D$433,IF(Tabell2[[#This Row],[Beftettotal]]&gt;=D$434,D$434,Tabell2[[#This Row],[Beftettotal]]))</f>
        <v>5.3988541207580427</v>
      </c>
      <c r="N302" s="41">
        <f>IF(Tabell2[[#This Row],[Befvekst10]]&lt;=E$433,E$433,IF(Tabell2[[#This Row],[Befvekst10]]&gt;=E$434,E$434,Tabell2[[#This Row],[Befvekst10]]))</f>
        <v>-5.0913115661317065E-2</v>
      </c>
      <c r="O302" s="41">
        <f>IF(Tabell2[[#This Row],[Kvinneandel]]&lt;=F$433,F$433,IF(Tabell2[[#This Row],[Kvinneandel]]&gt;=F$434,F$434,Tabell2[[#This Row],[Kvinneandel]]))</f>
        <v>9.1717808671657367E-2</v>
      </c>
      <c r="P302" s="41">
        <f>IF(Tabell2[[#This Row],[Eldreandel]]&lt;=G$433,G$433,IF(Tabell2[[#This Row],[Eldreandel]]&gt;=G$434,G$434,Tabell2[[#This Row],[Eldreandel]]))</f>
        <v>0.19766763848396501</v>
      </c>
      <c r="Q302" s="41">
        <f>IF(Tabell2[[#This Row],[Sysselsettingsvekst10]]&lt;=H$433,H$433,IF(Tabell2[[#This Row],[Sysselsettingsvekst10]]&gt;=H$434,H$434,Tabell2[[#This Row],[Sysselsettingsvekst10]]))</f>
        <v>-4.2016806722689037E-2</v>
      </c>
      <c r="R302" s="41">
        <f>IF(Tabell2[[#This Row],[Yrkesaktivandel]]&lt;=I$433,I$433,IF(Tabell2[[#This Row],[Yrkesaktivandel]]&gt;=I$434,I$434,Tabell2[[#This Row],[Yrkesaktivandel]]))</f>
        <v>0.9529025191675794</v>
      </c>
      <c r="S302" s="41">
        <f>IF(Tabell2[[#This Row],[Inntekt]]&lt;=J$433,J$433,IF(Tabell2[[#This Row],[Inntekt]]&gt;=J$434,J$434,Tabell2[[#This Row],[Inntekt]]))</f>
        <v>292140</v>
      </c>
      <c r="T302" s="44">
        <f>IF(Tabell2[[#This Row],[NIBR11-T]]&lt;=K$436,100,IF(Tabell2[[#This Row],[NIBR11-T]]&gt;=K$435,0,100*(K$435-Tabell2[[#This Row],[NIBR11-T]])/K$438))</f>
        <v>60</v>
      </c>
      <c r="U302" s="44">
        <f>(L$435-Tabell2[[#This Row],[ReisetidOslo-T]])*100/L$438</f>
        <v>28.402434158546299</v>
      </c>
      <c r="V302" s="44">
        <f>100-(M$435-Tabell2[[#This Row],[Beftettotal-T]])*100/M$438</f>
        <v>3.3358957763021095</v>
      </c>
      <c r="W302" s="44">
        <f>100-(N$435-Tabell2[[#This Row],[Befvekst10-T]])*100/N$438</f>
        <v>16.966495326757908</v>
      </c>
      <c r="X302" s="44">
        <f>100-(O$435-Tabell2[[#This Row],[Kvinneandel-T]])*100/O$438</f>
        <v>0</v>
      </c>
      <c r="Y302" s="44">
        <f>(P$435-Tabell2[[#This Row],[Eldreandel-T]])*100/P$438</f>
        <v>1.5024996112604092</v>
      </c>
      <c r="Z302" s="44">
        <f>100-(Q$435-Tabell2[[#This Row],[Sysselsettingsvekst10-T]])*100/Q$438</f>
        <v>14.745543625589079</v>
      </c>
      <c r="AA302" s="44">
        <f>100-(R$435-Tabell2[[#This Row],[Yrkesaktivandel-T]])*100/R$438</f>
        <v>94.447608333139726</v>
      </c>
      <c r="AB302" s="44">
        <f>100-(S$435-Tabell2[[#This Row],[Inntekt-T]])*100/S$438</f>
        <v>0</v>
      </c>
      <c r="AC302" s="44">
        <f>Tabell2[[#This Row],[NIBR11-I]]*Vekter!$B$3</f>
        <v>12</v>
      </c>
      <c r="AD302" s="44">
        <f>Tabell2[[#This Row],[ReisetidOslo-I]]*Vekter!$C$3</f>
        <v>2.8402434158546299</v>
      </c>
      <c r="AE302" s="44">
        <f>Tabell2[[#This Row],[Beftettotal-I]]*Vekter!$E$4</f>
        <v>0.33358957763021096</v>
      </c>
      <c r="AF302" s="44">
        <f>Tabell2[[#This Row],[Befvekst10-I]]*Vekter!$F$3</f>
        <v>3.3932990653515818</v>
      </c>
      <c r="AG302" s="44">
        <f>Tabell2[[#This Row],[Kvinneandel-I]]*Vekter!$G$3</f>
        <v>0</v>
      </c>
      <c r="AH302" s="44">
        <f>Tabell2[[#This Row],[Eldreandel-I]]*Vekter!$H$3</f>
        <v>7.5124980563020471E-2</v>
      </c>
      <c r="AI302" s="44">
        <f>Tabell2[[#This Row],[Sysselsettingsvekst10-I]]*Vekter!$I$3</f>
        <v>1.4745543625589079</v>
      </c>
      <c r="AJ302" s="44">
        <f>Tabell2[[#This Row],[Yrkesaktivandel-I]]*Vekter!$K$3</f>
        <v>9.444760833313973</v>
      </c>
      <c r="AK302" s="44">
        <f>Tabell2[[#This Row],[Inntekt-I]]*Vekter!$M$3</f>
        <v>0</v>
      </c>
      <c r="AL30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29.561572235272322</v>
      </c>
    </row>
    <row r="303" spans="1:38" s="38" customFormat="1" ht="12.75">
      <c r="A303" s="42" t="s">
        <v>301</v>
      </c>
      <c r="B303" s="38">
        <f>'Rådata-K'!Q303</f>
        <v>2</v>
      </c>
      <c r="C303" s="44">
        <f>'Rådata-K'!P303</f>
        <v>231.0383793197</v>
      </c>
      <c r="D303" s="41">
        <f>'Rådata-K'!R303</f>
        <v>10.525892440597804</v>
      </c>
      <c r="E303" s="41">
        <f>'Rådata-K'!S303</f>
        <v>1.4575903240812593E-2</v>
      </c>
      <c r="F303" s="41">
        <f>'Rådata-K'!T303</f>
        <v>0.10484487238269907</v>
      </c>
      <c r="G303" s="41">
        <f>'Rådata-K'!U303</f>
        <v>0.1632278771205869</v>
      </c>
      <c r="H303" s="41">
        <f>'Rådata-K'!V303</f>
        <v>-4.8115746971736151E-2</v>
      </c>
      <c r="I303" s="41">
        <f>'Rådata-K'!W303</f>
        <v>0.88067552602436328</v>
      </c>
      <c r="J303" s="41">
        <f>'Rådata-K'!O303</f>
        <v>304700</v>
      </c>
      <c r="K303" s="41">
        <f>Tabell2[[#This Row],[NIBR11]]</f>
        <v>2</v>
      </c>
      <c r="L303" s="41">
        <f>IF(Tabell2[[#This Row],[ReisetidOslo]]&lt;=C$433,C$433,IF(Tabell2[[#This Row],[ReisetidOslo]]&gt;=C$434,C$434,Tabell2[[#This Row],[ReisetidOslo]]))</f>
        <v>231.0383793197</v>
      </c>
      <c r="M303" s="41">
        <f>IF(Tabell2[[#This Row],[Beftettotal]]&lt;=D$433,D$433,IF(Tabell2[[#This Row],[Beftettotal]]&gt;=D$434,D$434,Tabell2[[#This Row],[Beftettotal]]))</f>
        <v>10.525892440597804</v>
      </c>
      <c r="N303" s="41">
        <f>IF(Tabell2[[#This Row],[Befvekst10]]&lt;=E$433,E$433,IF(Tabell2[[#This Row],[Befvekst10]]&gt;=E$434,E$434,Tabell2[[#This Row],[Befvekst10]]))</f>
        <v>1.4575903240812593E-2</v>
      </c>
      <c r="O303" s="41">
        <f>IF(Tabell2[[#This Row],[Kvinneandel]]&lt;=F$433,F$433,IF(Tabell2[[#This Row],[Kvinneandel]]&gt;=F$434,F$434,Tabell2[[#This Row],[Kvinneandel]]))</f>
        <v>0.10484487238269907</v>
      </c>
      <c r="P303" s="41">
        <f>IF(Tabell2[[#This Row],[Eldreandel]]&lt;=G$433,G$433,IF(Tabell2[[#This Row],[Eldreandel]]&gt;=G$434,G$434,Tabell2[[#This Row],[Eldreandel]]))</f>
        <v>0.1632278771205869</v>
      </c>
      <c r="Q303" s="41">
        <f>IF(Tabell2[[#This Row],[Sysselsettingsvekst10]]&lt;=H$433,H$433,IF(Tabell2[[#This Row],[Sysselsettingsvekst10]]&gt;=H$434,H$434,Tabell2[[#This Row],[Sysselsettingsvekst10]]))</f>
        <v>-4.8115746971736151E-2</v>
      </c>
      <c r="R303" s="41">
        <f>IF(Tabell2[[#This Row],[Yrkesaktivandel]]&lt;=I$433,I$433,IF(Tabell2[[#This Row],[Yrkesaktivandel]]&gt;=I$434,I$434,Tabell2[[#This Row],[Yrkesaktivandel]]))</f>
        <v>0.88067552602436328</v>
      </c>
      <c r="S303" s="41">
        <f>IF(Tabell2[[#This Row],[Inntekt]]&lt;=J$433,J$433,IF(Tabell2[[#This Row],[Inntekt]]&gt;=J$434,J$434,Tabell2[[#This Row],[Inntekt]]))</f>
        <v>304700</v>
      </c>
      <c r="T303" s="44">
        <f>IF(Tabell2[[#This Row],[NIBR11-T]]&lt;=K$436,100,IF(Tabell2[[#This Row],[NIBR11-T]]&gt;=K$435,0,100*(K$435-Tabell2[[#This Row],[NIBR11-T]])/K$438))</f>
        <v>90</v>
      </c>
      <c r="U303" s="44">
        <f>(L$435-Tabell2[[#This Row],[ReisetidOslo-T]])*100/L$438</f>
        <v>21.317262676773023</v>
      </c>
      <c r="V303" s="44">
        <f>100-(M$435-Tabell2[[#This Row],[Beftettotal-T]])*100/M$438</f>
        <v>7.5298480500959215</v>
      </c>
      <c r="W303" s="44">
        <f>100-(N$435-Tabell2[[#This Row],[Befvekst10-T]])*100/N$438</f>
        <v>44.060276754741437</v>
      </c>
      <c r="X303" s="44">
        <f>100-(O$435-Tabell2[[#This Row],[Kvinneandel-T]])*100/O$438</f>
        <v>35.921699435908877</v>
      </c>
      <c r="Y303" s="44">
        <f>(P$435-Tabell2[[#This Row],[Eldreandel-T]])*100/P$438</f>
        <v>42.05172488834264</v>
      </c>
      <c r="Z303" s="44">
        <f>100-(Q$435-Tabell2[[#This Row],[Sysselsettingsvekst10-T]])*100/Q$438</f>
        <v>12.952351027371904</v>
      </c>
      <c r="AA303" s="44">
        <f>100-(R$435-Tabell2[[#This Row],[Yrkesaktivandel-T]])*100/R$438</f>
        <v>40.509818147242711</v>
      </c>
      <c r="AB303" s="44">
        <f>100-(S$435-Tabell2[[#This Row],[Inntekt-T]])*100/S$438</f>
        <v>17.074497009244155</v>
      </c>
      <c r="AC303" s="44">
        <f>Tabell2[[#This Row],[NIBR11-I]]*Vekter!$B$3</f>
        <v>18</v>
      </c>
      <c r="AD303" s="44">
        <f>Tabell2[[#This Row],[ReisetidOslo-I]]*Vekter!$C$3</f>
        <v>2.1317262676773026</v>
      </c>
      <c r="AE303" s="44">
        <f>Tabell2[[#This Row],[Beftettotal-I]]*Vekter!$E$4</f>
        <v>0.7529848050095922</v>
      </c>
      <c r="AF303" s="44">
        <f>Tabell2[[#This Row],[Befvekst10-I]]*Vekter!$F$3</f>
        <v>8.8120553509482882</v>
      </c>
      <c r="AG303" s="44">
        <f>Tabell2[[#This Row],[Kvinneandel-I]]*Vekter!$G$3</f>
        <v>1.7960849717954439</v>
      </c>
      <c r="AH303" s="44">
        <f>Tabell2[[#This Row],[Eldreandel-I]]*Vekter!$H$3</f>
        <v>2.1025862444171319</v>
      </c>
      <c r="AI303" s="44">
        <f>Tabell2[[#This Row],[Sysselsettingsvekst10-I]]*Vekter!$I$3</f>
        <v>1.2952351027371904</v>
      </c>
      <c r="AJ303" s="44">
        <f>Tabell2[[#This Row],[Yrkesaktivandel-I]]*Vekter!$K$3</f>
        <v>4.0509818147242713</v>
      </c>
      <c r="AK303" s="44">
        <f>Tabell2[[#This Row],[Inntekt-I]]*Vekter!$M$3</f>
        <v>1.7074497009244156</v>
      </c>
      <c r="AL30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40.649104258233635</v>
      </c>
    </row>
    <row r="304" spans="1:38" s="38" customFormat="1" ht="12.75">
      <c r="A304" s="42" t="s">
        <v>302</v>
      </c>
      <c r="B304" s="38">
        <f>'Rådata-K'!Q304</f>
        <v>10</v>
      </c>
      <c r="C304" s="44">
        <f>'Rådata-K'!P304</f>
        <v>185.07008828549999</v>
      </c>
      <c r="D304" s="41">
        <f>'Rådata-K'!R304</f>
        <v>11.943720687858262</v>
      </c>
      <c r="E304" s="41">
        <f>'Rådata-K'!S304</f>
        <v>-1.9884541372674813E-2</v>
      </c>
      <c r="F304" s="41">
        <f>'Rådata-K'!T304</f>
        <v>0.10253054101221641</v>
      </c>
      <c r="G304" s="41">
        <f>'Rådata-K'!U304</f>
        <v>0.181282722513089</v>
      </c>
      <c r="H304" s="41">
        <f>'Rådata-K'!V304</f>
        <v>3.4926470588235281E-2</v>
      </c>
      <c r="I304" s="41">
        <f>'Rådata-K'!W304</f>
        <v>0.83273453093812377</v>
      </c>
      <c r="J304" s="41">
        <f>'Rådata-K'!O304</f>
        <v>301800</v>
      </c>
      <c r="K304" s="41">
        <f>Tabell2[[#This Row],[NIBR11]]</f>
        <v>10</v>
      </c>
      <c r="L304" s="41">
        <f>IF(Tabell2[[#This Row],[ReisetidOslo]]&lt;=C$433,C$433,IF(Tabell2[[#This Row],[ReisetidOslo]]&gt;=C$434,C$434,Tabell2[[#This Row],[ReisetidOslo]]))</f>
        <v>185.07008828549999</v>
      </c>
      <c r="M304" s="41">
        <f>IF(Tabell2[[#This Row],[Beftettotal]]&lt;=D$433,D$433,IF(Tabell2[[#This Row],[Beftettotal]]&gt;=D$434,D$434,Tabell2[[#This Row],[Beftettotal]]))</f>
        <v>11.943720687858262</v>
      </c>
      <c r="N304" s="41">
        <f>IF(Tabell2[[#This Row],[Befvekst10]]&lt;=E$433,E$433,IF(Tabell2[[#This Row],[Befvekst10]]&gt;=E$434,E$434,Tabell2[[#This Row],[Befvekst10]]))</f>
        <v>-1.9884541372674813E-2</v>
      </c>
      <c r="O304" s="41">
        <f>IF(Tabell2[[#This Row],[Kvinneandel]]&lt;=F$433,F$433,IF(Tabell2[[#This Row],[Kvinneandel]]&gt;=F$434,F$434,Tabell2[[#This Row],[Kvinneandel]]))</f>
        <v>0.10253054101221641</v>
      </c>
      <c r="P304" s="41">
        <f>IF(Tabell2[[#This Row],[Eldreandel]]&lt;=G$433,G$433,IF(Tabell2[[#This Row],[Eldreandel]]&gt;=G$434,G$434,Tabell2[[#This Row],[Eldreandel]]))</f>
        <v>0.181282722513089</v>
      </c>
      <c r="Q304" s="41">
        <f>IF(Tabell2[[#This Row],[Sysselsettingsvekst10]]&lt;=H$433,H$433,IF(Tabell2[[#This Row],[Sysselsettingsvekst10]]&gt;=H$434,H$434,Tabell2[[#This Row],[Sysselsettingsvekst10]]))</f>
        <v>3.4926470588235281E-2</v>
      </c>
      <c r="R304" s="41">
        <f>IF(Tabell2[[#This Row],[Yrkesaktivandel]]&lt;=I$433,I$433,IF(Tabell2[[#This Row],[Yrkesaktivandel]]&gt;=I$434,I$434,Tabell2[[#This Row],[Yrkesaktivandel]]))</f>
        <v>0.83273453093812377</v>
      </c>
      <c r="S304" s="41">
        <f>IF(Tabell2[[#This Row],[Inntekt]]&lt;=J$433,J$433,IF(Tabell2[[#This Row],[Inntekt]]&gt;=J$434,J$434,Tabell2[[#This Row],[Inntekt]]))</f>
        <v>301800</v>
      </c>
      <c r="T304" s="44">
        <f>IF(Tabell2[[#This Row],[NIBR11-T]]&lt;=K$436,100,IF(Tabell2[[#This Row],[NIBR11-T]]&gt;=K$435,0,100*(K$435-Tabell2[[#This Row],[NIBR11-T]])/K$438))</f>
        <v>10</v>
      </c>
      <c r="U304" s="44">
        <f>(L$435-Tabell2[[#This Row],[ReisetidOslo-T]])*100/L$438</f>
        <v>41.724912687779231</v>
      </c>
      <c r="V304" s="44">
        <f>100-(M$435-Tabell2[[#This Row],[Beftettotal-T]])*100/M$438</f>
        <v>8.6896412153697469</v>
      </c>
      <c r="W304" s="44">
        <f>100-(N$435-Tabell2[[#This Row],[Befvekst10-T]])*100/N$438</f>
        <v>29.803478135353387</v>
      </c>
      <c r="X304" s="44">
        <f>100-(O$435-Tabell2[[#This Row],[Kvinneandel-T]])*100/O$438</f>
        <v>29.588621626920627</v>
      </c>
      <c r="Y304" s="44">
        <f>(P$435-Tabell2[[#This Row],[Eldreandel-T]])*100/P$438</f>
        <v>20.794028429912629</v>
      </c>
      <c r="Z304" s="44">
        <f>100-(Q$435-Tabell2[[#This Row],[Sysselsettingsvekst10-T]])*100/Q$438</f>
        <v>37.368181284332771</v>
      </c>
      <c r="AA304" s="44">
        <f>100-(R$435-Tabell2[[#This Row],[Yrkesaktivandel-T]])*100/R$438</f>
        <v>4.7083646776602137</v>
      </c>
      <c r="AB304" s="44">
        <f>100-(S$435-Tabell2[[#This Row],[Inntekt-T]])*100/S$438</f>
        <v>13.132137030995111</v>
      </c>
      <c r="AC304" s="44">
        <f>Tabell2[[#This Row],[NIBR11-I]]*Vekter!$B$3</f>
        <v>2</v>
      </c>
      <c r="AD304" s="44">
        <f>Tabell2[[#This Row],[ReisetidOslo-I]]*Vekter!$C$3</f>
        <v>4.1724912687779234</v>
      </c>
      <c r="AE304" s="44">
        <f>Tabell2[[#This Row],[Beftettotal-I]]*Vekter!$E$4</f>
        <v>0.86896412153697478</v>
      </c>
      <c r="AF304" s="44">
        <f>Tabell2[[#This Row],[Befvekst10-I]]*Vekter!$F$3</f>
        <v>5.9606956270706775</v>
      </c>
      <c r="AG304" s="44">
        <f>Tabell2[[#This Row],[Kvinneandel-I]]*Vekter!$G$3</f>
        <v>1.4794310813460314</v>
      </c>
      <c r="AH304" s="44">
        <f>Tabell2[[#This Row],[Eldreandel-I]]*Vekter!$H$3</f>
        <v>1.0397014214956315</v>
      </c>
      <c r="AI304" s="44">
        <f>Tabell2[[#This Row],[Sysselsettingsvekst10-I]]*Vekter!$I$3</f>
        <v>3.7368181284332773</v>
      </c>
      <c r="AJ304" s="44">
        <f>Tabell2[[#This Row],[Yrkesaktivandel-I]]*Vekter!$K$3</f>
        <v>0.47083646776602139</v>
      </c>
      <c r="AK304" s="44">
        <f>Tabell2[[#This Row],[Inntekt-I]]*Vekter!$M$3</f>
        <v>1.3132137030995112</v>
      </c>
      <c r="AL30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21.042151819526048</v>
      </c>
    </row>
    <row r="305" spans="1:38" s="38" customFormat="1" ht="12.75">
      <c r="A305" s="42" t="s">
        <v>303</v>
      </c>
      <c r="B305" s="38">
        <f>'Rådata-K'!Q305</f>
        <v>11</v>
      </c>
      <c r="C305" s="44">
        <f>'Rådata-K'!P305</f>
        <v>219.4843449059</v>
      </c>
      <c r="D305" s="41">
        <f>'Rådata-K'!R305</f>
        <v>3.4101498288119445</v>
      </c>
      <c r="E305" s="41">
        <f>'Rådata-K'!S305</f>
        <v>-3.1231409875074334E-2</v>
      </c>
      <c r="F305" s="41">
        <f>'Rådata-K'!T305</f>
        <v>9.088117899907891E-2</v>
      </c>
      <c r="G305" s="41">
        <f>'Rådata-K'!U305</f>
        <v>0.19926312557568315</v>
      </c>
      <c r="H305" s="41">
        <f>'Rådata-K'!V305</f>
        <v>1.7845340383344288E-2</v>
      </c>
      <c r="I305" s="41">
        <f>'Rådata-K'!W305</f>
        <v>0.934819897084048</v>
      </c>
      <c r="J305" s="41">
        <f>'Rådata-K'!O305</f>
        <v>297600</v>
      </c>
      <c r="K305" s="41">
        <f>Tabell2[[#This Row],[NIBR11]]</f>
        <v>11</v>
      </c>
      <c r="L305" s="41">
        <f>IF(Tabell2[[#This Row],[ReisetidOslo]]&lt;=C$433,C$433,IF(Tabell2[[#This Row],[ReisetidOslo]]&gt;=C$434,C$434,Tabell2[[#This Row],[ReisetidOslo]]))</f>
        <v>219.4843449059</v>
      </c>
      <c r="M305" s="41">
        <f>IF(Tabell2[[#This Row],[Beftettotal]]&lt;=D$433,D$433,IF(Tabell2[[#This Row],[Beftettotal]]&gt;=D$434,D$434,Tabell2[[#This Row],[Beftettotal]]))</f>
        <v>3.4101498288119445</v>
      </c>
      <c r="N305" s="41">
        <f>IF(Tabell2[[#This Row],[Befvekst10]]&lt;=E$433,E$433,IF(Tabell2[[#This Row],[Befvekst10]]&gt;=E$434,E$434,Tabell2[[#This Row],[Befvekst10]]))</f>
        <v>-3.1231409875074334E-2</v>
      </c>
      <c r="O305" s="41">
        <f>IF(Tabell2[[#This Row],[Kvinneandel]]&lt;=F$433,F$433,IF(Tabell2[[#This Row],[Kvinneandel]]&gt;=F$434,F$434,Tabell2[[#This Row],[Kvinneandel]]))</f>
        <v>9.1717808671657367E-2</v>
      </c>
      <c r="P305" s="41">
        <f>IF(Tabell2[[#This Row],[Eldreandel]]&lt;=G$433,G$433,IF(Tabell2[[#This Row],[Eldreandel]]&gt;=G$434,G$434,Tabell2[[#This Row],[Eldreandel]]))</f>
        <v>0.1989437597342919</v>
      </c>
      <c r="Q305" s="41">
        <f>IF(Tabell2[[#This Row],[Sysselsettingsvekst10]]&lt;=H$433,H$433,IF(Tabell2[[#This Row],[Sysselsettingsvekst10]]&gt;=H$434,H$434,Tabell2[[#This Row],[Sysselsettingsvekst10]]))</f>
        <v>1.7845340383344288E-2</v>
      </c>
      <c r="R305" s="41">
        <f>IF(Tabell2[[#This Row],[Yrkesaktivandel]]&lt;=I$433,I$433,IF(Tabell2[[#This Row],[Yrkesaktivandel]]&gt;=I$434,I$434,Tabell2[[#This Row],[Yrkesaktivandel]]))</f>
        <v>0.934819897084048</v>
      </c>
      <c r="S305" s="41">
        <f>IF(Tabell2[[#This Row],[Inntekt]]&lt;=J$433,J$433,IF(Tabell2[[#This Row],[Inntekt]]&gt;=J$434,J$434,Tabell2[[#This Row],[Inntekt]]))</f>
        <v>297600</v>
      </c>
      <c r="T305" s="44">
        <f>IF(Tabell2[[#This Row],[NIBR11-T]]&lt;=K$436,100,IF(Tabell2[[#This Row],[NIBR11-T]]&gt;=K$435,0,100*(K$435-Tabell2[[#This Row],[NIBR11-T]])/K$438))</f>
        <v>0</v>
      </c>
      <c r="U305" s="44">
        <f>(L$435-Tabell2[[#This Row],[ReisetidOslo-T]])*100/L$438</f>
        <v>26.446683093044872</v>
      </c>
      <c r="V305" s="44">
        <f>100-(M$435-Tabell2[[#This Row],[Beftettotal-T]])*100/M$438</f>
        <v>1.7091221173582909</v>
      </c>
      <c r="W305" s="44">
        <f>100-(N$435-Tabell2[[#This Row],[Befvekst10-T]])*100/N$438</f>
        <v>25.109109823689963</v>
      </c>
      <c r="X305" s="44">
        <f>100-(O$435-Tabell2[[#This Row],[Kvinneandel-T]])*100/O$438</f>
        <v>0</v>
      </c>
      <c r="Y305" s="44">
        <f>(P$435-Tabell2[[#This Row],[Eldreandel-T]])*100/P$438</f>
        <v>0</v>
      </c>
      <c r="Z305" s="44">
        <f>100-(Q$435-Tabell2[[#This Row],[Sysselsettingsvekst10-T]])*100/Q$438</f>
        <v>32.346037272120185</v>
      </c>
      <c r="AA305" s="44">
        <f>100-(R$435-Tabell2[[#This Row],[Yrkesaktivandel-T]])*100/R$438</f>
        <v>80.943838710355806</v>
      </c>
      <c r="AB305" s="44">
        <f>100-(S$435-Tabell2[[#This Row],[Inntekt-T]])*100/S$438</f>
        <v>7.4225122349102719</v>
      </c>
      <c r="AC305" s="44">
        <f>Tabell2[[#This Row],[NIBR11-I]]*Vekter!$B$3</f>
        <v>0</v>
      </c>
      <c r="AD305" s="44">
        <f>Tabell2[[#This Row],[ReisetidOslo-I]]*Vekter!$C$3</f>
        <v>2.6446683093044872</v>
      </c>
      <c r="AE305" s="44">
        <f>Tabell2[[#This Row],[Beftettotal-I]]*Vekter!$E$4</f>
        <v>0.1709122117358291</v>
      </c>
      <c r="AF305" s="44">
        <f>Tabell2[[#This Row],[Befvekst10-I]]*Vekter!$F$3</f>
        <v>5.0218219647379927</v>
      </c>
      <c r="AG305" s="44">
        <f>Tabell2[[#This Row],[Kvinneandel-I]]*Vekter!$G$3</f>
        <v>0</v>
      </c>
      <c r="AH305" s="44">
        <f>Tabell2[[#This Row],[Eldreandel-I]]*Vekter!$H$3</f>
        <v>0</v>
      </c>
      <c r="AI305" s="44">
        <f>Tabell2[[#This Row],[Sysselsettingsvekst10-I]]*Vekter!$I$3</f>
        <v>3.2346037272120185</v>
      </c>
      <c r="AJ305" s="44">
        <f>Tabell2[[#This Row],[Yrkesaktivandel-I]]*Vekter!$K$3</f>
        <v>8.0943838710355802</v>
      </c>
      <c r="AK305" s="44">
        <f>Tabell2[[#This Row],[Inntekt-I]]*Vekter!$M$3</f>
        <v>0.74225122349102723</v>
      </c>
      <c r="AL30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19.908641307516934</v>
      </c>
    </row>
    <row r="306" spans="1:38" s="38" customFormat="1" ht="12.75">
      <c r="A306" s="42" t="s">
        <v>304</v>
      </c>
      <c r="B306" s="38">
        <f>'Rådata-K'!Q306</f>
        <v>11</v>
      </c>
      <c r="C306" s="44">
        <f>'Rådata-K'!P306</f>
        <v>266.5491178876</v>
      </c>
      <c r="D306" s="41">
        <f>'Rådata-K'!R306</f>
        <v>2.6326318316395936</v>
      </c>
      <c r="E306" s="41">
        <f>'Rådata-K'!S306</f>
        <v>-0.11161116111611158</v>
      </c>
      <c r="F306" s="41">
        <f>'Rådata-K'!T306</f>
        <v>7.9027355623100301E-2</v>
      </c>
      <c r="G306" s="41">
        <f>'Rådata-K'!U306</f>
        <v>0.21783181357649442</v>
      </c>
      <c r="H306" s="41">
        <f>'Rådata-K'!V306</f>
        <v>1.8433179723502224E-2</v>
      </c>
      <c r="I306" s="41">
        <f>'Rådata-K'!W306</f>
        <v>0.95660377358490567</v>
      </c>
      <c r="J306" s="41">
        <f>'Rådata-K'!O306</f>
        <v>295100</v>
      </c>
      <c r="K306" s="41">
        <f>Tabell2[[#This Row],[NIBR11]]</f>
        <v>11</v>
      </c>
      <c r="L306" s="41">
        <f>IF(Tabell2[[#This Row],[ReisetidOslo]]&lt;=C$433,C$433,IF(Tabell2[[#This Row],[ReisetidOslo]]&gt;=C$434,C$434,Tabell2[[#This Row],[ReisetidOslo]]))</f>
        <v>266.5491178876</v>
      </c>
      <c r="M306" s="41">
        <f>IF(Tabell2[[#This Row],[Beftettotal]]&lt;=D$433,D$433,IF(Tabell2[[#This Row],[Beftettotal]]&gt;=D$434,D$434,Tabell2[[#This Row],[Beftettotal]]))</f>
        <v>2.6326318316395936</v>
      </c>
      <c r="N306" s="41">
        <f>IF(Tabell2[[#This Row],[Befvekst10]]&lt;=E$433,E$433,IF(Tabell2[[#This Row],[Befvekst10]]&gt;=E$434,E$434,Tabell2[[#This Row],[Befvekst10]]))</f>
        <v>-9.1923232174966049E-2</v>
      </c>
      <c r="O306" s="41">
        <f>IF(Tabell2[[#This Row],[Kvinneandel]]&lt;=F$433,F$433,IF(Tabell2[[#This Row],[Kvinneandel]]&gt;=F$434,F$434,Tabell2[[#This Row],[Kvinneandel]]))</f>
        <v>9.1717808671657367E-2</v>
      </c>
      <c r="P306" s="41">
        <f>IF(Tabell2[[#This Row],[Eldreandel]]&lt;=G$433,G$433,IF(Tabell2[[#This Row],[Eldreandel]]&gt;=G$434,G$434,Tabell2[[#This Row],[Eldreandel]]))</f>
        <v>0.1989437597342919</v>
      </c>
      <c r="Q306" s="41">
        <f>IF(Tabell2[[#This Row],[Sysselsettingsvekst10]]&lt;=H$433,H$433,IF(Tabell2[[#This Row],[Sysselsettingsvekst10]]&gt;=H$434,H$434,Tabell2[[#This Row],[Sysselsettingsvekst10]]))</f>
        <v>1.8433179723502224E-2</v>
      </c>
      <c r="R306" s="41">
        <f>IF(Tabell2[[#This Row],[Yrkesaktivandel]]&lt;=I$433,I$433,IF(Tabell2[[#This Row],[Yrkesaktivandel]]&gt;=I$434,I$434,Tabell2[[#This Row],[Yrkesaktivandel]]))</f>
        <v>0.95660377358490567</v>
      </c>
      <c r="S306" s="41">
        <f>IF(Tabell2[[#This Row],[Inntekt]]&lt;=J$433,J$433,IF(Tabell2[[#This Row],[Inntekt]]&gt;=J$434,J$434,Tabell2[[#This Row],[Inntekt]]))</f>
        <v>295100</v>
      </c>
      <c r="T306" s="44">
        <f>IF(Tabell2[[#This Row],[NIBR11-T]]&lt;=K$436,100,IF(Tabell2[[#This Row],[NIBR11-T]]&gt;=K$435,0,100*(K$435-Tabell2[[#This Row],[NIBR11-T]])/K$438))</f>
        <v>0</v>
      </c>
      <c r="U306" s="44">
        <f>(L$435-Tabell2[[#This Row],[ReisetidOslo-T]])*100/L$438</f>
        <v>5.5522492724922419</v>
      </c>
      <c r="V306" s="44">
        <f>100-(M$435-Tabell2[[#This Row],[Beftettotal-T]])*100/M$438</f>
        <v>1.073107098797152</v>
      </c>
      <c r="W306" s="44">
        <f>100-(N$435-Tabell2[[#This Row],[Befvekst10-T]])*100/N$438</f>
        <v>0</v>
      </c>
      <c r="X306" s="44">
        <f>100-(O$435-Tabell2[[#This Row],[Kvinneandel-T]])*100/O$438</f>
        <v>0</v>
      </c>
      <c r="Y306" s="44">
        <f>(P$435-Tabell2[[#This Row],[Eldreandel-T]])*100/P$438</f>
        <v>0</v>
      </c>
      <c r="Z306" s="44">
        <f>100-(Q$435-Tabell2[[#This Row],[Sysselsettingsvekst10-T]])*100/Q$438</f>
        <v>32.518872077950064</v>
      </c>
      <c r="AA306" s="44">
        <f>100-(R$435-Tabell2[[#This Row],[Yrkesaktivandel-T]])*100/R$438</f>
        <v>97.21163706392899</v>
      </c>
      <c r="AB306" s="44">
        <f>100-(S$435-Tabell2[[#This Row],[Inntekt-T]])*100/S$438</f>
        <v>4.0239260467645437</v>
      </c>
      <c r="AC306" s="44">
        <f>Tabell2[[#This Row],[NIBR11-I]]*Vekter!$B$3</f>
        <v>0</v>
      </c>
      <c r="AD306" s="44">
        <f>Tabell2[[#This Row],[ReisetidOslo-I]]*Vekter!$C$3</f>
        <v>0.55522492724922423</v>
      </c>
      <c r="AE306" s="44">
        <f>Tabell2[[#This Row],[Beftettotal-I]]*Vekter!$E$4</f>
        <v>0.10731070987971521</v>
      </c>
      <c r="AF306" s="44">
        <f>Tabell2[[#This Row],[Befvekst10-I]]*Vekter!$F$3</f>
        <v>0</v>
      </c>
      <c r="AG306" s="44">
        <f>Tabell2[[#This Row],[Kvinneandel-I]]*Vekter!$G$3</f>
        <v>0</v>
      </c>
      <c r="AH306" s="44">
        <f>Tabell2[[#This Row],[Eldreandel-I]]*Vekter!$H$3</f>
        <v>0</v>
      </c>
      <c r="AI306" s="44">
        <f>Tabell2[[#This Row],[Sysselsettingsvekst10-I]]*Vekter!$I$3</f>
        <v>3.2518872077950065</v>
      </c>
      <c r="AJ306" s="44">
        <f>Tabell2[[#This Row],[Yrkesaktivandel-I]]*Vekter!$K$3</f>
        <v>9.7211637063929004</v>
      </c>
      <c r="AK306" s="44">
        <f>Tabell2[[#This Row],[Inntekt-I]]*Vekter!$M$3</f>
        <v>0.40239260467645438</v>
      </c>
      <c r="AL30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14.0379791559933</v>
      </c>
    </row>
    <row r="307" spans="1:38" s="38" customFormat="1" ht="12.75">
      <c r="A307" s="42" t="s">
        <v>305</v>
      </c>
      <c r="B307" s="38">
        <f>'Rådata-K'!Q307</f>
        <v>11</v>
      </c>
      <c r="C307" s="44">
        <f>'Rådata-K'!P307</f>
        <v>267.2582173358</v>
      </c>
      <c r="D307" s="41">
        <f>'Rådata-K'!R307</f>
        <v>2.6323939300092909</v>
      </c>
      <c r="E307" s="41">
        <f>'Rådata-K'!S307</f>
        <v>-0.11458333333333337</v>
      </c>
      <c r="F307" s="41">
        <f>'Rådata-K'!T307</f>
        <v>8.5294117647058826E-2</v>
      </c>
      <c r="G307" s="41">
        <f>'Rådata-K'!U307</f>
        <v>0.22254901960784312</v>
      </c>
      <c r="H307" s="41">
        <f>'Rådata-K'!V307</f>
        <v>-6.2937062937062915E-2</v>
      </c>
      <c r="I307" s="41">
        <f>'Rådata-K'!W307</f>
        <v>0.92380952380952386</v>
      </c>
      <c r="J307" s="41">
        <f>'Rådata-K'!O307</f>
        <v>302200</v>
      </c>
      <c r="K307" s="41">
        <f>Tabell2[[#This Row],[NIBR11]]</f>
        <v>11</v>
      </c>
      <c r="L307" s="41">
        <f>IF(Tabell2[[#This Row],[ReisetidOslo]]&lt;=C$433,C$433,IF(Tabell2[[#This Row],[ReisetidOslo]]&gt;=C$434,C$434,Tabell2[[#This Row],[ReisetidOslo]]))</f>
        <v>267.2582173358</v>
      </c>
      <c r="M307" s="41">
        <f>IF(Tabell2[[#This Row],[Beftettotal]]&lt;=D$433,D$433,IF(Tabell2[[#This Row],[Beftettotal]]&gt;=D$434,D$434,Tabell2[[#This Row],[Beftettotal]]))</f>
        <v>2.6323939300092909</v>
      </c>
      <c r="N307" s="41">
        <f>IF(Tabell2[[#This Row],[Befvekst10]]&lt;=E$433,E$433,IF(Tabell2[[#This Row],[Befvekst10]]&gt;=E$434,E$434,Tabell2[[#This Row],[Befvekst10]]))</f>
        <v>-9.1923232174966049E-2</v>
      </c>
      <c r="O307" s="41">
        <f>IF(Tabell2[[#This Row],[Kvinneandel]]&lt;=F$433,F$433,IF(Tabell2[[#This Row],[Kvinneandel]]&gt;=F$434,F$434,Tabell2[[#This Row],[Kvinneandel]]))</f>
        <v>9.1717808671657367E-2</v>
      </c>
      <c r="P307" s="41">
        <f>IF(Tabell2[[#This Row],[Eldreandel]]&lt;=G$433,G$433,IF(Tabell2[[#This Row],[Eldreandel]]&gt;=G$434,G$434,Tabell2[[#This Row],[Eldreandel]]))</f>
        <v>0.1989437597342919</v>
      </c>
      <c r="Q307" s="41">
        <f>IF(Tabell2[[#This Row],[Sysselsettingsvekst10]]&lt;=H$433,H$433,IF(Tabell2[[#This Row],[Sysselsettingsvekst10]]&gt;=H$434,H$434,Tabell2[[#This Row],[Sysselsettingsvekst10]]))</f>
        <v>-6.2937062937062915E-2</v>
      </c>
      <c r="R307" s="41">
        <f>IF(Tabell2[[#This Row],[Yrkesaktivandel]]&lt;=I$433,I$433,IF(Tabell2[[#This Row],[Yrkesaktivandel]]&gt;=I$434,I$434,Tabell2[[#This Row],[Yrkesaktivandel]]))</f>
        <v>0.92380952380952386</v>
      </c>
      <c r="S307" s="41">
        <f>IF(Tabell2[[#This Row],[Inntekt]]&lt;=J$433,J$433,IF(Tabell2[[#This Row],[Inntekt]]&gt;=J$434,J$434,Tabell2[[#This Row],[Inntekt]]))</f>
        <v>302200</v>
      </c>
      <c r="T307" s="44">
        <f>IF(Tabell2[[#This Row],[NIBR11-T]]&lt;=K$436,100,IF(Tabell2[[#This Row],[NIBR11-T]]&gt;=K$435,0,100*(K$435-Tabell2[[#This Row],[NIBR11-T]])/K$438))</f>
        <v>0</v>
      </c>
      <c r="U307" s="44">
        <f>(L$435-Tabell2[[#This Row],[ReisetidOslo-T]])*100/L$438</f>
        <v>5.2374441527827287</v>
      </c>
      <c r="V307" s="44">
        <f>100-(M$435-Tabell2[[#This Row],[Beftettotal-T]])*100/M$438</f>
        <v>1.0729124936428462</v>
      </c>
      <c r="W307" s="44">
        <f>100-(N$435-Tabell2[[#This Row],[Befvekst10-T]])*100/N$438</f>
        <v>0</v>
      </c>
      <c r="X307" s="44">
        <f>100-(O$435-Tabell2[[#This Row],[Kvinneandel-T]])*100/O$438</f>
        <v>0</v>
      </c>
      <c r="Y307" s="44">
        <f>(P$435-Tabell2[[#This Row],[Eldreandel-T]])*100/P$438</f>
        <v>0</v>
      </c>
      <c r="Z307" s="44">
        <f>100-(Q$435-Tabell2[[#This Row],[Sysselsettingsvekst10-T]])*100/Q$438</f>
        <v>8.5946309974020352</v>
      </c>
      <c r="AA307" s="44">
        <f>100-(R$435-Tabell2[[#This Row],[Yrkesaktivandel-T]])*100/R$438</f>
        <v>72.721494435658968</v>
      </c>
      <c r="AB307" s="44">
        <f>100-(S$435-Tabell2[[#This Row],[Inntekt-T]])*100/S$438</f>
        <v>13.675910821098427</v>
      </c>
      <c r="AC307" s="44">
        <f>Tabell2[[#This Row],[NIBR11-I]]*Vekter!$B$3</f>
        <v>0</v>
      </c>
      <c r="AD307" s="44">
        <f>Tabell2[[#This Row],[ReisetidOslo-I]]*Vekter!$C$3</f>
        <v>0.52374441527827287</v>
      </c>
      <c r="AE307" s="44">
        <f>Tabell2[[#This Row],[Beftettotal-I]]*Vekter!$E$4</f>
        <v>0.10729124936428464</v>
      </c>
      <c r="AF307" s="44">
        <f>Tabell2[[#This Row],[Befvekst10-I]]*Vekter!$F$3</f>
        <v>0</v>
      </c>
      <c r="AG307" s="44">
        <f>Tabell2[[#This Row],[Kvinneandel-I]]*Vekter!$G$3</f>
        <v>0</v>
      </c>
      <c r="AH307" s="44">
        <f>Tabell2[[#This Row],[Eldreandel-I]]*Vekter!$H$3</f>
        <v>0</v>
      </c>
      <c r="AI307" s="44">
        <f>Tabell2[[#This Row],[Sysselsettingsvekst10-I]]*Vekter!$I$3</f>
        <v>0.85946309974020352</v>
      </c>
      <c r="AJ307" s="44">
        <f>Tabell2[[#This Row],[Yrkesaktivandel-I]]*Vekter!$K$3</f>
        <v>7.2721494435658975</v>
      </c>
      <c r="AK307" s="44">
        <f>Tabell2[[#This Row],[Inntekt-I]]*Vekter!$M$3</f>
        <v>1.3675910821098427</v>
      </c>
      <c r="AL30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10.130239290058501</v>
      </c>
    </row>
    <row r="308" spans="1:38" s="38" customFormat="1" ht="12.75">
      <c r="A308" s="42" t="s">
        <v>306</v>
      </c>
      <c r="B308" s="38">
        <f>'Rådata-K'!Q308</f>
        <v>9</v>
      </c>
      <c r="C308" s="44">
        <f>'Rådata-K'!P308</f>
        <v>272.68556164899996</v>
      </c>
      <c r="D308" s="41">
        <f>'Rådata-K'!R308</f>
        <v>2.970392813012563</v>
      </c>
      <c r="E308" s="41">
        <f>'Rådata-K'!S308</f>
        <v>5.8943408057689384E-2</v>
      </c>
      <c r="F308" s="41">
        <f>'Rådata-K'!T308</f>
        <v>0.11043671354552184</v>
      </c>
      <c r="G308" s="41">
        <f>'Rådata-K'!U308</f>
        <v>0.15973353071798668</v>
      </c>
      <c r="H308" s="41">
        <f>'Rådata-K'!V308</f>
        <v>5.2120427322758234E-2</v>
      </c>
      <c r="I308" s="41">
        <f>'Rådata-K'!W308</f>
        <v>0.92528282031044462</v>
      </c>
      <c r="J308" s="41">
        <f>'Rådata-K'!O308</f>
        <v>313000</v>
      </c>
      <c r="K308" s="41">
        <f>Tabell2[[#This Row],[NIBR11]]</f>
        <v>9</v>
      </c>
      <c r="L308" s="41">
        <f>IF(Tabell2[[#This Row],[ReisetidOslo]]&lt;=C$433,C$433,IF(Tabell2[[#This Row],[ReisetidOslo]]&gt;=C$434,C$434,Tabell2[[#This Row],[ReisetidOslo]]))</f>
        <v>272.68556164899996</v>
      </c>
      <c r="M308" s="41">
        <f>IF(Tabell2[[#This Row],[Beftettotal]]&lt;=D$433,D$433,IF(Tabell2[[#This Row],[Beftettotal]]&gt;=D$434,D$434,Tabell2[[#This Row],[Beftettotal]]))</f>
        <v>2.970392813012563</v>
      </c>
      <c r="N308" s="41">
        <f>IF(Tabell2[[#This Row],[Befvekst10]]&lt;=E$433,E$433,IF(Tabell2[[#This Row],[Befvekst10]]&gt;=E$434,E$434,Tabell2[[#This Row],[Befvekst10]]))</f>
        <v>5.8943408057689384E-2</v>
      </c>
      <c r="O308" s="41">
        <f>IF(Tabell2[[#This Row],[Kvinneandel]]&lt;=F$433,F$433,IF(Tabell2[[#This Row],[Kvinneandel]]&gt;=F$434,F$434,Tabell2[[#This Row],[Kvinneandel]]))</f>
        <v>0.11043671354552184</v>
      </c>
      <c r="P308" s="41">
        <f>IF(Tabell2[[#This Row],[Eldreandel]]&lt;=G$433,G$433,IF(Tabell2[[#This Row],[Eldreandel]]&gt;=G$434,G$434,Tabell2[[#This Row],[Eldreandel]]))</f>
        <v>0.15973353071798668</v>
      </c>
      <c r="Q308" s="41">
        <f>IF(Tabell2[[#This Row],[Sysselsettingsvekst10]]&lt;=H$433,H$433,IF(Tabell2[[#This Row],[Sysselsettingsvekst10]]&gt;=H$434,H$434,Tabell2[[#This Row],[Sysselsettingsvekst10]]))</f>
        <v>5.2120427322758234E-2</v>
      </c>
      <c r="R308" s="41">
        <f>IF(Tabell2[[#This Row],[Yrkesaktivandel]]&lt;=I$433,I$433,IF(Tabell2[[#This Row],[Yrkesaktivandel]]&gt;=I$434,I$434,Tabell2[[#This Row],[Yrkesaktivandel]]))</f>
        <v>0.92528282031044462</v>
      </c>
      <c r="S308" s="41">
        <f>IF(Tabell2[[#This Row],[Inntekt]]&lt;=J$433,J$433,IF(Tabell2[[#This Row],[Inntekt]]&gt;=J$434,J$434,Tabell2[[#This Row],[Inntekt]]))</f>
        <v>313000</v>
      </c>
      <c r="T308" s="44">
        <f>IF(Tabell2[[#This Row],[NIBR11-T]]&lt;=K$436,100,IF(Tabell2[[#This Row],[NIBR11-T]]&gt;=K$435,0,100*(K$435-Tabell2[[#This Row],[NIBR11-T]])/K$438))</f>
        <v>20</v>
      </c>
      <c r="U308" s="44">
        <f>(L$435-Tabell2[[#This Row],[ReisetidOslo-T]])*100/L$438</f>
        <v>2.8279714327591408</v>
      </c>
      <c r="V308" s="44">
        <f>100-(M$435-Tabell2[[#This Row],[Beftettotal-T]])*100/M$438</f>
        <v>1.3493978825711821</v>
      </c>
      <c r="W308" s="44">
        <f>100-(N$435-Tabell2[[#This Row],[Befvekst10-T]])*100/N$438</f>
        <v>62.415773571847893</v>
      </c>
      <c r="X308" s="44">
        <f>100-(O$435-Tabell2[[#This Row],[Kvinneandel-T]])*100/O$438</f>
        <v>51.223555354784637</v>
      </c>
      <c r="Y308" s="44">
        <f>(P$435-Tabell2[[#This Row],[Eldreandel-T]])*100/P$438</f>
        <v>46.165953148526484</v>
      </c>
      <c r="Z308" s="44">
        <f>100-(Q$435-Tabell2[[#This Row],[Sysselsettingsvekst10-T]])*100/Q$438</f>
        <v>42.423498223243605</v>
      </c>
      <c r="AA308" s="44">
        <f>100-(R$435-Tabell2[[#This Row],[Yrkesaktivandel-T]])*100/R$438</f>
        <v>73.821725167827339</v>
      </c>
      <c r="AB308" s="44">
        <f>100-(S$435-Tabell2[[#This Row],[Inntekt-T]])*100/S$438</f>
        <v>28.357803153887986</v>
      </c>
      <c r="AC308" s="44">
        <f>Tabell2[[#This Row],[NIBR11-I]]*Vekter!$B$3</f>
        <v>4</v>
      </c>
      <c r="AD308" s="44">
        <f>Tabell2[[#This Row],[ReisetidOslo-I]]*Vekter!$C$3</f>
        <v>0.2827971432759141</v>
      </c>
      <c r="AE308" s="44">
        <f>Tabell2[[#This Row],[Beftettotal-I]]*Vekter!$E$4</f>
        <v>0.13493978825711822</v>
      </c>
      <c r="AF308" s="44">
        <f>Tabell2[[#This Row],[Befvekst10-I]]*Vekter!$F$3</f>
        <v>12.483154714369579</v>
      </c>
      <c r="AG308" s="44">
        <f>Tabell2[[#This Row],[Kvinneandel-I]]*Vekter!$G$3</f>
        <v>2.561177767739232</v>
      </c>
      <c r="AH308" s="44">
        <f>Tabell2[[#This Row],[Eldreandel-I]]*Vekter!$H$3</f>
        <v>2.3082976574263241</v>
      </c>
      <c r="AI308" s="44">
        <f>Tabell2[[#This Row],[Sysselsettingsvekst10-I]]*Vekter!$I$3</f>
        <v>4.2423498223243605</v>
      </c>
      <c r="AJ308" s="44">
        <f>Tabell2[[#This Row],[Yrkesaktivandel-I]]*Vekter!$K$3</f>
        <v>7.3821725167827346</v>
      </c>
      <c r="AK308" s="44">
        <f>Tabell2[[#This Row],[Inntekt-I]]*Vekter!$M$3</f>
        <v>2.8357803153887988</v>
      </c>
      <c r="AL30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36.230669725564056</v>
      </c>
    </row>
    <row r="309" spans="1:38" s="38" customFormat="1" ht="12.75">
      <c r="A309" s="42" t="s">
        <v>307</v>
      </c>
      <c r="B309" s="38">
        <f>'Rådata-K'!Q309</f>
        <v>5</v>
      </c>
      <c r="C309" s="44">
        <f>'Rådata-K'!P309</f>
        <v>245.5792706599</v>
      </c>
      <c r="D309" s="41">
        <f>'Rådata-K'!R309</f>
        <v>2.7100013713514142</v>
      </c>
      <c r="E309" s="41">
        <f>'Rådata-K'!S309</f>
        <v>-3.9626168224299096E-2</v>
      </c>
      <c r="F309" s="41">
        <f>'Rådata-K'!T309</f>
        <v>8.7971973530556635E-2</v>
      </c>
      <c r="G309" s="41">
        <f>'Rådata-K'!U309</f>
        <v>0.19696379914363565</v>
      </c>
      <c r="H309" s="41">
        <f>'Rådata-K'!V309</f>
        <v>-3.2367972742759821E-2</v>
      </c>
      <c r="I309" s="41">
        <f>'Rådata-K'!W309</f>
        <v>0.95293265749456912</v>
      </c>
      <c r="J309" s="41">
        <f>'Rådata-K'!O309</f>
        <v>286100</v>
      </c>
      <c r="K309" s="41">
        <f>Tabell2[[#This Row],[NIBR11]]</f>
        <v>5</v>
      </c>
      <c r="L309" s="41">
        <f>IF(Tabell2[[#This Row],[ReisetidOslo]]&lt;=C$433,C$433,IF(Tabell2[[#This Row],[ReisetidOslo]]&gt;=C$434,C$434,Tabell2[[#This Row],[ReisetidOslo]]))</f>
        <v>245.5792706599</v>
      </c>
      <c r="M309" s="41">
        <f>IF(Tabell2[[#This Row],[Beftettotal]]&lt;=D$433,D$433,IF(Tabell2[[#This Row],[Beftettotal]]&gt;=D$434,D$434,Tabell2[[#This Row],[Beftettotal]]))</f>
        <v>2.7100013713514142</v>
      </c>
      <c r="N309" s="41">
        <f>IF(Tabell2[[#This Row],[Befvekst10]]&lt;=E$433,E$433,IF(Tabell2[[#This Row],[Befvekst10]]&gt;=E$434,E$434,Tabell2[[#This Row],[Befvekst10]]))</f>
        <v>-3.9626168224299096E-2</v>
      </c>
      <c r="O309" s="41">
        <f>IF(Tabell2[[#This Row],[Kvinneandel]]&lt;=F$433,F$433,IF(Tabell2[[#This Row],[Kvinneandel]]&gt;=F$434,F$434,Tabell2[[#This Row],[Kvinneandel]]))</f>
        <v>9.1717808671657367E-2</v>
      </c>
      <c r="P309" s="41">
        <f>IF(Tabell2[[#This Row],[Eldreandel]]&lt;=G$433,G$433,IF(Tabell2[[#This Row],[Eldreandel]]&gt;=G$434,G$434,Tabell2[[#This Row],[Eldreandel]]))</f>
        <v>0.19696379914363565</v>
      </c>
      <c r="Q309" s="41">
        <f>IF(Tabell2[[#This Row],[Sysselsettingsvekst10]]&lt;=H$433,H$433,IF(Tabell2[[#This Row],[Sysselsettingsvekst10]]&gt;=H$434,H$434,Tabell2[[#This Row],[Sysselsettingsvekst10]]))</f>
        <v>-3.2367972742759821E-2</v>
      </c>
      <c r="R309" s="41">
        <f>IF(Tabell2[[#This Row],[Yrkesaktivandel]]&lt;=I$433,I$433,IF(Tabell2[[#This Row],[Yrkesaktivandel]]&gt;=I$434,I$434,Tabell2[[#This Row],[Yrkesaktivandel]]))</f>
        <v>0.95293265749456912</v>
      </c>
      <c r="S309" s="41">
        <f>IF(Tabell2[[#This Row],[Inntekt]]&lt;=J$433,J$433,IF(Tabell2[[#This Row],[Inntekt]]&gt;=J$434,J$434,Tabell2[[#This Row],[Inntekt]]))</f>
        <v>292140</v>
      </c>
      <c r="T309" s="44">
        <f>IF(Tabell2[[#This Row],[NIBR11-T]]&lt;=K$436,100,IF(Tabell2[[#This Row],[NIBR11-T]]&gt;=K$435,0,100*(K$435-Tabell2[[#This Row],[NIBR11-T]])/K$438))</f>
        <v>60</v>
      </c>
      <c r="U309" s="44">
        <f>(L$435-Tabell2[[#This Row],[ReisetidOslo-T]])*100/L$438</f>
        <v>14.861825360252018</v>
      </c>
      <c r="V309" s="44">
        <f>100-(M$435-Tabell2[[#This Row],[Beftettotal-T]])*100/M$438</f>
        <v>1.1363959093646798</v>
      </c>
      <c r="W309" s="44">
        <f>100-(N$435-Tabell2[[#This Row],[Befvekst10-T]])*100/N$438</f>
        <v>21.636073402201617</v>
      </c>
      <c r="X309" s="44">
        <f>100-(O$435-Tabell2[[#This Row],[Kvinneandel-T]])*100/O$438</f>
        <v>0</v>
      </c>
      <c r="Y309" s="44">
        <f>(P$435-Tabell2[[#This Row],[Eldreandel-T]])*100/P$438</f>
        <v>2.3311969901056822</v>
      </c>
      <c r="Z309" s="44">
        <f>100-(Q$435-Tabell2[[#This Row],[Sysselsettingsvekst10-T]])*100/Q$438</f>
        <v>17.582465610017223</v>
      </c>
      <c r="AA309" s="44">
        <f>100-(R$435-Tabell2[[#This Row],[Yrkesaktivandel-T]])*100/R$438</f>
        <v>94.470115081475527</v>
      </c>
      <c r="AB309" s="44">
        <f>100-(S$435-Tabell2[[#This Row],[Inntekt-T]])*100/S$438</f>
        <v>0</v>
      </c>
      <c r="AC309" s="44">
        <f>Tabell2[[#This Row],[NIBR11-I]]*Vekter!$B$3</f>
        <v>12</v>
      </c>
      <c r="AD309" s="44">
        <f>Tabell2[[#This Row],[ReisetidOslo-I]]*Vekter!$C$3</f>
        <v>1.4861825360252019</v>
      </c>
      <c r="AE309" s="44">
        <f>Tabell2[[#This Row],[Beftettotal-I]]*Vekter!$E$4</f>
        <v>0.11363959093646799</v>
      </c>
      <c r="AF309" s="44">
        <f>Tabell2[[#This Row],[Befvekst10-I]]*Vekter!$F$3</f>
        <v>4.3272146804403233</v>
      </c>
      <c r="AG309" s="44">
        <f>Tabell2[[#This Row],[Kvinneandel-I]]*Vekter!$G$3</f>
        <v>0</v>
      </c>
      <c r="AH309" s="44">
        <f>Tabell2[[#This Row],[Eldreandel-I]]*Vekter!$H$3</f>
        <v>0.11655984950528411</v>
      </c>
      <c r="AI309" s="44">
        <f>Tabell2[[#This Row],[Sysselsettingsvekst10-I]]*Vekter!$I$3</f>
        <v>1.7582465610017224</v>
      </c>
      <c r="AJ309" s="44">
        <f>Tabell2[[#This Row],[Yrkesaktivandel-I]]*Vekter!$K$3</f>
        <v>9.4470115081475523</v>
      </c>
      <c r="AK309" s="44">
        <f>Tabell2[[#This Row],[Inntekt-I]]*Vekter!$M$3</f>
        <v>0</v>
      </c>
      <c r="AL30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29.24885472605655</v>
      </c>
    </row>
    <row r="310" spans="1:38" s="38" customFormat="1" ht="12.75">
      <c r="A310" s="42" t="s">
        <v>308</v>
      </c>
      <c r="B310" s="38">
        <f>'Rådata-K'!Q310</f>
        <v>5</v>
      </c>
      <c r="C310" s="44">
        <f>'Rådata-K'!P310</f>
        <v>238.71011909399999</v>
      </c>
      <c r="D310" s="41">
        <f>'Rådata-K'!R310</f>
        <v>6.3977565461244996</v>
      </c>
      <c r="E310" s="41">
        <f>'Rådata-K'!S310</f>
        <v>-1.7772215269086344E-2</v>
      </c>
      <c r="F310" s="41">
        <f>'Rådata-K'!T310</f>
        <v>9.862385321100918E-2</v>
      </c>
      <c r="G310" s="41">
        <f>'Rådata-K'!U310</f>
        <v>0.19113149847094801</v>
      </c>
      <c r="H310" s="41">
        <f>'Rådata-K'!V310</f>
        <v>2.7330063069376243E-2</v>
      </c>
      <c r="I310" s="41">
        <f>'Rådata-K'!W310</f>
        <v>0.85812043795620441</v>
      </c>
      <c r="J310" s="41">
        <f>'Rådata-K'!O310</f>
        <v>302600</v>
      </c>
      <c r="K310" s="41">
        <f>Tabell2[[#This Row],[NIBR11]]</f>
        <v>5</v>
      </c>
      <c r="L310" s="41">
        <f>IF(Tabell2[[#This Row],[ReisetidOslo]]&lt;=C$433,C$433,IF(Tabell2[[#This Row],[ReisetidOslo]]&gt;=C$434,C$434,Tabell2[[#This Row],[ReisetidOslo]]))</f>
        <v>238.71011909399999</v>
      </c>
      <c r="M310" s="41">
        <f>IF(Tabell2[[#This Row],[Beftettotal]]&lt;=D$433,D$433,IF(Tabell2[[#This Row],[Beftettotal]]&gt;=D$434,D$434,Tabell2[[#This Row],[Beftettotal]]))</f>
        <v>6.3977565461244996</v>
      </c>
      <c r="N310" s="41">
        <f>IF(Tabell2[[#This Row],[Befvekst10]]&lt;=E$433,E$433,IF(Tabell2[[#This Row],[Befvekst10]]&gt;=E$434,E$434,Tabell2[[#This Row],[Befvekst10]]))</f>
        <v>-1.7772215269086344E-2</v>
      </c>
      <c r="O310" s="41">
        <f>IF(Tabell2[[#This Row],[Kvinneandel]]&lt;=F$433,F$433,IF(Tabell2[[#This Row],[Kvinneandel]]&gt;=F$434,F$434,Tabell2[[#This Row],[Kvinneandel]]))</f>
        <v>9.862385321100918E-2</v>
      </c>
      <c r="P310" s="41">
        <f>IF(Tabell2[[#This Row],[Eldreandel]]&lt;=G$433,G$433,IF(Tabell2[[#This Row],[Eldreandel]]&gt;=G$434,G$434,Tabell2[[#This Row],[Eldreandel]]))</f>
        <v>0.19113149847094801</v>
      </c>
      <c r="Q310" s="41">
        <f>IF(Tabell2[[#This Row],[Sysselsettingsvekst10]]&lt;=H$433,H$433,IF(Tabell2[[#This Row],[Sysselsettingsvekst10]]&gt;=H$434,H$434,Tabell2[[#This Row],[Sysselsettingsvekst10]]))</f>
        <v>2.7330063069376243E-2</v>
      </c>
      <c r="R310" s="41">
        <f>IF(Tabell2[[#This Row],[Yrkesaktivandel]]&lt;=I$433,I$433,IF(Tabell2[[#This Row],[Yrkesaktivandel]]&gt;=I$434,I$434,Tabell2[[#This Row],[Yrkesaktivandel]]))</f>
        <v>0.85812043795620441</v>
      </c>
      <c r="S310" s="41">
        <f>IF(Tabell2[[#This Row],[Inntekt]]&lt;=J$433,J$433,IF(Tabell2[[#This Row],[Inntekt]]&gt;=J$434,J$434,Tabell2[[#This Row],[Inntekt]]))</f>
        <v>302600</v>
      </c>
      <c r="T310" s="44">
        <f>IF(Tabell2[[#This Row],[NIBR11-T]]&lt;=K$436,100,IF(Tabell2[[#This Row],[NIBR11-T]]&gt;=K$435,0,100*(K$435-Tabell2[[#This Row],[NIBR11-T]])/K$438))</f>
        <v>60</v>
      </c>
      <c r="U310" s="44">
        <f>(L$435-Tabell2[[#This Row],[ReisetidOslo-T]])*100/L$438</f>
        <v>17.911389263446669</v>
      </c>
      <c r="V310" s="44">
        <f>100-(M$435-Tabell2[[#This Row],[Beftettotal-T]])*100/M$438</f>
        <v>4.1530047653167941</v>
      </c>
      <c r="W310" s="44">
        <f>100-(N$435-Tabell2[[#This Row],[Befvekst10-T]])*100/N$438</f>
        <v>30.677378870387741</v>
      </c>
      <c r="X310" s="44">
        <f>100-(O$435-Tabell2[[#This Row],[Kvinneandel-T]])*100/O$438</f>
        <v>18.898122359604926</v>
      </c>
      <c r="Y310" s="44">
        <f>(P$435-Tabell2[[#This Row],[Eldreandel-T]])*100/P$438</f>
        <v>9.198122441917004</v>
      </c>
      <c r="Z310" s="44">
        <f>100-(Q$435-Tabell2[[#This Row],[Sysselsettingsvekst10-T]])*100/Q$438</f>
        <v>35.134707733253535</v>
      </c>
      <c r="AA310" s="44">
        <f>100-(R$435-Tabell2[[#This Row],[Yrkesaktivandel-T]])*100/R$438</f>
        <v>23.666093178206708</v>
      </c>
      <c r="AB310" s="44">
        <f>100-(S$435-Tabell2[[#This Row],[Inntekt-T]])*100/S$438</f>
        <v>14.219684611201743</v>
      </c>
      <c r="AC310" s="44">
        <f>Tabell2[[#This Row],[NIBR11-I]]*Vekter!$B$3</f>
        <v>12</v>
      </c>
      <c r="AD310" s="44">
        <f>Tabell2[[#This Row],[ReisetidOslo-I]]*Vekter!$C$3</f>
        <v>1.7911389263446669</v>
      </c>
      <c r="AE310" s="44">
        <f>Tabell2[[#This Row],[Beftettotal-I]]*Vekter!$E$4</f>
        <v>0.41530047653167945</v>
      </c>
      <c r="AF310" s="44">
        <f>Tabell2[[#This Row],[Befvekst10-I]]*Vekter!$F$3</f>
        <v>6.1354757740775483</v>
      </c>
      <c r="AG310" s="44">
        <f>Tabell2[[#This Row],[Kvinneandel-I]]*Vekter!$G$3</f>
        <v>0.94490611798024637</v>
      </c>
      <c r="AH310" s="44">
        <f>Tabell2[[#This Row],[Eldreandel-I]]*Vekter!$H$3</f>
        <v>0.45990612209585024</v>
      </c>
      <c r="AI310" s="44">
        <f>Tabell2[[#This Row],[Sysselsettingsvekst10-I]]*Vekter!$I$3</f>
        <v>3.5134707733253538</v>
      </c>
      <c r="AJ310" s="44">
        <f>Tabell2[[#This Row],[Yrkesaktivandel-I]]*Vekter!$K$3</f>
        <v>2.3666093178206711</v>
      </c>
      <c r="AK310" s="44">
        <f>Tabell2[[#This Row],[Inntekt-I]]*Vekter!$M$3</f>
        <v>1.4219684611201744</v>
      </c>
      <c r="AL31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29.048775969296191</v>
      </c>
    </row>
    <row r="311" spans="1:38" s="38" customFormat="1" ht="12.75">
      <c r="A311" s="42" t="s">
        <v>309</v>
      </c>
      <c r="B311" s="38">
        <f>'Rådata-K'!Q311</f>
        <v>5</v>
      </c>
      <c r="C311" s="44">
        <f>'Rådata-K'!P311</f>
        <v>208.12658018320002</v>
      </c>
      <c r="D311" s="41">
        <f>'Rådata-K'!R311</f>
        <v>19.229086748771792</v>
      </c>
      <c r="E311" s="41">
        <f>'Rådata-K'!S311</f>
        <v>0.10095366535015904</v>
      </c>
      <c r="F311" s="41">
        <f>'Rådata-K'!T311</f>
        <v>0.11820806719748009</v>
      </c>
      <c r="G311" s="41">
        <f>'Rådata-K'!U311</f>
        <v>0.13824481581940679</v>
      </c>
      <c r="H311" s="41">
        <f>'Rådata-K'!V311</f>
        <v>0.12949782522736264</v>
      </c>
      <c r="I311" s="41">
        <f>'Rådata-K'!W311</f>
        <v>0.86756352765321376</v>
      </c>
      <c r="J311" s="41">
        <f>'Rådata-K'!O311</f>
        <v>323400</v>
      </c>
      <c r="K311" s="41">
        <f>Tabell2[[#This Row],[NIBR11]]</f>
        <v>5</v>
      </c>
      <c r="L311" s="41">
        <f>IF(Tabell2[[#This Row],[ReisetidOslo]]&lt;=C$433,C$433,IF(Tabell2[[#This Row],[ReisetidOslo]]&gt;=C$434,C$434,Tabell2[[#This Row],[ReisetidOslo]]))</f>
        <v>208.12658018320002</v>
      </c>
      <c r="M311" s="41">
        <f>IF(Tabell2[[#This Row],[Beftettotal]]&lt;=D$433,D$433,IF(Tabell2[[#This Row],[Beftettotal]]&gt;=D$434,D$434,Tabell2[[#This Row],[Beftettotal]]))</f>
        <v>19.229086748771792</v>
      </c>
      <c r="N311" s="41">
        <f>IF(Tabell2[[#This Row],[Befvekst10]]&lt;=E$433,E$433,IF(Tabell2[[#This Row],[Befvekst10]]&gt;=E$434,E$434,Tabell2[[#This Row],[Befvekst10]]))</f>
        <v>0.10095366535015904</v>
      </c>
      <c r="O311" s="41">
        <f>IF(Tabell2[[#This Row],[Kvinneandel]]&lt;=F$433,F$433,IF(Tabell2[[#This Row],[Kvinneandel]]&gt;=F$434,F$434,Tabell2[[#This Row],[Kvinneandel]]))</f>
        <v>0.11820806719748009</v>
      </c>
      <c r="P311" s="41">
        <f>IF(Tabell2[[#This Row],[Eldreandel]]&lt;=G$433,G$433,IF(Tabell2[[#This Row],[Eldreandel]]&gt;=G$434,G$434,Tabell2[[#This Row],[Eldreandel]]))</f>
        <v>0.13824481581940679</v>
      </c>
      <c r="Q311" s="41">
        <f>IF(Tabell2[[#This Row],[Sysselsettingsvekst10]]&lt;=H$433,H$433,IF(Tabell2[[#This Row],[Sysselsettingsvekst10]]&gt;=H$434,H$434,Tabell2[[#This Row],[Sysselsettingsvekst10]]))</f>
        <v>0.12949782522736264</v>
      </c>
      <c r="R311" s="41">
        <f>IF(Tabell2[[#This Row],[Yrkesaktivandel]]&lt;=I$433,I$433,IF(Tabell2[[#This Row],[Yrkesaktivandel]]&gt;=I$434,I$434,Tabell2[[#This Row],[Yrkesaktivandel]]))</f>
        <v>0.86756352765321376</v>
      </c>
      <c r="S311" s="41">
        <f>IF(Tabell2[[#This Row],[Inntekt]]&lt;=J$433,J$433,IF(Tabell2[[#This Row],[Inntekt]]&gt;=J$434,J$434,Tabell2[[#This Row],[Inntekt]]))</f>
        <v>323400</v>
      </c>
      <c r="T311" s="44">
        <f>IF(Tabell2[[#This Row],[NIBR11-T]]&lt;=K$436,100,IF(Tabell2[[#This Row],[NIBR11-T]]&gt;=K$435,0,100*(K$435-Tabell2[[#This Row],[NIBR11-T]])/K$438))</f>
        <v>60</v>
      </c>
      <c r="U311" s="44">
        <f>(L$435-Tabell2[[#This Row],[ReisetidOslo-T]])*100/L$438</f>
        <v>31.488969463790482</v>
      </c>
      <c r="V311" s="44">
        <f>100-(M$435-Tabell2[[#This Row],[Beftettotal-T]])*100/M$438</f>
        <v>14.649120285060704</v>
      </c>
      <c r="W311" s="44">
        <f>100-(N$435-Tabell2[[#This Row],[Befvekst10-T]])*100/N$438</f>
        <v>79.796042018326489</v>
      </c>
      <c r="X311" s="44">
        <f>100-(O$435-Tabell2[[#This Row],[Kvinneandel-T]])*100/O$438</f>
        <v>72.489562455899261</v>
      </c>
      <c r="Y311" s="44">
        <f>(P$435-Tabell2[[#This Row],[Eldreandel-T]])*100/P$438</f>
        <v>71.466672632142576</v>
      </c>
      <c r="Z311" s="44">
        <f>100-(Q$435-Tabell2[[#This Row],[Sysselsettingsvekst10-T]])*100/Q$438</f>
        <v>65.17377475096005</v>
      </c>
      <c r="AA311" s="44">
        <f>100-(R$435-Tabell2[[#This Row],[Yrkesaktivandel-T]])*100/R$438</f>
        <v>30.718018900407912</v>
      </c>
      <c r="AB311" s="44">
        <f>100-(S$435-Tabell2[[#This Row],[Inntekt-T]])*100/S$438</f>
        <v>42.495921696574229</v>
      </c>
      <c r="AC311" s="44">
        <f>Tabell2[[#This Row],[NIBR11-I]]*Vekter!$B$3</f>
        <v>12</v>
      </c>
      <c r="AD311" s="44">
        <f>Tabell2[[#This Row],[ReisetidOslo-I]]*Vekter!$C$3</f>
        <v>3.1488969463790486</v>
      </c>
      <c r="AE311" s="44">
        <f>Tabell2[[#This Row],[Beftettotal-I]]*Vekter!$E$4</f>
        <v>1.4649120285060704</v>
      </c>
      <c r="AF311" s="44">
        <f>Tabell2[[#This Row],[Befvekst10-I]]*Vekter!$F$3</f>
        <v>15.959208403665299</v>
      </c>
      <c r="AG311" s="44">
        <f>Tabell2[[#This Row],[Kvinneandel-I]]*Vekter!$G$3</f>
        <v>3.6244781227949634</v>
      </c>
      <c r="AH311" s="44">
        <f>Tabell2[[#This Row],[Eldreandel-I]]*Vekter!$H$3</f>
        <v>3.5733336316071291</v>
      </c>
      <c r="AI311" s="44">
        <f>Tabell2[[#This Row],[Sysselsettingsvekst10-I]]*Vekter!$I$3</f>
        <v>6.517377475096005</v>
      </c>
      <c r="AJ311" s="44">
        <f>Tabell2[[#This Row],[Yrkesaktivandel-I]]*Vekter!$K$3</f>
        <v>3.0718018900407915</v>
      </c>
      <c r="AK311" s="44">
        <f>Tabell2[[#This Row],[Inntekt-I]]*Vekter!$M$3</f>
        <v>4.249592169657423</v>
      </c>
      <c r="AL31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53.609600667746726</v>
      </c>
    </row>
    <row r="312" spans="1:38" s="38" customFormat="1" ht="12.75">
      <c r="A312" s="42" t="s">
        <v>310</v>
      </c>
      <c r="B312" s="38">
        <f>'Rådata-K'!Q312</f>
        <v>9</v>
      </c>
      <c r="C312" s="44">
        <f>'Rådata-K'!P312</f>
        <v>153.59273603817002</v>
      </c>
      <c r="D312" s="41">
        <f>'Rådata-K'!R312</f>
        <v>2.8643570530447851</v>
      </c>
      <c r="E312" s="41">
        <f>'Rådata-K'!S312</f>
        <v>1.2506700017866912E-3</v>
      </c>
      <c r="F312" s="41">
        <f>'Rådata-K'!T312</f>
        <v>0.10742326909350464</v>
      </c>
      <c r="G312" s="41">
        <f>'Rådata-K'!U312</f>
        <v>0.17773019271948609</v>
      </c>
      <c r="H312" s="41">
        <f>'Rådata-K'!V312</f>
        <v>8.3173384516954663E-2</v>
      </c>
      <c r="I312" s="41">
        <f>'Rådata-K'!W312</f>
        <v>0.95072646873025901</v>
      </c>
      <c r="J312" s="41">
        <f>'Rådata-K'!O312</f>
        <v>317000</v>
      </c>
      <c r="K312" s="41">
        <f>Tabell2[[#This Row],[NIBR11]]</f>
        <v>9</v>
      </c>
      <c r="L312" s="41">
        <f>IF(Tabell2[[#This Row],[ReisetidOslo]]&lt;=C$433,C$433,IF(Tabell2[[#This Row],[ReisetidOslo]]&gt;=C$434,C$434,Tabell2[[#This Row],[ReisetidOslo]]))</f>
        <v>153.59273603817002</v>
      </c>
      <c r="M312" s="41">
        <f>IF(Tabell2[[#This Row],[Beftettotal]]&lt;=D$433,D$433,IF(Tabell2[[#This Row],[Beftettotal]]&gt;=D$434,D$434,Tabell2[[#This Row],[Beftettotal]]))</f>
        <v>2.8643570530447851</v>
      </c>
      <c r="N312" s="41">
        <f>IF(Tabell2[[#This Row],[Befvekst10]]&lt;=E$433,E$433,IF(Tabell2[[#This Row],[Befvekst10]]&gt;=E$434,E$434,Tabell2[[#This Row],[Befvekst10]]))</f>
        <v>1.2506700017866912E-3</v>
      </c>
      <c r="O312" s="41">
        <f>IF(Tabell2[[#This Row],[Kvinneandel]]&lt;=F$433,F$433,IF(Tabell2[[#This Row],[Kvinneandel]]&gt;=F$434,F$434,Tabell2[[#This Row],[Kvinneandel]]))</f>
        <v>0.10742326909350464</v>
      </c>
      <c r="P312" s="41">
        <f>IF(Tabell2[[#This Row],[Eldreandel]]&lt;=G$433,G$433,IF(Tabell2[[#This Row],[Eldreandel]]&gt;=G$434,G$434,Tabell2[[#This Row],[Eldreandel]]))</f>
        <v>0.17773019271948609</v>
      </c>
      <c r="Q312" s="41">
        <f>IF(Tabell2[[#This Row],[Sysselsettingsvekst10]]&lt;=H$433,H$433,IF(Tabell2[[#This Row],[Sysselsettingsvekst10]]&gt;=H$434,H$434,Tabell2[[#This Row],[Sysselsettingsvekst10]]))</f>
        <v>8.3173384516954663E-2</v>
      </c>
      <c r="R312" s="41">
        <f>IF(Tabell2[[#This Row],[Yrkesaktivandel]]&lt;=I$433,I$433,IF(Tabell2[[#This Row],[Yrkesaktivandel]]&gt;=I$434,I$434,Tabell2[[#This Row],[Yrkesaktivandel]]))</f>
        <v>0.95072646873025901</v>
      </c>
      <c r="S312" s="41">
        <f>IF(Tabell2[[#This Row],[Inntekt]]&lt;=J$433,J$433,IF(Tabell2[[#This Row],[Inntekt]]&gt;=J$434,J$434,Tabell2[[#This Row],[Inntekt]]))</f>
        <v>317000</v>
      </c>
      <c r="T312" s="44">
        <f>IF(Tabell2[[#This Row],[NIBR11-T]]&lt;=K$436,100,IF(Tabell2[[#This Row],[NIBR11-T]]&gt;=K$435,0,100*(K$435-Tabell2[[#This Row],[NIBR11-T]])/K$438))</f>
        <v>20</v>
      </c>
      <c r="U312" s="44">
        <f>(L$435-Tabell2[[#This Row],[ReisetidOslo-T]])*100/L$438</f>
        <v>55.699301847879745</v>
      </c>
      <c r="V312" s="44">
        <f>100-(M$435-Tabell2[[#This Row],[Beftettotal-T]])*100/M$438</f>
        <v>1.2626599085444496</v>
      </c>
      <c r="W312" s="44">
        <f>100-(N$435-Tabell2[[#This Row],[Befvekst10-T]])*100/N$438</f>
        <v>38.547429518556498</v>
      </c>
      <c r="X312" s="44">
        <f>100-(O$435-Tabell2[[#This Row],[Kvinneandel-T]])*100/O$438</f>
        <v>42.977381781244546</v>
      </c>
      <c r="Y312" s="44">
        <f>(P$435-Tabell2[[#This Row],[Eldreandel-T]])*100/P$438</f>
        <v>24.976761561668013</v>
      </c>
      <c r="Z312" s="44">
        <f>100-(Q$435-Tabell2[[#This Row],[Sysselsettingsvekst10-T]])*100/Q$438</f>
        <v>51.553597997886868</v>
      </c>
      <c r="AA312" s="44">
        <f>100-(R$435-Tabell2[[#This Row],[Yrkesaktivandel-T]])*100/R$438</f>
        <v>92.822573885292982</v>
      </c>
      <c r="AB312" s="44">
        <f>100-(S$435-Tabell2[[#This Row],[Inntekt-T]])*100/S$438</f>
        <v>33.795541054921159</v>
      </c>
      <c r="AC312" s="44">
        <f>Tabell2[[#This Row],[NIBR11-I]]*Vekter!$B$3</f>
        <v>4</v>
      </c>
      <c r="AD312" s="44">
        <f>Tabell2[[#This Row],[ReisetidOslo-I]]*Vekter!$C$3</f>
        <v>5.5699301847879745</v>
      </c>
      <c r="AE312" s="44">
        <f>Tabell2[[#This Row],[Beftettotal-I]]*Vekter!$E$4</f>
        <v>0.12626599085444498</v>
      </c>
      <c r="AF312" s="44">
        <f>Tabell2[[#This Row],[Befvekst10-I]]*Vekter!$F$3</f>
        <v>7.7094859037113004</v>
      </c>
      <c r="AG312" s="44">
        <f>Tabell2[[#This Row],[Kvinneandel-I]]*Vekter!$G$3</f>
        <v>2.1488690890622273</v>
      </c>
      <c r="AH312" s="44">
        <f>Tabell2[[#This Row],[Eldreandel-I]]*Vekter!$H$3</f>
        <v>1.2488380780834007</v>
      </c>
      <c r="AI312" s="44">
        <f>Tabell2[[#This Row],[Sysselsettingsvekst10-I]]*Vekter!$I$3</f>
        <v>5.1553597997886875</v>
      </c>
      <c r="AJ312" s="44">
        <f>Tabell2[[#This Row],[Yrkesaktivandel-I]]*Vekter!$K$3</f>
        <v>9.2822573885292989</v>
      </c>
      <c r="AK312" s="44">
        <f>Tabell2[[#This Row],[Inntekt-I]]*Vekter!$M$3</f>
        <v>3.3795541054921161</v>
      </c>
      <c r="AL31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38.620560540309455</v>
      </c>
    </row>
    <row r="313" spans="1:38" s="38" customFormat="1" ht="12.75">
      <c r="A313" s="42" t="s">
        <v>311</v>
      </c>
      <c r="B313" s="38">
        <f>'Rådata-K'!Q313</f>
        <v>9</v>
      </c>
      <c r="C313" s="44">
        <f>'Rådata-K'!P313</f>
        <v>178.62639368219999</v>
      </c>
      <c r="D313" s="41">
        <f>'Rådata-K'!R313</f>
        <v>1.6643241008681273</v>
      </c>
      <c r="E313" s="41">
        <f>'Rådata-K'!S313</f>
        <v>-8.2079343365253132E-2</v>
      </c>
      <c r="F313" s="41">
        <f>'Rådata-K'!T313</f>
        <v>9.2399403874813713E-2</v>
      </c>
      <c r="G313" s="41">
        <f>'Rådata-K'!U313</f>
        <v>0.21510183805265773</v>
      </c>
      <c r="H313" s="41">
        <f>'Rådata-K'!V313</f>
        <v>-0.14250309789343252</v>
      </c>
      <c r="I313" s="41">
        <f>'Rådata-K'!W313</f>
        <v>0.94995366079703425</v>
      </c>
      <c r="J313" s="41">
        <f>'Rådata-K'!O313</f>
        <v>296400</v>
      </c>
      <c r="K313" s="41">
        <f>Tabell2[[#This Row],[NIBR11]]</f>
        <v>9</v>
      </c>
      <c r="L313" s="41">
        <f>IF(Tabell2[[#This Row],[ReisetidOslo]]&lt;=C$433,C$433,IF(Tabell2[[#This Row],[ReisetidOslo]]&gt;=C$434,C$434,Tabell2[[#This Row],[ReisetidOslo]]))</f>
        <v>178.62639368219999</v>
      </c>
      <c r="M313" s="41">
        <f>IF(Tabell2[[#This Row],[Beftettotal]]&lt;=D$433,D$433,IF(Tabell2[[#This Row],[Beftettotal]]&gt;=D$434,D$434,Tabell2[[#This Row],[Beftettotal]]))</f>
        <v>1.6643241008681273</v>
      </c>
      <c r="N313" s="41">
        <f>IF(Tabell2[[#This Row],[Befvekst10]]&lt;=E$433,E$433,IF(Tabell2[[#This Row],[Befvekst10]]&gt;=E$434,E$434,Tabell2[[#This Row],[Befvekst10]]))</f>
        <v>-8.2079343365253132E-2</v>
      </c>
      <c r="O313" s="41">
        <f>IF(Tabell2[[#This Row],[Kvinneandel]]&lt;=F$433,F$433,IF(Tabell2[[#This Row],[Kvinneandel]]&gt;=F$434,F$434,Tabell2[[#This Row],[Kvinneandel]]))</f>
        <v>9.2399403874813713E-2</v>
      </c>
      <c r="P313" s="41">
        <f>IF(Tabell2[[#This Row],[Eldreandel]]&lt;=G$433,G$433,IF(Tabell2[[#This Row],[Eldreandel]]&gt;=G$434,G$434,Tabell2[[#This Row],[Eldreandel]]))</f>
        <v>0.1989437597342919</v>
      </c>
      <c r="Q313" s="41">
        <f>IF(Tabell2[[#This Row],[Sysselsettingsvekst10]]&lt;=H$433,H$433,IF(Tabell2[[#This Row],[Sysselsettingsvekst10]]&gt;=H$434,H$434,Tabell2[[#This Row],[Sysselsettingsvekst10]]))</f>
        <v>-9.2168803558721979E-2</v>
      </c>
      <c r="R313" s="41">
        <f>IF(Tabell2[[#This Row],[Yrkesaktivandel]]&lt;=I$433,I$433,IF(Tabell2[[#This Row],[Yrkesaktivandel]]&gt;=I$434,I$434,Tabell2[[#This Row],[Yrkesaktivandel]]))</f>
        <v>0.94995366079703425</v>
      </c>
      <c r="S313" s="41">
        <f>IF(Tabell2[[#This Row],[Inntekt]]&lt;=J$433,J$433,IF(Tabell2[[#This Row],[Inntekt]]&gt;=J$434,J$434,Tabell2[[#This Row],[Inntekt]]))</f>
        <v>296400</v>
      </c>
      <c r="T313" s="44">
        <f>IF(Tabell2[[#This Row],[NIBR11-T]]&lt;=K$436,100,IF(Tabell2[[#This Row],[NIBR11-T]]&gt;=K$435,0,100*(K$435-Tabell2[[#This Row],[NIBR11-T]])/K$438))</f>
        <v>20</v>
      </c>
      <c r="U313" s="44">
        <f>(L$435-Tabell2[[#This Row],[ReisetidOslo-T]])*100/L$438</f>
        <v>44.585594720620541</v>
      </c>
      <c r="V313" s="44">
        <f>100-(M$435-Tabell2[[#This Row],[Beftettotal-T]])*100/M$438</f>
        <v>0.28102477838882578</v>
      </c>
      <c r="W313" s="44">
        <f>100-(N$435-Tabell2[[#This Row],[Befvekst10-T]])*100/N$438</f>
        <v>4.0725632523265887</v>
      </c>
      <c r="X313" s="44">
        <f>100-(O$435-Tabell2[[#This Row],[Kvinneandel-T]])*100/O$438</f>
        <v>1.8651587715038573</v>
      </c>
      <c r="Y313" s="44">
        <f>(P$435-Tabell2[[#This Row],[Eldreandel-T]])*100/P$438</f>
        <v>0</v>
      </c>
      <c r="Z313" s="44">
        <f>100-(Q$435-Tabell2[[#This Row],[Sysselsettingsvekst10-T]])*100/Q$438</f>
        <v>0</v>
      </c>
      <c r="AA313" s="44">
        <f>100-(R$435-Tabell2[[#This Row],[Yrkesaktivandel-T]])*100/R$438</f>
        <v>92.245455133116479</v>
      </c>
      <c r="AB313" s="44">
        <f>100-(S$435-Tabell2[[#This Row],[Inntekt-T]])*100/S$438</f>
        <v>5.7911908646003241</v>
      </c>
      <c r="AC313" s="44">
        <f>Tabell2[[#This Row],[NIBR11-I]]*Vekter!$B$3</f>
        <v>4</v>
      </c>
      <c r="AD313" s="44">
        <f>Tabell2[[#This Row],[ReisetidOslo-I]]*Vekter!$C$3</f>
        <v>4.4585594720620545</v>
      </c>
      <c r="AE313" s="44">
        <f>Tabell2[[#This Row],[Beftettotal-I]]*Vekter!$E$4</f>
        <v>2.8102477838882579E-2</v>
      </c>
      <c r="AF313" s="44">
        <f>Tabell2[[#This Row],[Befvekst10-I]]*Vekter!$F$3</f>
        <v>0.81451265046531773</v>
      </c>
      <c r="AG313" s="44">
        <f>Tabell2[[#This Row],[Kvinneandel-I]]*Vekter!$G$3</f>
        <v>9.3257938575192878E-2</v>
      </c>
      <c r="AH313" s="44">
        <f>Tabell2[[#This Row],[Eldreandel-I]]*Vekter!$H$3</f>
        <v>0</v>
      </c>
      <c r="AI313" s="44">
        <f>Tabell2[[#This Row],[Sysselsettingsvekst10-I]]*Vekter!$I$3</f>
        <v>0</v>
      </c>
      <c r="AJ313" s="44">
        <f>Tabell2[[#This Row],[Yrkesaktivandel-I]]*Vekter!$K$3</f>
        <v>9.2245455133116483</v>
      </c>
      <c r="AK313" s="44">
        <f>Tabell2[[#This Row],[Inntekt-I]]*Vekter!$M$3</f>
        <v>0.57911908646003241</v>
      </c>
      <c r="AL31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19.198097138713127</v>
      </c>
    </row>
    <row r="314" spans="1:38" s="38" customFormat="1" ht="12.75">
      <c r="A314" s="42" t="s">
        <v>312</v>
      </c>
      <c r="B314" s="38">
        <f>'Rådata-K'!Q314</f>
        <v>2</v>
      </c>
      <c r="C314" s="44">
        <f>'Rådata-K'!P314</f>
        <v>218.69589747340001</v>
      </c>
      <c r="D314" s="41">
        <f>'Rådata-K'!R314</f>
        <v>3.3071577148201299</v>
      </c>
      <c r="E314" s="41">
        <f>'Rådata-K'!S314</f>
        <v>5.7398178381165232E-2</v>
      </c>
      <c r="F314" s="41">
        <f>'Rådata-K'!T314</f>
        <v>0.11652852267186738</v>
      </c>
      <c r="G314" s="41">
        <f>'Rådata-K'!U314</f>
        <v>0.16024703396717049</v>
      </c>
      <c r="H314" s="41">
        <f>'Rådata-K'!V314</f>
        <v>0.13176197836166925</v>
      </c>
      <c r="I314" s="41">
        <f>'Rådata-K'!W314</f>
        <v>0.93569405099150138</v>
      </c>
      <c r="J314" s="41">
        <f>'Rådata-K'!O314</f>
        <v>298200</v>
      </c>
      <c r="K314" s="41">
        <f>Tabell2[[#This Row],[NIBR11]]</f>
        <v>2</v>
      </c>
      <c r="L314" s="41">
        <f>IF(Tabell2[[#This Row],[ReisetidOslo]]&lt;=C$433,C$433,IF(Tabell2[[#This Row],[ReisetidOslo]]&gt;=C$434,C$434,Tabell2[[#This Row],[ReisetidOslo]]))</f>
        <v>218.69589747340001</v>
      </c>
      <c r="M314" s="41">
        <f>IF(Tabell2[[#This Row],[Beftettotal]]&lt;=D$433,D$433,IF(Tabell2[[#This Row],[Beftettotal]]&gt;=D$434,D$434,Tabell2[[#This Row],[Beftettotal]]))</f>
        <v>3.3071577148201299</v>
      </c>
      <c r="N314" s="41">
        <f>IF(Tabell2[[#This Row],[Befvekst10]]&lt;=E$433,E$433,IF(Tabell2[[#This Row],[Befvekst10]]&gt;=E$434,E$434,Tabell2[[#This Row],[Befvekst10]]))</f>
        <v>5.7398178381165232E-2</v>
      </c>
      <c r="O314" s="41">
        <f>IF(Tabell2[[#This Row],[Kvinneandel]]&lt;=F$433,F$433,IF(Tabell2[[#This Row],[Kvinneandel]]&gt;=F$434,F$434,Tabell2[[#This Row],[Kvinneandel]]))</f>
        <v>0.11652852267186738</v>
      </c>
      <c r="P314" s="41">
        <f>IF(Tabell2[[#This Row],[Eldreandel]]&lt;=G$433,G$433,IF(Tabell2[[#This Row],[Eldreandel]]&gt;=G$434,G$434,Tabell2[[#This Row],[Eldreandel]]))</f>
        <v>0.16024703396717049</v>
      </c>
      <c r="Q314" s="41">
        <f>IF(Tabell2[[#This Row],[Sysselsettingsvekst10]]&lt;=H$433,H$433,IF(Tabell2[[#This Row],[Sysselsettingsvekst10]]&gt;=H$434,H$434,Tabell2[[#This Row],[Sysselsettingsvekst10]]))</f>
        <v>0.13176197836166925</v>
      </c>
      <c r="R314" s="41">
        <f>IF(Tabell2[[#This Row],[Yrkesaktivandel]]&lt;=I$433,I$433,IF(Tabell2[[#This Row],[Yrkesaktivandel]]&gt;=I$434,I$434,Tabell2[[#This Row],[Yrkesaktivandel]]))</f>
        <v>0.93569405099150138</v>
      </c>
      <c r="S314" s="41">
        <f>IF(Tabell2[[#This Row],[Inntekt]]&lt;=J$433,J$433,IF(Tabell2[[#This Row],[Inntekt]]&gt;=J$434,J$434,Tabell2[[#This Row],[Inntekt]]))</f>
        <v>298200</v>
      </c>
      <c r="T314" s="44">
        <f>IF(Tabell2[[#This Row],[NIBR11-T]]&lt;=K$436,100,IF(Tabell2[[#This Row],[NIBR11-T]]&gt;=K$435,0,100*(K$435-Tabell2[[#This Row],[NIBR11-T]])/K$438))</f>
        <v>90</v>
      </c>
      <c r="U314" s="44">
        <f>(L$435-Tabell2[[#This Row],[ReisetidOslo-T]])*100/L$438</f>
        <v>26.796714797346546</v>
      </c>
      <c r="V314" s="44">
        <f>100-(M$435-Tabell2[[#This Row],[Beftettotal-T]])*100/M$438</f>
        <v>1.6248738664748714</v>
      </c>
      <c r="W314" s="44">
        <f>100-(N$435-Tabell2[[#This Row],[Befvekst10-T]])*100/N$438</f>
        <v>61.776489065626386</v>
      </c>
      <c r="X314" s="44">
        <f>100-(O$435-Tabell2[[#This Row],[Kvinneandel-T]])*100/O$438</f>
        <v>67.893554165976951</v>
      </c>
      <c r="Y314" s="44">
        <f>(P$435-Tabell2[[#This Row],[Eldreandel-T]])*100/P$438</f>
        <v>45.56135665577002</v>
      </c>
      <c r="Z314" s="44">
        <f>100-(Q$435-Tabell2[[#This Row],[Sysselsettingsvekst10-T]])*100/Q$438</f>
        <v>65.839474442361876</v>
      </c>
      <c r="AA314" s="44">
        <f>100-(R$435-Tabell2[[#This Row],[Yrkesaktivandel-T]])*100/R$438</f>
        <v>81.596640772278974</v>
      </c>
      <c r="AB314" s="44">
        <f>100-(S$435-Tabell2[[#This Row],[Inntekt-T]])*100/S$438</f>
        <v>8.2381729200652529</v>
      </c>
      <c r="AC314" s="44">
        <f>Tabell2[[#This Row],[NIBR11-I]]*Vekter!$B$3</f>
        <v>18</v>
      </c>
      <c r="AD314" s="44">
        <f>Tabell2[[#This Row],[ReisetidOslo-I]]*Vekter!$C$3</f>
        <v>2.6796714797346546</v>
      </c>
      <c r="AE314" s="44">
        <f>Tabell2[[#This Row],[Beftettotal-I]]*Vekter!$E$4</f>
        <v>0.16248738664748716</v>
      </c>
      <c r="AF314" s="44">
        <f>Tabell2[[#This Row],[Befvekst10-I]]*Vekter!$F$3</f>
        <v>12.355297813125278</v>
      </c>
      <c r="AG314" s="44">
        <f>Tabell2[[#This Row],[Kvinneandel-I]]*Vekter!$G$3</f>
        <v>3.3946777082988477</v>
      </c>
      <c r="AH314" s="44">
        <f>Tabell2[[#This Row],[Eldreandel-I]]*Vekter!$H$3</f>
        <v>2.2780678327885009</v>
      </c>
      <c r="AI314" s="44">
        <f>Tabell2[[#This Row],[Sysselsettingsvekst10-I]]*Vekter!$I$3</f>
        <v>6.5839474442361876</v>
      </c>
      <c r="AJ314" s="44">
        <f>Tabell2[[#This Row],[Yrkesaktivandel-I]]*Vekter!$K$3</f>
        <v>8.1596640772278981</v>
      </c>
      <c r="AK314" s="44">
        <f>Tabell2[[#This Row],[Inntekt-I]]*Vekter!$M$3</f>
        <v>0.82381729200652531</v>
      </c>
      <c r="AL31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54.437631034065376</v>
      </c>
    </row>
    <row r="315" spans="1:38" s="38" customFormat="1" ht="12.75">
      <c r="A315" s="42" t="s">
        <v>313</v>
      </c>
      <c r="B315" s="38">
        <f>'Rådata-K'!Q315</f>
        <v>2</v>
      </c>
      <c r="C315" s="44">
        <f>'Rådata-K'!P315</f>
        <v>192.3089549231</v>
      </c>
      <c r="D315" s="41">
        <f>'Rådata-K'!R315</f>
        <v>22.15760228025221</v>
      </c>
      <c r="E315" s="41">
        <f>'Rådata-K'!S315</f>
        <v>0.14651769087523281</v>
      </c>
      <c r="F315" s="41">
        <f>'Rådata-K'!T315</f>
        <v>0.12422037422037423</v>
      </c>
      <c r="G315" s="41">
        <f>'Rådata-K'!U315</f>
        <v>0.12525987525987525</v>
      </c>
      <c r="H315" s="41">
        <f>'Rådata-K'!V315</f>
        <v>0.15434083601286175</v>
      </c>
      <c r="I315" s="41">
        <f>'Rådata-K'!W315</f>
        <v>0.89398734177215189</v>
      </c>
      <c r="J315" s="41">
        <f>'Rådata-K'!O315</f>
        <v>327200</v>
      </c>
      <c r="K315" s="41">
        <f>Tabell2[[#This Row],[NIBR11]]</f>
        <v>2</v>
      </c>
      <c r="L315" s="41">
        <f>IF(Tabell2[[#This Row],[ReisetidOslo]]&lt;=C$433,C$433,IF(Tabell2[[#This Row],[ReisetidOslo]]&gt;=C$434,C$434,Tabell2[[#This Row],[ReisetidOslo]]))</f>
        <v>192.3089549231</v>
      </c>
      <c r="M315" s="41">
        <f>IF(Tabell2[[#This Row],[Beftettotal]]&lt;=D$433,D$433,IF(Tabell2[[#This Row],[Beftettotal]]&gt;=D$434,D$434,Tabell2[[#This Row],[Beftettotal]]))</f>
        <v>22.15760228025221</v>
      </c>
      <c r="N315" s="41">
        <f>IF(Tabell2[[#This Row],[Befvekst10]]&lt;=E$433,E$433,IF(Tabell2[[#This Row],[Befvekst10]]&gt;=E$434,E$434,Tabell2[[#This Row],[Befvekst10]]))</f>
        <v>0.14651769087523281</v>
      </c>
      <c r="O315" s="41">
        <f>IF(Tabell2[[#This Row],[Kvinneandel]]&lt;=F$433,F$433,IF(Tabell2[[#This Row],[Kvinneandel]]&gt;=F$434,F$434,Tabell2[[#This Row],[Kvinneandel]]))</f>
        <v>0.12422037422037423</v>
      </c>
      <c r="P315" s="41">
        <f>IF(Tabell2[[#This Row],[Eldreandel]]&lt;=G$433,G$433,IF(Tabell2[[#This Row],[Eldreandel]]&gt;=G$434,G$434,Tabell2[[#This Row],[Eldreandel]]))</f>
        <v>0.12525987525987525</v>
      </c>
      <c r="Q315" s="41">
        <f>IF(Tabell2[[#This Row],[Sysselsettingsvekst10]]&lt;=H$433,H$433,IF(Tabell2[[#This Row],[Sysselsettingsvekst10]]&gt;=H$434,H$434,Tabell2[[#This Row],[Sysselsettingsvekst10]]))</f>
        <v>0.15434083601286175</v>
      </c>
      <c r="R315" s="41">
        <f>IF(Tabell2[[#This Row],[Yrkesaktivandel]]&lt;=I$433,I$433,IF(Tabell2[[#This Row],[Yrkesaktivandel]]&gt;=I$434,I$434,Tabell2[[#This Row],[Yrkesaktivandel]]))</f>
        <v>0.89398734177215189</v>
      </c>
      <c r="S315" s="41">
        <f>IF(Tabell2[[#This Row],[Inntekt]]&lt;=J$433,J$433,IF(Tabell2[[#This Row],[Inntekt]]&gt;=J$434,J$434,Tabell2[[#This Row],[Inntekt]]))</f>
        <v>327200</v>
      </c>
      <c r="T315" s="44">
        <f>IF(Tabell2[[#This Row],[NIBR11-T]]&lt;=K$436,100,IF(Tabell2[[#This Row],[NIBR11-T]]&gt;=K$435,0,100*(K$435-Tabell2[[#This Row],[NIBR11-T]])/K$438))</f>
        <v>90</v>
      </c>
      <c r="U315" s="44">
        <f>(L$435-Tabell2[[#This Row],[ReisetidOslo-T]])*100/L$438</f>
        <v>38.511213559687185</v>
      </c>
      <c r="V315" s="44">
        <f>100-(M$435-Tabell2[[#This Row],[Beftettotal-T]])*100/M$438</f>
        <v>17.044665940447317</v>
      </c>
      <c r="W315" s="44">
        <f>100-(N$435-Tabell2[[#This Row],[Befvekst10-T]])*100/N$438</f>
        <v>98.646557253564893</v>
      </c>
      <c r="X315" s="44">
        <f>100-(O$435-Tabell2[[#This Row],[Kvinneandel-T]])*100/O$438</f>
        <v>88.942006852214959</v>
      </c>
      <c r="Y315" s="44">
        <f>(P$435-Tabell2[[#This Row],[Eldreandel-T]])*100/P$438</f>
        <v>86.755085185368245</v>
      </c>
      <c r="Z315" s="44">
        <f>100-(Q$435-Tabell2[[#This Row],[Sysselsettingsvekst10-T]])*100/Q$438</f>
        <v>72.478044220553002</v>
      </c>
      <c r="AA315" s="44">
        <f>100-(R$435-Tabell2[[#This Row],[Yrkesaktivandel-T]])*100/R$438</f>
        <v>50.450837336202</v>
      </c>
      <c r="AB315" s="44">
        <f>100-(S$435-Tabell2[[#This Row],[Inntekt-T]])*100/S$438</f>
        <v>47.661772702555737</v>
      </c>
      <c r="AC315" s="44">
        <f>Tabell2[[#This Row],[NIBR11-I]]*Vekter!$B$3</f>
        <v>18</v>
      </c>
      <c r="AD315" s="44">
        <f>Tabell2[[#This Row],[ReisetidOslo-I]]*Vekter!$C$3</f>
        <v>3.8511213559687185</v>
      </c>
      <c r="AE315" s="44">
        <f>Tabell2[[#This Row],[Beftettotal-I]]*Vekter!$E$4</f>
        <v>1.7044665940447317</v>
      </c>
      <c r="AF315" s="44">
        <f>Tabell2[[#This Row],[Befvekst10-I]]*Vekter!$F$3</f>
        <v>19.729311450712981</v>
      </c>
      <c r="AG315" s="44">
        <f>Tabell2[[#This Row],[Kvinneandel-I]]*Vekter!$G$3</f>
        <v>4.4471003426107485</v>
      </c>
      <c r="AH315" s="44">
        <f>Tabell2[[#This Row],[Eldreandel-I]]*Vekter!$H$3</f>
        <v>4.3377542592684124</v>
      </c>
      <c r="AI315" s="44">
        <f>Tabell2[[#This Row],[Sysselsettingsvekst10-I]]*Vekter!$I$3</f>
        <v>7.2478044220553004</v>
      </c>
      <c r="AJ315" s="44">
        <f>Tabell2[[#This Row],[Yrkesaktivandel-I]]*Vekter!$K$3</f>
        <v>5.0450837336202001</v>
      </c>
      <c r="AK315" s="44">
        <f>Tabell2[[#This Row],[Inntekt-I]]*Vekter!$M$3</f>
        <v>4.7661772702555742</v>
      </c>
      <c r="AL31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69.128819428536659</v>
      </c>
    </row>
    <row r="316" spans="1:38" s="38" customFormat="1" ht="12.75">
      <c r="A316" s="42" t="s">
        <v>314</v>
      </c>
      <c r="B316" s="38">
        <f>'Rådata-K'!Q316</f>
        <v>2</v>
      </c>
      <c r="C316" s="44">
        <f>'Rådata-K'!P316</f>
        <v>198.54591583799998</v>
      </c>
      <c r="D316" s="41">
        <f>'Rådata-K'!R316</f>
        <v>30.96310835526609</v>
      </c>
      <c r="E316" s="41">
        <f>'Rådata-K'!S316</f>
        <v>0.17207024653833169</v>
      </c>
      <c r="F316" s="41">
        <f>'Rådata-K'!T316</f>
        <v>0.13052874225615904</v>
      </c>
      <c r="G316" s="41">
        <f>'Rådata-K'!U316</f>
        <v>0.11251980982567353</v>
      </c>
      <c r="H316" s="41">
        <f>'Rådata-K'!V316</f>
        <v>0.1333333333333333</v>
      </c>
      <c r="I316" s="41">
        <f>'Rådata-K'!W316</f>
        <v>0.88847398556136425</v>
      </c>
      <c r="J316" s="41">
        <f>'Rådata-K'!O316</f>
        <v>332600</v>
      </c>
      <c r="K316" s="41">
        <f>Tabell2[[#This Row],[NIBR11]]</f>
        <v>2</v>
      </c>
      <c r="L316" s="41">
        <f>IF(Tabell2[[#This Row],[ReisetidOslo]]&lt;=C$433,C$433,IF(Tabell2[[#This Row],[ReisetidOslo]]&gt;=C$434,C$434,Tabell2[[#This Row],[ReisetidOslo]]))</f>
        <v>198.54591583799998</v>
      </c>
      <c r="M316" s="41">
        <f>IF(Tabell2[[#This Row],[Beftettotal]]&lt;=D$433,D$433,IF(Tabell2[[#This Row],[Beftettotal]]&gt;=D$434,D$434,Tabell2[[#This Row],[Beftettotal]]))</f>
        <v>30.96310835526609</v>
      </c>
      <c r="N316" s="41">
        <f>IF(Tabell2[[#This Row],[Befvekst10]]&lt;=E$433,E$433,IF(Tabell2[[#This Row],[Befvekst10]]&gt;=E$434,E$434,Tabell2[[#This Row],[Befvekst10]]))</f>
        <v>0.149789129298837</v>
      </c>
      <c r="O316" s="41">
        <f>IF(Tabell2[[#This Row],[Kvinneandel]]&lt;=F$433,F$433,IF(Tabell2[[#This Row],[Kvinneandel]]&gt;=F$434,F$434,Tabell2[[#This Row],[Kvinneandel]]))</f>
        <v>0.12826135732659469</v>
      </c>
      <c r="P316" s="41">
        <f>IF(Tabell2[[#This Row],[Eldreandel]]&lt;=G$433,G$433,IF(Tabell2[[#This Row],[Eldreandel]]&gt;=G$434,G$434,Tabell2[[#This Row],[Eldreandel]]))</f>
        <v>0.11401054306234992</v>
      </c>
      <c r="Q316" s="41">
        <f>IF(Tabell2[[#This Row],[Sysselsettingsvekst10]]&lt;=H$433,H$433,IF(Tabell2[[#This Row],[Sysselsettingsvekst10]]&gt;=H$434,H$434,Tabell2[[#This Row],[Sysselsettingsvekst10]]))</f>
        <v>0.1333333333333333</v>
      </c>
      <c r="R316" s="41">
        <f>IF(Tabell2[[#This Row],[Yrkesaktivandel]]&lt;=I$433,I$433,IF(Tabell2[[#This Row],[Yrkesaktivandel]]&gt;=I$434,I$434,Tabell2[[#This Row],[Yrkesaktivandel]]))</f>
        <v>0.88847398556136425</v>
      </c>
      <c r="S316" s="41">
        <f>IF(Tabell2[[#This Row],[Inntekt]]&lt;=J$433,J$433,IF(Tabell2[[#This Row],[Inntekt]]&gt;=J$434,J$434,Tabell2[[#This Row],[Inntekt]]))</f>
        <v>332600</v>
      </c>
      <c r="T316" s="44">
        <f>IF(Tabell2[[#This Row],[NIBR11-T]]&lt;=K$436,100,IF(Tabell2[[#This Row],[NIBR11-T]]&gt;=K$435,0,100*(K$435-Tabell2[[#This Row],[NIBR11-T]])/K$438))</f>
        <v>90</v>
      </c>
      <c r="U316" s="44">
        <f>(L$435-Tabell2[[#This Row],[ReisetidOslo-T]])*100/L$438</f>
        <v>35.742311070166579</v>
      </c>
      <c r="V316" s="44">
        <f>100-(M$435-Tabell2[[#This Row],[Beftettotal-T]])*100/M$438</f>
        <v>24.247629897690359</v>
      </c>
      <c r="W316" s="44">
        <f>100-(N$435-Tabell2[[#This Row],[Befvekst10-T]])*100/N$438</f>
        <v>100</v>
      </c>
      <c r="X316" s="44">
        <f>100-(O$435-Tabell2[[#This Row],[Kvinneandel-T]])*100/O$438</f>
        <v>100</v>
      </c>
      <c r="Y316" s="44">
        <f>(P$435-Tabell2[[#This Row],[Eldreandel-T]])*100/P$438</f>
        <v>100</v>
      </c>
      <c r="Z316" s="44">
        <f>100-(Q$435-Tabell2[[#This Row],[Sysselsettingsvekst10-T]])*100/Q$438</f>
        <v>66.301479641511008</v>
      </c>
      <c r="AA316" s="44">
        <f>100-(R$435-Tabell2[[#This Row],[Yrkesaktivandel-T]])*100/R$438</f>
        <v>46.333564311587558</v>
      </c>
      <c r="AB316" s="44">
        <f>100-(S$435-Tabell2[[#This Row],[Inntekt-T]])*100/S$438</f>
        <v>55.002718868950517</v>
      </c>
      <c r="AC316" s="44">
        <f>Tabell2[[#This Row],[NIBR11-I]]*Vekter!$B$3</f>
        <v>18</v>
      </c>
      <c r="AD316" s="44">
        <f>Tabell2[[#This Row],[ReisetidOslo-I]]*Vekter!$C$3</f>
        <v>3.5742311070166579</v>
      </c>
      <c r="AE316" s="44">
        <f>Tabell2[[#This Row],[Beftettotal-I]]*Vekter!$E$4</f>
        <v>2.4247629897690359</v>
      </c>
      <c r="AF316" s="44">
        <f>Tabell2[[#This Row],[Befvekst10-I]]*Vekter!$F$3</f>
        <v>20</v>
      </c>
      <c r="AG316" s="44">
        <f>Tabell2[[#This Row],[Kvinneandel-I]]*Vekter!$G$3</f>
        <v>5</v>
      </c>
      <c r="AH316" s="44">
        <f>Tabell2[[#This Row],[Eldreandel-I]]*Vekter!$H$3</f>
        <v>5</v>
      </c>
      <c r="AI316" s="44">
        <f>Tabell2[[#This Row],[Sysselsettingsvekst10-I]]*Vekter!$I$3</f>
        <v>6.6301479641511012</v>
      </c>
      <c r="AJ316" s="44">
        <f>Tabell2[[#This Row],[Yrkesaktivandel-I]]*Vekter!$K$3</f>
        <v>4.6333564311587558</v>
      </c>
      <c r="AK316" s="44">
        <f>Tabell2[[#This Row],[Inntekt-I]]*Vekter!$M$3</f>
        <v>5.5002718868950522</v>
      </c>
      <c r="AL31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70.762770378990595</v>
      </c>
    </row>
    <row r="317" spans="1:38" s="38" customFormat="1" ht="12.75">
      <c r="A317" s="42" t="s">
        <v>315</v>
      </c>
      <c r="B317" s="38">
        <f>'Rådata-K'!Q317</f>
        <v>2</v>
      </c>
      <c r="C317" s="44">
        <f>'Rådata-K'!P317</f>
        <v>188.01275223900001</v>
      </c>
      <c r="D317" s="41">
        <f>'Rådata-K'!R317</f>
        <v>31.82013307576733</v>
      </c>
      <c r="E317" s="41">
        <f>'Rådata-K'!S317</f>
        <v>0.17495541906082823</v>
      </c>
      <c r="F317" s="41">
        <f>'Rådata-K'!T317</f>
        <v>0.13035413153456998</v>
      </c>
      <c r="G317" s="41">
        <f>'Rådata-K'!U317</f>
        <v>9.2411467116357504E-2</v>
      </c>
      <c r="H317" s="41">
        <f>'Rådata-K'!V317</f>
        <v>6.3102541630148945E-2</v>
      </c>
      <c r="I317" s="41">
        <f>'Rådata-K'!W317</f>
        <v>0.8928154205607477</v>
      </c>
      <c r="J317" s="41">
        <f>'Rådata-K'!O317</f>
        <v>341100</v>
      </c>
      <c r="K317" s="41">
        <f>Tabell2[[#This Row],[NIBR11]]</f>
        <v>2</v>
      </c>
      <c r="L317" s="41">
        <f>IF(Tabell2[[#This Row],[ReisetidOslo]]&lt;=C$433,C$433,IF(Tabell2[[#This Row],[ReisetidOslo]]&gt;=C$434,C$434,Tabell2[[#This Row],[ReisetidOslo]]))</f>
        <v>188.01275223900001</v>
      </c>
      <c r="M317" s="41">
        <f>IF(Tabell2[[#This Row],[Beftettotal]]&lt;=D$433,D$433,IF(Tabell2[[#This Row],[Beftettotal]]&gt;=D$434,D$434,Tabell2[[#This Row],[Beftettotal]]))</f>
        <v>31.82013307576733</v>
      </c>
      <c r="N317" s="41">
        <f>IF(Tabell2[[#This Row],[Befvekst10]]&lt;=E$433,E$433,IF(Tabell2[[#This Row],[Befvekst10]]&gt;=E$434,E$434,Tabell2[[#This Row],[Befvekst10]]))</f>
        <v>0.149789129298837</v>
      </c>
      <c r="O317" s="41">
        <f>IF(Tabell2[[#This Row],[Kvinneandel]]&lt;=F$433,F$433,IF(Tabell2[[#This Row],[Kvinneandel]]&gt;=F$434,F$434,Tabell2[[#This Row],[Kvinneandel]]))</f>
        <v>0.12826135732659469</v>
      </c>
      <c r="P317" s="41">
        <f>IF(Tabell2[[#This Row],[Eldreandel]]&lt;=G$433,G$433,IF(Tabell2[[#This Row],[Eldreandel]]&gt;=G$434,G$434,Tabell2[[#This Row],[Eldreandel]]))</f>
        <v>0.11401054306234992</v>
      </c>
      <c r="Q317" s="41">
        <f>IF(Tabell2[[#This Row],[Sysselsettingsvekst10]]&lt;=H$433,H$433,IF(Tabell2[[#This Row],[Sysselsettingsvekst10]]&gt;=H$434,H$434,Tabell2[[#This Row],[Sysselsettingsvekst10]]))</f>
        <v>6.3102541630148945E-2</v>
      </c>
      <c r="R317" s="41">
        <f>IF(Tabell2[[#This Row],[Yrkesaktivandel]]&lt;=I$433,I$433,IF(Tabell2[[#This Row],[Yrkesaktivandel]]&gt;=I$434,I$434,Tabell2[[#This Row],[Yrkesaktivandel]]))</f>
        <v>0.8928154205607477</v>
      </c>
      <c r="S317" s="41">
        <f>IF(Tabell2[[#This Row],[Inntekt]]&lt;=J$433,J$433,IF(Tabell2[[#This Row],[Inntekt]]&gt;=J$434,J$434,Tabell2[[#This Row],[Inntekt]]))</f>
        <v>341100</v>
      </c>
      <c r="T317" s="44">
        <f>IF(Tabell2[[#This Row],[NIBR11-T]]&lt;=K$436,100,IF(Tabell2[[#This Row],[NIBR11-T]]&gt;=K$435,0,100*(K$435-Tabell2[[#This Row],[NIBR11-T]])/K$438))</f>
        <v>90</v>
      </c>
      <c r="U317" s="44">
        <f>(L$435-Tabell2[[#This Row],[ReisetidOslo-T]])*100/L$438</f>
        <v>40.418515284004677</v>
      </c>
      <c r="V317" s="44">
        <f>100-(M$435-Tabell2[[#This Row],[Beftettotal-T]])*100/M$438</f>
        <v>24.948681957577449</v>
      </c>
      <c r="W317" s="44">
        <f>100-(N$435-Tabell2[[#This Row],[Befvekst10-T]])*100/N$438</f>
        <v>100</v>
      </c>
      <c r="X317" s="44">
        <f>100-(O$435-Tabell2[[#This Row],[Kvinneandel-T]])*100/O$438</f>
        <v>100</v>
      </c>
      <c r="Y317" s="44">
        <f>(P$435-Tabell2[[#This Row],[Eldreandel-T]])*100/P$438</f>
        <v>100</v>
      </c>
      <c r="Z317" s="44">
        <f>100-(Q$435-Tabell2[[#This Row],[Sysselsettingsvekst10-T]])*100/Q$438</f>
        <v>45.652427395301771</v>
      </c>
      <c r="AA317" s="44">
        <f>100-(R$435-Tabell2[[#This Row],[Yrkesaktivandel-T]])*100/R$438</f>
        <v>49.575668127790074</v>
      </c>
      <c r="AB317" s="44">
        <f>100-(S$435-Tabell2[[#This Row],[Inntekt-T]])*100/S$438</f>
        <v>66.557911908646005</v>
      </c>
      <c r="AC317" s="44">
        <f>Tabell2[[#This Row],[NIBR11-I]]*Vekter!$B$3</f>
        <v>18</v>
      </c>
      <c r="AD317" s="44">
        <f>Tabell2[[#This Row],[ReisetidOslo-I]]*Vekter!$C$3</f>
        <v>4.0418515284004677</v>
      </c>
      <c r="AE317" s="44">
        <f>Tabell2[[#This Row],[Beftettotal-I]]*Vekter!$E$4</f>
        <v>2.494868195757745</v>
      </c>
      <c r="AF317" s="44">
        <f>Tabell2[[#This Row],[Befvekst10-I]]*Vekter!$F$3</f>
        <v>20</v>
      </c>
      <c r="AG317" s="44">
        <f>Tabell2[[#This Row],[Kvinneandel-I]]*Vekter!$G$3</f>
        <v>5</v>
      </c>
      <c r="AH317" s="44">
        <f>Tabell2[[#This Row],[Eldreandel-I]]*Vekter!$H$3</f>
        <v>5</v>
      </c>
      <c r="AI317" s="44">
        <f>Tabell2[[#This Row],[Sysselsettingsvekst10-I]]*Vekter!$I$3</f>
        <v>4.5652427395301771</v>
      </c>
      <c r="AJ317" s="44">
        <f>Tabell2[[#This Row],[Yrkesaktivandel-I]]*Vekter!$K$3</f>
        <v>4.9575668127790076</v>
      </c>
      <c r="AK317" s="44">
        <f>Tabell2[[#This Row],[Inntekt-I]]*Vekter!$M$3</f>
        <v>6.6557911908646012</v>
      </c>
      <c r="AL31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70.715320467332006</v>
      </c>
    </row>
    <row r="318" spans="1:38" s="38" customFormat="1" ht="12.75">
      <c r="A318" s="42" t="s">
        <v>316</v>
      </c>
      <c r="B318" s="38">
        <f>'Rådata-K'!Q318</f>
        <v>2</v>
      </c>
      <c r="C318" s="44">
        <f>'Rådata-K'!P318</f>
        <v>162.96855958935001</v>
      </c>
      <c r="D318" s="41">
        <f>'Rådata-K'!R318</f>
        <v>75.857363237213718</v>
      </c>
      <c r="E318" s="41">
        <f>'Rådata-K'!S318</f>
        <v>0.11445258019525806</v>
      </c>
      <c r="F318" s="41">
        <f>'Rådata-K'!T318</f>
        <v>0.11967149002737583</v>
      </c>
      <c r="G318" s="41">
        <f>'Rådata-K'!U318</f>
        <v>9.9335158388736799E-2</v>
      </c>
      <c r="H318" s="41">
        <f>'Rådata-K'!V318</f>
        <v>0.31366965012205039</v>
      </c>
      <c r="I318" s="41">
        <f>'Rådata-K'!W318</f>
        <v>0.87516724645437516</v>
      </c>
      <c r="J318" s="41">
        <f>'Rådata-K'!O318</f>
        <v>367100</v>
      </c>
      <c r="K318" s="41">
        <f>Tabell2[[#This Row],[NIBR11]]</f>
        <v>2</v>
      </c>
      <c r="L318" s="41">
        <f>IF(Tabell2[[#This Row],[ReisetidOslo]]&lt;=C$433,C$433,IF(Tabell2[[#This Row],[ReisetidOslo]]&gt;=C$434,C$434,Tabell2[[#This Row],[ReisetidOslo]]))</f>
        <v>162.96855958935001</v>
      </c>
      <c r="M318" s="41">
        <f>IF(Tabell2[[#This Row],[Beftettotal]]&lt;=D$433,D$433,IF(Tabell2[[#This Row],[Beftettotal]]&gt;=D$434,D$434,Tabell2[[#This Row],[Beftettotal]]))</f>
        <v>75.857363237213718</v>
      </c>
      <c r="N318" s="41">
        <f>IF(Tabell2[[#This Row],[Befvekst10]]&lt;=E$433,E$433,IF(Tabell2[[#This Row],[Befvekst10]]&gt;=E$434,E$434,Tabell2[[#This Row],[Befvekst10]]))</f>
        <v>0.11445258019525806</v>
      </c>
      <c r="O318" s="41">
        <f>IF(Tabell2[[#This Row],[Kvinneandel]]&lt;=F$433,F$433,IF(Tabell2[[#This Row],[Kvinneandel]]&gt;=F$434,F$434,Tabell2[[#This Row],[Kvinneandel]]))</f>
        <v>0.11967149002737583</v>
      </c>
      <c r="P318" s="41">
        <f>IF(Tabell2[[#This Row],[Eldreandel]]&lt;=G$433,G$433,IF(Tabell2[[#This Row],[Eldreandel]]&gt;=G$434,G$434,Tabell2[[#This Row],[Eldreandel]]))</f>
        <v>0.11401054306234992</v>
      </c>
      <c r="Q318" s="41">
        <f>IF(Tabell2[[#This Row],[Sysselsettingsvekst10]]&lt;=H$433,H$433,IF(Tabell2[[#This Row],[Sysselsettingsvekst10]]&gt;=H$434,H$434,Tabell2[[#This Row],[Sysselsettingsvekst10]]))</f>
        <v>0.24794749265568336</v>
      </c>
      <c r="R318" s="41">
        <f>IF(Tabell2[[#This Row],[Yrkesaktivandel]]&lt;=I$433,I$433,IF(Tabell2[[#This Row],[Yrkesaktivandel]]&gt;=I$434,I$434,Tabell2[[#This Row],[Yrkesaktivandel]]))</f>
        <v>0.87516724645437516</v>
      </c>
      <c r="S318" s="41">
        <f>IF(Tabell2[[#This Row],[Inntekt]]&lt;=J$433,J$433,IF(Tabell2[[#This Row],[Inntekt]]&gt;=J$434,J$434,Tabell2[[#This Row],[Inntekt]]))</f>
        <v>365700</v>
      </c>
      <c r="T318" s="44">
        <f>IF(Tabell2[[#This Row],[NIBR11-T]]&lt;=K$436,100,IF(Tabell2[[#This Row],[NIBR11-T]]&gt;=K$435,0,100*(K$435-Tabell2[[#This Row],[NIBR11-T]])/K$438))</f>
        <v>90</v>
      </c>
      <c r="U318" s="44">
        <f>(L$435-Tabell2[[#This Row],[ReisetidOslo-T]])*100/L$438</f>
        <v>51.536899433244045</v>
      </c>
      <c r="V318" s="44">
        <f>100-(M$435-Tabell2[[#This Row],[Beftettotal-T]])*100/M$438</f>
        <v>60.971436235129246</v>
      </c>
      <c r="W318" s="44">
        <f>100-(N$435-Tabell2[[#This Row],[Befvekst10-T]])*100/N$438</f>
        <v>85.380743918879489</v>
      </c>
      <c r="X318" s="44">
        <f>100-(O$435-Tabell2[[#This Row],[Kvinneandel-T]])*100/O$438</f>
        <v>76.494162128783017</v>
      </c>
      <c r="Y318" s="44">
        <f>(P$435-Tabell2[[#This Row],[Eldreandel-T]])*100/P$438</f>
        <v>100</v>
      </c>
      <c r="Z318" s="44">
        <f>100-(Q$435-Tabell2[[#This Row],[Sysselsettingsvekst10-T]])*100/Q$438</f>
        <v>100</v>
      </c>
      <c r="AA318" s="44">
        <f>100-(R$435-Tabell2[[#This Row],[Yrkesaktivandel-T]])*100/R$438</f>
        <v>36.396336264615179</v>
      </c>
      <c r="AB318" s="44">
        <f>100-(S$435-Tabell2[[#This Row],[Inntekt-T]])*100/S$438</f>
        <v>100</v>
      </c>
      <c r="AC318" s="44">
        <f>Tabell2[[#This Row],[NIBR11-I]]*Vekter!$B$3</f>
        <v>18</v>
      </c>
      <c r="AD318" s="44">
        <f>Tabell2[[#This Row],[ReisetidOslo-I]]*Vekter!$C$3</f>
        <v>5.1536899433244052</v>
      </c>
      <c r="AE318" s="44">
        <f>Tabell2[[#This Row],[Beftettotal-I]]*Vekter!$E$4</f>
        <v>6.0971436235129248</v>
      </c>
      <c r="AF318" s="44">
        <f>Tabell2[[#This Row],[Befvekst10-I]]*Vekter!$F$3</f>
        <v>17.076148783775899</v>
      </c>
      <c r="AG318" s="44">
        <f>Tabell2[[#This Row],[Kvinneandel-I]]*Vekter!$G$3</f>
        <v>3.824708106439151</v>
      </c>
      <c r="AH318" s="44">
        <f>Tabell2[[#This Row],[Eldreandel-I]]*Vekter!$H$3</f>
        <v>5</v>
      </c>
      <c r="AI318" s="44">
        <f>Tabell2[[#This Row],[Sysselsettingsvekst10-I]]*Vekter!$I$3</f>
        <v>10</v>
      </c>
      <c r="AJ318" s="44">
        <f>Tabell2[[#This Row],[Yrkesaktivandel-I]]*Vekter!$K$3</f>
        <v>3.6396336264615181</v>
      </c>
      <c r="AK318" s="44">
        <f>Tabell2[[#This Row],[Inntekt-I]]*Vekter!$M$3</f>
        <v>10</v>
      </c>
      <c r="AL31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78.791324083513899</v>
      </c>
    </row>
    <row r="319" spans="1:38" s="38" customFormat="1" ht="12.75">
      <c r="A319" s="42" t="s">
        <v>317</v>
      </c>
      <c r="B319" s="38">
        <f>'Rådata-K'!Q319</f>
        <v>2</v>
      </c>
      <c r="C319" s="44">
        <f>'Rådata-K'!P319</f>
        <v>186.36396387899998</v>
      </c>
      <c r="D319" s="41">
        <f>'Rådata-K'!R319</f>
        <v>3.273272057334899</v>
      </c>
      <c r="E319" s="41">
        <f>'Rådata-K'!S319</f>
        <v>2.0449381469325845E-2</v>
      </c>
      <c r="F319" s="41">
        <f>'Rådata-K'!T319</f>
        <v>0.10217714002968828</v>
      </c>
      <c r="G319" s="41">
        <f>'Rådata-K'!U319</f>
        <v>0.18184067293419098</v>
      </c>
      <c r="H319" s="41">
        <f>'Rådata-K'!V319</f>
        <v>6.3749999999999973E-2</v>
      </c>
      <c r="I319" s="41">
        <f>'Rådata-K'!W319</f>
        <v>0.9325290437890974</v>
      </c>
      <c r="J319" s="41">
        <f>'Rådata-K'!O319</f>
        <v>307700</v>
      </c>
      <c r="K319" s="41">
        <f>Tabell2[[#This Row],[NIBR11]]</f>
        <v>2</v>
      </c>
      <c r="L319" s="41">
        <f>IF(Tabell2[[#This Row],[ReisetidOslo]]&lt;=C$433,C$433,IF(Tabell2[[#This Row],[ReisetidOslo]]&gt;=C$434,C$434,Tabell2[[#This Row],[ReisetidOslo]]))</f>
        <v>186.36396387899998</v>
      </c>
      <c r="M319" s="41">
        <f>IF(Tabell2[[#This Row],[Beftettotal]]&lt;=D$433,D$433,IF(Tabell2[[#This Row],[Beftettotal]]&gt;=D$434,D$434,Tabell2[[#This Row],[Beftettotal]]))</f>
        <v>3.273272057334899</v>
      </c>
      <c r="N319" s="41">
        <f>IF(Tabell2[[#This Row],[Befvekst10]]&lt;=E$433,E$433,IF(Tabell2[[#This Row],[Befvekst10]]&gt;=E$434,E$434,Tabell2[[#This Row],[Befvekst10]]))</f>
        <v>2.0449381469325845E-2</v>
      </c>
      <c r="O319" s="41">
        <f>IF(Tabell2[[#This Row],[Kvinneandel]]&lt;=F$433,F$433,IF(Tabell2[[#This Row],[Kvinneandel]]&gt;=F$434,F$434,Tabell2[[#This Row],[Kvinneandel]]))</f>
        <v>0.10217714002968828</v>
      </c>
      <c r="P319" s="41">
        <f>IF(Tabell2[[#This Row],[Eldreandel]]&lt;=G$433,G$433,IF(Tabell2[[#This Row],[Eldreandel]]&gt;=G$434,G$434,Tabell2[[#This Row],[Eldreandel]]))</f>
        <v>0.18184067293419098</v>
      </c>
      <c r="Q319" s="41">
        <f>IF(Tabell2[[#This Row],[Sysselsettingsvekst10]]&lt;=H$433,H$433,IF(Tabell2[[#This Row],[Sysselsettingsvekst10]]&gt;=H$434,H$434,Tabell2[[#This Row],[Sysselsettingsvekst10]]))</f>
        <v>6.3749999999999973E-2</v>
      </c>
      <c r="R319" s="41">
        <f>IF(Tabell2[[#This Row],[Yrkesaktivandel]]&lt;=I$433,I$433,IF(Tabell2[[#This Row],[Yrkesaktivandel]]&gt;=I$434,I$434,Tabell2[[#This Row],[Yrkesaktivandel]]))</f>
        <v>0.9325290437890974</v>
      </c>
      <c r="S319" s="41">
        <f>IF(Tabell2[[#This Row],[Inntekt]]&lt;=J$433,J$433,IF(Tabell2[[#This Row],[Inntekt]]&gt;=J$434,J$434,Tabell2[[#This Row],[Inntekt]]))</f>
        <v>307700</v>
      </c>
      <c r="T319" s="44">
        <f>IF(Tabell2[[#This Row],[NIBR11-T]]&lt;=K$436,100,IF(Tabell2[[#This Row],[NIBR11-T]]&gt;=K$435,0,100*(K$435-Tabell2[[#This Row],[NIBR11-T]])/K$438))</f>
        <v>90</v>
      </c>
      <c r="U319" s="44">
        <f>(L$435-Tabell2[[#This Row],[ReisetidOslo-T]])*100/L$438</f>
        <v>41.150495852263511</v>
      </c>
      <c r="V319" s="44">
        <f>100-(M$435-Tabell2[[#This Row],[Beftettotal-T]])*100/M$438</f>
        <v>1.5971551678044733</v>
      </c>
      <c r="W319" s="44">
        <f>100-(N$435-Tabell2[[#This Row],[Befvekst10-T]])*100/N$438</f>
        <v>46.490222080127623</v>
      </c>
      <c r="X319" s="44">
        <f>100-(O$435-Tabell2[[#This Row],[Kvinneandel-T]])*100/O$438</f>
        <v>28.621553579246537</v>
      </c>
      <c r="Y319" s="44">
        <f>(P$435-Tabell2[[#This Row],[Eldreandel-T]])*100/P$438</f>
        <v>20.13710003020643</v>
      </c>
      <c r="Z319" s="44">
        <f>100-(Q$435-Tabell2[[#This Row],[Sysselsettingsvekst10-T]])*100/Q$438</f>
        <v>45.842791214106526</v>
      </c>
      <c r="AA319" s="44">
        <f>100-(R$435-Tabell2[[#This Row],[Yrkesaktivandel-T]])*100/R$438</f>
        <v>79.233071599717448</v>
      </c>
      <c r="AB319" s="44">
        <f>100-(S$435-Tabell2[[#This Row],[Inntekt-T]])*100/S$438</f>
        <v>21.152800435019032</v>
      </c>
      <c r="AC319" s="44">
        <f>Tabell2[[#This Row],[NIBR11-I]]*Vekter!$B$3</f>
        <v>18</v>
      </c>
      <c r="AD319" s="44">
        <f>Tabell2[[#This Row],[ReisetidOslo-I]]*Vekter!$C$3</f>
        <v>4.1150495852263509</v>
      </c>
      <c r="AE319" s="44">
        <f>Tabell2[[#This Row],[Beftettotal-I]]*Vekter!$E$4</f>
        <v>0.15971551678044735</v>
      </c>
      <c r="AF319" s="44">
        <f>Tabell2[[#This Row],[Befvekst10-I]]*Vekter!$F$3</f>
        <v>9.2980444160255242</v>
      </c>
      <c r="AG319" s="44">
        <f>Tabell2[[#This Row],[Kvinneandel-I]]*Vekter!$G$3</f>
        <v>1.431077678962327</v>
      </c>
      <c r="AH319" s="44">
        <f>Tabell2[[#This Row],[Eldreandel-I]]*Vekter!$H$3</f>
        <v>1.0068550015103215</v>
      </c>
      <c r="AI319" s="44">
        <f>Tabell2[[#This Row],[Sysselsettingsvekst10-I]]*Vekter!$I$3</f>
        <v>4.5842791214106526</v>
      </c>
      <c r="AJ319" s="44">
        <f>Tabell2[[#This Row],[Yrkesaktivandel-I]]*Vekter!$K$3</f>
        <v>7.9233071599717455</v>
      </c>
      <c r="AK319" s="44">
        <f>Tabell2[[#This Row],[Inntekt-I]]*Vekter!$M$3</f>
        <v>2.1152800435019032</v>
      </c>
      <c r="AL31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48.633608523389277</v>
      </c>
    </row>
    <row r="320" spans="1:38" s="38" customFormat="1" ht="12.75">
      <c r="A320" s="42" t="s">
        <v>318</v>
      </c>
      <c r="B320" s="38">
        <f>'Rådata-K'!Q320</f>
        <v>11</v>
      </c>
      <c r="C320" s="44">
        <f>'Rådata-K'!P320</f>
        <v>203.073546593</v>
      </c>
      <c r="D320" s="41">
        <f>'Rådata-K'!R320</f>
        <v>0.65452411582819869</v>
      </c>
      <c r="E320" s="41">
        <f>'Rådata-K'!S320</f>
        <v>-4.8140043763676199E-2</v>
      </c>
      <c r="F320" s="41">
        <f>'Rådata-K'!T320</f>
        <v>0.10574712643678161</v>
      </c>
      <c r="G320" s="41">
        <f>'Rådata-K'!U320</f>
        <v>0.2218390804597701</v>
      </c>
      <c r="H320" s="41">
        <f>'Rådata-K'!V320</f>
        <v>-1.6949152542372836E-2</v>
      </c>
      <c r="I320" s="41">
        <f>'Rådata-K'!W320</f>
        <v>0.99371069182389937</v>
      </c>
      <c r="J320" s="41">
        <f>'Rådata-K'!O320</f>
        <v>294700</v>
      </c>
      <c r="K320" s="41">
        <f>Tabell2[[#This Row],[NIBR11]]</f>
        <v>11</v>
      </c>
      <c r="L320" s="41">
        <f>IF(Tabell2[[#This Row],[ReisetidOslo]]&lt;=C$433,C$433,IF(Tabell2[[#This Row],[ReisetidOslo]]&gt;=C$434,C$434,Tabell2[[#This Row],[ReisetidOslo]]))</f>
        <v>203.073546593</v>
      </c>
      <c r="M320" s="41">
        <f>IF(Tabell2[[#This Row],[Beftettotal]]&lt;=D$433,D$433,IF(Tabell2[[#This Row],[Beftettotal]]&gt;=D$434,D$434,Tabell2[[#This Row],[Beftettotal]]))</f>
        <v>1.3207758882127238</v>
      </c>
      <c r="N320" s="41">
        <f>IF(Tabell2[[#This Row],[Befvekst10]]&lt;=E$433,E$433,IF(Tabell2[[#This Row],[Befvekst10]]&gt;=E$434,E$434,Tabell2[[#This Row],[Befvekst10]]))</f>
        <v>-4.8140043763676199E-2</v>
      </c>
      <c r="O320" s="41">
        <f>IF(Tabell2[[#This Row],[Kvinneandel]]&lt;=F$433,F$433,IF(Tabell2[[#This Row],[Kvinneandel]]&gt;=F$434,F$434,Tabell2[[#This Row],[Kvinneandel]]))</f>
        <v>0.10574712643678161</v>
      </c>
      <c r="P320" s="41">
        <f>IF(Tabell2[[#This Row],[Eldreandel]]&lt;=G$433,G$433,IF(Tabell2[[#This Row],[Eldreandel]]&gt;=G$434,G$434,Tabell2[[#This Row],[Eldreandel]]))</f>
        <v>0.1989437597342919</v>
      </c>
      <c r="Q320" s="41">
        <f>IF(Tabell2[[#This Row],[Sysselsettingsvekst10]]&lt;=H$433,H$433,IF(Tabell2[[#This Row],[Sysselsettingsvekst10]]&gt;=H$434,H$434,Tabell2[[#This Row],[Sysselsettingsvekst10]]))</f>
        <v>-1.6949152542372836E-2</v>
      </c>
      <c r="R320" s="41">
        <f>IF(Tabell2[[#This Row],[Yrkesaktivandel]]&lt;=I$433,I$433,IF(Tabell2[[#This Row],[Yrkesaktivandel]]&gt;=I$434,I$434,Tabell2[[#This Row],[Yrkesaktivandel]]))</f>
        <v>0.96033761343949164</v>
      </c>
      <c r="S320" s="41">
        <f>IF(Tabell2[[#This Row],[Inntekt]]&lt;=J$433,J$433,IF(Tabell2[[#This Row],[Inntekt]]&gt;=J$434,J$434,Tabell2[[#This Row],[Inntekt]]))</f>
        <v>294700</v>
      </c>
      <c r="T320" s="44">
        <f>IF(Tabell2[[#This Row],[NIBR11-T]]&lt;=K$436,100,IF(Tabell2[[#This Row],[NIBR11-T]]&gt;=K$435,0,100*(K$435-Tabell2[[#This Row],[NIBR11-T]])/K$438))</f>
        <v>0</v>
      </c>
      <c r="U320" s="44">
        <f>(L$435-Tabell2[[#This Row],[ReisetidOslo-T]])*100/L$438</f>
        <v>33.732266716802108</v>
      </c>
      <c r="V320" s="44">
        <f>100-(M$435-Tabell2[[#This Row],[Beftettotal-T]])*100/M$438</f>
        <v>0</v>
      </c>
      <c r="W320" s="44">
        <f>100-(N$435-Tabell2[[#This Row],[Befvekst10-T]])*100/N$438</f>
        <v>18.113756426989809</v>
      </c>
      <c r="X320" s="44">
        <f>100-(O$435-Tabell2[[#This Row],[Kvinneandel-T]])*100/O$438</f>
        <v>38.390682573266652</v>
      </c>
      <c r="Y320" s="44">
        <f>(P$435-Tabell2[[#This Row],[Eldreandel-T]])*100/P$438</f>
        <v>0</v>
      </c>
      <c r="Z320" s="44">
        <f>100-(Q$435-Tabell2[[#This Row],[Sysselsettingsvekst10-T]])*100/Q$438</f>
        <v>22.115862089986862</v>
      </c>
      <c r="AA320" s="44">
        <f>100-(R$435-Tabell2[[#This Row],[Yrkesaktivandel-T]])*100/R$438</f>
        <v>100</v>
      </c>
      <c r="AB320" s="44">
        <f>100-(S$435-Tabell2[[#This Row],[Inntekt-T]])*100/S$438</f>
        <v>3.4801522566612277</v>
      </c>
      <c r="AC320" s="44">
        <f>Tabell2[[#This Row],[NIBR11-I]]*Vekter!$B$3</f>
        <v>0</v>
      </c>
      <c r="AD320" s="44">
        <f>Tabell2[[#This Row],[ReisetidOslo-I]]*Vekter!$C$3</f>
        <v>3.3732266716802108</v>
      </c>
      <c r="AE320" s="44">
        <f>Tabell2[[#This Row],[Beftettotal-I]]*Vekter!$E$4</f>
        <v>0</v>
      </c>
      <c r="AF320" s="44">
        <f>Tabell2[[#This Row],[Befvekst10-I]]*Vekter!$F$3</f>
        <v>3.6227512853979622</v>
      </c>
      <c r="AG320" s="44">
        <f>Tabell2[[#This Row],[Kvinneandel-I]]*Vekter!$G$3</f>
        <v>1.9195341286633327</v>
      </c>
      <c r="AH320" s="44">
        <f>Tabell2[[#This Row],[Eldreandel-I]]*Vekter!$H$3</f>
        <v>0</v>
      </c>
      <c r="AI320" s="44">
        <f>Tabell2[[#This Row],[Sysselsettingsvekst10-I]]*Vekter!$I$3</f>
        <v>2.2115862089986864</v>
      </c>
      <c r="AJ320" s="44">
        <f>Tabell2[[#This Row],[Yrkesaktivandel-I]]*Vekter!$K$3</f>
        <v>10</v>
      </c>
      <c r="AK320" s="44">
        <f>Tabell2[[#This Row],[Inntekt-I]]*Vekter!$M$3</f>
        <v>0.34801522566612281</v>
      </c>
      <c r="AL32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21.475113520406317</v>
      </c>
    </row>
    <row r="321" spans="1:38" s="38" customFormat="1" ht="12.75">
      <c r="A321" s="42" t="s">
        <v>319</v>
      </c>
      <c r="B321" s="38">
        <f>'Rådata-K'!Q321</f>
        <v>6</v>
      </c>
      <c r="C321" s="44">
        <f>'Rådata-K'!P321</f>
        <v>225.75932197589998</v>
      </c>
      <c r="D321" s="41">
        <f>'Rådata-K'!R321</f>
        <v>13.618318853920949</v>
      </c>
      <c r="E321" s="41">
        <f>'Rådata-K'!S321</f>
        <v>4.0033198261973268E-2</v>
      </c>
      <c r="F321" s="41">
        <f>'Rådata-K'!T321</f>
        <v>0.10777824719523071</v>
      </c>
      <c r="G321" s="41">
        <f>'Rådata-K'!U321</f>
        <v>0.16030606017931748</v>
      </c>
      <c r="H321" s="41">
        <f>'Rådata-K'!V321</f>
        <v>0.10113302559798565</v>
      </c>
      <c r="I321" s="41">
        <f>'Rådata-K'!W321</f>
        <v>0.86900905390813188</v>
      </c>
      <c r="J321" s="41">
        <f>'Rådata-K'!O321</f>
        <v>312400</v>
      </c>
      <c r="K321" s="41">
        <f>Tabell2[[#This Row],[NIBR11]]</f>
        <v>6</v>
      </c>
      <c r="L321" s="41">
        <f>IF(Tabell2[[#This Row],[ReisetidOslo]]&lt;=C$433,C$433,IF(Tabell2[[#This Row],[ReisetidOslo]]&gt;=C$434,C$434,Tabell2[[#This Row],[ReisetidOslo]]))</f>
        <v>225.75932197589998</v>
      </c>
      <c r="M321" s="41">
        <f>IF(Tabell2[[#This Row],[Beftettotal]]&lt;=D$433,D$433,IF(Tabell2[[#This Row],[Beftettotal]]&gt;=D$434,D$434,Tabell2[[#This Row],[Beftettotal]]))</f>
        <v>13.618318853920949</v>
      </c>
      <c r="N321" s="41">
        <f>IF(Tabell2[[#This Row],[Befvekst10]]&lt;=E$433,E$433,IF(Tabell2[[#This Row],[Befvekst10]]&gt;=E$434,E$434,Tabell2[[#This Row],[Befvekst10]]))</f>
        <v>4.0033198261973268E-2</v>
      </c>
      <c r="O321" s="41">
        <f>IF(Tabell2[[#This Row],[Kvinneandel]]&lt;=F$433,F$433,IF(Tabell2[[#This Row],[Kvinneandel]]&gt;=F$434,F$434,Tabell2[[#This Row],[Kvinneandel]]))</f>
        <v>0.10777824719523071</v>
      </c>
      <c r="P321" s="41">
        <f>IF(Tabell2[[#This Row],[Eldreandel]]&lt;=G$433,G$433,IF(Tabell2[[#This Row],[Eldreandel]]&gt;=G$434,G$434,Tabell2[[#This Row],[Eldreandel]]))</f>
        <v>0.16030606017931748</v>
      </c>
      <c r="Q321" s="41">
        <f>IF(Tabell2[[#This Row],[Sysselsettingsvekst10]]&lt;=H$433,H$433,IF(Tabell2[[#This Row],[Sysselsettingsvekst10]]&gt;=H$434,H$434,Tabell2[[#This Row],[Sysselsettingsvekst10]]))</f>
        <v>0.10113302559798565</v>
      </c>
      <c r="R321" s="41">
        <f>IF(Tabell2[[#This Row],[Yrkesaktivandel]]&lt;=I$433,I$433,IF(Tabell2[[#This Row],[Yrkesaktivandel]]&gt;=I$434,I$434,Tabell2[[#This Row],[Yrkesaktivandel]]))</f>
        <v>0.86900905390813188</v>
      </c>
      <c r="S321" s="41">
        <f>IF(Tabell2[[#This Row],[Inntekt]]&lt;=J$433,J$433,IF(Tabell2[[#This Row],[Inntekt]]&gt;=J$434,J$434,Tabell2[[#This Row],[Inntekt]]))</f>
        <v>312400</v>
      </c>
      <c r="T321" s="44">
        <f>IF(Tabell2[[#This Row],[NIBR11-T]]&lt;=K$436,100,IF(Tabell2[[#This Row],[NIBR11-T]]&gt;=K$435,0,100*(K$435-Tabell2[[#This Row],[NIBR11-T]])/K$438))</f>
        <v>50</v>
      </c>
      <c r="U321" s="44">
        <f>(L$435-Tabell2[[#This Row],[ReisetidOslo-T]])*100/L$438</f>
        <v>23.660903308967733</v>
      </c>
      <c r="V321" s="44">
        <f>100-(M$435-Tabell2[[#This Row],[Beftettotal-T]])*100/M$438</f>
        <v>10.0594739234797</v>
      </c>
      <c r="W321" s="44">
        <f>100-(N$435-Tabell2[[#This Row],[Befvekst10-T]])*100/N$438</f>
        <v>54.592338444072851</v>
      </c>
      <c r="X321" s="44">
        <f>100-(O$435-Tabell2[[#This Row],[Kvinneandel-T]])*100/O$438</f>
        <v>43.948765554281927</v>
      </c>
      <c r="Y321" s="44">
        <f>(P$435-Tabell2[[#This Row],[Eldreandel-T]])*100/P$438</f>
        <v>45.491859450247972</v>
      </c>
      <c r="Z321" s="44">
        <f>100-(Q$435-Tabell2[[#This Row],[Sysselsettingsvekst10-T]])*100/Q$438</f>
        <v>56.834039211944258</v>
      </c>
      <c r="AA321" s="44">
        <f>100-(R$435-Tabell2[[#This Row],[Yrkesaktivandel-T]])*100/R$438</f>
        <v>31.797511323571342</v>
      </c>
      <c r="AB321" s="44">
        <f>100-(S$435-Tabell2[[#This Row],[Inntekt-T]])*100/S$438</f>
        <v>27.542142468733005</v>
      </c>
      <c r="AC321" s="44">
        <f>Tabell2[[#This Row],[NIBR11-I]]*Vekter!$B$3</f>
        <v>10</v>
      </c>
      <c r="AD321" s="44">
        <f>Tabell2[[#This Row],[ReisetidOslo-I]]*Vekter!$C$3</f>
        <v>2.3660903308967733</v>
      </c>
      <c r="AE321" s="44">
        <f>Tabell2[[#This Row],[Beftettotal-I]]*Vekter!$E$4</f>
        <v>1.00594739234797</v>
      </c>
      <c r="AF321" s="44">
        <f>Tabell2[[#This Row],[Befvekst10-I]]*Vekter!$F$3</f>
        <v>10.918467688814571</v>
      </c>
      <c r="AG321" s="44">
        <f>Tabell2[[#This Row],[Kvinneandel-I]]*Vekter!$G$3</f>
        <v>2.1974382777140966</v>
      </c>
      <c r="AH321" s="44">
        <f>Tabell2[[#This Row],[Eldreandel-I]]*Vekter!$H$3</f>
        <v>2.2745929725123988</v>
      </c>
      <c r="AI321" s="44">
        <f>Tabell2[[#This Row],[Sysselsettingsvekst10-I]]*Vekter!$I$3</f>
        <v>5.6834039211944258</v>
      </c>
      <c r="AJ321" s="44">
        <f>Tabell2[[#This Row],[Yrkesaktivandel-I]]*Vekter!$K$3</f>
        <v>3.1797511323571346</v>
      </c>
      <c r="AK321" s="44">
        <f>Tabell2[[#This Row],[Inntekt-I]]*Vekter!$M$3</f>
        <v>2.7542142468733006</v>
      </c>
      <c r="AL32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40.379905962710673</v>
      </c>
    </row>
    <row r="322" spans="1:38" s="38" customFormat="1" ht="12.75">
      <c r="A322" s="42" t="s">
        <v>320</v>
      </c>
      <c r="B322" s="38">
        <f>'Rådata-K'!Q322</f>
        <v>6</v>
      </c>
      <c r="C322" s="44">
        <f>'Rådata-K'!P322</f>
        <v>214.90047083640002</v>
      </c>
      <c r="D322" s="41">
        <f>'Rådata-K'!R322</f>
        <v>16.651454575839772</v>
      </c>
      <c r="E322" s="41">
        <f>'Rådata-K'!S322</f>
        <v>4.865608808290145E-2</v>
      </c>
      <c r="F322" s="41">
        <f>'Rådata-K'!T322</f>
        <v>0.1223654751794951</v>
      </c>
      <c r="G322" s="41">
        <f>'Rådata-K'!U322</f>
        <v>0.13687948737744152</v>
      </c>
      <c r="H322" s="41">
        <f>'Rådata-K'!V322</f>
        <v>0.14688620802086727</v>
      </c>
      <c r="I322" s="41">
        <f>'Rådata-K'!W322</f>
        <v>0.88823529411764701</v>
      </c>
      <c r="J322" s="41">
        <f>'Rådata-K'!O322</f>
        <v>324500</v>
      </c>
      <c r="K322" s="41">
        <f>Tabell2[[#This Row],[NIBR11]]</f>
        <v>6</v>
      </c>
      <c r="L322" s="41">
        <f>IF(Tabell2[[#This Row],[ReisetidOslo]]&lt;=C$433,C$433,IF(Tabell2[[#This Row],[ReisetidOslo]]&gt;=C$434,C$434,Tabell2[[#This Row],[ReisetidOslo]]))</f>
        <v>214.90047083640002</v>
      </c>
      <c r="M322" s="41">
        <f>IF(Tabell2[[#This Row],[Beftettotal]]&lt;=D$433,D$433,IF(Tabell2[[#This Row],[Beftettotal]]&gt;=D$434,D$434,Tabell2[[#This Row],[Beftettotal]]))</f>
        <v>16.651454575839772</v>
      </c>
      <c r="N322" s="41">
        <f>IF(Tabell2[[#This Row],[Befvekst10]]&lt;=E$433,E$433,IF(Tabell2[[#This Row],[Befvekst10]]&gt;=E$434,E$434,Tabell2[[#This Row],[Befvekst10]]))</f>
        <v>4.865608808290145E-2</v>
      </c>
      <c r="O322" s="41">
        <f>IF(Tabell2[[#This Row],[Kvinneandel]]&lt;=F$433,F$433,IF(Tabell2[[#This Row],[Kvinneandel]]&gt;=F$434,F$434,Tabell2[[#This Row],[Kvinneandel]]))</f>
        <v>0.1223654751794951</v>
      </c>
      <c r="P322" s="41">
        <f>IF(Tabell2[[#This Row],[Eldreandel]]&lt;=G$433,G$433,IF(Tabell2[[#This Row],[Eldreandel]]&gt;=G$434,G$434,Tabell2[[#This Row],[Eldreandel]]))</f>
        <v>0.13687948737744152</v>
      </c>
      <c r="Q322" s="41">
        <f>IF(Tabell2[[#This Row],[Sysselsettingsvekst10]]&lt;=H$433,H$433,IF(Tabell2[[#This Row],[Sysselsettingsvekst10]]&gt;=H$434,H$434,Tabell2[[#This Row],[Sysselsettingsvekst10]]))</f>
        <v>0.14688620802086727</v>
      </c>
      <c r="R322" s="41">
        <f>IF(Tabell2[[#This Row],[Yrkesaktivandel]]&lt;=I$433,I$433,IF(Tabell2[[#This Row],[Yrkesaktivandel]]&gt;=I$434,I$434,Tabell2[[#This Row],[Yrkesaktivandel]]))</f>
        <v>0.88823529411764701</v>
      </c>
      <c r="S322" s="41">
        <f>IF(Tabell2[[#This Row],[Inntekt]]&lt;=J$433,J$433,IF(Tabell2[[#This Row],[Inntekt]]&gt;=J$434,J$434,Tabell2[[#This Row],[Inntekt]]))</f>
        <v>324500</v>
      </c>
      <c r="T322" s="44">
        <f>IF(Tabell2[[#This Row],[NIBR11-T]]&lt;=K$436,100,IF(Tabell2[[#This Row],[NIBR11-T]]&gt;=K$435,0,100*(K$435-Tabell2[[#This Row],[NIBR11-T]])/K$438))</f>
        <v>50</v>
      </c>
      <c r="U322" s="44">
        <f>(L$435-Tabell2[[#This Row],[ReisetidOslo-T]])*100/L$438</f>
        <v>28.481696699169252</v>
      </c>
      <c r="V322" s="44">
        <f>100-(M$435-Tabell2[[#This Row],[Beftettotal-T]])*100/M$438</f>
        <v>12.540599607374389</v>
      </c>
      <c r="W322" s="44">
        <f>100-(N$435-Tabell2[[#This Row],[Befvekst10-T]])*100/N$438</f>
        <v>58.159756249414478</v>
      </c>
      <c r="X322" s="44">
        <f>100-(O$435-Tabell2[[#This Row],[Kvinneandel-T]])*100/O$438</f>
        <v>83.866147749438653</v>
      </c>
      <c r="Y322" s="44">
        <f>(P$435-Tabell2[[#This Row],[Eldreandel-T]])*100/P$438</f>
        <v>73.074204402944218</v>
      </c>
      <c r="Z322" s="44">
        <f>100-(Q$435-Tabell2[[#This Row],[Sysselsettingsvekst10-T]])*100/Q$438</f>
        <v>70.286256271852309</v>
      </c>
      <c r="AA322" s="44">
        <f>100-(R$435-Tabell2[[#This Row],[Yrkesaktivandel-T]])*100/R$438</f>
        <v>46.15531393108423</v>
      </c>
      <c r="AB322" s="44">
        <f>100-(S$435-Tabell2[[#This Row],[Inntekt-T]])*100/S$438</f>
        <v>43.991299619358344</v>
      </c>
      <c r="AC322" s="44">
        <f>Tabell2[[#This Row],[NIBR11-I]]*Vekter!$B$3</f>
        <v>10</v>
      </c>
      <c r="AD322" s="44">
        <f>Tabell2[[#This Row],[ReisetidOslo-I]]*Vekter!$C$3</f>
        <v>2.8481696699169254</v>
      </c>
      <c r="AE322" s="44">
        <f>Tabell2[[#This Row],[Beftettotal-I]]*Vekter!$E$4</f>
        <v>1.254059960737439</v>
      </c>
      <c r="AF322" s="44">
        <f>Tabell2[[#This Row],[Befvekst10-I]]*Vekter!$F$3</f>
        <v>11.631951249882896</v>
      </c>
      <c r="AG322" s="44">
        <f>Tabell2[[#This Row],[Kvinneandel-I]]*Vekter!$G$3</f>
        <v>4.1933073874719327</v>
      </c>
      <c r="AH322" s="44">
        <f>Tabell2[[#This Row],[Eldreandel-I]]*Vekter!$H$3</f>
        <v>3.6537102201472109</v>
      </c>
      <c r="AI322" s="44">
        <f>Tabell2[[#This Row],[Sysselsettingsvekst10-I]]*Vekter!$I$3</f>
        <v>7.0286256271852317</v>
      </c>
      <c r="AJ322" s="44">
        <f>Tabell2[[#This Row],[Yrkesaktivandel-I]]*Vekter!$K$3</f>
        <v>4.615531393108423</v>
      </c>
      <c r="AK322" s="44">
        <f>Tabell2[[#This Row],[Inntekt-I]]*Vekter!$M$3</f>
        <v>4.3991299619358344</v>
      </c>
      <c r="AL32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49.624485470385899</v>
      </c>
    </row>
    <row r="323" spans="1:38" s="38" customFormat="1" ht="12.75">
      <c r="A323" s="42" t="s">
        <v>321</v>
      </c>
      <c r="B323" s="38">
        <f>'Rådata-K'!Q323</f>
        <v>5</v>
      </c>
      <c r="C323" s="44">
        <f>'Rådata-K'!P323</f>
        <v>198.31502900409998</v>
      </c>
      <c r="D323" s="41">
        <f>'Rådata-K'!R323</f>
        <v>1.9734413896545495</v>
      </c>
      <c r="E323" s="41">
        <f>'Rådata-K'!S323</f>
        <v>-1.7975771785853856E-2</v>
      </c>
      <c r="F323" s="41">
        <f>'Rådata-K'!T323</f>
        <v>0.1062475129327497</v>
      </c>
      <c r="G323" s="41">
        <f>'Rådata-K'!U323</f>
        <v>0.18503780342220455</v>
      </c>
      <c r="H323" s="41">
        <f>'Rådata-K'!V323</f>
        <v>-0.13039568345323738</v>
      </c>
      <c r="I323" s="41">
        <f>'Rådata-K'!W323</f>
        <v>0.81971830985915495</v>
      </c>
      <c r="J323" s="41">
        <f>'Rådata-K'!O323</f>
        <v>287700</v>
      </c>
      <c r="K323" s="41">
        <f>Tabell2[[#This Row],[NIBR11]]</f>
        <v>5</v>
      </c>
      <c r="L323" s="41">
        <f>IF(Tabell2[[#This Row],[ReisetidOslo]]&lt;=C$433,C$433,IF(Tabell2[[#This Row],[ReisetidOslo]]&gt;=C$434,C$434,Tabell2[[#This Row],[ReisetidOslo]]))</f>
        <v>198.31502900409998</v>
      </c>
      <c r="M323" s="41">
        <f>IF(Tabell2[[#This Row],[Beftettotal]]&lt;=D$433,D$433,IF(Tabell2[[#This Row],[Beftettotal]]&gt;=D$434,D$434,Tabell2[[#This Row],[Beftettotal]]))</f>
        <v>1.9734413896545495</v>
      </c>
      <c r="N323" s="41">
        <f>IF(Tabell2[[#This Row],[Befvekst10]]&lt;=E$433,E$433,IF(Tabell2[[#This Row],[Befvekst10]]&gt;=E$434,E$434,Tabell2[[#This Row],[Befvekst10]]))</f>
        <v>-1.7975771785853856E-2</v>
      </c>
      <c r="O323" s="41">
        <f>IF(Tabell2[[#This Row],[Kvinneandel]]&lt;=F$433,F$433,IF(Tabell2[[#This Row],[Kvinneandel]]&gt;=F$434,F$434,Tabell2[[#This Row],[Kvinneandel]]))</f>
        <v>0.1062475129327497</v>
      </c>
      <c r="P323" s="41">
        <f>IF(Tabell2[[#This Row],[Eldreandel]]&lt;=G$433,G$433,IF(Tabell2[[#This Row],[Eldreandel]]&gt;=G$434,G$434,Tabell2[[#This Row],[Eldreandel]]))</f>
        <v>0.18503780342220455</v>
      </c>
      <c r="Q323" s="41">
        <f>IF(Tabell2[[#This Row],[Sysselsettingsvekst10]]&lt;=H$433,H$433,IF(Tabell2[[#This Row],[Sysselsettingsvekst10]]&gt;=H$434,H$434,Tabell2[[#This Row],[Sysselsettingsvekst10]]))</f>
        <v>-9.2168803558721979E-2</v>
      </c>
      <c r="R323" s="41">
        <f>IF(Tabell2[[#This Row],[Yrkesaktivandel]]&lt;=I$433,I$433,IF(Tabell2[[#This Row],[Yrkesaktivandel]]&gt;=I$434,I$434,Tabell2[[#This Row],[Yrkesaktivandel]]))</f>
        <v>0.82642965596795781</v>
      </c>
      <c r="S323" s="41">
        <f>IF(Tabell2[[#This Row],[Inntekt]]&lt;=J$433,J$433,IF(Tabell2[[#This Row],[Inntekt]]&gt;=J$434,J$434,Tabell2[[#This Row],[Inntekt]]))</f>
        <v>292140</v>
      </c>
      <c r="T323" s="44">
        <f>IF(Tabell2[[#This Row],[NIBR11-T]]&lt;=K$436,100,IF(Tabell2[[#This Row],[NIBR11-T]]&gt;=K$435,0,100*(K$435-Tabell2[[#This Row],[NIBR11-T]])/K$438))</f>
        <v>60</v>
      </c>
      <c r="U323" s="44">
        <f>(L$435-Tabell2[[#This Row],[ReisetidOslo-T]])*100/L$438</f>
        <v>35.844813416727057</v>
      </c>
      <c r="V323" s="44">
        <f>100-(M$435-Tabell2[[#This Row],[Beftettotal-T]])*100/M$438</f>
        <v>0.53388482649069147</v>
      </c>
      <c r="W323" s="44">
        <f>100-(N$435-Tabell2[[#This Row],[Befvekst10-T]])*100/N$438</f>
        <v>30.593164511003565</v>
      </c>
      <c r="X323" s="44">
        <f>100-(O$435-Tabell2[[#This Row],[Kvinneandel-T]])*100/O$438</f>
        <v>39.759970763346359</v>
      </c>
      <c r="Y323" s="44">
        <f>(P$435-Tabell2[[#This Row],[Eldreandel-T]])*100/P$438</f>
        <v>16.372812495492404</v>
      </c>
      <c r="Z323" s="44">
        <f>100-(Q$435-Tabell2[[#This Row],[Sysselsettingsvekst10-T]])*100/Q$438</f>
        <v>0</v>
      </c>
      <c r="AA323" s="44">
        <f>100-(R$435-Tabell2[[#This Row],[Yrkesaktivandel-T]])*100/R$438</f>
        <v>0</v>
      </c>
      <c r="AB323" s="44">
        <f>100-(S$435-Tabell2[[#This Row],[Inntekt-T]])*100/S$438</f>
        <v>0</v>
      </c>
      <c r="AC323" s="44">
        <f>Tabell2[[#This Row],[NIBR11-I]]*Vekter!$B$3</f>
        <v>12</v>
      </c>
      <c r="AD323" s="44">
        <f>Tabell2[[#This Row],[ReisetidOslo-I]]*Vekter!$C$3</f>
        <v>3.5844813416727059</v>
      </c>
      <c r="AE323" s="44">
        <f>Tabell2[[#This Row],[Beftettotal-I]]*Vekter!$E$4</f>
        <v>5.3388482649069147E-2</v>
      </c>
      <c r="AF323" s="44">
        <f>Tabell2[[#This Row],[Befvekst10-I]]*Vekter!$F$3</f>
        <v>6.1186329022007131</v>
      </c>
      <c r="AG323" s="44">
        <f>Tabell2[[#This Row],[Kvinneandel-I]]*Vekter!$G$3</f>
        <v>1.987998538167318</v>
      </c>
      <c r="AH323" s="44">
        <f>Tabell2[[#This Row],[Eldreandel-I]]*Vekter!$H$3</f>
        <v>0.8186406247746203</v>
      </c>
      <c r="AI323" s="44">
        <f>Tabell2[[#This Row],[Sysselsettingsvekst10-I]]*Vekter!$I$3</f>
        <v>0</v>
      </c>
      <c r="AJ323" s="44">
        <f>Tabell2[[#This Row],[Yrkesaktivandel-I]]*Vekter!$K$3</f>
        <v>0</v>
      </c>
      <c r="AK323" s="44">
        <f>Tabell2[[#This Row],[Inntekt-I]]*Vekter!$M$3</f>
        <v>0</v>
      </c>
      <c r="AL32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24.563141889464426</v>
      </c>
    </row>
    <row r="324" spans="1:38" s="38" customFormat="1" ht="12.75">
      <c r="A324" s="42" t="s">
        <v>322</v>
      </c>
      <c r="B324" s="38">
        <f>'Rådata-K'!Q324</f>
        <v>2</v>
      </c>
      <c r="C324" s="44">
        <f>'Rådata-K'!P324</f>
        <v>158.03299314513001</v>
      </c>
      <c r="D324" s="41">
        <f>'Rådata-K'!R324</f>
        <v>23.514738020361388</v>
      </c>
      <c r="E324" s="41">
        <f>'Rådata-K'!S324</f>
        <v>0.17806024353770566</v>
      </c>
      <c r="F324" s="41">
        <f>'Rådata-K'!T324</f>
        <v>0.11750838697978058</v>
      </c>
      <c r="G324" s="41">
        <f>'Rådata-K'!U324</f>
        <v>0.13147157493879771</v>
      </c>
      <c r="H324" s="41">
        <f>'Rådata-K'!V324</f>
        <v>0.26089610548162612</v>
      </c>
      <c r="I324" s="41">
        <f>'Rådata-K'!W324</f>
        <v>0.88570511276988517</v>
      </c>
      <c r="J324" s="41">
        <f>'Rådata-K'!O324</f>
        <v>336000</v>
      </c>
      <c r="K324" s="41">
        <f>Tabell2[[#This Row],[NIBR11]]</f>
        <v>2</v>
      </c>
      <c r="L324" s="41">
        <f>IF(Tabell2[[#This Row],[ReisetidOslo]]&lt;=C$433,C$433,IF(Tabell2[[#This Row],[ReisetidOslo]]&gt;=C$434,C$434,Tabell2[[#This Row],[ReisetidOslo]]))</f>
        <v>158.03299314513001</v>
      </c>
      <c r="M324" s="41">
        <f>IF(Tabell2[[#This Row],[Beftettotal]]&lt;=D$433,D$433,IF(Tabell2[[#This Row],[Beftettotal]]&gt;=D$434,D$434,Tabell2[[#This Row],[Beftettotal]]))</f>
        <v>23.514738020361388</v>
      </c>
      <c r="N324" s="41">
        <f>IF(Tabell2[[#This Row],[Befvekst10]]&lt;=E$433,E$433,IF(Tabell2[[#This Row],[Befvekst10]]&gt;=E$434,E$434,Tabell2[[#This Row],[Befvekst10]]))</f>
        <v>0.149789129298837</v>
      </c>
      <c r="O324" s="41">
        <f>IF(Tabell2[[#This Row],[Kvinneandel]]&lt;=F$433,F$433,IF(Tabell2[[#This Row],[Kvinneandel]]&gt;=F$434,F$434,Tabell2[[#This Row],[Kvinneandel]]))</f>
        <v>0.11750838697978058</v>
      </c>
      <c r="P324" s="41">
        <f>IF(Tabell2[[#This Row],[Eldreandel]]&lt;=G$433,G$433,IF(Tabell2[[#This Row],[Eldreandel]]&gt;=G$434,G$434,Tabell2[[#This Row],[Eldreandel]]))</f>
        <v>0.13147157493879771</v>
      </c>
      <c r="Q324" s="41">
        <f>IF(Tabell2[[#This Row],[Sysselsettingsvekst10]]&lt;=H$433,H$433,IF(Tabell2[[#This Row],[Sysselsettingsvekst10]]&gt;=H$434,H$434,Tabell2[[#This Row],[Sysselsettingsvekst10]]))</f>
        <v>0.24794749265568336</v>
      </c>
      <c r="R324" s="41">
        <f>IF(Tabell2[[#This Row],[Yrkesaktivandel]]&lt;=I$433,I$433,IF(Tabell2[[#This Row],[Yrkesaktivandel]]&gt;=I$434,I$434,Tabell2[[#This Row],[Yrkesaktivandel]]))</f>
        <v>0.88570511276988517</v>
      </c>
      <c r="S324" s="41">
        <f>IF(Tabell2[[#This Row],[Inntekt]]&lt;=J$433,J$433,IF(Tabell2[[#This Row],[Inntekt]]&gt;=J$434,J$434,Tabell2[[#This Row],[Inntekt]]))</f>
        <v>336000</v>
      </c>
      <c r="T324" s="44">
        <f>IF(Tabell2[[#This Row],[NIBR11-T]]&lt;=K$436,100,IF(Tabell2[[#This Row],[NIBR11-T]]&gt;=K$435,0,100*(K$435-Tabell2[[#This Row],[NIBR11-T]])/K$438))</f>
        <v>90</v>
      </c>
      <c r="U324" s="44">
        <f>(L$435-Tabell2[[#This Row],[ReisetidOslo-T]])*100/L$438</f>
        <v>53.728047077274816</v>
      </c>
      <c r="V324" s="44">
        <f>100-(M$435-Tabell2[[#This Row],[Beftettotal-T]])*100/M$438</f>
        <v>18.154812221401116</v>
      </c>
      <c r="W324" s="44">
        <f>100-(N$435-Tabell2[[#This Row],[Befvekst10-T]])*100/N$438</f>
        <v>100</v>
      </c>
      <c r="X324" s="44">
        <f>100-(O$435-Tabell2[[#This Row],[Kvinneandel-T]])*100/O$438</f>
        <v>70.574914745283508</v>
      </c>
      <c r="Y324" s="44">
        <f>(P$435-Tabell2[[#This Row],[Eldreandel-T]])*100/P$438</f>
        <v>79.441456993331897</v>
      </c>
      <c r="Z324" s="44">
        <f>100-(Q$435-Tabell2[[#This Row],[Sysselsettingsvekst10-T]])*100/Q$438</f>
        <v>100</v>
      </c>
      <c r="AA324" s="44">
        <f>100-(R$435-Tabell2[[#This Row],[Yrkesaktivandel-T]])*100/R$438</f>
        <v>44.265821031978732</v>
      </c>
      <c r="AB324" s="44">
        <f>100-(S$435-Tabell2[[#This Row],[Inntekt-T]])*100/S$438</f>
        <v>59.624796084828709</v>
      </c>
      <c r="AC324" s="44">
        <f>Tabell2[[#This Row],[NIBR11-I]]*Vekter!$B$3</f>
        <v>18</v>
      </c>
      <c r="AD324" s="44">
        <f>Tabell2[[#This Row],[ReisetidOslo-I]]*Vekter!$C$3</f>
        <v>5.3728047077274823</v>
      </c>
      <c r="AE324" s="44">
        <f>Tabell2[[#This Row],[Beftettotal-I]]*Vekter!$E$4</f>
        <v>1.8154812221401118</v>
      </c>
      <c r="AF324" s="44">
        <f>Tabell2[[#This Row],[Befvekst10-I]]*Vekter!$F$3</f>
        <v>20</v>
      </c>
      <c r="AG324" s="44">
        <f>Tabell2[[#This Row],[Kvinneandel-I]]*Vekter!$G$3</f>
        <v>3.5287457372641757</v>
      </c>
      <c r="AH324" s="44">
        <f>Tabell2[[#This Row],[Eldreandel-I]]*Vekter!$H$3</f>
        <v>3.9720728496665951</v>
      </c>
      <c r="AI324" s="44">
        <f>Tabell2[[#This Row],[Sysselsettingsvekst10-I]]*Vekter!$I$3</f>
        <v>10</v>
      </c>
      <c r="AJ324" s="44">
        <f>Tabell2[[#This Row],[Yrkesaktivandel-I]]*Vekter!$K$3</f>
        <v>4.4265821031978732</v>
      </c>
      <c r="AK324" s="44">
        <f>Tabell2[[#This Row],[Inntekt-I]]*Vekter!$M$3</f>
        <v>5.9624796084828713</v>
      </c>
      <c r="AL32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73.078166228479105</v>
      </c>
    </row>
    <row r="325" spans="1:38" s="38" customFormat="1" ht="12.75">
      <c r="A325" s="42" t="s">
        <v>323</v>
      </c>
      <c r="B325" s="38">
        <f>'Rådata-K'!Q325</f>
        <v>5</v>
      </c>
      <c r="C325" s="44">
        <f>'Rådata-K'!P325</f>
        <v>190.60556382199999</v>
      </c>
      <c r="D325" s="41">
        <f>'Rådata-K'!R325</f>
        <v>34.293948126801148</v>
      </c>
      <c r="E325" s="41">
        <f>'Rådata-K'!S325</f>
        <v>7.0756646216769026E-2</v>
      </c>
      <c r="F325" s="41">
        <f>'Rådata-K'!T325</f>
        <v>0.1092436974789916</v>
      </c>
      <c r="G325" s="41">
        <f>'Rådata-K'!U325</f>
        <v>0.1650114591291062</v>
      </c>
      <c r="H325" s="41">
        <f>'Rådata-K'!V325</f>
        <v>-2.5027203482045679E-2</v>
      </c>
      <c r="I325" s="41">
        <f>'Rådata-K'!W325</f>
        <v>0.87341772151898733</v>
      </c>
      <c r="J325" s="41">
        <f>'Rådata-K'!O325</f>
        <v>293000</v>
      </c>
      <c r="K325" s="41">
        <f>Tabell2[[#This Row],[NIBR11]]</f>
        <v>5</v>
      </c>
      <c r="L325" s="41">
        <f>IF(Tabell2[[#This Row],[ReisetidOslo]]&lt;=C$433,C$433,IF(Tabell2[[#This Row],[ReisetidOslo]]&gt;=C$434,C$434,Tabell2[[#This Row],[ReisetidOslo]]))</f>
        <v>190.60556382199999</v>
      </c>
      <c r="M325" s="41">
        <f>IF(Tabell2[[#This Row],[Beftettotal]]&lt;=D$433,D$433,IF(Tabell2[[#This Row],[Beftettotal]]&gt;=D$434,D$434,Tabell2[[#This Row],[Beftettotal]]))</f>
        <v>34.293948126801148</v>
      </c>
      <c r="N325" s="41">
        <f>IF(Tabell2[[#This Row],[Befvekst10]]&lt;=E$433,E$433,IF(Tabell2[[#This Row],[Befvekst10]]&gt;=E$434,E$434,Tabell2[[#This Row],[Befvekst10]]))</f>
        <v>7.0756646216769026E-2</v>
      </c>
      <c r="O325" s="41">
        <f>IF(Tabell2[[#This Row],[Kvinneandel]]&lt;=F$433,F$433,IF(Tabell2[[#This Row],[Kvinneandel]]&gt;=F$434,F$434,Tabell2[[#This Row],[Kvinneandel]]))</f>
        <v>0.1092436974789916</v>
      </c>
      <c r="P325" s="41">
        <f>IF(Tabell2[[#This Row],[Eldreandel]]&lt;=G$433,G$433,IF(Tabell2[[#This Row],[Eldreandel]]&gt;=G$434,G$434,Tabell2[[#This Row],[Eldreandel]]))</f>
        <v>0.1650114591291062</v>
      </c>
      <c r="Q325" s="41">
        <f>IF(Tabell2[[#This Row],[Sysselsettingsvekst10]]&lt;=H$433,H$433,IF(Tabell2[[#This Row],[Sysselsettingsvekst10]]&gt;=H$434,H$434,Tabell2[[#This Row],[Sysselsettingsvekst10]]))</f>
        <v>-2.5027203482045679E-2</v>
      </c>
      <c r="R325" s="41">
        <f>IF(Tabell2[[#This Row],[Yrkesaktivandel]]&lt;=I$433,I$433,IF(Tabell2[[#This Row],[Yrkesaktivandel]]&gt;=I$434,I$434,Tabell2[[#This Row],[Yrkesaktivandel]]))</f>
        <v>0.87341772151898733</v>
      </c>
      <c r="S325" s="41">
        <f>IF(Tabell2[[#This Row],[Inntekt]]&lt;=J$433,J$433,IF(Tabell2[[#This Row],[Inntekt]]&gt;=J$434,J$434,Tabell2[[#This Row],[Inntekt]]))</f>
        <v>293000</v>
      </c>
      <c r="T325" s="44">
        <f>IF(Tabell2[[#This Row],[NIBR11-T]]&lt;=K$436,100,IF(Tabell2[[#This Row],[NIBR11-T]]&gt;=K$435,0,100*(K$435-Tabell2[[#This Row],[NIBR11-T]])/K$438))</f>
        <v>60</v>
      </c>
      <c r="U325" s="44">
        <f>(L$435-Tabell2[[#This Row],[ReisetidOslo-T]])*100/L$438</f>
        <v>39.26743504717404</v>
      </c>
      <c r="V325" s="44">
        <f>100-(M$435-Tabell2[[#This Row],[Beftettotal-T]])*100/M$438</f>
        <v>26.972279522292538</v>
      </c>
      <c r="W325" s="44">
        <f>100-(N$435-Tabell2[[#This Row],[Befvekst10-T]])*100/N$438</f>
        <v>67.303085948860925</v>
      </c>
      <c r="X325" s="44">
        <f>100-(O$435-Tabell2[[#This Row],[Kvinneandel-T]])*100/O$438</f>
        <v>47.958913275835748</v>
      </c>
      <c r="Y325" s="44">
        <f>(P$435-Tabell2[[#This Row],[Eldreandel-T]])*100/P$438</f>
        <v>39.951743186944874</v>
      </c>
      <c r="Z325" s="44">
        <f>100-(Q$435-Tabell2[[#This Row],[Sysselsettingsvekst10-T]])*100/Q$438</f>
        <v>19.740777147105874</v>
      </c>
      <c r="AA325" s="44">
        <f>100-(R$435-Tabell2[[#This Row],[Yrkesaktivandel-T]])*100/R$438</f>
        <v>35.089823217577077</v>
      </c>
      <c r="AB325" s="44">
        <f>100-(S$435-Tabell2[[#This Row],[Inntekt-T]])*100/S$438</f>
        <v>1.1691136487221314</v>
      </c>
      <c r="AC325" s="44">
        <f>Tabell2[[#This Row],[NIBR11-I]]*Vekter!$B$3</f>
        <v>12</v>
      </c>
      <c r="AD325" s="44">
        <f>Tabell2[[#This Row],[ReisetidOslo-I]]*Vekter!$C$3</f>
        <v>3.926743504717404</v>
      </c>
      <c r="AE325" s="44">
        <f>Tabell2[[#This Row],[Beftettotal-I]]*Vekter!$E$4</f>
        <v>2.6972279522292539</v>
      </c>
      <c r="AF325" s="44">
        <f>Tabell2[[#This Row],[Befvekst10-I]]*Vekter!$F$3</f>
        <v>13.460617189772186</v>
      </c>
      <c r="AG325" s="44">
        <f>Tabell2[[#This Row],[Kvinneandel-I]]*Vekter!$G$3</f>
        <v>2.3979456637917873</v>
      </c>
      <c r="AH325" s="44">
        <f>Tabell2[[#This Row],[Eldreandel-I]]*Vekter!$H$3</f>
        <v>1.9975871593472438</v>
      </c>
      <c r="AI325" s="44">
        <f>Tabell2[[#This Row],[Sysselsettingsvekst10-I]]*Vekter!$I$3</f>
        <v>1.9740777147105875</v>
      </c>
      <c r="AJ325" s="44">
        <f>Tabell2[[#This Row],[Yrkesaktivandel-I]]*Vekter!$K$3</f>
        <v>3.5089823217577081</v>
      </c>
      <c r="AK325" s="44">
        <f>Tabell2[[#This Row],[Inntekt-I]]*Vekter!$M$3</f>
        <v>0.11691136487221315</v>
      </c>
      <c r="AL32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42.080092871198381</v>
      </c>
    </row>
    <row r="326" spans="1:38" s="38" customFormat="1" ht="12.75">
      <c r="A326" s="42" t="s">
        <v>324</v>
      </c>
      <c r="B326" s="38">
        <f>'Rådata-K'!Q326</f>
        <v>2</v>
      </c>
      <c r="C326" s="44">
        <f>'Rådata-K'!P326</f>
        <v>238.41247688819999</v>
      </c>
      <c r="D326" s="41">
        <f>'Rådata-K'!R326</f>
        <v>8.1983217498430996</v>
      </c>
      <c r="E326" s="41">
        <f>'Rådata-K'!S326</f>
        <v>-1.4156285390714007E-3</v>
      </c>
      <c r="F326" s="41">
        <f>'Rådata-K'!T326</f>
        <v>0.11284377658066345</v>
      </c>
      <c r="G326" s="41">
        <f>'Rådata-K'!U326</f>
        <v>0.16246101502693508</v>
      </c>
      <c r="H326" s="41">
        <f>'Rådata-K'!V326</f>
        <v>-6.13810741687979E-2</v>
      </c>
      <c r="I326" s="41">
        <f>'Rådata-K'!W326</f>
        <v>0.89340885684860971</v>
      </c>
      <c r="J326" s="41">
        <f>'Rådata-K'!O326</f>
        <v>299200</v>
      </c>
      <c r="K326" s="41">
        <f>Tabell2[[#This Row],[NIBR11]]</f>
        <v>2</v>
      </c>
      <c r="L326" s="41">
        <f>IF(Tabell2[[#This Row],[ReisetidOslo]]&lt;=C$433,C$433,IF(Tabell2[[#This Row],[ReisetidOslo]]&gt;=C$434,C$434,Tabell2[[#This Row],[ReisetidOslo]]))</f>
        <v>238.41247688819999</v>
      </c>
      <c r="M326" s="41">
        <f>IF(Tabell2[[#This Row],[Beftettotal]]&lt;=D$433,D$433,IF(Tabell2[[#This Row],[Beftettotal]]&gt;=D$434,D$434,Tabell2[[#This Row],[Beftettotal]]))</f>
        <v>8.1983217498430996</v>
      </c>
      <c r="N326" s="41">
        <f>IF(Tabell2[[#This Row],[Befvekst10]]&lt;=E$433,E$433,IF(Tabell2[[#This Row],[Befvekst10]]&gt;=E$434,E$434,Tabell2[[#This Row],[Befvekst10]]))</f>
        <v>-1.4156285390714007E-3</v>
      </c>
      <c r="O326" s="41">
        <f>IF(Tabell2[[#This Row],[Kvinneandel]]&lt;=F$433,F$433,IF(Tabell2[[#This Row],[Kvinneandel]]&gt;=F$434,F$434,Tabell2[[#This Row],[Kvinneandel]]))</f>
        <v>0.11284377658066345</v>
      </c>
      <c r="P326" s="41">
        <f>IF(Tabell2[[#This Row],[Eldreandel]]&lt;=G$433,G$433,IF(Tabell2[[#This Row],[Eldreandel]]&gt;=G$434,G$434,Tabell2[[#This Row],[Eldreandel]]))</f>
        <v>0.16246101502693508</v>
      </c>
      <c r="Q326" s="41">
        <f>IF(Tabell2[[#This Row],[Sysselsettingsvekst10]]&lt;=H$433,H$433,IF(Tabell2[[#This Row],[Sysselsettingsvekst10]]&gt;=H$434,H$434,Tabell2[[#This Row],[Sysselsettingsvekst10]]))</f>
        <v>-6.13810741687979E-2</v>
      </c>
      <c r="R326" s="41">
        <f>IF(Tabell2[[#This Row],[Yrkesaktivandel]]&lt;=I$433,I$433,IF(Tabell2[[#This Row],[Yrkesaktivandel]]&gt;=I$434,I$434,Tabell2[[#This Row],[Yrkesaktivandel]]))</f>
        <v>0.89340885684860971</v>
      </c>
      <c r="S326" s="41">
        <f>IF(Tabell2[[#This Row],[Inntekt]]&lt;=J$433,J$433,IF(Tabell2[[#This Row],[Inntekt]]&gt;=J$434,J$434,Tabell2[[#This Row],[Inntekt]]))</f>
        <v>299200</v>
      </c>
      <c r="T326" s="44">
        <f>IF(Tabell2[[#This Row],[NIBR11-T]]&lt;=K$436,100,IF(Tabell2[[#This Row],[NIBR11-T]]&gt;=K$435,0,100*(K$435-Tabell2[[#This Row],[NIBR11-T]])/K$438))</f>
        <v>90</v>
      </c>
      <c r="U326" s="44">
        <f>(L$435-Tabell2[[#This Row],[ReisetidOslo-T]])*100/L$438</f>
        <v>18.043527696871379</v>
      </c>
      <c r="V326" s="44">
        <f>100-(M$435-Tabell2[[#This Row],[Beftettotal-T]])*100/M$438</f>
        <v>5.6258793683850286</v>
      </c>
      <c r="W326" s="44">
        <f>100-(N$435-Tabell2[[#This Row],[Befvekst10-T]])*100/N$438</f>
        <v>37.444342144538567</v>
      </c>
      <c r="X326" s="44">
        <f>100-(O$435-Tabell2[[#This Row],[Kvinneandel-T]])*100/O$438</f>
        <v>57.810389758499284</v>
      </c>
      <c r="Y326" s="44">
        <f>(P$435-Tabell2[[#This Row],[Eldreandel-T]])*100/P$438</f>
        <v>42.954624982912065</v>
      </c>
      <c r="Z326" s="44">
        <f>100-(Q$435-Tabell2[[#This Row],[Sysselsettingsvekst10-T]])*100/Q$438</f>
        <v>9.0521182703094638</v>
      </c>
      <c r="AA326" s="44">
        <f>100-(R$435-Tabell2[[#This Row],[Yrkesaktivandel-T]])*100/R$438</f>
        <v>50.018835433951224</v>
      </c>
      <c r="AB326" s="44">
        <f>100-(S$435-Tabell2[[#This Row],[Inntekt-T]])*100/S$438</f>
        <v>9.5976073953235499</v>
      </c>
      <c r="AC326" s="44">
        <f>Tabell2[[#This Row],[NIBR11-I]]*Vekter!$B$3</f>
        <v>18</v>
      </c>
      <c r="AD326" s="44">
        <f>Tabell2[[#This Row],[ReisetidOslo-I]]*Vekter!$C$3</f>
        <v>1.804352769687138</v>
      </c>
      <c r="AE326" s="44">
        <f>Tabell2[[#This Row],[Beftettotal-I]]*Vekter!$E$4</f>
        <v>0.56258793683850283</v>
      </c>
      <c r="AF326" s="44">
        <f>Tabell2[[#This Row],[Befvekst10-I]]*Vekter!$F$3</f>
        <v>7.4888684289077139</v>
      </c>
      <c r="AG326" s="44">
        <f>Tabell2[[#This Row],[Kvinneandel-I]]*Vekter!$G$3</f>
        <v>2.8905194879249643</v>
      </c>
      <c r="AH326" s="44">
        <f>Tabell2[[#This Row],[Eldreandel-I]]*Vekter!$H$3</f>
        <v>2.1477312491456035</v>
      </c>
      <c r="AI326" s="44">
        <f>Tabell2[[#This Row],[Sysselsettingsvekst10-I]]*Vekter!$I$3</f>
        <v>0.90521182703094638</v>
      </c>
      <c r="AJ326" s="44">
        <f>Tabell2[[#This Row],[Yrkesaktivandel-I]]*Vekter!$K$3</f>
        <v>5.001883543395123</v>
      </c>
      <c r="AK326" s="44">
        <f>Tabell2[[#This Row],[Inntekt-I]]*Vekter!$M$3</f>
        <v>0.95976073953235508</v>
      </c>
      <c r="AL32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39.76091598246235</v>
      </c>
    </row>
    <row r="327" spans="1:38" s="38" customFormat="1" ht="12.75">
      <c r="A327" s="42" t="s">
        <v>325</v>
      </c>
      <c r="B327" s="38">
        <f>'Rådata-K'!Q327</f>
        <v>5</v>
      </c>
      <c r="C327" s="44">
        <f>'Rådata-K'!P327</f>
        <v>194.6274715525</v>
      </c>
      <c r="D327" s="41">
        <f>'Rådata-K'!R327</f>
        <v>29.314618578422259</v>
      </c>
      <c r="E327" s="41">
        <f>'Rådata-K'!S327</f>
        <v>7.6826769861142674E-2</v>
      </c>
      <c r="F327" s="41">
        <f>'Rådata-K'!T327</f>
        <v>0.1204418137617588</v>
      </c>
      <c r="G327" s="41">
        <f>'Rådata-K'!U327</f>
        <v>0.13597928337385054</v>
      </c>
      <c r="H327" s="41">
        <f>'Rådata-K'!V327</f>
        <v>0.14487069493810512</v>
      </c>
      <c r="I327" s="41">
        <f>'Rådata-K'!W327</f>
        <v>0.8807465980139757</v>
      </c>
      <c r="J327" s="41">
        <f>'Rådata-K'!O327</f>
        <v>323100</v>
      </c>
      <c r="K327" s="41">
        <f>Tabell2[[#This Row],[NIBR11]]</f>
        <v>5</v>
      </c>
      <c r="L327" s="41">
        <f>IF(Tabell2[[#This Row],[ReisetidOslo]]&lt;=C$433,C$433,IF(Tabell2[[#This Row],[ReisetidOslo]]&gt;=C$434,C$434,Tabell2[[#This Row],[ReisetidOslo]]))</f>
        <v>194.6274715525</v>
      </c>
      <c r="M327" s="41">
        <f>IF(Tabell2[[#This Row],[Beftettotal]]&lt;=D$433,D$433,IF(Tabell2[[#This Row],[Beftettotal]]&gt;=D$434,D$434,Tabell2[[#This Row],[Beftettotal]]))</f>
        <v>29.314618578422259</v>
      </c>
      <c r="N327" s="41">
        <f>IF(Tabell2[[#This Row],[Befvekst10]]&lt;=E$433,E$433,IF(Tabell2[[#This Row],[Befvekst10]]&gt;=E$434,E$434,Tabell2[[#This Row],[Befvekst10]]))</f>
        <v>7.6826769861142674E-2</v>
      </c>
      <c r="O327" s="41">
        <f>IF(Tabell2[[#This Row],[Kvinneandel]]&lt;=F$433,F$433,IF(Tabell2[[#This Row],[Kvinneandel]]&gt;=F$434,F$434,Tabell2[[#This Row],[Kvinneandel]]))</f>
        <v>0.1204418137617588</v>
      </c>
      <c r="P327" s="41">
        <f>IF(Tabell2[[#This Row],[Eldreandel]]&lt;=G$433,G$433,IF(Tabell2[[#This Row],[Eldreandel]]&gt;=G$434,G$434,Tabell2[[#This Row],[Eldreandel]]))</f>
        <v>0.13597928337385054</v>
      </c>
      <c r="Q327" s="41">
        <f>IF(Tabell2[[#This Row],[Sysselsettingsvekst10]]&lt;=H$433,H$433,IF(Tabell2[[#This Row],[Sysselsettingsvekst10]]&gt;=H$434,H$434,Tabell2[[#This Row],[Sysselsettingsvekst10]]))</f>
        <v>0.14487069493810512</v>
      </c>
      <c r="R327" s="41">
        <f>IF(Tabell2[[#This Row],[Yrkesaktivandel]]&lt;=I$433,I$433,IF(Tabell2[[#This Row],[Yrkesaktivandel]]&gt;=I$434,I$434,Tabell2[[#This Row],[Yrkesaktivandel]]))</f>
        <v>0.8807465980139757</v>
      </c>
      <c r="S327" s="41">
        <f>IF(Tabell2[[#This Row],[Inntekt]]&lt;=J$433,J$433,IF(Tabell2[[#This Row],[Inntekt]]&gt;=J$434,J$434,Tabell2[[#This Row],[Inntekt]]))</f>
        <v>323100</v>
      </c>
      <c r="T327" s="44">
        <f>IF(Tabell2[[#This Row],[NIBR11-T]]&lt;=K$436,100,IF(Tabell2[[#This Row],[NIBR11-T]]&gt;=K$435,0,100*(K$435-Tabell2[[#This Row],[NIBR11-T]])/K$438))</f>
        <v>60</v>
      </c>
      <c r="U327" s="44">
        <f>(L$435-Tabell2[[#This Row],[ReisetidOslo-T]])*100/L$438</f>
        <v>37.481906729848966</v>
      </c>
      <c r="V327" s="44">
        <f>100-(M$435-Tabell2[[#This Row],[Beftettotal-T]])*100/M$438</f>
        <v>22.899154029825937</v>
      </c>
      <c r="W327" s="44">
        <f>100-(N$435-Tabell2[[#This Row],[Befvekst10-T]])*100/N$438</f>
        <v>69.814386408366602</v>
      </c>
      <c r="X327" s="44">
        <f>100-(O$435-Tabell2[[#This Row],[Kvinneandel-T]])*100/O$438</f>
        <v>78.60212307602643</v>
      </c>
      <c r="Y327" s="44">
        <f>(P$435-Tabell2[[#This Row],[Eldreandel-T]])*100/P$438</f>
        <v>74.134100682474113</v>
      </c>
      <c r="Z327" s="44">
        <f>100-(Q$435-Tabell2[[#This Row],[Sysselsettingsvekst10-T]])*100/Q$438</f>
        <v>69.693661002176782</v>
      </c>
      <c r="AA327" s="44">
        <f>100-(R$435-Tabell2[[#This Row],[Yrkesaktivandel-T]])*100/R$438</f>
        <v>40.562893402032955</v>
      </c>
      <c r="AB327" s="44">
        <f>100-(S$435-Tabell2[[#This Row],[Inntekt-T]])*100/S$438</f>
        <v>42.088091353996738</v>
      </c>
      <c r="AC327" s="44">
        <f>Tabell2[[#This Row],[NIBR11-I]]*Vekter!$B$3</f>
        <v>12</v>
      </c>
      <c r="AD327" s="44">
        <f>Tabell2[[#This Row],[ReisetidOslo-I]]*Vekter!$C$3</f>
        <v>3.7481906729848968</v>
      </c>
      <c r="AE327" s="44">
        <f>Tabell2[[#This Row],[Beftettotal-I]]*Vekter!$E$4</f>
        <v>2.2899154029825937</v>
      </c>
      <c r="AF327" s="44">
        <f>Tabell2[[#This Row],[Befvekst10-I]]*Vekter!$F$3</f>
        <v>13.962877281673322</v>
      </c>
      <c r="AG327" s="44">
        <f>Tabell2[[#This Row],[Kvinneandel-I]]*Vekter!$G$3</f>
        <v>3.9301061538013218</v>
      </c>
      <c r="AH327" s="44">
        <f>Tabell2[[#This Row],[Eldreandel-I]]*Vekter!$H$3</f>
        <v>3.706705034123706</v>
      </c>
      <c r="AI327" s="44">
        <f>Tabell2[[#This Row],[Sysselsettingsvekst10-I]]*Vekter!$I$3</f>
        <v>6.9693661002176786</v>
      </c>
      <c r="AJ327" s="44">
        <f>Tabell2[[#This Row],[Yrkesaktivandel-I]]*Vekter!$K$3</f>
        <v>4.0562893402032953</v>
      </c>
      <c r="AK327" s="44">
        <f>Tabell2[[#This Row],[Inntekt-I]]*Vekter!$M$3</f>
        <v>4.2088091353996742</v>
      </c>
      <c r="AL32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54.872259121386485</v>
      </c>
    </row>
    <row r="328" spans="1:38" s="38" customFormat="1" ht="12.75">
      <c r="A328" s="42" t="s">
        <v>326</v>
      </c>
      <c r="B328" s="38">
        <f>'Rådata-K'!Q328</f>
        <v>5</v>
      </c>
      <c r="C328" s="44">
        <f>'Rådata-K'!P328</f>
        <v>203.48505490790001</v>
      </c>
      <c r="D328" s="41">
        <f>'Rådata-K'!R328</f>
        <v>9.2955489652587975</v>
      </c>
      <c r="E328" s="41">
        <f>'Rådata-K'!S328</f>
        <v>5.2835711672155172E-2</v>
      </c>
      <c r="F328" s="41">
        <f>'Rådata-K'!T328</f>
        <v>0.11663307152290261</v>
      </c>
      <c r="G328" s="41">
        <f>'Rådata-K'!U328</f>
        <v>0.13477444915548759</v>
      </c>
      <c r="H328" s="41">
        <f>'Rådata-K'!V328</f>
        <v>0.14453604630766526</v>
      </c>
      <c r="I328" s="41">
        <f>'Rådata-K'!W328</f>
        <v>0.85499878963931253</v>
      </c>
      <c r="J328" s="41">
        <f>'Rådata-K'!O328</f>
        <v>305700</v>
      </c>
      <c r="K328" s="41">
        <f>Tabell2[[#This Row],[NIBR11]]</f>
        <v>5</v>
      </c>
      <c r="L328" s="41">
        <f>IF(Tabell2[[#This Row],[ReisetidOslo]]&lt;=C$433,C$433,IF(Tabell2[[#This Row],[ReisetidOslo]]&gt;=C$434,C$434,Tabell2[[#This Row],[ReisetidOslo]]))</f>
        <v>203.48505490790001</v>
      </c>
      <c r="M328" s="41">
        <f>IF(Tabell2[[#This Row],[Beftettotal]]&lt;=D$433,D$433,IF(Tabell2[[#This Row],[Beftettotal]]&gt;=D$434,D$434,Tabell2[[#This Row],[Beftettotal]]))</f>
        <v>9.2955489652587975</v>
      </c>
      <c r="N328" s="41">
        <f>IF(Tabell2[[#This Row],[Befvekst10]]&lt;=E$433,E$433,IF(Tabell2[[#This Row],[Befvekst10]]&gt;=E$434,E$434,Tabell2[[#This Row],[Befvekst10]]))</f>
        <v>5.2835711672155172E-2</v>
      </c>
      <c r="O328" s="41">
        <f>IF(Tabell2[[#This Row],[Kvinneandel]]&lt;=F$433,F$433,IF(Tabell2[[#This Row],[Kvinneandel]]&gt;=F$434,F$434,Tabell2[[#This Row],[Kvinneandel]]))</f>
        <v>0.11663307152290261</v>
      </c>
      <c r="P328" s="41">
        <f>IF(Tabell2[[#This Row],[Eldreandel]]&lt;=G$433,G$433,IF(Tabell2[[#This Row],[Eldreandel]]&gt;=G$434,G$434,Tabell2[[#This Row],[Eldreandel]]))</f>
        <v>0.13477444915548759</v>
      </c>
      <c r="Q328" s="41">
        <f>IF(Tabell2[[#This Row],[Sysselsettingsvekst10]]&lt;=H$433,H$433,IF(Tabell2[[#This Row],[Sysselsettingsvekst10]]&gt;=H$434,H$434,Tabell2[[#This Row],[Sysselsettingsvekst10]]))</f>
        <v>0.14453604630766526</v>
      </c>
      <c r="R328" s="41">
        <f>IF(Tabell2[[#This Row],[Yrkesaktivandel]]&lt;=I$433,I$433,IF(Tabell2[[#This Row],[Yrkesaktivandel]]&gt;=I$434,I$434,Tabell2[[#This Row],[Yrkesaktivandel]]))</f>
        <v>0.85499878963931253</v>
      </c>
      <c r="S328" s="41">
        <f>IF(Tabell2[[#This Row],[Inntekt]]&lt;=J$433,J$433,IF(Tabell2[[#This Row],[Inntekt]]&gt;=J$434,J$434,Tabell2[[#This Row],[Inntekt]]))</f>
        <v>305700</v>
      </c>
      <c r="T328" s="44">
        <f>IF(Tabell2[[#This Row],[NIBR11-T]]&lt;=K$436,100,IF(Tabell2[[#This Row],[NIBR11-T]]&gt;=K$435,0,100*(K$435-Tabell2[[#This Row],[NIBR11-T]])/K$438))</f>
        <v>60</v>
      </c>
      <c r="U328" s="44">
        <f>(L$435-Tabell2[[#This Row],[ReisetidOslo-T]])*100/L$438</f>
        <v>33.549577356850698</v>
      </c>
      <c r="V328" s="44">
        <f>100-(M$435-Tabell2[[#This Row],[Beftettotal-T]])*100/M$438</f>
        <v>6.5234187055017827</v>
      </c>
      <c r="W328" s="44">
        <f>100-(N$435-Tabell2[[#This Row],[Befvekst10-T]])*100/N$438</f>
        <v>59.888928710338334</v>
      </c>
      <c r="X328" s="44">
        <f>100-(O$435-Tabell2[[#This Row],[Kvinneandel-T]])*100/O$438</f>
        <v>68.179648031743625</v>
      </c>
      <c r="Y328" s="44">
        <f>(P$435-Tabell2[[#This Row],[Eldreandel-T]])*100/P$438</f>
        <v>75.552667252272926</v>
      </c>
      <c r="Z328" s="44">
        <f>100-(Q$435-Tabell2[[#This Row],[Sysselsettingsvekst10-T]])*100/Q$438</f>
        <v>69.595268589297831</v>
      </c>
      <c r="AA328" s="44">
        <f>100-(R$435-Tabell2[[#This Row],[Yrkesaktivandel-T]])*100/R$438</f>
        <v>21.334903623952258</v>
      </c>
      <c r="AB328" s="44">
        <f>100-(S$435-Tabell2[[#This Row],[Inntekt-T]])*100/S$438</f>
        <v>18.433931484502452</v>
      </c>
      <c r="AC328" s="44">
        <f>Tabell2[[#This Row],[NIBR11-I]]*Vekter!$B$3</f>
        <v>12</v>
      </c>
      <c r="AD328" s="44">
        <f>Tabell2[[#This Row],[ReisetidOslo-I]]*Vekter!$C$3</f>
        <v>3.3549577356850699</v>
      </c>
      <c r="AE328" s="44">
        <f>Tabell2[[#This Row],[Beftettotal-I]]*Vekter!$E$4</f>
        <v>0.65234187055017834</v>
      </c>
      <c r="AF328" s="44">
        <f>Tabell2[[#This Row],[Befvekst10-I]]*Vekter!$F$3</f>
        <v>11.977785742067667</v>
      </c>
      <c r="AG328" s="44">
        <f>Tabell2[[#This Row],[Kvinneandel-I]]*Vekter!$G$3</f>
        <v>3.4089824015871812</v>
      </c>
      <c r="AH328" s="44">
        <f>Tabell2[[#This Row],[Eldreandel-I]]*Vekter!$H$3</f>
        <v>3.7776333626136465</v>
      </c>
      <c r="AI328" s="44">
        <f>Tabell2[[#This Row],[Sysselsettingsvekst10-I]]*Vekter!$I$3</f>
        <v>6.9595268589297836</v>
      </c>
      <c r="AJ328" s="44">
        <f>Tabell2[[#This Row],[Yrkesaktivandel-I]]*Vekter!$K$3</f>
        <v>2.1334903623952259</v>
      </c>
      <c r="AK328" s="44">
        <f>Tabell2[[#This Row],[Inntekt-I]]*Vekter!$M$3</f>
        <v>1.8433931484502453</v>
      </c>
      <c r="AL32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46.108111482279</v>
      </c>
    </row>
    <row r="329" spans="1:38" s="38" customFormat="1" ht="12.75">
      <c r="A329" s="42" t="s">
        <v>327</v>
      </c>
      <c r="B329" s="38">
        <f>'Rådata-K'!Q329</f>
        <v>6</v>
      </c>
      <c r="C329" s="44">
        <f>'Rådata-K'!P329</f>
        <v>253.16932119419999</v>
      </c>
      <c r="D329" s="41">
        <f>'Rådata-K'!R329</f>
        <v>4.4966420639670197</v>
      </c>
      <c r="E329" s="41">
        <f>'Rådata-K'!S329</f>
        <v>1.5771686068343893E-2</v>
      </c>
      <c r="F329" s="41">
        <f>'Rådata-K'!T329</f>
        <v>8.5397412199630318E-2</v>
      </c>
      <c r="G329" s="41">
        <f>'Rådata-K'!U329</f>
        <v>0.19001848428835491</v>
      </c>
      <c r="H329" s="41">
        <f>'Rådata-K'!V329</f>
        <v>0.23250564334085788</v>
      </c>
      <c r="I329" s="41">
        <f>'Rådata-K'!W329</f>
        <v>0.76537729866835769</v>
      </c>
      <c r="J329" s="41">
        <f>'Rådata-K'!O329</f>
        <v>274700</v>
      </c>
      <c r="K329" s="41">
        <f>Tabell2[[#This Row],[NIBR11]]</f>
        <v>6</v>
      </c>
      <c r="L329" s="41">
        <f>IF(Tabell2[[#This Row],[ReisetidOslo]]&lt;=C$433,C$433,IF(Tabell2[[#This Row],[ReisetidOslo]]&gt;=C$434,C$434,Tabell2[[#This Row],[ReisetidOslo]]))</f>
        <v>253.16932119419999</v>
      </c>
      <c r="M329" s="41">
        <f>IF(Tabell2[[#This Row],[Beftettotal]]&lt;=D$433,D$433,IF(Tabell2[[#This Row],[Beftettotal]]&gt;=D$434,D$434,Tabell2[[#This Row],[Beftettotal]]))</f>
        <v>4.4966420639670197</v>
      </c>
      <c r="N329" s="41">
        <f>IF(Tabell2[[#This Row],[Befvekst10]]&lt;=E$433,E$433,IF(Tabell2[[#This Row],[Befvekst10]]&gt;=E$434,E$434,Tabell2[[#This Row],[Befvekst10]]))</f>
        <v>1.5771686068343893E-2</v>
      </c>
      <c r="O329" s="41">
        <f>IF(Tabell2[[#This Row],[Kvinneandel]]&lt;=F$433,F$433,IF(Tabell2[[#This Row],[Kvinneandel]]&gt;=F$434,F$434,Tabell2[[#This Row],[Kvinneandel]]))</f>
        <v>9.1717808671657367E-2</v>
      </c>
      <c r="P329" s="41">
        <f>IF(Tabell2[[#This Row],[Eldreandel]]&lt;=G$433,G$433,IF(Tabell2[[#This Row],[Eldreandel]]&gt;=G$434,G$434,Tabell2[[#This Row],[Eldreandel]]))</f>
        <v>0.19001848428835491</v>
      </c>
      <c r="Q329" s="41">
        <f>IF(Tabell2[[#This Row],[Sysselsettingsvekst10]]&lt;=H$433,H$433,IF(Tabell2[[#This Row],[Sysselsettingsvekst10]]&gt;=H$434,H$434,Tabell2[[#This Row],[Sysselsettingsvekst10]]))</f>
        <v>0.23250564334085788</v>
      </c>
      <c r="R329" s="41">
        <f>IF(Tabell2[[#This Row],[Yrkesaktivandel]]&lt;=I$433,I$433,IF(Tabell2[[#This Row],[Yrkesaktivandel]]&gt;=I$434,I$434,Tabell2[[#This Row],[Yrkesaktivandel]]))</f>
        <v>0.82642965596795781</v>
      </c>
      <c r="S329" s="41">
        <f>IF(Tabell2[[#This Row],[Inntekt]]&lt;=J$433,J$433,IF(Tabell2[[#This Row],[Inntekt]]&gt;=J$434,J$434,Tabell2[[#This Row],[Inntekt]]))</f>
        <v>292140</v>
      </c>
      <c r="T329" s="44">
        <f>IF(Tabell2[[#This Row],[NIBR11-T]]&lt;=K$436,100,IF(Tabell2[[#This Row],[NIBR11-T]]&gt;=K$435,0,100*(K$435-Tabell2[[#This Row],[NIBR11-T]])/K$438))</f>
        <v>50</v>
      </c>
      <c r="U329" s="44">
        <f>(L$435-Tabell2[[#This Row],[ReisetidOslo-T]])*100/L$438</f>
        <v>11.492217933371512</v>
      </c>
      <c r="V329" s="44">
        <f>100-(M$435-Tabell2[[#This Row],[Beftettotal-T]])*100/M$438</f>
        <v>2.5978801674893361</v>
      </c>
      <c r="W329" s="44">
        <f>100-(N$435-Tabell2[[#This Row],[Befvekst10-T]])*100/N$438</f>
        <v>44.554989900664218</v>
      </c>
      <c r="X329" s="44">
        <f>100-(O$435-Tabell2[[#This Row],[Kvinneandel-T]])*100/O$438</f>
        <v>0</v>
      </c>
      <c r="Y329" s="44">
        <f>(P$435-Tabell2[[#This Row],[Eldreandel-T]])*100/P$438</f>
        <v>10.508580500855434</v>
      </c>
      <c r="Z329" s="44">
        <f>100-(Q$435-Tabell2[[#This Row],[Sysselsettingsvekst10-T]])*100/Q$438</f>
        <v>95.45983256706667</v>
      </c>
      <c r="AA329" s="44">
        <f>100-(R$435-Tabell2[[#This Row],[Yrkesaktivandel-T]])*100/R$438</f>
        <v>0</v>
      </c>
      <c r="AB329" s="44">
        <f>100-(S$435-Tabell2[[#This Row],[Inntekt-T]])*100/S$438</f>
        <v>0</v>
      </c>
      <c r="AC329" s="44">
        <f>Tabell2[[#This Row],[NIBR11-I]]*Vekter!$B$3</f>
        <v>10</v>
      </c>
      <c r="AD329" s="44">
        <f>Tabell2[[#This Row],[ReisetidOslo-I]]*Vekter!$C$3</f>
        <v>1.1492217933371511</v>
      </c>
      <c r="AE329" s="44">
        <f>Tabell2[[#This Row],[Beftettotal-I]]*Vekter!$E$4</f>
        <v>0.25978801674893365</v>
      </c>
      <c r="AF329" s="44">
        <f>Tabell2[[#This Row],[Befvekst10-I]]*Vekter!$F$3</f>
        <v>8.9109979801328443</v>
      </c>
      <c r="AG329" s="44">
        <f>Tabell2[[#This Row],[Kvinneandel-I]]*Vekter!$G$3</f>
        <v>0</v>
      </c>
      <c r="AH329" s="44">
        <f>Tabell2[[#This Row],[Eldreandel-I]]*Vekter!$H$3</f>
        <v>0.52542902504277167</v>
      </c>
      <c r="AI329" s="44">
        <f>Tabell2[[#This Row],[Sysselsettingsvekst10-I]]*Vekter!$I$3</f>
        <v>9.545983256706668</v>
      </c>
      <c r="AJ329" s="44">
        <f>Tabell2[[#This Row],[Yrkesaktivandel-I]]*Vekter!$K$3</f>
        <v>0</v>
      </c>
      <c r="AK329" s="44">
        <f>Tabell2[[#This Row],[Inntekt-I]]*Vekter!$M$3</f>
        <v>0</v>
      </c>
      <c r="AL32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30.391420071968369</v>
      </c>
    </row>
    <row r="330" spans="1:38" s="38" customFormat="1" ht="12.75">
      <c r="A330" s="42" t="s">
        <v>328</v>
      </c>
      <c r="B330" s="38">
        <f>'Rådata-K'!Q330</f>
        <v>6</v>
      </c>
      <c r="C330" s="44">
        <f>'Rådata-K'!P330</f>
        <v>243.65759730939999</v>
      </c>
      <c r="D330" s="41">
        <f>'Rådata-K'!R330</f>
        <v>2.2002000181834713</v>
      </c>
      <c r="E330" s="41">
        <f>'Rådata-K'!S330</f>
        <v>-6.6152149944873173E-2</v>
      </c>
      <c r="F330" s="41">
        <f>'Rådata-K'!T330</f>
        <v>9.3860684769775674E-2</v>
      </c>
      <c r="G330" s="41">
        <f>'Rådata-K'!U330</f>
        <v>0.19008264462809918</v>
      </c>
      <c r="H330" s="41">
        <f>'Rådata-K'!V330</f>
        <v>-0.17096336499321574</v>
      </c>
      <c r="I330" s="41">
        <f>'Rådata-K'!W330</f>
        <v>0.93013100436681218</v>
      </c>
      <c r="J330" s="41">
        <f>'Rådata-K'!O330</f>
        <v>289900</v>
      </c>
      <c r="K330" s="41">
        <f>Tabell2[[#This Row],[NIBR11]]</f>
        <v>6</v>
      </c>
      <c r="L330" s="41">
        <f>IF(Tabell2[[#This Row],[ReisetidOslo]]&lt;=C$433,C$433,IF(Tabell2[[#This Row],[ReisetidOslo]]&gt;=C$434,C$434,Tabell2[[#This Row],[ReisetidOslo]]))</f>
        <v>243.65759730939999</v>
      </c>
      <c r="M330" s="41">
        <f>IF(Tabell2[[#This Row],[Beftettotal]]&lt;=D$433,D$433,IF(Tabell2[[#This Row],[Beftettotal]]&gt;=D$434,D$434,Tabell2[[#This Row],[Beftettotal]]))</f>
        <v>2.2002000181834713</v>
      </c>
      <c r="N330" s="41">
        <f>IF(Tabell2[[#This Row],[Befvekst10]]&lt;=E$433,E$433,IF(Tabell2[[#This Row],[Befvekst10]]&gt;=E$434,E$434,Tabell2[[#This Row],[Befvekst10]]))</f>
        <v>-6.6152149944873173E-2</v>
      </c>
      <c r="O330" s="41">
        <f>IF(Tabell2[[#This Row],[Kvinneandel]]&lt;=F$433,F$433,IF(Tabell2[[#This Row],[Kvinneandel]]&gt;=F$434,F$434,Tabell2[[#This Row],[Kvinneandel]]))</f>
        <v>9.3860684769775674E-2</v>
      </c>
      <c r="P330" s="41">
        <f>IF(Tabell2[[#This Row],[Eldreandel]]&lt;=G$433,G$433,IF(Tabell2[[#This Row],[Eldreandel]]&gt;=G$434,G$434,Tabell2[[#This Row],[Eldreandel]]))</f>
        <v>0.19008264462809918</v>
      </c>
      <c r="Q330" s="41">
        <f>IF(Tabell2[[#This Row],[Sysselsettingsvekst10]]&lt;=H$433,H$433,IF(Tabell2[[#This Row],[Sysselsettingsvekst10]]&gt;=H$434,H$434,Tabell2[[#This Row],[Sysselsettingsvekst10]]))</f>
        <v>-9.2168803558721979E-2</v>
      </c>
      <c r="R330" s="41">
        <f>IF(Tabell2[[#This Row],[Yrkesaktivandel]]&lt;=I$433,I$433,IF(Tabell2[[#This Row],[Yrkesaktivandel]]&gt;=I$434,I$434,Tabell2[[#This Row],[Yrkesaktivandel]]))</f>
        <v>0.93013100436681218</v>
      </c>
      <c r="S330" s="41">
        <f>IF(Tabell2[[#This Row],[Inntekt]]&lt;=J$433,J$433,IF(Tabell2[[#This Row],[Inntekt]]&gt;=J$434,J$434,Tabell2[[#This Row],[Inntekt]]))</f>
        <v>292140</v>
      </c>
      <c r="T330" s="44">
        <f>IF(Tabell2[[#This Row],[NIBR11-T]]&lt;=K$436,100,IF(Tabell2[[#This Row],[NIBR11-T]]&gt;=K$435,0,100*(K$435-Tabell2[[#This Row],[NIBR11-T]])/K$438))</f>
        <v>50</v>
      </c>
      <c r="U330" s="44">
        <f>(L$435-Tabell2[[#This Row],[ReisetidOslo-T]])*100/L$438</f>
        <v>15.714953381550547</v>
      </c>
      <c r="V330" s="44">
        <f>100-(M$435-Tabell2[[#This Row],[Beftettotal-T]])*100/M$438</f>
        <v>0.71937492943006021</v>
      </c>
      <c r="W330" s="44">
        <f>100-(N$435-Tabell2[[#This Row],[Befvekst10-T]])*100/N$438</f>
        <v>10.661880126013301</v>
      </c>
      <c r="X330" s="44">
        <f>100-(O$435-Tabell2[[#This Row],[Kvinneandel-T]])*100/O$438</f>
        <v>5.8638971227245236</v>
      </c>
      <c r="Y330" s="44">
        <f>(P$435-Tabell2[[#This Row],[Eldreandel-T]])*100/P$438</f>
        <v>10.433038395824738</v>
      </c>
      <c r="Z330" s="44">
        <f>100-(Q$435-Tabell2[[#This Row],[Sysselsettingsvekst10-T]])*100/Q$438</f>
        <v>0</v>
      </c>
      <c r="AA330" s="44">
        <f>100-(R$435-Tabell2[[#This Row],[Yrkesaktivandel-T]])*100/R$438</f>
        <v>77.442259860396433</v>
      </c>
      <c r="AB330" s="44">
        <f>100-(S$435-Tabell2[[#This Row],[Inntekt-T]])*100/S$438</f>
        <v>0</v>
      </c>
      <c r="AC330" s="44">
        <f>Tabell2[[#This Row],[NIBR11-I]]*Vekter!$B$3</f>
        <v>10</v>
      </c>
      <c r="AD330" s="44">
        <f>Tabell2[[#This Row],[ReisetidOslo-I]]*Vekter!$C$3</f>
        <v>1.5714953381550547</v>
      </c>
      <c r="AE330" s="44">
        <f>Tabell2[[#This Row],[Beftettotal-I]]*Vekter!$E$4</f>
        <v>7.1937492943006026E-2</v>
      </c>
      <c r="AF330" s="44">
        <f>Tabell2[[#This Row],[Befvekst10-I]]*Vekter!$F$3</f>
        <v>2.1323760252026602</v>
      </c>
      <c r="AG330" s="44">
        <f>Tabell2[[#This Row],[Kvinneandel-I]]*Vekter!$G$3</f>
        <v>0.2931948561362262</v>
      </c>
      <c r="AH330" s="44">
        <f>Tabell2[[#This Row],[Eldreandel-I]]*Vekter!$H$3</f>
        <v>0.52165191979123693</v>
      </c>
      <c r="AI330" s="44">
        <f>Tabell2[[#This Row],[Sysselsettingsvekst10-I]]*Vekter!$I$3</f>
        <v>0</v>
      </c>
      <c r="AJ330" s="44">
        <f>Tabell2[[#This Row],[Yrkesaktivandel-I]]*Vekter!$K$3</f>
        <v>7.7442259860396438</v>
      </c>
      <c r="AK330" s="44">
        <f>Tabell2[[#This Row],[Inntekt-I]]*Vekter!$M$3</f>
        <v>0</v>
      </c>
      <c r="AL33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22.334881618267829</v>
      </c>
    </row>
    <row r="331" spans="1:38" s="38" customFormat="1" ht="12.75">
      <c r="A331" s="42" t="s">
        <v>329</v>
      </c>
      <c r="B331" s="38">
        <f>'Rådata-K'!Q331</f>
        <v>6</v>
      </c>
      <c r="C331" s="44">
        <f>'Rådata-K'!P331</f>
        <v>268.61344268339997</v>
      </c>
      <c r="D331" s="41">
        <f>'Rådata-K'!R331</f>
        <v>0.92373626561259414</v>
      </c>
      <c r="E331" s="41">
        <f>'Rådata-K'!S331</f>
        <v>-7.3233404710920769E-2</v>
      </c>
      <c r="F331" s="41">
        <f>'Rådata-K'!T331</f>
        <v>9.519408502772643E-2</v>
      </c>
      <c r="G331" s="41">
        <f>'Rådata-K'!U331</f>
        <v>0.19269870609981515</v>
      </c>
      <c r="H331" s="41">
        <f>'Rådata-K'!V331</f>
        <v>4.4395116537181423E-3</v>
      </c>
      <c r="I331" s="41">
        <f>'Rådata-K'!W331</f>
        <v>0.96137339055793991</v>
      </c>
      <c r="J331" s="41">
        <f>'Rådata-K'!O331</f>
        <v>292500</v>
      </c>
      <c r="K331" s="41">
        <f>Tabell2[[#This Row],[NIBR11]]</f>
        <v>6</v>
      </c>
      <c r="L331" s="41">
        <f>IF(Tabell2[[#This Row],[ReisetidOslo]]&lt;=C$433,C$433,IF(Tabell2[[#This Row],[ReisetidOslo]]&gt;=C$434,C$434,Tabell2[[#This Row],[ReisetidOslo]]))</f>
        <v>268.61344268339997</v>
      </c>
      <c r="M331" s="41">
        <f>IF(Tabell2[[#This Row],[Beftettotal]]&lt;=D$433,D$433,IF(Tabell2[[#This Row],[Beftettotal]]&gt;=D$434,D$434,Tabell2[[#This Row],[Beftettotal]]))</f>
        <v>1.3207758882127238</v>
      </c>
      <c r="N331" s="41">
        <f>IF(Tabell2[[#This Row],[Befvekst10]]&lt;=E$433,E$433,IF(Tabell2[[#This Row],[Befvekst10]]&gt;=E$434,E$434,Tabell2[[#This Row],[Befvekst10]]))</f>
        <v>-7.3233404710920769E-2</v>
      </c>
      <c r="O331" s="41">
        <f>IF(Tabell2[[#This Row],[Kvinneandel]]&lt;=F$433,F$433,IF(Tabell2[[#This Row],[Kvinneandel]]&gt;=F$434,F$434,Tabell2[[#This Row],[Kvinneandel]]))</f>
        <v>9.519408502772643E-2</v>
      </c>
      <c r="P331" s="41">
        <f>IF(Tabell2[[#This Row],[Eldreandel]]&lt;=G$433,G$433,IF(Tabell2[[#This Row],[Eldreandel]]&gt;=G$434,G$434,Tabell2[[#This Row],[Eldreandel]]))</f>
        <v>0.19269870609981515</v>
      </c>
      <c r="Q331" s="41">
        <f>IF(Tabell2[[#This Row],[Sysselsettingsvekst10]]&lt;=H$433,H$433,IF(Tabell2[[#This Row],[Sysselsettingsvekst10]]&gt;=H$434,H$434,Tabell2[[#This Row],[Sysselsettingsvekst10]]))</f>
        <v>4.4395116537181423E-3</v>
      </c>
      <c r="R331" s="41">
        <f>IF(Tabell2[[#This Row],[Yrkesaktivandel]]&lt;=I$433,I$433,IF(Tabell2[[#This Row],[Yrkesaktivandel]]&gt;=I$434,I$434,Tabell2[[#This Row],[Yrkesaktivandel]]))</f>
        <v>0.96033761343949164</v>
      </c>
      <c r="S331" s="41">
        <f>IF(Tabell2[[#This Row],[Inntekt]]&lt;=J$433,J$433,IF(Tabell2[[#This Row],[Inntekt]]&gt;=J$434,J$434,Tabell2[[#This Row],[Inntekt]]))</f>
        <v>292500</v>
      </c>
      <c r="T331" s="44">
        <f>IF(Tabell2[[#This Row],[NIBR11-T]]&lt;=K$436,100,IF(Tabell2[[#This Row],[NIBR11-T]]&gt;=K$435,0,100*(K$435-Tabell2[[#This Row],[NIBR11-T]])/K$438))</f>
        <v>50</v>
      </c>
      <c r="U331" s="44">
        <f>(L$435-Tabell2[[#This Row],[ReisetidOslo-T]])*100/L$438</f>
        <v>4.6357910576244192</v>
      </c>
      <c r="V331" s="44">
        <f>100-(M$435-Tabell2[[#This Row],[Beftettotal-T]])*100/M$438</f>
        <v>0</v>
      </c>
      <c r="W331" s="44">
        <f>100-(N$435-Tabell2[[#This Row],[Befvekst10-T]])*100/N$438</f>
        <v>7.7322596784405278</v>
      </c>
      <c r="X331" s="44">
        <f>100-(O$435-Tabell2[[#This Row],[Kvinneandel-T]])*100/O$438</f>
        <v>9.5126950830468644</v>
      </c>
      <c r="Y331" s="44">
        <f>(P$435-Tabell2[[#This Row],[Eldreandel-T]])*100/P$438</f>
        <v>7.3528989942751419</v>
      </c>
      <c r="Z331" s="44">
        <f>100-(Q$435-Tabell2[[#This Row],[Sysselsettingsvekst10-T]])*100/Q$438</f>
        <v>28.40449466483058</v>
      </c>
      <c r="AA331" s="44">
        <f>100-(R$435-Tabell2[[#This Row],[Yrkesaktivandel-T]])*100/R$438</f>
        <v>100</v>
      </c>
      <c r="AB331" s="44">
        <f>100-(S$435-Tabell2[[#This Row],[Inntekt-T]])*100/S$438</f>
        <v>0.48939641109298293</v>
      </c>
      <c r="AC331" s="44">
        <f>Tabell2[[#This Row],[NIBR11-I]]*Vekter!$B$3</f>
        <v>10</v>
      </c>
      <c r="AD331" s="44">
        <f>Tabell2[[#This Row],[ReisetidOslo-I]]*Vekter!$C$3</f>
        <v>0.46357910576244193</v>
      </c>
      <c r="AE331" s="44">
        <f>Tabell2[[#This Row],[Beftettotal-I]]*Vekter!$E$4</f>
        <v>0</v>
      </c>
      <c r="AF331" s="44">
        <f>Tabell2[[#This Row],[Befvekst10-I]]*Vekter!$F$3</f>
        <v>1.5464519356881057</v>
      </c>
      <c r="AG331" s="44">
        <f>Tabell2[[#This Row],[Kvinneandel-I]]*Vekter!$G$3</f>
        <v>0.47563475415234324</v>
      </c>
      <c r="AH331" s="44">
        <f>Tabell2[[#This Row],[Eldreandel-I]]*Vekter!$H$3</f>
        <v>0.36764494971375711</v>
      </c>
      <c r="AI331" s="44">
        <f>Tabell2[[#This Row],[Sysselsettingsvekst10-I]]*Vekter!$I$3</f>
        <v>2.840449466483058</v>
      </c>
      <c r="AJ331" s="44">
        <f>Tabell2[[#This Row],[Yrkesaktivandel-I]]*Vekter!$K$3</f>
        <v>10</v>
      </c>
      <c r="AK331" s="44">
        <f>Tabell2[[#This Row],[Inntekt-I]]*Vekter!$M$3</f>
        <v>4.8939641109298299E-2</v>
      </c>
      <c r="AL33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25.742699852909006</v>
      </c>
    </row>
    <row r="332" spans="1:38" s="38" customFormat="1" ht="12.75">
      <c r="A332" s="42" t="s">
        <v>330</v>
      </c>
      <c r="B332" s="38">
        <f>'Rådata-K'!Q332</f>
        <v>11</v>
      </c>
      <c r="C332" s="44">
        <f>'Rådata-K'!P332</f>
        <v>304.97622563970003</v>
      </c>
      <c r="D332" s="41">
        <f>'Rådata-K'!R332</f>
        <v>0.47607632077414735</v>
      </c>
      <c r="E332" s="41">
        <f>'Rådata-K'!S332</f>
        <v>-9.499358151476256E-2</v>
      </c>
      <c r="F332" s="41">
        <f>'Rådata-K'!T332</f>
        <v>9.8581560283687947E-2</v>
      </c>
      <c r="G332" s="41">
        <f>'Rådata-K'!U332</f>
        <v>0.18865248226950354</v>
      </c>
      <c r="H332" s="41">
        <f>'Rådata-K'!V332</f>
        <v>0</v>
      </c>
      <c r="I332" s="41">
        <f>'Rådata-K'!W332</f>
        <v>0.96382428940568476</v>
      </c>
      <c r="J332" s="41">
        <f>'Rådata-K'!O332</f>
        <v>297200</v>
      </c>
      <c r="K332" s="41">
        <f>Tabell2[[#This Row],[NIBR11]]</f>
        <v>11</v>
      </c>
      <c r="L332" s="41">
        <f>IF(Tabell2[[#This Row],[ReisetidOslo]]&lt;=C$433,C$433,IF(Tabell2[[#This Row],[ReisetidOslo]]&gt;=C$434,C$434,Tabell2[[#This Row],[ReisetidOslo]]))</f>
        <v>279.05557553043002</v>
      </c>
      <c r="M332" s="41">
        <f>IF(Tabell2[[#This Row],[Beftettotal]]&lt;=D$433,D$433,IF(Tabell2[[#This Row],[Beftettotal]]&gt;=D$434,D$434,Tabell2[[#This Row],[Beftettotal]]))</f>
        <v>1.3207758882127238</v>
      </c>
      <c r="N332" s="41">
        <f>IF(Tabell2[[#This Row],[Befvekst10]]&lt;=E$433,E$433,IF(Tabell2[[#This Row],[Befvekst10]]&gt;=E$434,E$434,Tabell2[[#This Row],[Befvekst10]]))</f>
        <v>-9.1923232174966049E-2</v>
      </c>
      <c r="O332" s="41">
        <f>IF(Tabell2[[#This Row],[Kvinneandel]]&lt;=F$433,F$433,IF(Tabell2[[#This Row],[Kvinneandel]]&gt;=F$434,F$434,Tabell2[[#This Row],[Kvinneandel]]))</f>
        <v>9.8581560283687947E-2</v>
      </c>
      <c r="P332" s="41">
        <f>IF(Tabell2[[#This Row],[Eldreandel]]&lt;=G$433,G$433,IF(Tabell2[[#This Row],[Eldreandel]]&gt;=G$434,G$434,Tabell2[[#This Row],[Eldreandel]]))</f>
        <v>0.18865248226950354</v>
      </c>
      <c r="Q332" s="41">
        <f>IF(Tabell2[[#This Row],[Sysselsettingsvekst10]]&lt;=H$433,H$433,IF(Tabell2[[#This Row],[Sysselsettingsvekst10]]&gt;=H$434,H$434,Tabell2[[#This Row],[Sysselsettingsvekst10]]))</f>
        <v>0</v>
      </c>
      <c r="R332" s="41">
        <f>IF(Tabell2[[#This Row],[Yrkesaktivandel]]&lt;=I$433,I$433,IF(Tabell2[[#This Row],[Yrkesaktivandel]]&gt;=I$434,I$434,Tabell2[[#This Row],[Yrkesaktivandel]]))</f>
        <v>0.96033761343949164</v>
      </c>
      <c r="S332" s="41">
        <f>IF(Tabell2[[#This Row],[Inntekt]]&lt;=J$433,J$433,IF(Tabell2[[#This Row],[Inntekt]]&gt;=J$434,J$434,Tabell2[[#This Row],[Inntekt]]))</f>
        <v>297200</v>
      </c>
      <c r="T332" s="44">
        <f>IF(Tabell2[[#This Row],[NIBR11-T]]&lt;=K$436,100,IF(Tabell2[[#This Row],[NIBR11-T]]&gt;=K$435,0,100*(K$435-Tabell2[[#This Row],[NIBR11-T]])/K$438))</f>
        <v>0</v>
      </c>
      <c r="U332" s="44">
        <f>(L$435-Tabell2[[#This Row],[ReisetidOslo-T]])*100/L$438</f>
        <v>0</v>
      </c>
      <c r="V332" s="44">
        <f>100-(M$435-Tabell2[[#This Row],[Beftettotal-T]])*100/M$438</f>
        <v>0</v>
      </c>
      <c r="W332" s="44">
        <f>100-(N$435-Tabell2[[#This Row],[Befvekst10-T]])*100/N$438</f>
        <v>0</v>
      </c>
      <c r="X332" s="44">
        <f>100-(O$435-Tabell2[[#This Row],[Kvinneandel-T]])*100/O$438</f>
        <v>18.78238940843319</v>
      </c>
      <c r="Y332" s="44">
        <f>(P$435-Tabell2[[#This Row],[Eldreandel-T]])*100/P$438</f>
        <v>12.116905338153908</v>
      </c>
      <c r="Z332" s="44">
        <f>100-(Q$435-Tabell2[[#This Row],[Sysselsettingsvekst10-T]])*100/Q$438</f>
        <v>27.099202415346724</v>
      </c>
      <c r="AA332" s="44">
        <f>100-(R$435-Tabell2[[#This Row],[Yrkesaktivandel-T]])*100/R$438</f>
        <v>100</v>
      </c>
      <c r="AB332" s="44">
        <f>100-(S$435-Tabell2[[#This Row],[Inntekt-T]])*100/S$438</f>
        <v>6.878738444806956</v>
      </c>
      <c r="AC332" s="44">
        <f>Tabell2[[#This Row],[NIBR11-I]]*Vekter!$B$3</f>
        <v>0</v>
      </c>
      <c r="AD332" s="44">
        <f>Tabell2[[#This Row],[ReisetidOslo-I]]*Vekter!$C$3</f>
        <v>0</v>
      </c>
      <c r="AE332" s="44">
        <f>Tabell2[[#This Row],[Beftettotal-I]]*Vekter!$E$4</f>
        <v>0</v>
      </c>
      <c r="AF332" s="44">
        <f>Tabell2[[#This Row],[Befvekst10-I]]*Vekter!$F$3</f>
        <v>0</v>
      </c>
      <c r="AG332" s="44">
        <f>Tabell2[[#This Row],[Kvinneandel-I]]*Vekter!$G$3</f>
        <v>0.93911947042165955</v>
      </c>
      <c r="AH332" s="44">
        <f>Tabell2[[#This Row],[Eldreandel-I]]*Vekter!$H$3</f>
        <v>0.60584526690769547</v>
      </c>
      <c r="AI332" s="44">
        <f>Tabell2[[#This Row],[Sysselsettingsvekst10-I]]*Vekter!$I$3</f>
        <v>2.7099202415346726</v>
      </c>
      <c r="AJ332" s="44">
        <f>Tabell2[[#This Row],[Yrkesaktivandel-I]]*Vekter!$K$3</f>
        <v>10</v>
      </c>
      <c r="AK332" s="44">
        <f>Tabell2[[#This Row],[Inntekt-I]]*Vekter!$M$3</f>
        <v>0.68787384448069566</v>
      </c>
      <c r="AL33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14.942758823344722</v>
      </c>
    </row>
    <row r="333" spans="1:38" s="38" customFormat="1" ht="12.75">
      <c r="A333" s="42" t="s">
        <v>331</v>
      </c>
      <c r="B333" s="38">
        <f>'Rådata-K'!Q333</f>
        <v>11</v>
      </c>
      <c r="C333" s="44">
        <f>'Rådata-K'!P333</f>
        <v>317.791532485</v>
      </c>
      <c r="D333" s="41">
        <f>'Rådata-K'!R333</f>
        <v>0.31171912466240942</v>
      </c>
      <c r="E333" s="41">
        <f>'Rådata-K'!S333</f>
        <v>-0.12255772646536411</v>
      </c>
      <c r="F333" s="41">
        <f>'Rådata-K'!T333</f>
        <v>9.7165991902834009E-2</v>
      </c>
      <c r="G333" s="41">
        <f>'Rådata-K'!U333</f>
        <v>0.20647773279352227</v>
      </c>
      <c r="H333" s="41">
        <f>'Rådata-K'!V333</f>
        <v>-9.4827586206896575E-2</v>
      </c>
      <c r="I333" s="41">
        <f>'Rådata-K'!W333</f>
        <v>0.98880597014925375</v>
      </c>
      <c r="J333" s="41">
        <f>'Rådata-K'!O333</f>
        <v>300900</v>
      </c>
      <c r="K333" s="41">
        <f>Tabell2[[#This Row],[NIBR11]]</f>
        <v>11</v>
      </c>
      <c r="L333" s="41">
        <f>IF(Tabell2[[#This Row],[ReisetidOslo]]&lt;=C$433,C$433,IF(Tabell2[[#This Row],[ReisetidOslo]]&gt;=C$434,C$434,Tabell2[[#This Row],[ReisetidOslo]]))</f>
        <v>279.05557553043002</v>
      </c>
      <c r="M333" s="41">
        <f>IF(Tabell2[[#This Row],[Beftettotal]]&lt;=D$433,D$433,IF(Tabell2[[#This Row],[Beftettotal]]&gt;=D$434,D$434,Tabell2[[#This Row],[Beftettotal]]))</f>
        <v>1.3207758882127238</v>
      </c>
      <c r="N333" s="41">
        <f>IF(Tabell2[[#This Row],[Befvekst10]]&lt;=E$433,E$433,IF(Tabell2[[#This Row],[Befvekst10]]&gt;=E$434,E$434,Tabell2[[#This Row],[Befvekst10]]))</f>
        <v>-9.1923232174966049E-2</v>
      </c>
      <c r="O333" s="41">
        <f>IF(Tabell2[[#This Row],[Kvinneandel]]&lt;=F$433,F$433,IF(Tabell2[[#This Row],[Kvinneandel]]&gt;=F$434,F$434,Tabell2[[#This Row],[Kvinneandel]]))</f>
        <v>9.7165991902834009E-2</v>
      </c>
      <c r="P333" s="41">
        <f>IF(Tabell2[[#This Row],[Eldreandel]]&lt;=G$433,G$433,IF(Tabell2[[#This Row],[Eldreandel]]&gt;=G$434,G$434,Tabell2[[#This Row],[Eldreandel]]))</f>
        <v>0.1989437597342919</v>
      </c>
      <c r="Q333" s="41">
        <f>IF(Tabell2[[#This Row],[Sysselsettingsvekst10]]&lt;=H$433,H$433,IF(Tabell2[[#This Row],[Sysselsettingsvekst10]]&gt;=H$434,H$434,Tabell2[[#This Row],[Sysselsettingsvekst10]]))</f>
        <v>-9.2168803558721979E-2</v>
      </c>
      <c r="R333" s="41">
        <f>IF(Tabell2[[#This Row],[Yrkesaktivandel]]&lt;=I$433,I$433,IF(Tabell2[[#This Row],[Yrkesaktivandel]]&gt;=I$434,I$434,Tabell2[[#This Row],[Yrkesaktivandel]]))</f>
        <v>0.96033761343949164</v>
      </c>
      <c r="S333" s="41">
        <f>IF(Tabell2[[#This Row],[Inntekt]]&lt;=J$433,J$433,IF(Tabell2[[#This Row],[Inntekt]]&gt;=J$434,J$434,Tabell2[[#This Row],[Inntekt]]))</f>
        <v>300900</v>
      </c>
      <c r="T333" s="44">
        <f>IF(Tabell2[[#This Row],[NIBR11-T]]&lt;=K$436,100,IF(Tabell2[[#This Row],[NIBR11-T]]&gt;=K$435,0,100*(K$435-Tabell2[[#This Row],[NIBR11-T]])/K$438))</f>
        <v>0</v>
      </c>
      <c r="U333" s="44">
        <f>(L$435-Tabell2[[#This Row],[ReisetidOslo-T]])*100/L$438</f>
        <v>0</v>
      </c>
      <c r="V333" s="44">
        <f>100-(M$435-Tabell2[[#This Row],[Beftettotal-T]])*100/M$438</f>
        <v>0</v>
      </c>
      <c r="W333" s="44">
        <f>100-(N$435-Tabell2[[#This Row],[Befvekst10-T]])*100/N$438</f>
        <v>0</v>
      </c>
      <c r="X333" s="44">
        <f>100-(O$435-Tabell2[[#This Row],[Kvinneandel-T]])*100/O$438</f>
        <v>14.908741574665186</v>
      </c>
      <c r="Y333" s="44">
        <f>(P$435-Tabell2[[#This Row],[Eldreandel-T]])*100/P$438</f>
        <v>0</v>
      </c>
      <c r="Z333" s="44">
        <f>100-(Q$435-Tabell2[[#This Row],[Sysselsettingsvekst10-T]])*100/Q$438</f>
        <v>0</v>
      </c>
      <c r="AA333" s="44">
        <f>100-(R$435-Tabell2[[#This Row],[Yrkesaktivandel-T]])*100/R$438</f>
        <v>100</v>
      </c>
      <c r="AB333" s="44">
        <f>100-(S$435-Tabell2[[#This Row],[Inntekt-T]])*100/S$438</f>
        <v>11.908646003262646</v>
      </c>
      <c r="AC333" s="44">
        <f>Tabell2[[#This Row],[NIBR11-I]]*Vekter!$B$3</f>
        <v>0</v>
      </c>
      <c r="AD333" s="44">
        <f>Tabell2[[#This Row],[ReisetidOslo-I]]*Vekter!$C$3</f>
        <v>0</v>
      </c>
      <c r="AE333" s="44">
        <f>Tabell2[[#This Row],[Beftettotal-I]]*Vekter!$E$4</f>
        <v>0</v>
      </c>
      <c r="AF333" s="44">
        <f>Tabell2[[#This Row],[Befvekst10-I]]*Vekter!$F$3</f>
        <v>0</v>
      </c>
      <c r="AG333" s="44">
        <f>Tabell2[[#This Row],[Kvinneandel-I]]*Vekter!$G$3</f>
        <v>0.74543707873325937</v>
      </c>
      <c r="AH333" s="44">
        <f>Tabell2[[#This Row],[Eldreandel-I]]*Vekter!$H$3</f>
        <v>0</v>
      </c>
      <c r="AI333" s="44">
        <f>Tabell2[[#This Row],[Sysselsettingsvekst10-I]]*Vekter!$I$3</f>
        <v>0</v>
      </c>
      <c r="AJ333" s="44">
        <f>Tabell2[[#This Row],[Yrkesaktivandel-I]]*Vekter!$K$3</f>
        <v>10</v>
      </c>
      <c r="AK333" s="44">
        <f>Tabell2[[#This Row],[Inntekt-I]]*Vekter!$M$3</f>
        <v>1.1908646003262646</v>
      </c>
      <c r="AL33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11.936301679059524</v>
      </c>
    </row>
    <row r="334" spans="1:38" s="38" customFormat="1" ht="12.75">
      <c r="A334" s="42" t="s">
        <v>332</v>
      </c>
      <c r="B334" s="38">
        <f>'Rådata-K'!Q334</f>
        <v>11</v>
      </c>
      <c r="C334" s="44">
        <f>'Rådata-K'!P334</f>
        <v>303.3758842766</v>
      </c>
      <c r="D334" s="41">
        <f>'Rådata-K'!R334</f>
        <v>0.64636314883287693</v>
      </c>
      <c r="E334" s="41">
        <f>'Rådata-K'!S334</f>
        <v>-5.4695562435500555E-2</v>
      </c>
      <c r="F334" s="41">
        <f>'Rådata-K'!T334</f>
        <v>8.1877729257641918E-2</v>
      </c>
      <c r="G334" s="41">
        <f>'Rådata-K'!U334</f>
        <v>0.2205240174672489</v>
      </c>
      <c r="H334" s="41">
        <f>'Rådata-K'!V334</f>
        <v>-3.6144578313253017E-2</v>
      </c>
      <c r="I334" s="41">
        <f>'Rådata-K'!W334</f>
        <v>0.95258620689655171</v>
      </c>
      <c r="J334" s="41">
        <f>'Rådata-K'!O334</f>
        <v>296800</v>
      </c>
      <c r="K334" s="41">
        <f>Tabell2[[#This Row],[NIBR11]]</f>
        <v>11</v>
      </c>
      <c r="L334" s="41">
        <f>IF(Tabell2[[#This Row],[ReisetidOslo]]&lt;=C$433,C$433,IF(Tabell2[[#This Row],[ReisetidOslo]]&gt;=C$434,C$434,Tabell2[[#This Row],[ReisetidOslo]]))</f>
        <v>279.05557553043002</v>
      </c>
      <c r="M334" s="41">
        <f>IF(Tabell2[[#This Row],[Beftettotal]]&lt;=D$433,D$433,IF(Tabell2[[#This Row],[Beftettotal]]&gt;=D$434,D$434,Tabell2[[#This Row],[Beftettotal]]))</f>
        <v>1.3207758882127238</v>
      </c>
      <c r="N334" s="41">
        <f>IF(Tabell2[[#This Row],[Befvekst10]]&lt;=E$433,E$433,IF(Tabell2[[#This Row],[Befvekst10]]&gt;=E$434,E$434,Tabell2[[#This Row],[Befvekst10]]))</f>
        <v>-5.4695562435500555E-2</v>
      </c>
      <c r="O334" s="41">
        <f>IF(Tabell2[[#This Row],[Kvinneandel]]&lt;=F$433,F$433,IF(Tabell2[[#This Row],[Kvinneandel]]&gt;=F$434,F$434,Tabell2[[#This Row],[Kvinneandel]]))</f>
        <v>9.1717808671657367E-2</v>
      </c>
      <c r="P334" s="41">
        <f>IF(Tabell2[[#This Row],[Eldreandel]]&lt;=G$433,G$433,IF(Tabell2[[#This Row],[Eldreandel]]&gt;=G$434,G$434,Tabell2[[#This Row],[Eldreandel]]))</f>
        <v>0.1989437597342919</v>
      </c>
      <c r="Q334" s="41">
        <f>IF(Tabell2[[#This Row],[Sysselsettingsvekst10]]&lt;=H$433,H$433,IF(Tabell2[[#This Row],[Sysselsettingsvekst10]]&gt;=H$434,H$434,Tabell2[[#This Row],[Sysselsettingsvekst10]]))</f>
        <v>-3.6144578313253017E-2</v>
      </c>
      <c r="R334" s="41">
        <f>IF(Tabell2[[#This Row],[Yrkesaktivandel]]&lt;=I$433,I$433,IF(Tabell2[[#This Row],[Yrkesaktivandel]]&gt;=I$434,I$434,Tabell2[[#This Row],[Yrkesaktivandel]]))</f>
        <v>0.95258620689655171</v>
      </c>
      <c r="S334" s="41">
        <f>IF(Tabell2[[#This Row],[Inntekt]]&lt;=J$433,J$433,IF(Tabell2[[#This Row],[Inntekt]]&gt;=J$434,J$434,Tabell2[[#This Row],[Inntekt]]))</f>
        <v>296800</v>
      </c>
      <c r="T334" s="44">
        <f>IF(Tabell2[[#This Row],[NIBR11-T]]&lt;=K$436,100,IF(Tabell2[[#This Row],[NIBR11-T]]&gt;=K$435,0,100*(K$435-Tabell2[[#This Row],[NIBR11-T]])/K$438))</f>
        <v>0</v>
      </c>
      <c r="U334" s="44">
        <f>(L$435-Tabell2[[#This Row],[ReisetidOslo-T]])*100/L$438</f>
        <v>0</v>
      </c>
      <c r="V334" s="44">
        <f>100-(M$435-Tabell2[[#This Row],[Beftettotal-T]])*100/M$438</f>
        <v>0</v>
      </c>
      <c r="W334" s="44">
        <f>100-(N$435-Tabell2[[#This Row],[Befvekst10-T]])*100/N$438</f>
        <v>15.401640823198122</v>
      </c>
      <c r="X334" s="44">
        <f>100-(O$435-Tabell2[[#This Row],[Kvinneandel-T]])*100/O$438</f>
        <v>0</v>
      </c>
      <c r="Y334" s="44">
        <f>(P$435-Tabell2[[#This Row],[Eldreandel-T]])*100/P$438</f>
        <v>0</v>
      </c>
      <c r="Z334" s="44">
        <f>100-(Q$435-Tabell2[[#This Row],[Sysselsettingsvekst10-T]])*100/Q$438</f>
        <v>16.472079070904584</v>
      </c>
      <c r="AA334" s="44">
        <f>100-(R$435-Tabell2[[#This Row],[Yrkesaktivandel-T]])*100/R$438</f>
        <v>94.211392146289938</v>
      </c>
      <c r="AB334" s="44">
        <f>100-(S$435-Tabell2[[#This Row],[Inntekt-T]])*100/S$438</f>
        <v>6.33496465470364</v>
      </c>
      <c r="AC334" s="44">
        <f>Tabell2[[#This Row],[NIBR11-I]]*Vekter!$B$3</f>
        <v>0</v>
      </c>
      <c r="AD334" s="44">
        <f>Tabell2[[#This Row],[ReisetidOslo-I]]*Vekter!$C$3</f>
        <v>0</v>
      </c>
      <c r="AE334" s="44">
        <f>Tabell2[[#This Row],[Beftettotal-I]]*Vekter!$E$4</f>
        <v>0</v>
      </c>
      <c r="AF334" s="44">
        <f>Tabell2[[#This Row],[Befvekst10-I]]*Vekter!$F$3</f>
        <v>3.0803281646396243</v>
      </c>
      <c r="AG334" s="44">
        <f>Tabell2[[#This Row],[Kvinneandel-I]]*Vekter!$G$3</f>
        <v>0</v>
      </c>
      <c r="AH334" s="44">
        <f>Tabell2[[#This Row],[Eldreandel-I]]*Vekter!$H$3</f>
        <v>0</v>
      </c>
      <c r="AI334" s="44">
        <f>Tabell2[[#This Row],[Sysselsettingsvekst10-I]]*Vekter!$I$3</f>
        <v>1.6472079070904586</v>
      </c>
      <c r="AJ334" s="44">
        <f>Tabell2[[#This Row],[Yrkesaktivandel-I]]*Vekter!$K$3</f>
        <v>9.4211392146289938</v>
      </c>
      <c r="AK334" s="44">
        <f>Tabell2[[#This Row],[Inntekt-I]]*Vekter!$M$3</f>
        <v>0.63349646547036409</v>
      </c>
      <c r="AL33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14.78217175182944</v>
      </c>
    </row>
    <row r="335" spans="1:38" s="38" customFormat="1" ht="12.75">
      <c r="A335" s="42" t="s">
        <v>333</v>
      </c>
      <c r="B335" s="38">
        <f>'Rådata-K'!Q335</f>
        <v>6</v>
      </c>
      <c r="C335" s="44">
        <f>'Rådata-K'!P335</f>
        <v>247.30639267710001</v>
      </c>
      <c r="D335" s="41">
        <f>'Rådata-K'!R335</f>
        <v>2.120281295932827</v>
      </c>
      <c r="E335" s="41">
        <f>'Rådata-K'!S335</f>
        <v>-6.9165378670788202E-2</v>
      </c>
      <c r="F335" s="41">
        <f>'Rådata-K'!T335</f>
        <v>9.9211290992112913E-2</v>
      </c>
      <c r="G335" s="41">
        <f>'Rådata-K'!U335</f>
        <v>0.18845994188459941</v>
      </c>
      <c r="H335" s="41">
        <f>'Rådata-K'!V335</f>
        <v>4.9382716049382047E-3</v>
      </c>
      <c r="I335" s="41">
        <f>'Rådata-K'!W335</f>
        <v>0.92541856925418564</v>
      </c>
      <c r="J335" s="41">
        <f>'Rådata-K'!O335</f>
        <v>303700</v>
      </c>
      <c r="K335" s="41">
        <f>Tabell2[[#This Row],[NIBR11]]</f>
        <v>6</v>
      </c>
      <c r="L335" s="41">
        <f>IF(Tabell2[[#This Row],[ReisetidOslo]]&lt;=C$433,C$433,IF(Tabell2[[#This Row],[ReisetidOslo]]&gt;=C$434,C$434,Tabell2[[#This Row],[ReisetidOslo]]))</f>
        <v>247.30639267710001</v>
      </c>
      <c r="M335" s="41">
        <f>IF(Tabell2[[#This Row],[Beftettotal]]&lt;=D$433,D$433,IF(Tabell2[[#This Row],[Beftettotal]]&gt;=D$434,D$434,Tabell2[[#This Row],[Beftettotal]]))</f>
        <v>2.120281295932827</v>
      </c>
      <c r="N335" s="41">
        <f>IF(Tabell2[[#This Row],[Befvekst10]]&lt;=E$433,E$433,IF(Tabell2[[#This Row],[Befvekst10]]&gt;=E$434,E$434,Tabell2[[#This Row],[Befvekst10]]))</f>
        <v>-6.9165378670788202E-2</v>
      </c>
      <c r="O335" s="41">
        <f>IF(Tabell2[[#This Row],[Kvinneandel]]&lt;=F$433,F$433,IF(Tabell2[[#This Row],[Kvinneandel]]&gt;=F$434,F$434,Tabell2[[#This Row],[Kvinneandel]]))</f>
        <v>9.9211290992112913E-2</v>
      </c>
      <c r="P335" s="41">
        <f>IF(Tabell2[[#This Row],[Eldreandel]]&lt;=G$433,G$433,IF(Tabell2[[#This Row],[Eldreandel]]&gt;=G$434,G$434,Tabell2[[#This Row],[Eldreandel]]))</f>
        <v>0.18845994188459941</v>
      </c>
      <c r="Q335" s="41">
        <f>IF(Tabell2[[#This Row],[Sysselsettingsvekst10]]&lt;=H$433,H$433,IF(Tabell2[[#This Row],[Sysselsettingsvekst10]]&gt;=H$434,H$434,Tabell2[[#This Row],[Sysselsettingsvekst10]]))</f>
        <v>4.9382716049382047E-3</v>
      </c>
      <c r="R335" s="41">
        <f>IF(Tabell2[[#This Row],[Yrkesaktivandel]]&lt;=I$433,I$433,IF(Tabell2[[#This Row],[Yrkesaktivandel]]&gt;=I$434,I$434,Tabell2[[#This Row],[Yrkesaktivandel]]))</f>
        <v>0.92541856925418564</v>
      </c>
      <c r="S335" s="41">
        <f>IF(Tabell2[[#This Row],[Inntekt]]&lt;=J$433,J$433,IF(Tabell2[[#This Row],[Inntekt]]&gt;=J$434,J$434,Tabell2[[#This Row],[Inntekt]]))</f>
        <v>303700</v>
      </c>
      <c r="T335" s="44">
        <f>IF(Tabell2[[#This Row],[NIBR11-T]]&lt;=K$436,100,IF(Tabell2[[#This Row],[NIBR11-T]]&gt;=K$435,0,100*(K$435-Tabell2[[#This Row],[NIBR11-T]])/K$438))</f>
        <v>50</v>
      </c>
      <c r="U335" s="44">
        <f>(L$435-Tabell2[[#This Row],[ReisetidOslo-T]])*100/L$438</f>
        <v>14.095068518517404</v>
      </c>
      <c r="V335" s="44">
        <f>100-(M$435-Tabell2[[#This Row],[Beftettotal-T]])*100/M$438</f>
        <v>0.65400087017937381</v>
      </c>
      <c r="W335" s="44">
        <f>100-(N$435-Tabell2[[#This Row],[Befvekst10-T]])*100/N$438</f>
        <v>9.4152625730084338</v>
      </c>
      <c r="X335" s="44">
        <f>100-(O$435-Tabell2[[#This Row],[Kvinneandel-T]])*100/O$438</f>
        <v>20.505623006711247</v>
      </c>
      <c r="Y335" s="44">
        <f>(P$435-Tabell2[[#This Row],[Eldreandel-T]])*100/P$438</f>
        <v>12.343601550129279</v>
      </c>
      <c r="Z335" s="44">
        <f>100-(Q$435-Tabell2[[#This Row],[Sysselsettingsvekst10-T]])*100/Q$438</f>
        <v>28.551138608908346</v>
      </c>
      <c r="AA335" s="44">
        <f>100-(R$435-Tabell2[[#This Row],[Yrkesaktivandel-T]])*100/R$438</f>
        <v>73.923099982516646</v>
      </c>
      <c r="AB335" s="44">
        <f>100-(S$435-Tabell2[[#This Row],[Inntekt-T]])*100/S$438</f>
        <v>15.715062533985858</v>
      </c>
      <c r="AC335" s="44">
        <f>Tabell2[[#This Row],[NIBR11-I]]*Vekter!$B$3</f>
        <v>10</v>
      </c>
      <c r="AD335" s="44">
        <f>Tabell2[[#This Row],[ReisetidOslo-I]]*Vekter!$C$3</f>
        <v>1.4095068518517406</v>
      </c>
      <c r="AE335" s="44">
        <f>Tabell2[[#This Row],[Beftettotal-I]]*Vekter!$E$4</f>
        <v>6.5400087017937383E-2</v>
      </c>
      <c r="AF335" s="44">
        <f>Tabell2[[#This Row],[Befvekst10-I]]*Vekter!$F$3</f>
        <v>1.8830525146016868</v>
      </c>
      <c r="AG335" s="44">
        <f>Tabell2[[#This Row],[Kvinneandel-I]]*Vekter!$G$3</f>
        <v>1.0252811503355623</v>
      </c>
      <c r="AH335" s="44">
        <f>Tabell2[[#This Row],[Eldreandel-I]]*Vekter!$H$3</f>
        <v>0.61718007750646398</v>
      </c>
      <c r="AI335" s="44">
        <f>Tabell2[[#This Row],[Sysselsettingsvekst10-I]]*Vekter!$I$3</f>
        <v>2.8551138608908349</v>
      </c>
      <c r="AJ335" s="44">
        <f>Tabell2[[#This Row],[Yrkesaktivandel-I]]*Vekter!$K$3</f>
        <v>7.3923099982516653</v>
      </c>
      <c r="AK335" s="44">
        <f>Tabell2[[#This Row],[Inntekt-I]]*Vekter!$M$3</f>
        <v>1.571506253398586</v>
      </c>
      <c r="AL33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26.819350793854479</v>
      </c>
    </row>
    <row r="336" spans="1:38" s="38" customFormat="1" ht="12.75">
      <c r="A336" s="42" t="s">
        <v>334</v>
      </c>
      <c r="B336" s="38">
        <f>'Rådata-K'!Q336</f>
        <v>6</v>
      </c>
      <c r="C336" s="44">
        <f>'Rådata-K'!P336</f>
        <v>250.0222845996</v>
      </c>
      <c r="D336" s="41">
        <f>'Rådata-K'!R336</f>
        <v>1.6755259216055354</v>
      </c>
      <c r="E336" s="41">
        <f>'Rådata-K'!S336</f>
        <v>-3.3639143730886834E-2</v>
      </c>
      <c r="F336" s="41">
        <f>'Rådata-K'!T336</f>
        <v>9.5727848101265819E-2</v>
      </c>
      <c r="G336" s="41">
        <f>'Rådata-K'!U336</f>
        <v>0.17642405063291139</v>
      </c>
      <c r="H336" s="41">
        <f>'Rådata-K'!V336</f>
        <v>3.7109375E-2</v>
      </c>
      <c r="I336" s="41">
        <f>'Rådata-K'!W336</f>
        <v>0.97916666666666663</v>
      </c>
      <c r="J336" s="41">
        <f>'Rådata-K'!O336</f>
        <v>311900</v>
      </c>
      <c r="K336" s="41">
        <f>Tabell2[[#This Row],[NIBR11]]</f>
        <v>6</v>
      </c>
      <c r="L336" s="41">
        <f>IF(Tabell2[[#This Row],[ReisetidOslo]]&lt;=C$433,C$433,IF(Tabell2[[#This Row],[ReisetidOslo]]&gt;=C$434,C$434,Tabell2[[#This Row],[ReisetidOslo]]))</f>
        <v>250.0222845996</v>
      </c>
      <c r="M336" s="41">
        <f>IF(Tabell2[[#This Row],[Beftettotal]]&lt;=D$433,D$433,IF(Tabell2[[#This Row],[Beftettotal]]&gt;=D$434,D$434,Tabell2[[#This Row],[Beftettotal]]))</f>
        <v>1.6755259216055354</v>
      </c>
      <c r="N336" s="41">
        <f>IF(Tabell2[[#This Row],[Befvekst10]]&lt;=E$433,E$433,IF(Tabell2[[#This Row],[Befvekst10]]&gt;=E$434,E$434,Tabell2[[#This Row],[Befvekst10]]))</f>
        <v>-3.3639143730886834E-2</v>
      </c>
      <c r="O336" s="41">
        <f>IF(Tabell2[[#This Row],[Kvinneandel]]&lt;=F$433,F$433,IF(Tabell2[[#This Row],[Kvinneandel]]&gt;=F$434,F$434,Tabell2[[#This Row],[Kvinneandel]]))</f>
        <v>9.5727848101265819E-2</v>
      </c>
      <c r="P336" s="41">
        <f>IF(Tabell2[[#This Row],[Eldreandel]]&lt;=G$433,G$433,IF(Tabell2[[#This Row],[Eldreandel]]&gt;=G$434,G$434,Tabell2[[#This Row],[Eldreandel]]))</f>
        <v>0.17642405063291139</v>
      </c>
      <c r="Q336" s="41">
        <f>IF(Tabell2[[#This Row],[Sysselsettingsvekst10]]&lt;=H$433,H$433,IF(Tabell2[[#This Row],[Sysselsettingsvekst10]]&gt;=H$434,H$434,Tabell2[[#This Row],[Sysselsettingsvekst10]]))</f>
        <v>3.7109375E-2</v>
      </c>
      <c r="R336" s="41">
        <f>IF(Tabell2[[#This Row],[Yrkesaktivandel]]&lt;=I$433,I$433,IF(Tabell2[[#This Row],[Yrkesaktivandel]]&gt;=I$434,I$434,Tabell2[[#This Row],[Yrkesaktivandel]]))</f>
        <v>0.96033761343949164</v>
      </c>
      <c r="S336" s="41">
        <f>IF(Tabell2[[#This Row],[Inntekt]]&lt;=J$433,J$433,IF(Tabell2[[#This Row],[Inntekt]]&gt;=J$434,J$434,Tabell2[[#This Row],[Inntekt]]))</f>
        <v>311900</v>
      </c>
      <c r="T336" s="44">
        <f>IF(Tabell2[[#This Row],[NIBR11-T]]&lt;=K$436,100,IF(Tabell2[[#This Row],[NIBR11-T]]&gt;=K$435,0,100*(K$435-Tabell2[[#This Row],[NIBR11-T]])/K$438))</f>
        <v>50</v>
      </c>
      <c r="U336" s="44">
        <f>(L$435-Tabell2[[#This Row],[ReisetidOslo-T]])*100/L$438</f>
        <v>12.889346692120533</v>
      </c>
      <c r="V336" s="44">
        <f>100-(M$435-Tabell2[[#This Row],[Beftettotal-T]])*100/M$438</f>
        <v>0.2901879440648969</v>
      </c>
      <c r="W336" s="44">
        <f>100-(N$435-Tabell2[[#This Row],[Befvekst10-T]])*100/N$438</f>
        <v>24.112994506652925</v>
      </c>
      <c r="X336" s="44">
        <f>100-(O$435-Tabell2[[#This Row],[Kvinneandel-T]])*100/O$438</f>
        <v>10.973316979895074</v>
      </c>
      <c r="Y336" s="44">
        <f>(P$435-Tabell2[[#This Row],[Eldreandel-T]])*100/P$438</f>
        <v>26.514607574988958</v>
      </c>
      <c r="Z336" s="44">
        <f>100-(Q$435-Tabell2[[#This Row],[Sysselsettingsvekst10-T]])*100/Q$438</f>
        <v>38.009992463644409</v>
      </c>
      <c r="AA336" s="44">
        <f>100-(R$435-Tabell2[[#This Row],[Yrkesaktivandel-T]])*100/R$438</f>
        <v>100</v>
      </c>
      <c r="AB336" s="44">
        <f>100-(S$435-Tabell2[[#This Row],[Inntekt-T]])*100/S$438</f>
        <v>26.862425231103856</v>
      </c>
      <c r="AC336" s="44">
        <f>Tabell2[[#This Row],[NIBR11-I]]*Vekter!$B$3</f>
        <v>10</v>
      </c>
      <c r="AD336" s="44">
        <f>Tabell2[[#This Row],[ReisetidOslo-I]]*Vekter!$C$3</f>
        <v>1.2889346692120534</v>
      </c>
      <c r="AE336" s="44">
        <f>Tabell2[[#This Row],[Beftettotal-I]]*Vekter!$E$4</f>
        <v>2.901879440648969E-2</v>
      </c>
      <c r="AF336" s="44">
        <f>Tabell2[[#This Row],[Befvekst10-I]]*Vekter!$F$3</f>
        <v>4.8225989013305854</v>
      </c>
      <c r="AG336" s="44">
        <f>Tabell2[[#This Row],[Kvinneandel-I]]*Vekter!$G$3</f>
        <v>0.54866584899475368</v>
      </c>
      <c r="AH336" s="44">
        <f>Tabell2[[#This Row],[Eldreandel-I]]*Vekter!$H$3</f>
        <v>1.3257303787494479</v>
      </c>
      <c r="AI336" s="44">
        <f>Tabell2[[#This Row],[Sysselsettingsvekst10-I]]*Vekter!$I$3</f>
        <v>3.8009992463644409</v>
      </c>
      <c r="AJ336" s="44">
        <f>Tabell2[[#This Row],[Yrkesaktivandel-I]]*Vekter!$K$3</f>
        <v>10</v>
      </c>
      <c r="AK336" s="44">
        <f>Tabell2[[#This Row],[Inntekt-I]]*Vekter!$M$3</f>
        <v>2.6862425231103857</v>
      </c>
      <c r="AL33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34.502190362168157</v>
      </c>
    </row>
    <row r="337" spans="1:38" s="38" customFormat="1" ht="12.75">
      <c r="A337" s="42" t="s">
        <v>335</v>
      </c>
      <c r="B337" s="38">
        <f>'Rådata-K'!Q337</f>
        <v>6</v>
      </c>
      <c r="C337" s="44">
        <f>'Rådata-K'!P337</f>
        <v>227.46589099229999</v>
      </c>
      <c r="D337" s="41">
        <f>'Rådata-K'!R337</f>
        <v>5.0411762287781423</v>
      </c>
      <c r="E337" s="41">
        <f>'Rådata-K'!S337</f>
        <v>2.1944444444444544E-2</v>
      </c>
      <c r="F337" s="41">
        <f>'Rådata-K'!T337</f>
        <v>0.11742321282957326</v>
      </c>
      <c r="G337" s="41">
        <f>'Rådata-K'!U337</f>
        <v>0.14732264202228867</v>
      </c>
      <c r="H337" s="41">
        <f>'Rådata-K'!V337</f>
        <v>0.12657290895632856</v>
      </c>
      <c r="I337" s="41">
        <f>'Rådata-K'!W337</f>
        <v>0.95609756097560972</v>
      </c>
      <c r="J337" s="41">
        <f>'Rådata-K'!O337</f>
        <v>318500</v>
      </c>
      <c r="K337" s="41">
        <f>Tabell2[[#This Row],[NIBR11]]</f>
        <v>6</v>
      </c>
      <c r="L337" s="41">
        <f>IF(Tabell2[[#This Row],[ReisetidOslo]]&lt;=C$433,C$433,IF(Tabell2[[#This Row],[ReisetidOslo]]&gt;=C$434,C$434,Tabell2[[#This Row],[ReisetidOslo]]))</f>
        <v>227.46589099229999</v>
      </c>
      <c r="M337" s="41">
        <f>IF(Tabell2[[#This Row],[Beftettotal]]&lt;=D$433,D$433,IF(Tabell2[[#This Row],[Beftettotal]]&gt;=D$434,D$434,Tabell2[[#This Row],[Beftettotal]]))</f>
        <v>5.0411762287781423</v>
      </c>
      <c r="N337" s="41">
        <f>IF(Tabell2[[#This Row],[Befvekst10]]&lt;=E$433,E$433,IF(Tabell2[[#This Row],[Befvekst10]]&gt;=E$434,E$434,Tabell2[[#This Row],[Befvekst10]]))</f>
        <v>2.1944444444444544E-2</v>
      </c>
      <c r="O337" s="41">
        <f>IF(Tabell2[[#This Row],[Kvinneandel]]&lt;=F$433,F$433,IF(Tabell2[[#This Row],[Kvinneandel]]&gt;=F$434,F$434,Tabell2[[#This Row],[Kvinneandel]]))</f>
        <v>0.11742321282957326</v>
      </c>
      <c r="P337" s="41">
        <f>IF(Tabell2[[#This Row],[Eldreandel]]&lt;=G$433,G$433,IF(Tabell2[[#This Row],[Eldreandel]]&gt;=G$434,G$434,Tabell2[[#This Row],[Eldreandel]]))</f>
        <v>0.14732264202228867</v>
      </c>
      <c r="Q337" s="41">
        <f>IF(Tabell2[[#This Row],[Sysselsettingsvekst10]]&lt;=H$433,H$433,IF(Tabell2[[#This Row],[Sysselsettingsvekst10]]&gt;=H$434,H$434,Tabell2[[#This Row],[Sysselsettingsvekst10]]))</f>
        <v>0.12657290895632856</v>
      </c>
      <c r="R337" s="41">
        <f>IF(Tabell2[[#This Row],[Yrkesaktivandel]]&lt;=I$433,I$433,IF(Tabell2[[#This Row],[Yrkesaktivandel]]&gt;=I$434,I$434,Tabell2[[#This Row],[Yrkesaktivandel]]))</f>
        <v>0.95609756097560972</v>
      </c>
      <c r="S337" s="41">
        <f>IF(Tabell2[[#This Row],[Inntekt]]&lt;=J$433,J$433,IF(Tabell2[[#This Row],[Inntekt]]&gt;=J$434,J$434,Tabell2[[#This Row],[Inntekt]]))</f>
        <v>318500</v>
      </c>
      <c r="T337" s="44">
        <f>IF(Tabell2[[#This Row],[NIBR11-T]]&lt;=K$436,100,IF(Tabell2[[#This Row],[NIBR11-T]]&gt;=K$435,0,100*(K$435-Tabell2[[#This Row],[NIBR11-T]])/K$438))</f>
        <v>50</v>
      </c>
      <c r="U337" s="44">
        <f>(L$435-Tabell2[[#This Row],[ReisetidOslo-T]])*100/L$438</f>
        <v>22.903270984102591</v>
      </c>
      <c r="V337" s="44">
        <f>100-(M$435-Tabell2[[#This Row],[Beftettotal-T]])*100/M$438</f>
        <v>3.043312823966815</v>
      </c>
      <c r="W337" s="44">
        <f>100-(N$435-Tabell2[[#This Row],[Befvekst10-T]])*100/N$438</f>
        <v>47.108751875626204</v>
      </c>
      <c r="X337" s="44">
        <f>100-(O$435-Tabell2[[#This Row],[Kvinneandel-T]])*100/O$438</f>
        <v>70.341838995001069</v>
      </c>
      <c r="Y337" s="44">
        <f>(P$435-Tabell2[[#This Row],[Eldreandel-T]])*100/P$438</f>
        <v>60.778479533386687</v>
      </c>
      <c r="Z337" s="44">
        <f>100-(Q$435-Tabell2[[#This Row],[Sysselsettingsvekst10-T]])*100/Q$438</f>
        <v>64.31379941205708</v>
      </c>
      <c r="AA337" s="44">
        <f>100-(R$435-Tabell2[[#This Row],[Yrkesaktivandel-T]])*100/R$438</f>
        <v>96.833606796830367</v>
      </c>
      <c r="AB337" s="44">
        <f>100-(S$435-Tabell2[[#This Row],[Inntekt-T]])*100/S$438</f>
        <v>35.83469276780859</v>
      </c>
      <c r="AC337" s="44">
        <f>Tabell2[[#This Row],[NIBR11-I]]*Vekter!$B$3</f>
        <v>10</v>
      </c>
      <c r="AD337" s="44">
        <f>Tabell2[[#This Row],[ReisetidOslo-I]]*Vekter!$C$3</f>
        <v>2.2903270984102591</v>
      </c>
      <c r="AE337" s="44">
        <f>Tabell2[[#This Row],[Beftettotal-I]]*Vekter!$E$4</f>
        <v>0.3043312823966815</v>
      </c>
      <c r="AF337" s="44">
        <f>Tabell2[[#This Row],[Befvekst10-I]]*Vekter!$F$3</f>
        <v>9.4217503751252405</v>
      </c>
      <c r="AG337" s="44">
        <f>Tabell2[[#This Row],[Kvinneandel-I]]*Vekter!$G$3</f>
        <v>3.5170919497500535</v>
      </c>
      <c r="AH337" s="44">
        <f>Tabell2[[#This Row],[Eldreandel-I]]*Vekter!$H$3</f>
        <v>3.0389239766693343</v>
      </c>
      <c r="AI337" s="44">
        <f>Tabell2[[#This Row],[Sysselsettingsvekst10-I]]*Vekter!$I$3</f>
        <v>6.4313799412057087</v>
      </c>
      <c r="AJ337" s="44">
        <f>Tabell2[[#This Row],[Yrkesaktivandel-I]]*Vekter!$K$3</f>
        <v>9.6833606796830374</v>
      </c>
      <c r="AK337" s="44">
        <f>Tabell2[[#This Row],[Inntekt-I]]*Vekter!$M$3</f>
        <v>3.5834692767808591</v>
      </c>
      <c r="AL33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48.270634580021181</v>
      </c>
    </row>
    <row r="338" spans="1:38" s="38" customFormat="1" ht="12.75">
      <c r="A338" s="42" t="s">
        <v>336</v>
      </c>
      <c r="B338" s="38">
        <f>'Rådata-K'!Q338</f>
        <v>6</v>
      </c>
      <c r="C338" s="44">
        <f>'Rådata-K'!P338</f>
        <v>250.8279621305</v>
      </c>
      <c r="D338" s="41">
        <f>'Rådata-K'!R338</f>
        <v>1.2264982373678026</v>
      </c>
      <c r="E338" s="41">
        <f>'Rådata-K'!S338</f>
        <v>-0.12793733681462138</v>
      </c>
      <c r="F338" s="41">
        <f>'Rådata-K'!T338</f>
        <v>0.10179640718562874</v>
      </c>
      <c r="G338" s="41">
        <f>'Rådata-K'!U338</f>
        <v>0.19610778443113772</v>
      </c>
      <c r="H338" s="41">
        <f>'Rådata-K'!V338</f>
        <v>-5.6451612903225756E-2</v>
      </c>
      <c r="I338" s="41">
        <f>'Rådata-K'!W338</f>
        <v>0.86898395721925137</v>
      </c>
      <c r="J338" s="41">
        <f>'Rådata-K'!O338</f>
        <v>273300</v>
      </c>
      <c r="K338" s="41">
        <f>Tabell2[[#This Row],[NIBR11]]</f>
        <v>6</v>
      </c>
      <c r="L338" s="41">
        <f>IF(Tabell2[[#This Row],[ReisetidOslo]]&lt;=C$433,C$433,IF(Tabell2[[#This Row],[ReisetidOslo]]&gt;=C$434,C$434,Tabell2[[#This Row],[ReisetidOslo]]))</f>
        <v>250.8279621305</v>
      </c>
      <c r="M338" s="41">
        <f>IF(Tabell2[[#This Row],[Beftettotal]]&lt;=D$433,D$433,IF(Tabell2[[#This Row],[Beftettotal]]&gt;=D$434,D$434,Tabell2[[#This Row],[Beftettotal]]))</f>
        <v>1.3207758882127238</v>
      </c>
      <c r="N338" s="41">
        <f>IF(Tabell2[[#This Row],[Befvekst10]]&lt;=E$433,E$433,IF(Tabell2[[#This Row],[Befvekst10]]&gt;=E$434,E$434,Tabell2[[#This Row],[Befvekst10]]))</f>
        <v>-9.1923232174966049E-2</v>
      </c>
      <c r="O338" s="41">
        <f>IF(Tabell2[[#This Row],[Kvinneandel]]&lt;=F$433,F$433,IF(Tabell2[[#This Row],[Kvinneandel]]&gt;=F$434,F$434,Tabell2[[#This Row],[Kvinneandel]]))</f>
        <v>0.10179640718562874</v>
      </c>
      <c r="P338" s="41">
        <f>IF(Tabell2[[#This Row],[Eldreandel]]&lt;=G$433,G$433,IF(Tabell2[[#This Row],[Eldreandel]]&gt;=G$434,G$434,Tabell2[[#This Row],[Eldreandel]]))</f>
        <v>0.19610778443113772</v>
      </c>
      <c r="Q338" s="41">
        <f>IF(Tabell2[[#This Row],[Sysselsettingsvekst10]]&lt;=H$433,H$433,IF(Tabell2[[#This Row],[Sysselsettingsvekst10]]&gt;=H$434,H$434,Tabell2[[#This Row],[Sysselsettingsvekst10]]))</f>
        <v>-5.6451612903225756E-2</v>
      </c>
      <c r="R338" s="41">
        <f>IF(Tabell2[[#This Row],[Yrkesaktivandel]]&lt;=I$433,I$433,IF(Tabell2[[#This Row],[Yrkesaktivandel]]&gt;=I$434,I$434,Tabell2[[#This Row],[Yrkesaktivandel]]))</f>
        <v>0.86898395721925137</v>
      </c>
      <c r="S338" s="41">
        <f>IF(Tabell2[[#This Row],[Inntekt]]&lt;=J$433,J$433,IF(Tabell2[[#This Row],[Inntekt]]&gt;=J$434,J$434,Tabell2[[#This Row],[Inntekt]]))</f>
        <v>292140</v>
      </c>
      <c r="T338" s="44">
        <f>IF(Tabell2[[#This Row],[NIBR11-T]]&lt;=K$436,100,IF(Tabell2[[#This Row],[NIBR11-T]]&gt;=K$435,0,100*(K$435-Tabell2[[#This Row],[NIBR11-T]])/K$438))</f>
        <v>50</v>
      </c>
      <c r="U338" s="44">
        <f>(L$435-Tabell2[[#This Row],[ReisetidOslo-T]])*100/L$438</f>
        <v>12.53166567543653</v>
      </c>
      <c r="V338" s="44">
        <f>100-(M$435-Tabell2[[#This Row],[Beftettotal-T]])*100/M$438</f>
        <v>0</v>
      </c>
      <c r="W338" s="44">
        <f>100-(N$435-Tabell2[[#This Row],[Befvekst10-T]])*100/N$438</f>
        <v>0</v>
      </c>
      <c r="X338" s="44">
        <f>100-(O$435-Tabell2[[#This Row],[Kvinneandel-T]])*100/O$438</f>
        <v>27.579692955215165</v>
      </c>
      <c r="Y338" s="44">
        <f>(P$435-Tabell2[[#This Row],[Eldreandel-T]])*100/P$438</f>
        <v>3.339064990448033</v>
      </c>
      <c r="Z338" s="44">
        <f>100-(Q$435-Tabell2[[#This Row],[Sysselsettingsvekst10-T]])*100/Q$438</f>
        <v>10.501464073623936</v>
      </c>
      <c r="AA338" s="44">
        <f>100-(R$435-Tabell2[[#This Row],[Yrkesaktivandel-T]])*100/R$438</f>
        <v>31.778769577857062</v>
      </c>
      <c r="AB338" s="44">
        <f>100-(S$435-Tabell2[[#This Row],[Inntekt-T]])*100/S$438</f>
        <v>0</v>
      </c>
      <c r="AC338" s="44">
        <f>Tabell2[[#This Row],[NIBR11-I]]*Vekter!$B$3</f>
        <v>10</v>
      </c>
      <c r="AD338" s="44">
        <f>Tabell2[[#This Row],[ReisetidOslo-I]]*Vekter!$C$3</f>
        <v>1.2531665675436532</v>
      </c>
      <c r="AE338" s="44">
        <f>Tabell2[[#This Row],[Beftettotal-I]]*Vekter!$E$4</f>
        <v>0</v>
      </c>
      <c r="AF338" s="44">
        <f>Tabell2[[#This Row],[Befvekst10-I]]*Vekter!$F$3</f>
        <v>0</v>
      </c>
      <c r="AG338" s="44">
        <f>Tabell2[[#This Row],[Kvinneandel-I]]*Vekter!$G$3</f>
        <v>1.3789846477607584</v>
      </c>
      <c r="AH338" s="44">
        <f>Tabell2[[#This Row],[Eldreandel-I]]*Vekter!$H$3</f>
        <v>0.16695324952240165</v>
      </c>
      <c r="AI338" s="44">
        <f>Tabell2[[#This Row],[Sysselsettingsvekst10-I]]*Vekter!$I$3</f>
        <v>1.0501464073623936</v>
      </c>
      <c r="AJ338" s="44">
        <f>Tabell2[[#This Row],[Yrkesaktivandel-I]]*Vekter!$K$3</f>
        <v>3.1778769577857062</v>
      </c>
      <c r="AK338" s="44">
        <f>Tabell2[[#This Row],[Inntekt-I]]*Vekter!$M$3</f>
        <v>0</v>
      </c>
      <c r="AL33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17.027127829974916</v>
      </c>
    </row>
    <row r="339" spans="1:38" s="38" customFormat="1" ht="12.75">
      <c r="A339" s="42" t="s">
        <v>337</v>
      </c>
      <c r="B339" s="38">
        <f>'Rådata-K'!Q339</f>
        <v>11</v>
      </c>
      <c r="C339" s="44">
        <f>'Rådata-K'!P339</f>
        <v>266.4131057852</v>
      </c>
      <c r="D339" s="41">
        <f>'Rådata-K'!R339</f>
        <v>2.4842151099499237</v>
      </c>
      <c r="E339" s="41">
        <f>'Rådata-K'!S339</f>
        <v>-9.0111642743221698E-2</v>
      </c>
      <c r="F339" s="41">
        <f>'Rådata-K'!T339</f>
        <v>7.9754601226993863E-2</v>
      </c>
      <c r="G339" s="41">
        <f>'Rådata-K'!U339</f>
        <v>0.18930762489044697</v>
      </c>
      <c r="H339" s="41">
        <f>'Rådata-K'!V339</f>
        <v>9.3816631130063888E-2</v>
      </c>
      <c r="I339" s="41">
        <f>'Rådata-K'!W339</f>
        <v>0.97235772357723582</v>
      </c>
      <c r="J339" s="41">
        <f>'Rådata-K'!O339</f>
        <v>279700</v>
      </c>
      <c r="K339" s="41">
        <f>Tabell2[[#This Row],[NIBR11]]</f>
        <v>11</v>
      </c>
      <c r="L339" s="41">
        <f>IF(Tabell2[[#This Row],[ReisetidOslo]]&lt;=C$433,C$433,IF(Tabell2[[#This Row],[ReisetidOslo]]&gt;=C$434,C$434,Tabell2[[#This Row],[ReisetidOslo]]))</f>
        <v>266.4131057852</v>
      </c>
      <c r="M339" s="41">
        <f>IF(Tabell2[[#This Row],[Beftettotal]]&lt;=D$433,D$433,IF(Tabell2[[#This Row],[Beftettotal]]&gt;=D$434,D$434,Tabell2[[#This Row],[Beftettotal]]))</f>
        <v>2.4842151099499237</v>
      </c>
      <c r="N339" s="41">
        <f>IF(Tabell2[[#This Row],[Befvekst10]]&lt;=E$433,E$433,IF(Tabell2[[#This Row],[Befvekst10]]&gt;=E$434,E$434,Tabell2[[#This Row],[Befvekst10]]))</f>
        <v>-9.0111642743221698E-2</v>
      </c>
      <c r="O339" s="41">
        <f>IF(Tabell2[[#This Row],[Kvinneandel]]&lt;=F$433,F$433,IF(Tabell2[[#This Row],[Kvinneandel]]&gt;=F$434,F$434,Tabell2[[#This Row],[Kvinneandel]]))</f>
        <v>9.1717808671657367E-2</v>
      </c>
      <c r="P339" s="41">
        <f>IF(Tabell2[[#This Row],[Eldreandel]]&lt;=G$433,G$433,IF(Tabell2[[#This Row],[Eldreandel]]&gt;=G$434,G$434,Tabell2[[#This Row],[Eldreandel]]))</f>
        <v>0.18930762489044697</v>
      </c>
      <c r="Q339" s="41">
        <f>IF(Tabell2[[#This Row],[Sysselsettingsvekst10]]&lt;=H$433,H$433,IF(Tabell2[[#This Row],[Sysselsettingsvekst10]]&gt;=H$434,H$434,Tabell2[[#This Row],[Sysselsettingsvekst10]]))</f>
        <v>9.3816631130063888E-2</v>
      </c>
      <c r="R339" s="41">
        <f>IF(Tabell2[[#This Row],[Yrkesaktivandel]]&lt;=I$433,I$433,IF(Tabell2[[#This Row],[Yrkesaktivandel]]&gt;=I$434,I$434,Tabell2[[#This Row],[Yrkesaktivandel]]))</f>
        <v>0.96033761343949164</v>
      </c>
      <c r="S339" s="41">
        <f>IF(Tabell2[[#This Row],[Inntekt]]&lt;=J$433,J$433,IF(Tabell2[[#This Row],[Inntekt]]&gt;=J$434,J$434,Tabell2[[#This Row],[Inntekt]]))</f>
        <v>292140</v>
      </c>
      <c r="T339" s="44">
        <f>IF(Tabell2[[#This Row],[NIBR11-T]]&lt;=K$436,100,IF(Tabell2[[#This Row],[NIBR11-T]]&gt;=K$435,0,100*(K$435-Tabell2[[#This Row],[NIBR11-T]])/K$438))</f>
        <v>0</v>
      </c>
      <c r="U339" s="44">
        <f>(L$435-Tabell2[[#This Row],[ReisetidOslo-T]])*100/L$438</f>
        <v>5.6126319258516046</v>
      </c>
      <c r="V339" s="44">
        <f>100-(M$435-Tabell2[[#This Row],[Beftettotal-T]])*100/M$438</f>
        <v>0.95170120935982538</v>
      </c>
      <c r="W339" s="44">
        <f>100-(N$435-Tabell2[[#This Row],[Befvekst10-T]])*100/N$438</f>
        <v>0.74948149970421696</v>
      </c>
      <c r="X339" s="44">
        <f>100-(O$435-Tabell2[[#This Row],[Kvinneandel-T]])*100/O$438</f>
        <v>0</v>
      </c>
      <c r="Y339" s="44">
        <f>(P$435-Tabell2[[#This Row],[Eldreandel-T]])*100/P$438</f>
        <v>11.345543264968867</v>
      </c>
      <c r="Z339" s="44">
        <f>100-(Q$435-Tabell2[[#This Row],[Sysselsettingsvekst10-T]])*100/Q$438</f>
        <v>54.682894280238429</v>
      </c>
      <c r="AA339" s="44">
        <f>100-(R$435-Tabell2[[#This Row],[Yrkesaktivandel-T]])*100/R$438</f>
        <v>100</v>
      </c>
      <c r="AB339" s="44">
        <f>100-(S$435-Tabell2[[#This Row],[Inntekt-T]])*100/S$438</f>
        <v>0</v>
      </c>
      <c r="AC339" s="44">
        <f>Tabell2[[#This Row],[NIBR11-I]]*Vekter!$B$3</f>
        <v>0</v>
      </c>
      <c r="AD339" s="44">
        <f>Tabell2[[#This Row],[ReisetidOslo-I]]*Vekter!$C$3</f>
        <v>0.56126319258516044</v>
      </c>
      <c r="AE339" s="44">
        <f>Tabell2[[#This Row],[Beftettotal-I]]*Vekter!$E$4</f>
        <v>9.5170120935982538E-2</v>
      </c>
      <c r="AF339" s="44">
        <f>Tabell2[[#This Row],[Befvekst10-I]]*Vekter!$F$3</f>
        <v>0.14989629994084341</v>
      </c>
      <c r="AG339" s="44">
        <f>Tabell2[[#This Row],[Kvinneandel-I]]*Vekter!$G$3</f>
        <v>0</v>
      </c>
      <c r="AH339" s="44">
        <f>Tabell2[[#This Row],[Eldreandel-I]]*Vekter!$H$3</f>
        <v>0.56727716324844335</v>
      </c>
      <c r="AI339" s="44">
        <f>Tabell2[[#This Row],[Sysselsettingsvekst10-I]]*Vekter!$I$3</f>
        <v>5.4682894280238434</v>
      </c>
      <c r="AJ339" s="44">
        <f>Tabell2[[#This Row],[Yrkesaktivandel-I]]*Vekter!$K$3</f>
        <v>10</v>
      </c>
      <c r="AK339" s="44">
        <f>Tabell2[[#This Row],[Inntekt-I]]*Vekter!$M$3</f>
        <v>0</v>
      </c>
      <c r="AL33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16.841896204734272</v>
      </c>
    </row>
    <row r="340" spans="1:38" s="38" customFormat="1" ht="12.75">
      <c r="A340" s="42" t="s">
        <v>338</v>
      </c>
      <c r="B340" s="38">
        <f>'Rådata-K'!Q340</f>
        <v>9</v>
      </c>
      <c r="C340" s="44">
        <f>'Rådata-K'!P340</f>
        <v>219.66315842007</v>
      </c>
      <c r="D340" s="41">
        <f>'Rådata-K'!R340</f>
        <v>13.332285444828672</v>
      </c>
      <c r="E340" s="41">
        <f>'Rådata-K'!S340</f>
        <v>7.3670886075949404E-2</v>
      </c>
      <c r="F340" s="41">
        <f>'Rådata-K'!T340</f>
        <v>0.12190521103513323</v>
      </c>
      <c r="G340" s="41">
        <f>'Rådata-K'!U340</f>
        <v>0.14194765385522282</v>
      </c>
      <c r="H340" s="41">
        <f>'Rådata-K'!V340</f>
        <v>0.23258096172718346</v>
      </c>
      <c r="I340" s="41">
        <f>'Rådata-K'!W340</f>
        <v>0.91143911439114389</v>
      </c>
      <c r="J340" s="41">
        <f>'Rådata-K'!O340</f>
        <v>333000</v>
      </c>
      <c r="K340" s="41">
        <f>Tabell2[[#This Row],[NIBR11]]</f>
        <v>9</v>
      </c>
      <c r="L340" s="41">
        <f>IF(Tabell2[[#This Row],[ReisetidOslo]]&lt;=C$433,C$433,IF(Tabell2[[#This Row],[ReisetidOslo]]&gt;=C$434,C$434,Tabell2[[#This Row],[ReisetidOslo]]))</f>
        <v>219.66315842007</v>
      </c>
      <c r="M340" s="41">
        <f>IF(Tabell2[[#This Row],[Beftettotal]]&lt;=D$433,D$433,IF(Tabell2[[#This Row],[Beftettotal]]&gt;=D$434,D$434,Tabell2[[#This Row],[Beftettotal]]))</f>
        <v>13.332285444828672</v>
      </c>
      <c r="N340" s="41">
        <f>IF(Tabell2[[#This Row],[Befvekst10]]&lt;=E$433,E$433,IF(Tabell2[[#This Row],[Befvekst10]]&gt;=E$434,E$434,Tabell2[[#This Row],[Befvekst10]]))</f>
        <v>7.3670886075949404E-2</v>
      </c>
      <c r="O340" s="41">
        <f>IF(Tabell2[[#This Row],[Kvinneandel]]&lt;=F$433,F$433,IF(Tabell2[[#This Row],[Kvinneandel]]&gt;=F$434,F$434,Tabell2[[#This Row],[Kvinneandel]]))</f>
        <v>0.12190521103513323</v>
      </c>
      <c r="P340" s="41">
        <f>IF(Tabell2[[#This Row],[Eldreandel]]&lt;=G$433,G$433,IF(Tabell2[[#This Row],[Eldreandel]]&gt;=G$434,G$434,Tabell2[[#This Row],[Eldreandel]]))</f>
        <v>0.14194765385522282</v>
      </c>
      <c r="Q340" s="41">
        <f>IF(Tabell2[[#This Row],[Sysselsettingsvekst10]]&lt;=H$433,H$433,IF(Tabell2[[#This Row],[Sysselsettingsvekst10]]&gt;=H$434,H$434,Tabell2[[#This Row],[Sysselsettingsvekst10]]))</f>
        <v>0.23258096172718346</v>
      </c>
      <c r="R340" s="41">
        <f>IF(Tabell2[[#This Row],[Yrkesaktivandel]]&lt;=I$433,I$433,IF(Tabell2[[#This Row],[Yrkesaktivandel]]&gt;=I$434,I$434,Tabell2[[#This Row],[Yrkesaktivandel]]))</f>
        <v>0.91143911439114389</v>
      </c>
      <c r="S340" s="41">
        <f>IF(Tabell2[[#This Row],[Inntekt]]&lt;=J$433,J$433,IF(Tabell2[[#This Row],[Inntekt]]&gt;=J$434,J$434,Tabell2[[#This Row],[Inntekt]]))</f>
        <v>333000</v>
      </c>
      <c r="T340" s="44">
        <f>IF(Tabell2[[#This Row],[NIBR11-T]]&lt;=K$436,100,IF(Tabell2[[#This Row],[NIBR11-T]]&gt;=K$435,0,100*(K$435-Tabell2[[#This Row],[NIBR11-T]])/K$438))</f>
        <v>20</v>
      </c>
      <c r="U340" s="44">
        <f>(L$435-Tabell2[[#This Row],[ReisetidOslo-T]])*100/L$438</f>
        <v>26.367298727598165</v>
      </c>
      <c r="V340" s="44">
        <f>100-(M$435-Tabell2[[#This Row],[Beftettotal-T]])*100/M$438</f>
        <v>9.8254966462275348</v>
      </c>
      <c r="W340" s="44">
        <f>100-(N$435-Tabell2[[#This Row],[Befvekst10-T]])*100/N$438</f>
        <v>68.508750334997927</v>
      </c>
      <c r="X340" s="44">
        <f>100-(O$435-Tabell2[[#This Row],[Kvinneandel-T]])*100/O$438</f>
        <v>82.606652814483311</v>
      </c>
      <c r="Y340" s="44">
        <f>(P$435-Tabell2[[#This Row],[Eldreandel-T]])*100/P$438</f>
        <v>67.106967229580945</v>
      </c>
      <c r="Z340" s="44">
        <f>100-(Q$435-Tabell2[[#This Row],[Sysselsettingsvekst10-T]])*100/Q$438</f>
        <v>95.481977459023895</v>
      </c>
      <c r="AA340" s="44">
        <f>100-(R$435-Tabell2[[#This Row],[Yrkesaktivandel-T]])*100/R$438</f>
        <v>63.48350018053064</v>
      </c>
      <c r="AB340" s="44">
        <f>100-(S$435-Tabell2[[#This Row],[Inntekt-T]])*100/S$438</f>
        <v>55.546492659053833</v>
      </c>
      <c r="AC340" s="44">
        <f>Tabell2[[#This Row],[NIBR11-I]]*Vekter!$B$3</f>
        <v>4</v>
      </c>
      <c r="AD340" s="44">
        <f>Tabell2[[#This Row],[ReisetidOslo-I]]*Vekter!$C$3</f>
        <v>2.6367298727598167</v>
      </c>
      <c r="AE340" s="44">
        <f>Tabell2[[#This Row],[Beftettotal-I]]*Vekter!$E$4</f>
        <v>0.9825496646227535</v>
      </c>
      <c r="AF340" s="44">
        <f>Tabell2[[#This Row],[Befvekst10-I]]*Vekter!$F$3</f>
        <v>13.701750066999587</v>
      </c>
      <c r="AG340" s="44">
        <f>Tabell2[[#This Row],[Kvinneandel-I]]*Vekter!$G$3</f>
        <v>4.1303326407241654</v>
      </c>
      <c r="AH340" s="44">
        <f>Tabell2[[#This Row],[Eldreandel-I]]*Vekter!$H$3</f>
        <v>3.3553483614790474</v>
      </c>
      <c r="AI340" s="44">
        <f>Tabell2[[#This Row],[Sysselsettingsvekst10-I]]*Vekter!$I$3</f>
        <v>9.5481977459023906</v>
      </c>
      <c r="AJ340" s="44">
        <f>Tabell2[[#This Row],[Yrkesaktivandel-I]]*Vekter!$K$3</f>
        <v>6.3483500180530648</v>
      </c>
      <c r="AK340" s="44">
        <f>Tabell2[[#This Row],[Inntekt-I]]*Vekter!$M$3</f>
        <v>5.5546492659053834</v>
      </c>
      <c r="AL34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50.257907636446205</v>
      </c>
    </row>
    <row r="341" spans="1:38" s="38" customFormat="1" ht="12.75">
      <c r="A341" s="42" t="s">
        <v>339</v>
      </c>
      <c r="B341" s="38">
        <f>'Rådata-K'!Q341</f>
        <v>9</v>
      </c>
      <c r="C341" s="44">
        <f>'Rådata-K'!P341</f>
        <v>233.0825890966</v>
      </c>
      <c r="D341" s="41">
        <f>'Rådata-K'!R341</f>
        <v>4.7519053556195097</v>
      </c>
      <c r="E341" s="41">
        <f>'Rådata-K'!S341</f>
        <v>-4.3043232018123434E-2</v>
      </c>
      <c r="F341" s="41">
        <f>'Rådata-K'!T341</f>
        <v>9.6863286644308544E-2</v>
      </c>
      <c r="G341" s="41">
        <f>'Rådata-K'!U341</f>
        <v>0.16946143223515486</v>
      </c>
      <c r="H341" s="41">
        <f>'Rådata-K'!V341</f>
        <v>-6.2256809338521402E-2</v>
      </c>
      <c r="I341" s="41">
        <f>'Rådata-K'!W341</f>
        <v>0.89571428571428569</v>
      </c>
      <c r="J341" s="41">
        <f>'Rådata-K'!O341</f>
        <v>306800</v>
      </c>
      <c r="K341" s="41">
        <f>Tabell2[[#This Row],[NIBR11]]</f>
        <v>9</v>
      </c>
      <c r="L341" s="41">
        <f>IF(Tabell2[[#This Row],[ReisetidOslo]]&lt;=C$433,C$433,IF(Tabell2[[#This Row],[ReisetidOslo]]&gt;=C$434,C$434,Tabell2[[#This Row],[ReisetidOslo]]))</f>
        <v>233.0825890966</v>
      </c>
      <c r="M341" s="41">
        <f>IF(Tabell2[[#This Row],[Beftettotal]]&lt;=D$433,D$433,IF(Tabell2[[#This Row],[Beftettotal]]&gt;=D$434,D$434,Tabell2[[#This Row],[Beftettotal]]))</f>
        <v>4.7519053556195097</v>
      </c>
      <c r="N341" s="41">
        <f>IF(Tabell2[[#This Row],[Befvekst10]]&lt;=E$433,E$433,IF(Tabell2[[#This Row],[Befvekst10]]&gt;=E$434,E$434,Tabell2[[#This Row],[Befvekst10]]))</f>
        <v>-4.3043232018123434E-2</v>
      </c>
      <c r="O341" s="41">
        <f>IF(Tabell2[[#This Row],[Kvinneandel]]&lt;=F$433,F$433,IF(Tabell2[[#This Row],[Kvinneandel]]&gt;=F$434,F$434,Tabell2[[#This Row],[Kvinneandel]]))</f>
        <v>9.6863286644308544E-2</v>
      </c>
      <c r="P341" s="41">
        <f>IF(Tabell2[[#This Row],[Eldreandel]]&lt;=G$433,G$433,IF(Tabell2[[#This Row],[Eldreandel]]&gt;=G$434,G$434,Tabell2[[#This Row],[Eldreandel]]))</f>
        <v>0.16946143223515486</v>
      </c>
      <c r="Q341" s="41">
        <f>IF(Tabell2[[#This Row],[Sysselsettingsvekst10]]&lt;=H$433,H$433,IF(Tabell2[[#This Row],[Sysselsettingsvekst10]]&gt;=H$434,H$434,Tabell2[[#This Row],[Sysselsettingsvekst10]]))</f>
        <v>-6.2256809338521402E-2</v>
      </c>
      <c r="R341" s="41">
        <f>IF(Tabell2[[#This Row],[Yrkesaktivandel]]&lt;=I$433,I$433,IF(Tabell2[[#This Row],[Yrkesaktivandel]]&gt;=I$434,I$434,Tabell2[[#This Row],[Yrkesaktivandel]]))</f>
        <v>0.89571428571428569</v>
      </c>
      <c r="S341" s="41">
        <f>IF(Tabell2[[#This Row],[Inntekt]]&lt;=J$433,J$433,IF(Tabell2[[#This Row],[Inntekt]]&gt;=J$434,J$434,Tabell2[[#This Row],[Inntekt]]))</f>
        <v>306800</v>
      </c>
      <c r="T341" s="44">
        <f>IF(Tabell2[[#This Row],[NIBR11-T]]&lt;=K$436,100,IF(Tabell2[[#This Row],[NIBR11-T]]&gt;=K$435,0,100*(K$435-Tabell2[[#This Row],[NIBR11-T]])/K$438))</f>
        <v>20</v>
      </c>
      <c r="U341" s="44">
        <f>(L$435-Tabell2[[#This Row],[ReisetidOslo-T]])*100/L$438</f>
        <v>20.40973453645093</v>
      </c>
      <c r="V341" s="44">
        <f>100-(M$435-Tabell2[[#This Row],[Beftettotal-T]])*100/M$438</f>
        <v>2.8066872790530368</v>
      </c>
      <c r="W341" s="44">
        <f>100-(N$435-Tabell2[[#This Row],[Befvekst10-T]])*100/N$438</f>
        <v>20.22238327357546</v>
      </c>
      <c r="X341" s="44">
        <f>100-(O$435-Tabell2[[#This Row],[Kvinneandel-T]])*100/O$438</f>
        <v>14.080400404562198</v>
      </c>
      <c r="Y341" s="44">
        <f>(P$435-Tabell2[[#This Row],[Eldreandel-T]])*100/P$438</f>
        <v>34.712364201409841</v>
      </c>
      <c r="Z341" s="44">
        <f>100-(Q$435-Tabell2[[#This Row],[Sysselsettingsvekst10-T]])*100/Q$438</f>
        <v>8.7946371735579447</v>
      </c>
      <c r="AA341" s="44">
        <f>100-(R$435-Tabell2[[#This Row],[Yrkesaktivandel-T]])*100/R$438</f>
        <v>51.740487312754667</v>
      </c>
      <c r="AB341" s="44">
        <f>100-(S$435-Tabell2[[#This Row],[Inntekt-T]])*100/S$438</f>
        <v>19.929309407286567</v>
      </c>
      <c r="AC341" s="44">
        <f>Tabell2[[#This Row],[NIBR11-I]]*Vekter!$B$3</f>
        <v>4</v>
      </c>
      <c r="AD341" s="44">
        <f>Tabell2[[#This Row],[ReisetidOslo-I]]*Vekter!$C$3</f>
        <v>2.0409734536450932</v>
      </c>
      <c r="AE341" s="44">
        <f>Tabell2[[#This Row],[Beftettotal-I]]*Vekter!$E$4</f>
        <v>0.28066872790530367</v>
      </c>
      <c r="AF341" s="44">
        <f>Tabell2[[#This Row],[Befvekst10-I]]*Vekter!$F$3</f>
        <v>4.0444766547150923</v>
      </c>
      <c r="AG341" s="44">
        <f>Tabell2[[#This Row],[Kvinneandel-I]]*Vekter!$G$3</f>
        <v>0.70402002022810994</v>
      </c>
      <c r="AH341" s="44">
        <f>Tabell2[[#This Row],[Eldreandel-I]]*Vekter!$H$3</f>
        <v>1.7356182100704922</v>
      </c>
      <c r="AI341" s="44">
        <f>Tabell2[[#This Row],[Sysselsettingsvekst10-I]]*Vekter!$I$3</f>
        <v>0.87946371735579454</v>
      </c>
      <c r="AJ341" s="44">
        <f>Tabell2[[#This Row],[Yrkesaktivandel-I]]*Vekter!$K$3</f>
        <v>5.1740487312754668</v>
      </c>
      <c r="AK341" s="44">
        <f>Tabell2[[#This Row],[Inntekt-I]]*Vekter!$M$3</f>
        <v>1.9929309407286568</v>
      </c>
      <c r="AL34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20.852200455924006</v>
      </c>
    </row>
    <row r="342" spans="1:38" s="38" customFormat="1" ht="12.75">
      <c r="A342" s="42" t="s">
        <v>340</v>
      </c>
      <c r="B342" s="38">
        <f>'Rådata-K'!Q342</f>
        <v>11</v>
      </c>
      <c r="C342" s="44">
        <f>'Rådata-K'!P342</f>
        <v>296.17561002799999</v>
      </c>
      <c r="D342" s="41">
        <f>'Rådata-K'!R342</f>
        <v>5.2338326635001824</v>
      </c>
      <c r="E342" s="41">
        <f>'Rådata-K'!S342</f>
        <v>-0.16228070175438591</v>
      </c>
      <c r="F342" s="41">
        <f>'Rådata-K'!T342</f>
        <v>8.7260034904013961E-2</v>
      </c>
      <c r="G342" s="41">
        <f>'Rådata-K'!U342</f>
        <v>0.24432809773123909</v>
      </c>
      <c r="H342" s="41">
        <f>'Rådata-K'!V342</f>
        <v>3.8910505836575959E-2</v>
      </c>
      <c r="I342" s="41">
        <f>'Rådata-K'!W342</f>
        <v>1.0068027210884354</v>
      </c>
      <c r="J342" s="41">
        <f>'Rådata-K'!O342</f>
        <v>279500</v>
      </c>
      <c r="K342" s="41">
        <f>Tabell2[[#This Row],[NIBR11]]</f>
        <v>11</v>
      </c>
      <c r="L342" s="41">
        <f>IF(Tabell2[[#This Row],[ReisetidOslo]]&lt;=C$433,C$433,IF(Tabell2[[#This Row],[ReisetidOslo]]&gt;=C$434,C$434,Tabell2[[#This Row],[ReisetidOslo]]))</f>
        <v>279.05557553043002</v>
      </c>
      <c r="M342" s="41">
        <f>IF(Tabell2[[#This Row],[Beftettotal]]&lt;=D$433,D$433,IF(Tabell2[[#This Row],[Beftettotal]]&gt;=D$434,D$434,Tabell2[[#This Row],[Beftettotal]]))</f>
        <v>5.2338326635001824</v>
      </c>
      <c r="N342" s="41">
        <f>IF(Tabell2[[#This Row],[Befvekst10]]&lt;=E$433,E$433,IF(Tabell2[[#This Row],[Befvekst10]]&gt;=E$434,E$434,Tabell2[[#This Row],[Befvekst10]]))</f>
        <v>-9.1923232174966049E-2</v>
      </c>
      <c r="O342" s="41">
        <f>IF(Tabell2[[#This Row],[Kvinneandel]]&lt;=F$433,F$433,IF(Tabell2[[#This Row],[Kvinneandel]]&gt;=F$434,F$434,Tabell2[[#This Row],[Kvinneandel]]))</f>
        <v>9.1717808671657367E-2</v>
      </c>
      <c r="P342" s="41">
        <f>IF(Tabell2[[#This Row],[Eldreandel]]&lt;=G$433,G$433,IF(Tabell2[[#This Row],[Eldreandel]]&gt;=G$434,G$434,Tabell2[[#This Row],[Eldreandel]]))</f>
        <v>0.1989437597342919</v>
      </c>
      <c r="Q342" s="41">
        <f>IF(Tabell2[[#This Row],[Sysselsettingsvekst10]]&lt;=H$433,H$433,IF(Tabell2[[#This Row],[Sysselsettingsvekst10]]&gt;=H$434,H$434,Tabell2[[#This Row],[Sysselsettingsvekst10]]))</f>
        <v>3.8910505836575959E-2</v>
      </c>
      <c r="R342" s="41">
        <f>IF(Tabell2[[#This Row],[Yrkesaktivandel]]&lt;=I$433,I$433,IF(Tabell2[[#This Row],[Yrkesaktivandel]]&gt;=I$434,I$434,Tabell2[[#This Row],[Yrkesaktivandel]]))</f>
        <v>0.96033761343949164</v>
      </c>
      <c r="S342" s="41">
        <f>IF(Tabell2[[#This Row],[Inntekt]]&lt;=J$433,J$433,IF(Tabell2[[#This Row],[Inntekt]]&gt;=J$434,J$434,Tabell2[[#This Row],[Inntekt]]))</f>
        <v>292140</v>
      </c>
      <c r="T342" s="44">
        <f>IF(Tabell2[[#This Row],[NIBR11-T]]&lt;=K$436,100,IF(Tabell2[[#This Row],[NIBR11-T]]&gt;=K$435,0,100*(K$435-Tabell2[[#This Row],[NIBR11-T]])/K$438))</f>
        <v>0</v>
      </c>
      <c r="U342" s="44">
        <f>(L$435-Tabell2[[#This Row],[ReisetidOslo-T]])*100/L$438</f>
        <v>0</v>
      </c>
      <c r="V342" s="44">
        <f>100-(M$435-Tabell2[[#This Row],[Beftettotal-T]])*100/M$438</f>
        <v>3.2009071000495339</v>
      </c>
      <c r="W342" s="44">
        <f>100-(N$435-Tabell2[[#This Row],[Befvekst10-T]])*100/N$438</f>
        <v>0</v>
      </c>
      <c r="X342" s="44">
        <f>100-(O$435-Tabell2[[#This Row],[Kvinneandel-T]])*100/O$438</f>
        <v>0</v>
      </c>
      <c r="Y342" s="44">
        <f>(P$435-Tabell2[[#This Row],[Eldreandel-T]])*100/P$438</f>
        <v>0</v>
      </c>
      <c r="Z342" s="44">
        <f>100-(Q$435-Tabell2[[#This Row],[Sysselsettingsvekst10-T]])*100/Q$438</f>
        <v>38.539555691464741</v>
      </c>
      <c r="AA342" s="44">
        <f>100-(R$435-Tabell2[[#This Row],[Yrkesaktivandel-T]])*100/R$438</f>
        <v>100</v>
      </c>
      <c r="AB342" s="44">
        <f>100-(S$435-Tabell2[[#This Row],[Inntekt-T]])*100/S$438</f>
        <v>0</v>
      </c>
      <c r="AC342" s="44">
        <f>Tabell2[[#This Row],[NIBR11-I]]*Vekter!$B$3</f>
        <v>0</v>
      </c>
      <c r="AD342" s="44">
        <f>Tabell2[[#This Row],[ReisetidOslo-I]]*Vekter!$C$3</f>
        <v>0</v>
      </c>
      <c r="AE342" s="44">
        <f>Tabell2[[#This Row],[Beftettotal-I]]*Vekter!$E$4</f>
        <v>0.32009071000495343</v>
      </c>
      <c r="AF342" s="44">
        <f>Tabell2[[#This Row],[Befvekst10-I]]*Vekter!$F$3</f>
        <v>0</v>
      </c>
      <c r="AG342" s="44">
        <f>Tabell2[[#This Row],[Kvinneandel-I]]*Vekter!$G$3</f>
        <v>0</v>
      </c>
      <c r="AH342" s="44">
        <f>Tabell2[[#This Row],[Eldreandel-I]]*Vekter!$H$3</f>
        <v>0</v>
      </c>
      <c r="AI342" s="44">
        <f>Tabell2[[#This Row],[Sysselsettingsvekst10-I]]*Vekter!$I$3</f>
        <v>3.8539555691464744</v>
      </c>
      <c r="AJ342" s="44">
        <f>Tabell2[[#This Row],[Yrkesaktivandel-I]]*Vekter!$K$3</f>
        <v>10</v>
      </c>
      <c r="AK342" s="44">
        <f>Tabell2[[#This Row],[Inntekt-I]]*Vekter!$M$3</f>
        <v>0</v>
      </c>
      <c r="AL34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14.174046279151428</v>
      </c>
    </row>
    <row r="343" spans="1:38" s="38" customFormat="1" ht="12.75">
      <c r="A343" s="42" t="s">
        <v>341</v>
      </c>
      <c r="B343" s="38">
        <f>'Rådata-K'!Q343</f>
        <v>6</v>
      </c>
      <c r="C343" s="44">
        <f>'Rådata-K'!P343</f>
        <v>214.90922345249999</v>
      </c>
      <c r="D343" s="41">
        <f>'Rådata-K'!R343</f>
        <v>18.305038335158816</v>
      </c>
      <c r="E343" s="41">
        <f>'Rådata-K'!S343</f>
        <v>-1.3429752066115741E-2</v>
      </c>
      <c r="F343" s="41">
        <f>'Rådata-K'!T343</f>
        <v>0.10097232610321616</v>
      </c>
      <c r="G343" s="41">
        <f>'Rådata-K'!U343</f>
        <v>0.14794315632011967</v>
      </c>
      <c r="H343" s="41">
        <f>'Rådata-K'!V343</f>
        <v>6.416861826697895E-2</v>
      </c>
      <c r="I343" s="41">
        <f>'Rådata-K'!W343</f>
        <v>0.89700374531835203</v>
      </c>
      <c r="J343" s="41">
        <f>'Rådata-K'!O343</f>
        <v>313200</v>
      </c>
      <c r="K343" s="41">
        <f>Tabell2[[#This Row],[NIBR11]]</f>
        <v>6</v>
      </c>
      <c r="L343" s="41">
        <f>IF(Tabell2[[#This Row],[ReisetidOslo]]&lt;=C$433,C$433,IF(Tabell2[[#This Row],[ReisetidOslo]]&gt;=C$434,C$434,Tabell2[[#This Row],[ReisetidOslo]]))</f>
        <v>214.90922345249999</v>
      </c>
      <c r="M343" s="41">
        <f>IF(Tabell2[[#This Row],[Beftettotal]]&lt;=D$433,D$433,IF(Tabell2[[#This Row],[Beftettotal]]&gt;=D$434,D$434,Tabell2[[#This Row],[Beftettotal]]))</f>
        <v>18.305038335158816</v>
      </c>
      <c r="N343" s="41">
        <f>IF(Tabell2[[#This Row],[Befvekst10]]&lt;=E$433,E$433,IF(Tabell2[[#This Row],[Befvekst10]]&gt;=E$434,E$434,Tabell2[[#This Row],[Befvekst10]]))</f>
        <v>-1.3429752066115741E-2</v>
      </c>
      <c r="O343" s="41">
        <f>IF(Tabell2[[#This Row],[Kvinneandel]]&lt;=F$433,F$433,IF(Tabell2[[#This Row],[Kvinneandel]]&gt;=F$434,F$434,Tabell2[[#This Row],[Kvinneandel]]))</f>
        <v>0.10097232610321616</v>
      </c>
      <c r="P343" s="41">
        <f>IF(Tabell2[[#This Row],[Eldreandel]]&lt;=G$433,G$433,IF(Tabell2[[#This Row],[Eldreandel]]&gt;=G$434,G$434,Tabell2[[#This Row],[Eldreandel]]))</f>
        <v>0.14794315632011967</v>
      </c>
      <c r="Q343" s="41">
        <f>IF(Tabell2[[#This Row],[Sysselsettingsvekst10]]&lt;=H$433,H$433,IF(Tabell2[[#This Row],[Sysselsettingsvekst10]]&gt;=H$434,H$434,Tabell2[[#This Row],[Sysselsettingsvekst10]]))</f>
        <v>6.416861826697895E-2</v>
      </c>
      <c r="R343" s="41">
        <f>IF(Tabell2[[#This Row],[Yrkesaktivandel]]&lt;=I$433,I$433,IF(Tabell2[[#This Row],[Yrkesaktivandel]]&gt;=I$434,I$434,Tabell2[[#This Row],[Yrkesaktivandel]]))</f>
        <v>0.89700374531835203</v>
      </c>
      <c r="S343" s="41">
        <f>IF(Tabell2[[#This Row],[Inntekt]]&lt;=J$433,J$433,IF(Tabell2[[#This Row],[Inntekt]]&gt;=J$434,J$434,Tabell2[[#This Row],[Inntekt]]))</f>
        <v>313200</v>
      </c>
      <c r="T343" s="44">
        <f>IF(Tabell2[[#This Row],[NIBR11-T]]&lt;=K$436,100,IF(Tabell2[[#This Row],[NIBR11-T]]&gt;=K$435,0,100*(K$435-Tabell2[[#This Row],[NIBR11-T]])/K$438))</f>
        <v>50</v>
      </c>
      <c r="U343" s="44">
        <f>(L$435-Tabell2[[#This Row],[ReisetidOslo-T]])*100/L$438</f>
        <v>28.477810970071427</v>
      </c>
      <c r="V343" s="44">
        <f>100-(M$435-Tabell2[[#This Row],[Beftettotal-T]])*100/M$438</f>
        <v>13.893242387606477</v>
      </c>
      <c r="W343" s="44">
        <f>100-(N$435-Tabell2[[#This Row],[Befvekst10-T]])*100/N$438</f>
        <v>32.473920502140913</v>
      </c>
      <c r="X343" s="44">
        <f>100-(O$435-Tabell2[[#This Row],[Kvinneandel-T]])*100/O$438</f>
        <v>25.324627115293666</v>
      </c>
      <c r="Y343" s="44">
        <f>(P$435-Tabell2[[#This Row],[Eldreandel-T]])*100/P$438</f>
        <v>60.047888697262152</v>
      </c>
      <c r="Z343" s="44">
        <f>100-(Q$435-Tabell2[[#This Row],[Sysselsettingsvekst10-T]])*100/Q$438</f>
        <v>45.965872134261872</v>
      </c>
      <c r="AA343" s="44">
        <f>100-(R$435-Tabell2[[#This Row],[Yrkesaktivandel-T]])*100/R$438</f>
        <v>52.703432031212088</v>
      </c>
      <c r="AB343" s="44">
        <f>100-(S$435-Tabell2[[#This Row],[Inntekt-T]])*100/S$438</f>
        <v>28.629690048939636</v>
      </c>
      <c r="AC343" s="44">
        <f>Tabell2[[#This Row],[NIBR11-I]]*Vekter!$B$3</f>
        <v>10</v>
      </c>
      <c r="AD343" s="44">
        <f>Tabell2[[#This Row],[ReisetidOslo-I]]*Vekter!$C$3</f>
        <v>2.8477810970071431</v>
      </c>
      <c r="AE343" s="44">
        <f>Tabell2[[#This Row],[Beftettotal-I]]*Vekter!$E$4</f>
        <v>1.3893242387606479</v>
      </c>
      <c r="AF343" s="44">
        <f>Tabell2[[#This Row],[Befvekst10-I]]*Vekter!$F$3</f>
        <v>6.4947841004281832</v>
      </c>
      <c r="AG343" s="44">
        <f>Tabell2[[#This Row],[Kvinneandel-I]]*Vekter!$G$3</f>
        <v>1.2662313557646834</v>
      </c>
      <c r="AH343" s="44">
        <f>Tabell2[[#This Row],[Eldreandel-I]]*Vekter!$H$3</f>
        <v>3.002394434863108</v>
      </c>
      <c r="AI343" s="44">
        <f>Tabell2[[#This Row],[Sysselsettingsvekst10-I]]*Vekter!$I$3</f>
        <v>4.5965872134261874</v>
      </c>
      <c r="AJ343" s="44">
        <f>Tabell2[[#This Row],[Yrkesaktivandel-I]]*Vekter!$K$3</f>
        <v>5.2703432031212092</v>
      </c>
      <c r="AK343" s="44">
        <f>Tabell2[[#This Row],[Inntekt-I]]*Vekter!$M$3</f>
        <v>2.862969004893964</v>
      </c>
      <c r="AL34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37.730414648265125</v>
      </c>
    </row>
    <row r="344" spans="1:38" s="38" customFormat="1" ht="12.75">
      <c r="A344" s="42" t="s">
        <v>342</v>
      </c>
      <c r="B344" s="38">
        <f>'Rådata-K'!Q344</f>
        <v>4</v>
      </c>
      <c r="C344" s="44">
        <f>'Rådata-K'!P344</f>
        <v>192.87954273911998</v>
      </c>
      <c r="D344" s="41">
        <f>'Rådata-K'!R344</f>
        <v>34.7869191643438</v>
      </c>
      <c r="E344" s="41">
        <f>'Rådata-K'!S344</f>
        <v>0.1302987861811391</v>
      </c>
      <c r="F344" s="41">
        <f>'Rådata-K'!T344</f>
        <v>0.13578538680764943</v>
      </c>
      <c r="G344" s="41">
        <f>'Rådata-K'!U344</f>
        <v>0.11459667093469911</v>
      </c>
      <c r="H344" s="41">
        <f>'Rådata-K'!V344</f>
        <v>0.1293420173680695</v>
      </c>
      <c r="I344" s="41">
        <f>'Rådata-K'!W344</f>
        <v>0.89341533025278608</v>
      </c>
      <c r="J344" s="41">
        <f>'Rådata-K'!O344</f>
        <v>357800</v>
      </c>
      <c r="K344" s="41">
        <f>Tabell2[[#This Row],[NIBR11]]</f>
        <v>4</v>
      </c>
      <c r="L344" s="41">
        <f>IF(Tabell2[[#This Row],[ReisetidOslo]]&lt;=C$433,C$433,IF(Tabell2[[#This Row],[ReisetidOslo]]&gt;=C$434,C$434,Tabell2[[#This Row],[ReisetidOslo]]))</f>
        <v>192.87954273911998</v>
      </c>
      <c r="M344" s="41">
        <f>IF(Tabell2[[#This Row],[Beftettotal]]&lt;=D$433,D$433,IF(Tabell2[[#This Row],[Beftettotal]]&gt;=D$434,D$434,Tabell2[[#This Row],[Beftettotal]]))</f>
        <v>34.7869191643438</v>
      </c>
      <c r="N344" s="41">
        <f>IF(Tabell2[[#This Row],[Befvekst10]]&lt;=E$433,E$433,IF(Tabell2[[#This Row],[Befvekst10]]&gt;=E$434,E$434,Tabell2[[#This Row],[Befvekst10]]))</f>
        <v>0.1302987861811391</v>
      </c>
      <c r="O344" s="41">
        <f>IF(Tabell2[[#This Row],[Kvinneandel]]&lt;=F$433,F$433,IF(Tabell2[[#This Row],[Kvinneandel]]&gt;=F$434,F$434,Tabell2[[#This Row],[Kvinneandel]]))</f>
        <v>0.12826135732659469</v>
      </c>
      <c r="P344" s="41">
        <f>IF(Tabell2[[#This Row],[Eldreandel]]&lt;=G$433,G$433,IF(Tabell2[[#This Row],[Eldreandel]]&gt;=G$434,G$434,Tabell2[[#This Row],[Eldreandel]]))</f>
        <v>0.11459667093469911</v>
      </c>
      <c r="Q344" s="41">
        <f>IF(Tabell2[[#This Row],[Sysselsettingsvekst10]]&lt;=H$433,H$433,IF(Tabell2[[#This Row],[Sysselsettingsvekst10]]&gt;=H$434,H$434,Tabell2[[#This Row],[Sysselsettingsvekst10]]))</f>
        <v>0.1293420173680695</v>
      </c>
      <c r="R344" s="41">
        <f>IF(Tabell2[[#This Row],[Yrkesaktivandel]]&lt;=I$433,I$433,IF(Tabell2[[#This Row],[Yrkesaktivandel]]&gt;=I$434,I$434,Tabell2[[#This Row],[Yrkesaktivandel]]))</f>
        <v>0.89341533025278608</v>
      </c>
      <c r="S344" s="41">
        <f>IF(Tabell2[[#This Row],[Inntekt]]&lt;=J$433,J$433,IF(Tabell2[[#This Row],[Inntekt]]&gt;=J$434,J$434,Tabell2[[#This Row],[Inntekt]]))</f>
        <v>357800</v>
      </c>
      <c r="T344" s="44">
        <f>IF(Tabell2[[#This Row],[NIBR11-T]]&lt;=K$436,100,IF(Tabell2[[#This Row],[NIBR11-T]]&gt;=K$435,0,100*(K$435-Tabell2[[#This Row],[NIBR11-T]])/K$438))</f>
        <v>70</v>
      </c>
      <c r="U344" s="44">
        <f>(L$435-Tabell2[[#This Row],[ReisetidOslo-T]])*100/L$438</f>
        <v>38.25790076106221</v>
      </c>
      <c r="V344" s="44">
        <f>100-(M$435-Tabell2[[#This Row],[Beftettotal-T]])*100/M$438</f>
        <v>27.37553318938842</v>
      </c>
      <c r="W344" s="44">
        <f>100-(N$435-Tabell2[[#This Row],[Befvekst10-T]])*100/N$438</f>
        <v>91.936555086029273</v>
      </c>
      <c r="X344" s="44">
        <f>100-(O$435-Tabell2[[#This Row],[Kvinneandel-T]])*100/O$438</f>
        <v>100</v>
      </c>
      <c r="Y344" s="44">
        <f>(P$435-Tabell2[[#This Row],[Eldreandel-T]])*100/P$438</f>
        <v>99.30989559171752</v>
      </c>
      <c r="Z344" s="44">
        <f>100-(Q$435-Tabell2[[#This Row],[Sysselsettingsvekst10-T]])*100/Q$438</f>
        <v>65.127964579254865</v>
      </c>
      <c r="AA344" s="44">
        <f>100-(R$435-Tabell2[[#This Row],[Yrkesaktivandel-T]])*100/R$438</f>
        <v>50.023669653140729</v>
      </c>
      <c r="AB344" s="44">
        <f>100-(S$435-Tabell2[[#This Row],[Inntekt-T]])*100/S$438</f>
        <v>89.260467645459485</v>
      </c>
      <c r="AC344" s="44">
        <f>Tabell2[[#This Row],[NIBR11-I]]*Vekter!$B$3</f>
        <v>14</v>
      </c>
      <c r="AD344" s="44">
        <f>Tabell2[[#This Row],[ReisetidOslo-I]]*Vekter!$C$3</f>
        <v>3.8257900761062213</v>
      </c>
      <c r="AE344" s="44">
        <f>Tabell2[[#This Row],[Beftettotal-I]]*Vekter!$E$4</f>
        <v>2.7375533189388421</v>
      </c>
      <c r="AF344" s="44">
        <f>Tabell2[[#This Row],[Befvekst10-I]]*Vekter!$F$3</f>
        <v>18.387311017205857</v>
      </c>
      <c r="AG344" s="44">
        <f>Tabell2[[#This Row],[Kvinneandel-I]]*Vekter!$G$3</f>
        <v>5</v>
      </c>
      <c r="AH344" s="44">
        <f>Tabell2[[#This Row],[Eldreandel-I]]*Vekter!$H$3</f>
        <v>4.9654947795858764</v>
      </c>
      <c r="AI344" s="44">
        <f>Tabell2[[#This Row],[Sysselsettingsvekst10-I]]*Vekter!$I$3</f>
        <v>6.5127964579254867</v>
      </c>
      <c r="AJ344" s="44">
        <f>Tabell2[[#This Row],[Yrkesaktivandel-I]]*Vekter!$K$3</f>
        <v>5.0023669653140734</v>
      </c>
      <c r="AK344" s="44">
        <f>Tabell2[[#This Row],[Inntekt-I]]*Vekter!$M$3</f>
        <v>8.9260467645459496</v>
      </c>
      <c r="AL34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69.357359379622309</v>
      </c>
    </row>
    <row r="345" spans="1:38" s="38" customFormat="1" ht="12.75">
      <c r="A345" s="42" t="s">
        <v>343</v>
      </c>
      <c r="B345" s="38">
        <f>'Rådata-K'!Q345</f>
        <v>5</v>
      </c>
      <c r="C345" s="44">
        <f>'Rådata-K'!P345</f>
        <v>256.59525666288999</v>
      </c>
      <c r="D345" s="41">
        <f>'Rådata-K'!R345</f>
        <v>9.1317587273967593</v>
      </c>
      <c r="E345" s="41">
        <f>'Rådata-K'!S345</f>
        <v>-1.1895106785617671E-3</v>
      </c>
      <c r="F345" s="41">
        <f>'Rådata-K'!T345</f>
        <v>0.11546581497320414</v>
      </c>
      <c r="G345" s="41">
        <f>'Rådata-K'!U345</f>
        <v>0.15471228279110052</v>
      </c>
      <c r="H345" s="41">
        <f>'Rådata-K'!V345</f>
        <v>7.566579037604293E-2</v>
      </c>
      <c r="I345" s="41">
        <f>'Rådata-K'!W345</f>
        <v>0.84964355152300708</v>
      </c>
      <c r="J345" s="41">
        <f>'Rådata-K'!O345</f>
        <v>337600</v>
      </c>
      <c r="K345" s="41">
        <f>Tabell2[[#This Row],[NIBR11]]</f>
        <v>5</v>
      </c>
      <c r="L345" s="41">
        <f>IF(Tabell2[[#This Row],[ReisetidOslo]]&lt;=C$433,C$433,IF(Tabell2[[#This Row],[ReisetidOslo]]&gt;=C$434,C$434,Tabell2[[#This Row],[ReisetidOslo]]))</f>
        <v>256.59525666288999</v>
      </c>
      <c r="M345" s="41">
        <f>IF(Tabell2[[#This Row],[Beftettotal]]&lt;=D$433,D$433,IF(Tabell2[[#This Row],[Beftettotal]]&gt;=D$434,D$434,Tabell2[[#This Row],[Beftettotal]]))</f>
        <v>9.1317587273967593</v>
      </c>
      <c r="N345" s="41">
        <f>IF(Tabell2[[#This Row],[Befvekst10]]&lt;=E$433,E$433,IF(Tabell2[[#This Row],[Befvekst10]]&gt;=E$434,E$434,Tabell2[[#This Row],[Befvekst10]]))</f>
        <v>-1.1895106785617671E-3</v>
      </c>
      <c r="O345" s="41">
        <f>IF(Tabell2[[#This Row],[Kvinneandel]]&lt;=F$433,F$433,IF(Tabell2[[#This Row],[Kvinneandel]]&gt;=F$434,F$434,Tabell2[[#This Row],[Kvinneandel]]))</f>
        <v>0.11546581497320414</v>
      </c>
      <c r="P345" s="41">
        <f>IF(Tabell2[[#This Row],[Eldreandel]]&lt;=G$433,G$433,IF(Tabell2[[#This Row],[Eldreandel]]&gt;=G$434,G$434,Tabell2[[#This Row],[Eldreandel]]))</f>
        <v>0.15471228279110052</v>
      </c>
      <c r="Q345" s="41">
        <f>IF(Tabell2[[#This Row],[Sysselsettingsvekst10]]&lt;=H$433,H$433,IF(Tabell2[[#This Row],[Sysselsettingsvekst10]]&gt;=H$434,H$434,Tabell2[[#This Row],[Sysselsettingsvekst10]]))</f>
        <v>7.566579037604293E-2</v>
      </c>
      <c r="R345" s="41">
        <f>IF(Tabell2[[#This Row],[Yrkesaktivandel]]&lt;=I$433,I$433,IF(Tabell2[[#This Row],[Yrkesaktivandel]]&gt;=I$434,I$434,Tabell2[[#This Row],[Yrkesaktivandel]]))</f>
        <v>0.84964355152300708</v>
      </c>
      <c r="S345" s="41">
        <f>IF(Tabell2[[#This Row],[Inntekt]]&lt;=J$433,J$433,IF(Tabell2[[#This Row],[Inntekt]]&gt;=J$434,J$434,Tabell2[[#This Row],[Inntekt]]))</f>
        <v>337600</v>
      </c>
      <c r="T345" s="44">
        <f>IF(Tabell2[[#This Row],[NIBR11-T]]&lt;=K$436,100,IF(Tabell2[[#This Row],[NIBR11-T]]&gt;=K$435,0,100*(K$435-Tabell2[[#This Row],[NIBR11-T]])/K$438))</f>
        <v>60</v>
      </c>
      <c r="U345" s="44">
        <f>(L$435-Tabell2[[#This Row],[ReisetidOslo-T]])*100/L$438</f>
        <v>9.9712718544036942</v>
      </c>
      <c r="V345" s="44">
        <f>100-(M$435-Tabell2[[#This Row],[Beftettotal-T]])*100/M$438</f>
        <v>6.3894371751027279</v>
      </c>
      <c r="W345" s="44">
        <f>100-(N$435-Tabell2[[#This Row],[Befvekst10-T]])*100/N$438</f>
        <v>37.537890467483628</v>
      </c>
      <c r="X345" s="44">
        <f>100-(O$435-Tabell2[[#This Row],[Kvinneandel-T]])*100/O$438</f>
        <v>64.985495869017726</v>
      </c>
      <c r="Y345" s="44">
        <f>(P$435-Tabell2[[#This Row],[Eldreandel-T]])*100/P$438</f>
        <v>52.07794862407868</v>
      </c>
      <c r="Z345" s="44">
        <f>100-(Q$435-Tabell2[[#This Row],[Sysselsettingsvekst10-T]])*100/Q$438</f>
        <v>49.346237096785252</v>
      </c>
      <c r="AA345" s="44">
        <f>100-(R$435-Tabell2[[#This Row],[Yrkesaktivandel-T]])*100/R$438</f>
        <v>17.335710284419861</v>
      </c>
      <c r="AB345" s="44">
        <f>100-(S$435-Tabell2[[#This Row],[Inntekt-T]])*100/S$438</f>
        <v>61.79989124524198</v>
      </c>
      <c r="AC345" s="44">
        <f>Tabell2[[#This Row],[NIBR11-I]]*Vekter!$B$3</f>
        <v>12</v>
      </c>
      <c r="AD345" s="44">
        <f>Tabell2[[#This Row],[ReisetidOslo-I]]*Vekter!$C$3</f>
        <v>0.99712718544036949</v>
      </c>
      <c r="AE345" s="44">
        <f>Tabell2[[#This Row],[Beftettotal-I]]*Vekter!$E$4</f>
        <v>0.63894371751027279</v>
      </c>
      <c r="AF345" s="44">
        <f>Tabell2[[#This Row],[Befvekst10-I]]*Vekter!$F$3</f>
        <v>7.5075780934967256</v>
      </c>
      <c r="AG345" s="44">
        <f>Tabell2[[#This Row],[Kvinneandel-I]]*Vekter!$G$3</f>
        <v>3.2492747934508865</v>
      </c>
      <c r="AH345" s="44">
        <f>Tabell2[[#This Row],[Eldreandel-I]]*Vekter!$H$3</f>
        <v>2.6038974312039342</v>
      </c>
      <c r="AI345" s="44">
        <f>Tabell2[[#This Row],[Sysselsettingsvekst10-I]]*Vekter!$I$3</f>
        <v>4.9346237096785259</v>
      </c>
      <c r="AJ345" s="44">
        <f>Tabell2[[#This Row],[Yrkesaktivandel-I]]*Vekter!$K$3</f>
        <v>1.7335710284419861</v>
      </c>
      <c r="AK345" s="44">
        <f>Tabell2[[#This Row],[Inntekt-I]]*Vekter!$M$3</f>
        <v>6.179989124524198</v>
      </c>
      <c r="AL34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39.845005083746898</v>
      </c>
    </row>
    <row r="346" spans="1:38" s="38" customFormat="1" ht="12.75">
      <c r="A346" s="42" t="s">
        <v>344</v>
      </c>
      <c r="B346" s="38">
        <f>'Rådata-K'!Q346</f>
        <v>11</v>
      </c>
      <c r="C346" s="44">
        <f>'Rådata-K'!P346</f>
        <v>275.81586618590001</v>
      </c>
      <c r="D346" s="41">
        <f>'Rådata-K'!R346</f>
        <v>1.235290396052132</v>
      </c>
      <c r="E346" s="41">
        <f>'Rådata-K'!S346</f>
        <v>-0.16336368505623999</v>
      </c>
      <c r="F346" s="41">
        <f>'Rådata-K'!T346</f>
        <v>8.5147247119078104E-2</v>
      </c>
      <c r="G346" s="41">
        <f>'Rådata-K'!U346</f>
        <v>0.21062740076824585</v>
      </c>
      <c r="H346" s="41">
        <f>'Rådata-K'!V346</f>
        <v>-0.24220963172804533</v>
      </c>
      <c r="I346" s="41">
        <f>'Rådata-K'!W346</f>
        <v>0.81807372175980975</v>
      </c>
      <c r="J346" s="41">
        <f>'Rådata-K'!O346</f>
        <v>278400</v>
      </c>
      <c r="K346" s="41">
        <f>Tabell2[[#This Row],[NIBR11]]</f>
        <v>11</v>
      </c>
      <c r="L346" s="41">
        <f>IF(Tabell2[[#This Row],[ReisetidOslo]]&lt;=C$433,C$433,IF(Tabell2[[#This Row],[ReisetidOslo]]&gt;=C$434,C$434,Tabell2[[#This Row],[ReisetidOslo]]))</f>
        <v>275.81586618590001</v>
      </c>
      <c r="M346" s="41">
        <f>IF(Tabell2[[#This Row],[Beftettotal]]&lt;=D$433,D$433,IF(Tabell2[[#This Row],[Beftettotal]]&gt;=D$434,D$434,Tabell2[[#This Row],[Beftettotal]]))</f>
        <v>1.3207758882127238</v>
      </c>
      <c r="N346" s="41">
        <f>IF(Tabell2[[#This Row],[Befvekst10]]&lt;=E$433,E$433,IF(Tabell2[[#This Row],[Befvekst10]]&gt;=E$434,E$434,Tabell2[[#This Row],[Befvekst10]]))</f>
        <v>-9.1923232174966049E-2</v>
      </c>
      <c r="O346" s="41">
        <f>IF(Tabell2[[#This Row],[Kvinneandel]]&lt;=F$433,F$433,IF(Tabell2[[#This Row],[Kvinneandel]]&gt;=F$434,F$434,Tabell2[[#This Row],[Kvinneandel]]))</f>
        <v>9.1717808671657367E-2</v>
      </c>
      <c r="P346" s="41">
        <f>IF(Tabell2[[#This Row],[Eldreandel]]&lt;=G$433,G$433,IF(Tabell2[[#This Row],[Eldreandel]]&gt;=G$434,G$434,Tabell2[[#This Row],[Eldreandel]]))</f>
        <v>0.1989437597342919</v>
      </c>
      <c r="Q346" s="41">
        <f>IF(Tabell2[[#This Row],[Sysselsettingsvekst10]]&lt;=H$433,H$433,IF(Tabell2[[#This Row],[Sysselsettingsvekst10]]&gt;=H$434,H$434,Tabell2[[#This Row],[Sysselsettingsvekst10]]))</f>
        <v>-9.2168803558721979E-2</v>
      </c>
      <c r="R346" s="41">
        <f>IF(Tabell2[[#This Row],[Yrkesaktivandel]]&lt;=I$433,I$433,IF(Tabell2[[#This Row],[Yrkesaktivandel]]&gt;=I$434,I$434,Tabell2[[#This Row],[Yrkesaktivandel]]))</f>
        <v>0.82642965596795781</v>
      </c>
      <c r="S346" s="41">
        <f>IF(Tabell2[[#This Row],[Inntekt]]&lt;=J$433,J$433,IF(Tabell2[[#This Row],[Inntekt]]&gt;=J$434,J$434,Tabell2[[#This Row],[Inntekt]]))</f>
        <v>292140</v>
      </c>
      <c r="T346" s="44">
        <f>IF(Tabell2[[#This Row],[NIBR11-T]]&lt;=K$436,100,IF(Tabell2[[#This Row],[NIBR11-T]]&gt;=K$435,0,100*(K$435-Tabell2[[#This Row],[NIBR11-T]])/K$438))</f>
        <v>0</v>
      </c>
      <c r="U346" s="44">
        <f>(L$435-Tabell2[[#This Row],[ReisetidOslo-T]])*100/L$438</f>
        <v>1.4382708809288987</v>
      </c>
      <c r="V346" s="44">
        <f>100-(M$435-Tabell2[[#This Row],[Beftettotal-T]])*100/M$438</f>
        <v>0</v>
      </c>
      <c r="W346" s="44">
        <f>100-(N$435-Tabell2[[#This Row],[Befvekst10-T]])*100/N$438</f>
        <v>0</v>
      </c>
      <c r="X346" s="44">
        <f>100-(O$435-Tabell2[[#This Row],[Kvinneandel-T]])*100/O$438</f>
        <v>0</v>
      </c>
      <c r="Y346" s="44">
        <f>(P$435-Tabell2[[#This Row],[Eldreandel-T]])*100/P$438</f>
        <v>0</v>
      </c>
      <c r="Z346" s="44">
        <f>100-(Q$435-Tabell2[[#This Row],[Sysselsettingsvekst10-T]])*100/Q$438</f>
        <v>0</v>
      </c>
      <c r="AA346" s="44">
        <f>100-(R$435-Tabell2[[#This Row],[Yrkesaktivandel-T]])*100/R$438</f>
        <v>0</v>
      </c>
      <c r="AB346" s="44">
        <f>100-(S$435-Tabell2[[#This Row],[Inntekt-T]])*100/S$438</f>
        <v>0</v>
      </c>
      <c r="AC346" s="44">
        <f>Tabell2[[#This Row],[NIBR11-I]]*Vekter!$B$3</f>
        <v>0</v>
      </c>
      <c r="AD346" s="44">
        <f>Tabell2[[#This Row],[ReisetidOslo-I]]*Vekter!$C$3</f>
        <v>0.14382708809288988</v>
      </c>
      <c r="AE346" s="44">
        <f>Tabell2[[#This Row],[Beftettotal-I]]*Vekter!$E$4</f>
        <v>0</v>
      </c>
      <c r="AF346" s="44">
        <f>Tabell2[[#This Row],[Befvekst10-I]]*Vekter!$F$3</f>
        <v>0</v>
      </c>
      <c r="AG346" s="44">
        <f>Tabell2[[#This Row],[Kvinneandel-I]]*Vekter!$G$3</f>
        <v>0</v>
      </c>
      <c r="AH346" s="44">
        <f>Tabell2[[#This Row],[Eldreandel-I]]*Vekter!$H$3</f>
        <v>0</v>
      </c>
      <c r="AI346" s="44">
        <f>Tabell2[[#This Row],[Sysselsettingsvekst10-I]]*Vekter!$I$3</f>
        <v>0</v>
      </c>
      <c r="AJ346" s="44">
        <f>Tabell2[[#This Row],[Yrkesaktivandel-I]]*Vekter!$K$3</f>
        <v>0</v>
      </c>
      <c r="AK346" s="44">
        <f>Tabell2[[#This Row],[Inntekt-I]]*Vekter!$M$3</f>
        <v>0</v>
      </c>
      <c r="AL34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0.14382708809288988</v>
      </c>
    </row>
    <row r="347" spans="1:38" s="38" customFormat="1" ht="12.75">
      <c r="A347" s="42" t="s">
        <v>345</v>
      </c>
      <c r="B347" s="38">
        <f>'Rådata-K'!Q347</f>
        <v>7</v>
      </c>
      <c r="C347" s="44">
        <f>'Rådata-K'!P347</f>
        <v>229.63464325800001</v>
      </c>
      <c r="D347" s="41">
        <f>'Rådata-K'!R347</f>
        <v>10.471688418456479</v>
      </c>
      <c r="E347" s="41">
        <f>'Rådata-K'!S347</f>
        <v>-3.4580767408810997E-2</v>
      </c>
      <c r="F347" s="41">
        <f>'Rådata-K'!T347</f>
        <v>0.10009813542688911</v>
      </c>
      <c r="G347" s="41">
        <f>'Rådata-K'!U347</f>
        <v>0.16781157998037291</v>
      </c>
      <c r="H347" s="41">
        <f>'Rådata-K'!V347</f>
        <v>0.10349127182044882</v>
      </c>
      <c r="I347" s="41">
        <f>'Rådata-K'!W347</f>
        <v>0.91144901610017892</v>
      </c>
      <c r="J347" s="41">
        <f>'Rådata-K'!O347</f>
        <v>296800</v>
      </c>
      <c r="K347" s="41">
        <f>Tabell2[[#This Row],[NIBR11]]</f>
        <v>7</v>
      </c>
      <c r="L347" s="41">
        <f>IF(Tabell2[[#This Row],[ReisetidOslo]]&lt;=C$433,C$433,IF(Tabell2[[#This Row],[ReisetidOslo]]&gt;=C$434,C$434,Tabell2[[#This Row],[ReisetidOslo]]))</f>
        <v>229.63464325800001</v>
      </c>
      <c r="M347" s="41">
        <f>IF(Tabell2[[#This Row],[Beftettotal]]&lt;=D$433,D$433,IF(Tabell2[[#This Row],[Beftettotal]]&gt;=D$434,D$434,Tabell2[[#This Row],[Beftettotal]]))</f>
        <v>10.471688418456479</v>
      </c>
      <c r="N347" s="41">
        <f>IF(Tabell2[[#This Row],[Befvekst10]]&lt;=E$433,E$433,IF(Tabell2[[#This Row],[Befvekst10]]&gt;=E$434,E$434,Tabell2[[#This Row],[Befvekst10]]))</f>
        <v>-3.4580767408810997E-2</v>
      </c>
      <c r="O347" s="41">
        <f>IF(Tabell2[[#This Row],[Kvinneandel]]&lt;=F$433,F$433,IF(Tabell2[[#This Row],[Kvinneandel]]&gt;=F$434,F$434,Tabell2[[#This Row],[Kvinneandel]]))</f>
        <v>0.10009813542688911</v>
      </c>
      <c r="P347" s="41">
        <f>IF(Tabell2[[#This Row],[Eldreandel]]&lt;=G$433,G$433,IF(Tabell2[[#This Row],[Eldreandel]]&gt;=G$434,G$434,Tabell2[[#This Row],[Eldreandel]]))</f>
        <v>0.16781157998037291</v>
      </c>
      <c r="Q347" s="41">
        <f>IF(Tabell2[[#This Row],[Sysselsettingsvekst10]]&lt;=H$433,H$433,IF(Tabell2[[#This Row],[Sysselsettingsvekst10]]&gt;=H$434,H$434,Tabell2[[#This Row],[Sysselsettingsvekst10]]))</f>
        <v>0.10349127182044882</v>
      </c>
      <c r="R347" s="41">
        <f>IF(Tabell2[[#This Row],[Yrkesaktivandel]]&lt;=I$433,I$433,IF(Tabell2[[#This Row],[Yrkesaktivandel]]&gt;=I$434,I$434,Tabell2[[#This Row],[Yrkesaktivandel]]))</f>
        <v>0.91144901610017892</v>
      </c>
      <c r="S347" s="41">
        <f>IF(Tabell2[[#This Row],[Inntekt]]&lt;=J$433,J$433,IF(Tabell2[[#This Row],[Inntekt]]&gt;=J$434,J$434,Tabell2[[#This Row],[Inntekt]]))</f>
        <v>296800</v>
      </c>
      <c r="T347" s="44">
        <f>IF(Tabell2[[#This Row],[NIBR11-T]]&lt;=K$436,100,IF(Tabell2[[#This Row],[NIBR11-T]]&gt;=K$435,0,100*(K$435-Tabell2[[#This Row],[NIBR11-T]])/K$438))</f>
        <v>40</v>
      </c>
      <c r="U347" s="44">
        <f>(L$435-Tabell2[[#This Row],[ReisetidOslo-T]])*100/L$438</f>
        <v>21.940452132167145</v>
      </c>
      <c r="V347" s="44">
        <f>100-(M$435-Tabell2[[#This Row],[Beftettotal-T]])*100/M$438</f>
        <v>7.4855087907171338</v>
      </c>
      <c r="W347" s="44">
        <f>100-(N$435-Tabell2[[#This Row],[Befvekst10-T]])*100/N$438</f>
        <v>23.723430782157109</v>
      </c>
      <c r="X347" s="44">
        <f>100-(O$435-Tabell2[[#This Row],[Kvinneandel-T]])*100/O$438</f>
        <v>22.932438319997416</v>
      </c>
      <c r="Y347" s="44">
        <f>(P$435-Tabell2[[#This Row],[Eldreandel-T]])*100/P$438</f>
        <v>36.654893072245585</v>
      </c>
      <c r="Z347" s="44">
        <f>100-(Q$435-Tabell2[[#This Row],[Sysselsettingsvekst10-T]])*100/Q$438</f>
        <v>57.527403878298422</v>
      </c>
      <c r="AA347" s="44">
        <f>100-(R$435-Tabell2[[#This Row],[Yrkesaktivandel-T]])*100/R$438</f>
        <v>63.490894594740226</v>
      </c>
      <c r="AB347" s="44">
        <f>100-(S$435-Tabell2[[#This Row],[Inntekt-T]])*100/S$438</f>
        <v>6.33496465470364</v>
      </c>
      <c r="AC347" s="44">
        <f>Tabell2[[#This Row],[NIBR11-I]]*Vekter!$B$3</f>
        <v>8</v>
      </c>
      <c r="AD347" s="44">
        <f>Tabell2[[#This Row],[ReisetidOslo-I]]*Vekter!$C$3</f>
        <v>2.1940452132167145</v>
      </c>
      <c r="AE347" s="44">
        <f>Tabell2[[#This Row],[Beftettotal-I]]*Vekter!$E$4</f>
        <v>0.74855087907171347</v>
      </c>
      <c r="AF347" s="44">
        <f>Tabell2[[#This Row],[Befvekst10-I]]*Vekter!$F$3</f>
        <v>4.7446861564314222</v>
      </c>
      <c r="AG347" s="44">
        <f>Tabell2[[#This Row],[Kvinneandel-I]]*Vekter!$G$3</f>
        <v>1.146621915999871</v>
      </c>
      <c r="AH347" s="44">
        <f>Tabell2[[#This Row],[Eldreandel-I]]*Vekter!$H$3</f>
        <v>1.8327446536122793</v>
      </c>
      <c r="AI347" s="44">
        <f>Tabell2[[#This Row],[Sysselsettingsvekst10-I]]*Vekter!$I$3</f>
        <v>5.7527403878298422</v>
      </c>
      <c r="AJ347" s="44">
        <f>Tabell2[[#This Row],[Yrkesaktivandel-I]]*Vekter!$K$3</f>
        <v>6.3490894594740226</v>
      </c>
      <c r="AK347" s="44">
        <f>Tabell2[[#This Row],[Inntekt-I]]*Vekter!$M$3</f>
        <v>0.63349646547036409</v>
      </c>
      <c r="AL34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31.40197513110623</v>
      </c>
    </row>
    <row r="348" spans="1:38" s="38" customFormat="1" ht="12.75">
      <c r="A348" s="42" t="s">
        <v>346</v>
      </c>
      <c r="B348" s="38">
        <f>'Rådata-K'!Q348</f>
        <v>7</v>
      </c>
      <c r="C348" s="44">
        <f>'Rådata-K'!P348</f>
        <v>196.32096432962999</v>
      </c>
      <c r="D348" s="41">
        <f>'Rådata-K'!R348</f>
        <v>7.4317545552699711</v>
      </c>
      <c r="E348" s="41">
        <f>'Rådata-K'!S348</f>
        <v>3.2660647902283513E-2</v>
      </c>
      <c r="F348" s="41">
        <f>'Rådata-K'!T348</f>
        <v>0.11313962458215479</v>
      </c>
      <c r="G348" s="41">
        <f>'Rådata-K'!U348</f>
        <v>0.13936744664438158</v>
      </c>
      <c r="H348" s="41">
        <f>'Rådata-K'!V348</f>
        <v>0.14823742090991265</v>
      </c>
      <c r="I348" s="41">
        <f>'Rådata-K'!W348</f>
        <v>0.87930253623188404</v>
      </c>
      <c r="J348" s="41">
        <f>'Rådata-K'!O348</f>
        <v>319600</v>
      </c>
      <c r="K348" s="41">
        <f>Tabell2[[#This Row],[NIBR11]]</f>
        <v>7</v>
      </c>
      <c r="L348" s="41">
        <f>IF(Tabell2[[#This Row],[ReisetidOslo]]&lt;=C$433,C$433,IF(Tabell2[[#This Row],[ReisetidOslo]]&gt;=C$434,C$434,Tabell2[[#This Row],[ReisetidOslo]]))</f>
        <v>196.32096432962999</v>
      </c>
      <c r="M348" s="41">
        <f>IF(Tabell2[[#This Row],[Beftettotal]]&lt;=D$433,D$433,IF(Tabell2[[#This Row],[Beftettotal]]&gt;=D$434,D$434,Tabell2[[#This Row],[Beftettotal]]))</f>
        <v>7.4317545552699711</v>
      </c>
      <c r="N348" s="41">
        <f>IF(Tabell2[[#This Row],[Befvekst10]]&lt;=E$433,E$433,IF(Tabell2[[#This Row],[Befvekst10]]&gt;=E$434,E$434,Tabell2[[#This Row],[Befvekst10]]))</f>
        <v>3.2660647902283513E-2</v>
      </c>
      <c r="O348" s="41">
        <f>IF(Tabell2[[#This Row],[Kvinneandel]]&lt;=F$433,F$433,IF(Tabell2[[#This Row],[Kvinneandel]]&gt;=F$434,F$434,Tabell2[[#This Row],[Kvinneandel]]))</f>
        <v>0.11313962458215479</v>
      </c>
      <c r="P348" s="41">
        <f>IF(Tabell2[[#This Row],[Eldreandel]]&lt;=G$433,G$433,IF(Tabell2[[#This Row],[Eldreandel]]&gt;=G$434,G$434,Tabell2[[#This Row],[Eldreandel]]))</f>
        <v>0.13936744664438158</v>
      </c>
      <c r="Q348" s="41">
        <f>IF(Tabell2[[#This Row],[Sysselsettingsvekst10]]&lt;=H$433,H$433,IF(Tabell2[[#This Row],[Sysselsettingsvekst10]]&gt;=H$434,H$434,Tabell2[[#This Row],[Sysselsettingsvekst10]]))</f>
        <v>0.14823742090991265</v>
      </c>
      <c r="R348" s="41">
        <f>IF(Tabell2[[#This Row],[Yrkesaktivandel]]&lt;=I$433,I$433,IF(Tabell2[[#This Row],[Yrkesaktivandel]]&gt;=I$434,I$434,Tabell2[[#This Row],[Yrkesaktivandel]]))</f>
        <v>0.87930253623188404</v>
      </c>
      <c r="S348" s="41">
        <f>IF(Tabell2[[#This Row],[Inntekt]]&lt;=J$433,J$433,IF(Tabell2[[#This Row],[Inntekt]]&gt;=J$434,J$434,Tabell2[[#This Row],[Inntekt]]))</f>
        <v>319600</v>
      </c>
      <c r="T348" s="44">
        <f>IF(Tabell2[[#This Row],[NIBR11-T]]&lt;=K$436,100,IF(Tabell2[[#This Row],[NIBR11-T]]&gt;=K$435,0,100*(K$435-Tabell2[[#This Row],[NIBR11-T]])/K$438))</f>
        <v>40</v>
      </c>
      <c r="U348" s="44">
        <f>(L$435-Tabell2[[#This Row],[ReisetidOslo-T]])*100/L$438</f>
        <v>36.730079609146927</v>
      </c>
      <c r="V348" s="44">
        <f>100-(M$435-Tabell2[[#This Row],[Beftettotal-T]])*100/M$438</f>
        <v>4.9988221809528568</v>
      </c>
      <c r="W348" s="44">
        <f>100-(N$435-Tabell2[[#This Row],[Befvekst10-T]])*100/N$438</f>
        <v>51.542204675681027</v>
      </c>
      <c r="X348" s="44">
        <f>100-(O$435-Tabell2[[#This Row],[Kvinneandel-T]])*100/O$438</f>
        <v>58.61996631135375</v>
      </c>
      <c r="Y348" s="44">
        <f>(P$435-Tabell2[[#This Row],[Eldreandel-T]])*100/P$438</f>
        <v>70.144891980279354</v>
      </c>
      <c r="Z348" s="44">
        <f>100-(Q$435-Tabell2[[#This Row],[Sysselsettingsvekst10-T]])*100/Q$438</f>
        <v>70.683535938861723</v>
      </c>
      <c r="AA348" s="44">
        <f>100-(R$435-Tabell2[[#This Row],[Yrkesaktivandel-T]])*100/R$438</f>
        <v>39.484494620243879</v>
      </c>
      <c r="AB348" s="44">
        <f>100-(S$435-Tabell2[[#This Row],[Inntekt-T]])*100/S$438</f>
        <v>37.330070690592713</v>
      </c>
      <c r="AC348" s="44">
        <f>Tabell2[[#This Row],[NIBR11-I]]*Vekter!$B$3</f>
        <v>8</v>
      </c>
      <c r="AD348" s="44">
        <f>Tabell2[[#This Row],[ReisetidOslo-I]]*Vekter!$C$3</f>
        <v>3.6730079609146928</v>
      </c>
      <c r="AE348" s="44">
        <f>Tabell2[[#This Row],[Beftettotal-I]]*Vekter!$E$4</f>
        <v>0.49988221809528571</v>
      </c>
      <c r="AF348" s="44">
        <f>Tabell2[[#This Row],[Befvekst10-I]]*Vekter!$F$3</f>
        <v>10.308440935136206</v>
      </c>
      <c r="AG348" s="44">
        <f>Tabell2[[#This Row],[Kvinneandel-I]]*Vekter!$G$3</f>
        <v>2.9309983155676878</v>
      </c>
      <c r="AH348" s="44">
        <f>Tabell2[[#This Row],[Eldreandel-I]]*Vekter!$H$3</f>
        <v>3.5072445990139678</v>
      </c>
      <c r="AI348" s="44">
        <f>Tabell2[[#This Row],[Sysselsettingsvekst10-I]]*Vekter!$I$3</f>
        <v>7.0683535938861723</v>
      </c>
      <c r="AJ348" s="44">
        <f>Tabell2[[#This Row],[Yrkesaktivandel-I]]*Vekter!$K$3</f>
        <v>3.9484494620243882</v>
      </c>
      <c r="AK348" s="44">
        <f>Tabell2[[#This Row],[Inntekt-I]]*Vekter!$M$3</f>
        <v>3.7330070690592714</v>
      </c>
      <c r="AL34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43.669384153697663</v>
      </c>
    </row>
    <row r="349" spans="1:38" s="38" customFormat="1" ht="12.75">
      <c r="A349" s="42" t="s">
        <v>347</v>
      </c>
      <c r="B349" s="38">
        <f>'Rådata-K'!Q349</f>
        <v>9</v>
      </c>
      <c r="C349" s="44">
        <f>'Rådata-K'!P349</f>
        <v>272.6458556522</v>
      </c>
      <c r="D349" s="41">
        <f>'Rådata-K'!R349</f>
        <v>7.6899528561807378</v>
      </c>
      <c r="E349" s="41">
        <f>'Rådata-K'!S349</f>
        <v>-9.7701149425287404E-2</v>
      </c>
      <c r="F349" s="41">
        <f>'Rådata-K'!T349</f>
        <v>9.1560509554140121E-2</v>
      </c>
      <c r="G349" s="41">
        <f>'Rådata-K'!U349</f>
        <v>0.17993630573248406</v>
      </c>
      <c r="H349" s="41">
        <f>'Rådata-K'!V349</f>
        <v>6.6115702479338845E-2</v>
      </c>
      <c r="I349" s="41">
        <f>'Rådata-K'!W349</f>
        <v>0.9255474452554745</v>
      </c>
      <c r="J349" s="41">
        <f>'Rådata-K'!O349</f>
        <v>300000</v>
      </c>
      <c r="K349" s="41">
        <f>Tabell2[[#This Row],[NIBR11]]</f>
        <v>9</v>
      </c>
      <c r="L349" s="41">
        <f>IF(Tabell2[[#This Row],[ReisetidOslo]]&lt;=C$433,C$433,IF(Tabell2[[#This Row],[ReisetidOslo]]&gt;=C$434,C$434,Tabell2[[#This Row],[ReisetidOslo]]))</f>
        <v>272.6458556522</v>
      </c>
      <c r="M349" s="41">
        <f>IF(Tabell2[[#This Row],[Beftettotal]]&lt;=D$433,D$433,IF(Tabell2[[#This Row],[Beftettotal]]&gt;=D$434,D$434,Tabell2[[#This Row],[Beftettotal]]))</f>
        <v>7.6899528561807378</v>
      </c>
      <c r="N349" s="41">
        <f>IF(Tabell2[[#This Row],[Befvekst10]]&lt;=E$433,E$433,IF(Tabell2[[#This Row],[Befvekst10]]&gt;=E$434,E$434,Tabell2[[#This Row],[Befvekst10]]))</f>
        <v>-9.1923232174966049E-2</v>
      </c>
      <c r="O349" s="41">
        <f>IF(Tabell2[[#This Row],[Kvinneandel]]&lt;=F$433,F$433,IF(Tabell2[[#This Row],[Kvinneandel]]&gt;=F$434,F$434,Tabell2[[#This Row],[Kvinneandel]]))</f>
        <v>9.1717808671657367E-2</v>
      </c>
      <c r="P349" s="41">
        <f>IF(Tabell2[[#This Row],[Eldreandel]]&lt;=G$433,G$433,IF(Tabell2[[#This Row],[Eldreandel]]&gt;=G$434,G$434,Tabell2[[#This Row],[Eldreandel]]))</f>
        <v>0.17993630573248406</v>
      </c>
      <c r="Q349" s="41">
        <f>IF(Tabell2[[#This Row],[Sysselsettingsvekst10]]&lt;=H$433,H$433,IF(Tabell2[[#This Row],[Sysselsettingsvekst10]]&gt;=H$434,H$434,Tabell2[[#This Row],[Sysselsettingsvekst10]]))</f>
        <v>6.6115702479338845E-2</v>
      </c>
      <c r="R349" s="41">
        <f>IF(Tabell2[[#This Row],[Yrkesaktivandel]]&lt;=I$433,I$433,IF(Tabell2[[#This Row],[Yrkesaktivandel]]&gt;=I$434,I$434,Tabell2[[#This Row],[Yrkesaktivandel]]))</f>
        <v>0.9255474452554745</v>
      </c>
      <c r="S349" s="41">
        <f>IF(Tabell2[[#This Row],[Inntekt]]&lt;=J$433,J$433,IF(Tabell2[[#This Row],[Inntekt]]&gt;=J$434,J$434,Tabell2[[#This Row],[Inntekt]]))</f>
        <v>300000</v>
      </c>
      <c r="T349" s="44">
        <f>IF(Tabell2[[#This Row],[NIBR11-T]]&lt;=K$436,100,IF(Tabell2[[#This Row],[NIBR11-T]]&gt;=K$435,0,100*(K$435-Tabell2[[#This Row],[NIBR11-T]])/K$438))</f>
        <v>20</v>
      </c>
      <c r="U349" s="44">
        <f>(L$435-Tabell2[[#This Row],[ReisetidOslo-T]])*100/L$438</f>
        <v>2.8455989335385148</v>
      </c>
      <c r="V349" s="44">
        <f>100-(M$435-Tabell2[[#This Row],[Beftettotal-T]])*100/M$438</f>
        <v>5.2100301500846911</v>
      </c>
      <c r="W349" s="44">
        <f>100-(N$435-Tabell2[[#This Row],[Befvekst10-T]])*100/N$438</f>
        <v>0</v>
      </c>
      <c r="X349" s="44">
        <f>100-(O$435-Tabell2[[#This Row],[Kvinneandel-T]])*100/O$438</f>
        <v>0</v>
      </c>
      <c r="Y349" s="44">
        <f>(P$435-Tabell2[[#This Row],[Eldreandel-T]])*100/P$438</f>
        <v>22.379293692860951</v>
      </c>
      <c r="Z349" s="44">
        <f>100-(Q$435-Tabell2[[#This Row],[Sysselsettingsvekst10-T]])*100/Q$438</f>
        <v>46.538348147329025</v>
      </c>
      <c r="AA349" s="44">
        <f>100-(R$435-Tabell2[[#This Row],[Yrkesaktivandel-T]])*100/R$438</f>
        <v>74.019342210179815</v>
      </c>
      <c r="AB349" s="44">
        <f>100-(S$435-Tabell2[[#This Row],[Inntekt-T]])*100/S$438</f>
        <v>10.685154975530182</v>
      </c>
      <c r="AC349" s="44">
        <f>Tabell2[[#This Row],[NIBR11-I]]*Vekter!$B$3</f>
        <v>4</v>
      </c>
      <c r="AD349" s="44">
        <f>Tabell2[[#This Row],[ReisetidOslo-I]]*Vekter!$C$3</f>
        <v>0.28455989335385151</v>
      </c>
      <c r="AE349" s="44">
        <f>Tabell2[[#This Row],[Beftettotal-I]]*Vekter!$E$4</f>
        <v>0.52100301500846913</v>
      </c>
      <c r="AF349" s="44">
        <f>Tabell2[[#This Row],[Befvekst10-I]]*Vekter!$F$3</f>
        <v>0</v>
      </c>
      <c r="AG349" s="44">
        <f>Tabell2[[#This Row],[Kvinneandel-I]]*Vekter!$G$3</f>
        <v>0</v>
      </c>
      <c r="AH349" s="44">
        <f>Tabell2[[#This Row],[Eldreandel-I]]*Vekter!$H$3</f>
        <v>1.1189646846430477</v>
      </c>
      <c r="AI349" s="44">
        <f>Tabell2[[#This Row],[Sysselsettingsvekst10-I]]*Vekter!$I$3</f>
        <v>4.6538348147329023</v>
      </c>
      <c r="AJ349" s="44">
        <f>Tabell2[[#This Row],[Yrkesaktivandel-I]]*Vekter!$K$3</f>
        <v>7.4019342210179815</v>
      </c>
      <c r="AK349" s="44">
        <f>Tabell2[[#This Row],[Inntekt-I]]*Vekter!$M$3</f>
        <v>1.0685154975530182</v>
      </c>
      <c r="AL34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19.048812126309272</v>
      </c>
    </row>
    <row r="350" spans="1:38" s="38" customFormat="1" ht="12.75">
      <c r="A350" s="42" t="s">
        <v>348</v>
      </c>
      <c r="B350" s="38">
        <f>'Rådata-K'!Q350</f>
        <v>7</v>
      </c>
      <c r="C350" s="44">
        <f>'Rådata-K'!P350</f>
        <v>242.3409988976</v>
      </c>
      <c r="D350" s="41">
        <f>'Rådata-K'!R350</f>
        <v>0.94835105691962207</v>
      </c>
      <c r="E350" s="41">
        <f>'Rådata-K'!S350</f>
        <v>-8.25852782764811E-2</v>
      </c>
      <c r="F350" s="41">
        <f>'Rådata-K'!T350</f>
        <v>0.1095890410958904</v>
      </c>
      <c r="G350" s="41">
        <f>'Rådata-K'!U350</f>
        <v>0.16634050880626222</v>
      </c>
      <c r="H350" s="41">
        <f>'Rådata-K'!V350</f>
        <v>-0.1009174311926605</v>
      </c>
      <c r="I350" s="41">
        <f>'Rådata-K'!W350</f>
        <v>0.89078498293515362</v>
      </c>
      <c r="J350" s="41">
        <f>'Rådata-K'!O350</f>
        <v>297400</v>
      </c>
      <c r="K350" s="41">
        <f>Tabell2[[#This Row],[NIBR11]]</f>
        <v>7</v>
      </c>
      <c r="L350" s="41">
        <f>IF(Tabell2[[#This Row],[ReisetidOslo]]&lt;=C$433,C$433,IF(Tabell2[[#This Row],[ReisetidOslo]]&gt;=C$434,C$434,Tabell2[[#This Row],[ReisetidOslo]]))</f>
        <v>242.3409988976</v>
      </c>
      <c r="M350" s="41">
        <f>IF(Tabell2[[#This Row],[Beftettotal]]&lt;=D$433,D$433,IF(Tabell2[[#This Row],[Beftettotal]]&gt;=D$434,D$434,Tabell2[[#This Row],[Beftettotal]]))</f>
        <v>1.3207758882127238</v>
      </c>
      <c r="N350" s="41">
        <f>IF(Tabell2[[#This Row],[Befvekst10]]&lt;=E$433,E$433,IF(Tabell2[[#This Row],[Befvekst10]]&gt;=E$434,E$434,Tabell2[[#This Row],[Befvekst10]]))</f>
        <v>-8.25852782764811E-2</v>
      </c>
      <c r="O350" s="41">
        <f>IF(Tabell2[[#This Row],[Kvinneandel]]&lt;=F$433,F$433,IF(Tabell2[[#This Row],[Kvinneandel]]&gt;=F$434,F$434,Tabell2[[#This Row],[Kvinneandel]]))</f>
        <v>0.1095890410958904</v>
      </c>
      <c r="P350" s="41">
        <f>IF(Tabell2[[#This Row],[Eldreandel]]&lt;=G$433,G$433,IF(Tabell2[[#This Row],[Eldreandel]]&gt;=G$434,G$434,Tabell2[[#This Row],[Eldreandel]]))</f>
        <v>0.16634050880626222</v>
      </c>
      <c r="Q350" s="41">
        <f>IF(Tabell2[[#This Row],[Sysselsettingsvekst10]]&lt;=H$433,H$433,IF(Tabell2[[#This Row],[Sysselsettingsvekst10]]&gt;=H$434,H$434,Tabell2[[#This Row],[Sysselsettingsvekst10]]))</f>
        <v>-9.2168803558721979E-2</v>
      </c>
      <c r="R350" s="41">
        <f>IF(Tabell2[[#This Row],[Yrkesaktivandel]]&lt;=I$433,I$433,IF(Tabell2[[#This Row],[Yrkesaktivandel]]&gt;=I$434,I$434,Tabell2[[#This Row],[Yrkesaktivandel]]))</f>
        <v>0.89078498293515362</v>
      </c>
      <c r="S350" s="41">
        <f>IF(Tabell2[[#This Row],[Inntekt]]&lt;=J$433,J$433,IF(Tabell2[[#This Row],[Inntekt]]&gt;=J$434,J$434,Tabell2[[#This Row],[Inntekt]]))</f>
        <v>297400</v>
      </c>
      <c r="T350" s="44">
        <f>IF(Tabell2[[#This Row],[NIBR11-T]]&lt;=K$436,100,IF(Tabell2[[#This Row],[NIBR11-T]]&gt;=K$435,0,100*(K$435-Tabell2[[#This Row],[NIBR11-T]])/K$438))</f>
        <v>40</v>
      </c>
      <c r="U350" s="44">
        <f>(L$435-Tabell2[[#This Row],[ReisetidOslo-T]])*100/L$438</f>
        <v>16.299458025699067</v>
      </c>
      <c r="V350" s="44">
        <f>100-(M$435-Tabell2[[#This Row],[Beftettotal-T]])*100/M$438</f>
        <v>0</v>
      </c>
      <c r="W350" s="44">
        <f>100-(N$435-Tabell2[[#This Row],[Befvekst10-T]])*100/N$438</f>
        <v>3.8632504525412941</v>
      </c>
      <c r="X350" s="44">
        <f>100-(O$435-Tabell2[[#This Row],[Kvinneandel-T]])*100/O$438</f>
        <v>48.90393265575343</v>
      </c>
      <c r="Y350" s="44">
        <f>(P$435-Tabell2[[#This Row],[Eldreandel-T]])*100/P$438</f>
        <v>38.386925876081051</v>
      </c>
      <c r="Z350" s="44">
        <f>100-(Q$435-Tabell2[[#This Row],[Sysselsettingsvekst10-T]])*100/Q$438</f>
        <v>0</v>
      </c>
      <c r="AA350" s="44">
        <f>100-(R$435-Tabell2[[#This Row],[Yrkesaktivandel-T]])*100/R$438</f>
        <v>48.059374649842212</v>
      </c>
      <c r="AB350" s="44">
        <f>100-(S$435-Tabell2[[#This Row],[Inntekt-T]])*100/S$438</f>
        <v>7.150625339858621</v>
      </c>
      <c r="AC350" s="44">
        <f>Tabell2[[#This Row],[NIBR11-I]]*Vekter!$B$3</f>
        <v>8</v>
      </c>
      <c r="AD350" s="44">
        <f>Tabell2[[#This Row],[ReisetidOslo-I]]*Vekter!$C$3</f>
        <v>1.6299458025699067</v>
      </c>
      <c r="AE350" s="44">
        <f>Tabell2[[#This Row],[Beftettotal-I]]*Vekter!$E$4</f>
        <v>0</v>
      </c>
      <c r="AF350" s="44">
        <f>Tabell2[[#This Row],[Befvekst10-I]]*Vekter!$F$3</f>
        <v>0.77265009050825884</v>
      </c>
      <c r="AG350" s="44">
        <f>Tabell2[[#This Row],[Kvinneandel-I]]*Vekter!$G$3</f>
        <v>2.4451966327876717</v>
      </c>
      <c r="AH350" s="44">
        <f>Tabell2[[#This Row],[Eldreandel-I]]*Vekter!$H$3</f>
        <v>1.9193462938040526</v>
      </c>
      <c r="AI350" s="44">
        <f>Tabell2[[#This Row],[Sysselsettingsvekst10-I]]*Vekter!$I$3</f>
        <v>0</v>
      </c>
      <c r="AJ350" s="44">
        <f>Tabell2[[#This Row],[Yrkesaktivandel-I]]*Vekter!$K$3</f>
        <v>4.8059374649842219</v>
      </c>
      <c r="AK350" s="44">
        <f>Tabell2[[#This Row],[Inntekt-I]]*Vekter!$M$3</f>
        <v>0.71506253398586217</v>
      </c>
      <c r="AL35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20.288138818639975</v>
      </c>
    </row>
    <row r="351" spans="1:38" s="38" customFormat="1" ht="12.75">
      <c r="A351" s="42" t="s">
        <v>349</v>
      </c>
      <c r="B351" s="38">
        <f>'Rådata-K'!Q351</f>
        <v>9</v>
      </c>
      <c r="C351" s="44">
        <f>'Rådata-K'!P351</f>
        <v>270.98604873260001</v>
      </c>
      <c r="D351" s="41">
        <f>'Rådata-K'!R351</f>
        <v>26.388032078963601</v>
      </c>
      <c r="E351" s="41">
        <f>'Rådata-K'!S351</f>
        <v>-6.757493188010899E-2</v>
      </c>
      <c r="F351" s="41">
        <f>'Rådata-K'!T351</f>
        <v>0.108708357685564</v>
      </c>
      <c r="G351" s="41">
        <f>'Rådata-K'!U351</f>
        <v>0.17767387492694331</v>
      </c>
      <c r="H351" s="41">
        <f>'Rådata-K'!V351</f>
        <v>-5.7562076749435698E-2</v>
      </c>
      <c r="I351" s="41">
        <f>'Rådata-K'!W351</f>
        <v>0.85830784913353719</v>
      </c>
      <c r="J351" s="41">
        <f>'Rådata-K'!O351</f>
        <v>306400</v>
      </c>
      <c r="K351" s="41">
        <f>Tabell2[[#This Row],[NIBR11]]</f>
        <v>9</v>
      </c>
      <c r="L351" s="41">
        <f>IF(Tabell2[[#This Row],[ReisetidOslo]]&lt;=C$433,C$433,IF(Tabell2[[#This Row],[ReisetidOslo]]&gt;=C$434,C$434,Tabell2[[#This Row],[ReisetidOslo]]))</f>
        <v>270.98604873260001</v>
      </c>
      <c r="M351" s="41">
        <f>IF(Tabell2[[#This Row],[Beftettotal]]&lt;=D$433,D$433,IF(Tabell2[[#This Row],[Beftettotal]]&gt;=D$434,D$434,Tabell2[[#This Row],[Beftettotal]]))</f>
        <v>26.388032078963601</v>
      </c>
      <c r="N351" s="41">
        <f>IF(Tabell2[[#This Row],[Befvekst10]]&lt;=E$433,E$433,IF(Tabell2[[#This Row],[Befvekst10]]&gt;=E$434,E$434,Tabell2[[#This Row],[Befvekst10]]))</f>
        <v>-6.757493188010899E-2</v>
      </c>
      <c r="O351" s="41">
        <f>IF(Tabell2[[#This Row],[Kvinneandel]]&lt;=F$433,F$433,IF(Tabell2[[#This Row],[Kvinneandel]]&gt;=F$434,F$434,Tabell2[[#This Row],[Kvinneandel]]))</f>
        <v>0.108708357685564</v>
      </c>
      <c r="P351" s="41">
        <f>IF(Tabell2[[#This Row],[Eldreandel]]&lt;=G$433,G$433,IF(Tabell2[[#This Row],[Eldreandel]]&gt;=G$434,G$434,Tabell2[[#This Row],[Eldreandel]]))</f>
        <v>0.17767387492694331</v>
      </c>
      <c r="Q351" s="41">
        <f>IF(Tabell2[[#This Row],[Sysselsettingsvekst10]]&lt;=H$433,H$433,IF(Tabell2[[#This Row],[Sysselsettingsvekst10]]&gt;=H$434,H$434,Tabell2[[#This Row],[Sysselsettingsvekst10]]))</f>
        <v>-5.7562076749435698E-2</v>
      </c>
      <c r="R351" s="41">
        <f>IF(Tabell2[[#This Row],[Yrkesaktivandel]]&lt;=I$433,I$433,IF(Tabell2[[#This Row],[Yrkesaktivandel]]&gt;=I$434,I$434,Tabell2[[#This Row],[Yrkesaktivandel]]))</f>
        <v>0.85830784913353719</v>
      </c>
      <c r="S351" s="41">
        <f>IF(Tabell2[[#This Row],[Inntekt]]&lt;=J$433,J$433,IF(Tabell2[[#This Row],[Inntekt]]&gt;=J$434,J$434,Tabell2[[#This Row],[Inntekt]]))</f>
        <v>306400</v>
      </c>
      <c r="T351" s="44">
        <f>IF(Tabell2[[#This Row],[NIBR11-T]]&lt;=K$436,100,IF(Tabell2[[#This Row],[NIBR11-T]]&gt;=K$435,0,100*(K$435-Tabell2[[#This Row],[NIBR11-T]])/K$438))</f>
        <v>20</v>
      </c>
      <c r="U351" s="44">
        <f>(L$435-Tabell2[[#This Row],[ReisetidOslo-T]])*100/L$438</f>
        <v>3.582471197853101</v>
      </c>
      <c r="V351" s="44">
        <f>100-(M$435-Tabell2[[#This Row],[Beftettotal-T]])*100/M$438</f>
        <v>20.505186335774752</v>
      </c>
      <c r="W351" s="44">
        <f>100-(N$435-Tabell2[[#This Row],[Befvekst10-T]])*100/N$438</f>
        <v>10.073254072070256</v>
      </c>
      <c r="X351" s="44">
        <f>100-(O$435-Tabell2[[#This Row],[Kvinneandel-T]])*100/O$438</f>
        <v>46.493976746319838</v>
      </c>
      <c r="Y351" s="44">
        <f>(P$435-Tabell2[[#This Row],[Eldreandel-T]])*100/P$438</f>
        <v>25.043069885724915</v>
      </c>
      <c r="Z351" s="44">
        <f>100-(Q$435-Tabell2[[#This Row],[Sysselsettingsvekst10-T]])*100/Q$438</f>
        <v>10.174968737008285</v>
      </c>
      <c r="AA351" s="44">
        <f>100-(R$435-Tabell2[[#This Row],[Yrkesaktivandel-T]])*100/R$438</f>
        <v>23.806048398845945</v>
      </c>
      <c r="AB351" s="44">
        <f>100-(S$435-Tabell2[[#This Row],[Inntekt-T]])*100/S$438</f>
        <v>19.385535617183251</v>
      </c>
      <c r="AC351" s="44">
        <f>Tabell2[[#This Row],[NIBR11-I]]*Vekter!$B$3</f>
        <v>4</v>
      </c>
      <c r="AD351" s="44">
        <f>Tabell2[[#This Row],[ReisetidOslo-I]]*Vekter!$C$3</f>
        <v>0.3582471197853101</v>
      </c>
      <c r="AE351" s="44">
        <f>Tabell2[[#This Row],[Beftettotal-I]]*Vekter!$E$4</f>
        <v>2.0505186335774752</v>
      </c>
      <c r="AF351" s="44">
        <f>Tabell2[[#This Row],[Befvekst10-I]]*Vekter!$F$3</f>
        <v>2.0146508144140514</v>
      </c>
      <c r="AG351" s="44">
        <f>Tabell2[[#This Row],[Kvinneandel-I]]*Vekter!$G$3</f>
        <v>2.3246988373159918</v>
      </c>
      <c r="AH351" s="44">
        <f>Tabell2[[#This Row],[Eldreandel-I]]*Vekter!$H$3</f>
        <v>1.2521534942862458</v>
      </c>
      <c r="AI351" s="44">
        <f>Tabell2[[#This Row],[Sysselsettingsvekst10-I]]*Vekter!$I$3</f>
        <v>1.0174968737008285</v>
      </c>
      <c r="AJ351" s="44">
        <f>Tabell2[[#This Row],[Yrkesaktivandel-I]]*Vekter!$K$3</f>
        <v>2.3806048398845947</v>
      </c>
      <c r="AK351" s="44">
        <f>Tabell2[[#This Row],[Inntekt-I]]*Vekter!$M$3</f>
        <v>1.9385535617183252</v>
      </c>
      <c r="AL35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17.336924174682824</v>
      </c>
    </row>
    <row r="352" spans="1:38" s="38" customFormat="1" ht="12.75">
      <c r="A352" s="42" t="s">
        <v>350</v>
      </c>
      <c r="B352" s="38">
        <f>'Rådata-K'!Q352</f>
        <v>7</v>
      </c>
      <c r="C352" s="44">
        <f>'Rådata-K'!P352</f>
        <v>238.84614432312</v>
      </c>
      <c r="D352" s="41">
        <f>'Rådata-K'!R352</f>
        <v>39.376135028308944</v>
      </c>
      <c r="E352" s="41">
        <f>'Rådata-K'!S352</f>
        <v>-8.3400591875167907E-3</v>
      </c>
      <c r="F352" s="41">
        <f>'Rådata-K'!T352</f>
        <v>0.11435160065111231</v>
      </c>
      <c r="G352" s="41">
        <f>'Rådata-K'!U352</f>
        <v>0.13917525773195877</v>
      </c>
      <c r="H352" s="41">
        <f>'Rådata-K'!V352</f>
        <v>9.3829968723343704E-2</v>
      </c>
      <c r="I352" s="41">
        <f>'Rådata-K'!W352</f>
        <v>0.86393289841565701</v>
      </c>
      <c r="J352" s="41">
        <f>'Rådata-K'!O352</f>
        <v>327900</v>
      </c>
      <c r="K352" s="41">
        <f>Tabell2[[#This Row],[NIBR11]]</f>
        <v>7</v>
      </c>
      <c r="L352" s="41">
        <f>IF(Tabell2[[#This Row],[ReisetidOslo]]&lt;=C$433,C$433,IF(Tabell2[[#This Row],[ReisetidOslo]]&gt;=C$434,C$434,Tabell2[[#This Row],[ReisetidOslo]]))</f>
        <v>238.84614432312</v>
      </c>
      <c r="M352" s="41">
        <f>IF(Tabell2[[#This Row],[Beftettotal]]&lt;=D$433,D$433,IF(Tabell2[[#This Row],[Beftettotal]]&gt;=D$434,D$434,Tabell2[[#This Row],[Beftettotal]]))</f>
        <v>39.376135028308944</v>
      </c>
      <c r="N352" s="41">
        <f>IF(Tabell2[[#This Row],[Befvekst10]]&lt;=E$433,E$433,IF(Tabell2[[#This Row],[Befvekst10]]&gt;=E$434,E$434,Tabell2[[#This Row],[Befvekst10]]))</f>
        <v>-8.3400591875167907E-3</v>
      </c>
      <c r="O352" s="41">
        <f>IF(Tabell2[[#This Row],[Kvinneandel]]&lt;=F$433,F$433,IF(Tabell2[[#This Row],[Kvinneandel]]&gt;=F$434,F$434,Tabell2[[#This Row],[Kvinneandel]]))</f>
        <v>0.11435160065111231</v>
      </c>
      <c r="P352" s="41">
        <f>IF(Tabell2[[#This Row],[Eldreandel]]&lt;=G$433,G$433,IF(Tabell2[[#This Row],[Eldreandel]]&gt;=G$434,G$434,Tabell2[[#This Row],[Eldreandel]]))</f>
        <v>0.13917525773195877</v>
      </c>
      <c r="Q352" s="41">
        <f>IF(Tabell2[[#This Row],[Sysselsettingsvekst10]]&lt;=H$433,H$433,IF(Tabell2[[#This Row],[Sysselsettingsvekst10]]&gt;=H$434,H$434,Tabell2[[#This Row],[Sysselsettingsvekst10]]))</f>
        <v>9.3829968723343704E-2</v>
      </c>
      <c r="R352" s="41">
        <f>IF(Tabell2[[#This Row],[Yrkesaktivandel]]&lt;=I$433,I$433,IF(Tabell2[[#This Row],[Yrkesaktivandel]]&gt;=I$434,I$434,Tabell2[[#This Row],[Yrkesaktivandel]]))</f>
        <v>0.86393289841565701</v>
      </c>
      <c r="S352" s="41">
        <f>IF(Tabell2[[#This Row],[Inntekt]]&lt;=J$433,J$433,IF(Tabell2[[#This Row],[Inntekt]]&gt;=J$434,J$434,Tabell2[[#This Row],[Inntekt]]))</f>
        <v>327900</v>
      </c>
      <c r="T352" s="44">
        <f>IF(Tabell2[[#This Row],[NIBR11-T]]&lt;=K$436,100,IF(Tabell2[[#This Row],[NIBR11-T]]&gt;=K$435,0,100*(K$435-Tabell2[[#This Row],[NIBR11-T]])/K$438))</f>
        <v>40</v>
      </c>
      <c r="U352" s="44">
        <f>(L$435-Tabell2[[#This Row],[ReisetidOslo-T]])*100/L$438</f>
        <v>17.851000782472191</v>
      </c>
      <c r="V352" s="44">
        <f>100-(M$435-Tabell2[[#This Row],[Beftettotal-T]])*100/M$438</f>
        <v>31.12954303033861</v>
      </c>
      <c r="W352" s="44">
        <f>100-(N$435-Tabell2[[#This Row],[Befvekst10-T]])*100/N$438</f>
        <v>34.579602167557354</v>
      </c>
      <c r="X352" s="44">
        <f>100-(O$435-Tabell2[[#This Row],[Kvinneandel-T]])*100/O$438</f>
        <v>61.936491699737935</v>
      </c>
      <c r="Y352" s="44">
        <f>(P$435-Tabell2[[#This Row],[Eldreandel-T]])*100/P$438</f>
        <v>70.371174370083509</v>
      </c>
      <c r="Z352" s="44">
        <f>100-(Q$435-Tabell2[[#This Row],[Sysselsettingsvekst10-T]])*100/Q$438</f>
        <v>54.686815760458067</v>
      </c>
      <c r="AA352" s="44">
        <f>100-(R$435-Tabell2[[#This Row],[Yrkesaktivandel-T]])*100/R$438</f>
        <v>28.00673175503529</v>
      </c>
      <c r="AB352" s="44">
        <f>100-(S$435-Tabell2[[#This Row],[Inntekt-T]])*100/S$438</f>
        <v>48.613376835236544</v>
      </c>
      <c r="AC352" s="44">
        <f>Tabell2[[#This Row],[NIBR11-I]]*Vekter!$B$3</f>
        <v>8</v>
      </c>
      <c r="AD352" s="44">
        <f>Tabell2[[#This Row],[ReisetidOslo-I]]*Vekter!$C$3</f>
        <v>1.7851000782472193</v>
      </c>
      <c r="AE352" s="44">
        <f>Tabell2[[#This Row],[Beftettotal-I]]*Vekter!$E$4</f>
        <v>3.1129543030338613</v>
      </c>
      <c r="AF352" s="44">
        <f>Tabell2[[#This Row],[Befvekst10-I]]*Vekter!$F$3</f>
        <v>6.915920433511471</v>
      </c>
      <c r="AG352" s="44">
        <f>Tabell2[[#This Row],[Kvinneandel-I]]*Vekter!$G$3</f>
        <v>3.0968245849868969</v>
      </c>
      <c r="AH352" s="44">
        <f>Tabell2[[#This Row],[Eldreandel-I]]*Vekter!$H$3</f>
        <v>3.5185587185041758</v>
      </c>
      <c r="AI352" s="44">
        <f>Tabell2[[#This Row],[Sysselsettingsvekst10-I]]*Vekter!$I$3</f>
        <v>5.4686815760458067</v>
      </c>
      <c r="AJ352" s="44">
        <f>Tabell2[[#This Row],[Yrkesaktivandel-I]]*Vekter!$K$3</f>
        <v>2.8006731755035292</v>
      </c>
      <c r="AK352" s="44">
        <f>Tabell2[[#This Row],[Inntekt-I]]*Vekter!$M$3</f>
        <v>4.8613376835236544</v>
      </c>
      <c r="AL35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39.560050553356618</v>
      </c>
    </row>
    <row r="353" spans="1:38" s="38" customFormat="1" ht="12.75">
      <c r="A353" s="42" t="s">
        <v>351</v>
      </c>
      <c r="B353" s="38">
        <f>'Rådata-K'!Q353</f>
        <v>7</v>
      </c>
      <c r="C353" s="44">
        <f>'Rådata-K'!P353</f>
        <v>252.1181483842</v>
      </c>
      <c r="D353" s="41">
        <f>'Rådata-K'!R353</f>
        <v>4.5284559834938101</v>
      </c>
      <c r="E353" s="41">
        <f>'Rådata-K'!S353</f>
        <v>-4.227272727272724E-2</v>
      </c>
      <c r="F353" s="41">
        <f>'Rådata-K'!T353</f>
        <v>0.11153298528713811</v>
      </c>
      <c r="G353" s="41">
        <f>'Rådata-K'!U353</f>
        <v>0.15899383009017559</v>
      </c>
      <c r="H353" s="41">
        <f>'Rådata-K'!V353</f>
        <v>-8.903225806451609E-2</v>
      </c>
      <c r="I353" s="41">
        <f>'Rådata-K'!W353</f>
        <v>0.81035856573705178</v>
      </c>
      <c r="J353" s="41">
        <f>'Rådata-K'!O353</f>
        <v>288600</v>
      </c>
      <c r="K353" s="41">
        <f>Tabell2[[#This Row],[NIBR11]]</f>
        <v>7</v>
      </c>
      <c r="L353" s="41">
        <f>IF(Tabell2[[#This Row],[ReisetidOslo]]&lt;=C$433,C$433,IF(Tabell2[[#This Row],[ReisetidOslo]]&gt;=C$434,C$434,Tabell2[[#This Row],[ReisetidOslo]]))</f>
        <v>252.1181483842</v>
      </c>
      <c r="M353" s="41">
        <f>IF(Tabell2[[#This Row],[Beftettotal]]&lt;=D$433,D$433,IF(Tabell2[[#This Row],[Beftettotal]]&gt;=D$434,D$434,Tabell2[[#This Row],[Beftettotal]]))</f>
        <v>4.5284559834938101</v>
      </c>
      <c r="N353" s="41">
        <f>IF(Tabell2[[#This Row],[Befvekst10]]&lt;=E$433,E$433,IF(Tabell2[[#This Row],[Befvekst10]]&gt;=E$434,E$434,Tabell2[[#This Row],[Befvekst10]]))</f>
        <v>-4.227272727272724E-2</v>
      </c>
      <c r="O353" s="41">
        <f>IF(Tabell2[[#This Row],[Kvinneandel]]&lt;=F$433,F$433,IF(Tabell2[[#This Row],[Kvinneandel]]&gt;=F$434,F$434,Tabell2[[#This Row],[Kvinneandel]]))</f>
        <v>0.11153298528713811</v>
      </c>
      <c r="P353" s="41">
        <f>IF(Tabell2[[#This Row],[Eldreandel]]&lt;=G$433,G$433,IF(Tabell2[[#This Row],[Eldreandel]]&gt;=G$434,G$434,Tabell2[[#This Row],[Eldreandel]]))</f>
        <v>0.15899383009017559</v>
      </c>
      <c r="Q353" s="41">
        <f>IF(Tabell2[[#This Row],[Sysselsettingsvekst10]]&lt;=H$433,H$433,IF(Tabell2[[#This Row],[Sysselsettingsvekst10]]&gt;=H$434,H$434,Tabell2[[#This Row],[Sysselsettingsvekst10]]))</f>
        <v>-8.903225806451609E-2</v>
      </c>
      <c r="R353" s="41">
        <f>IF(Tabell2[[#This Row],[Yrkesaktivandel]]&lt;=I$433,I$433,IF(Tabell2[[#This Row],[Yrkesaktivandel]]&gt;=I$434,I$434,Tabell2[[#This Row],[Yrkesaktivandel]]))</f>
        <v>0.82642965596795781</v>
      </c>
      <c r="S353" s="41">
        <f>IF(Tabell2[[#This Row],[Inntekt]]&lt;=J$433,J$433,IF(Tabell2[[#This Row],[Inntekt]]&gt;=J$434,J$434,Tabell2[[#This Row],[Inntekt]]))</f>
        <v>292140</v>
      </c>
      <c r="T353" s="44">
        <f>IF(Tabell2[[#This Row],[NIBR11-T]]&lt;=K$436,100,IF(Tabell2[[#This Row],[NIBR11-T]]&gt;=K$435,0,100*(K$435-Tabell2[[#This Row],[NIBR11-T]])/K$438))</f>
        <v>40</v>
      </c>
      <c r="U353" s="44">
        <f>(L$435-Tabell2[[#This Row],[ReisetidOslo-T]])*100/L$438</f>
        <v>11.958886724508554</v>
      </c>
      <c r="V353" s="44">
        <f>100-(M$435-Tabell2[[#This Row],[Beftettotal-T]])*100/M$438</f>
        <v>2.6239041703959316</v>
      </c>
      <c r="W353" s="44">
        <f>100-(N$435-Tabell2[[#This Row],[Befvekst10-T]])*100/N$438</f>
        <v>20.541152549874838</v>
      </c>
      <c r="X353" s="44">
        <f>100-(O$435-Tabell2[[#This Row],[Kvinneandel-T]])*100/O$438</f>
        <v>54.223460350240373</v>
      </c>
      <c r="Y353" s="44">
        <f>(P$435-Tabell2[[#This Row],[Eldreandel-T]])*100/P$438</f>
        <v>47.036873451319465</v>
      </c>
      <c r="Z353" s="44">
        <f>100-(Q$435-Tabell2[[#This Row],[Sysselsettingsvekst10-T]])*100/Q$438</f>
        <v>0.92219794497249552</v>
      </c>
      <c r="AA353" s="44">
        <f>100-(R$435-Tabell2[[#This Row],[Yrkesaktivandel-T]])*100/R$438</f>
        <v>0</v>
      </c>
      <c r="AB353" s="44">
        <f>100-(S$435-Tabell2[[#This Row],[Inntekt-T]])*100/S$438</f>
        <v>0</v>
      </c>
      <c r="AC353" s="44">
        <f>Tabell2[[#This Row],[NIBR11-I]]*Vekter!$B$3</f>
        <v>8</v>
      </c>
      <c r="AD353" s="44">
        <f>Tabell2[[#This Row],[ReisetidOslo-I]]*Vekter!$C$3</f>
        <v>1.1958886724508555</v>
      </c>
      <c r="AE353" s="44">
        <f>Tabell2[[#This Row],[Beftettotal-I]]*Vekter!$E$4</f>
        <v>0.26239041703959315</v>
      </c>
      <c r="AF353" s="44">
        <f>Tabell2[[#This Row],[Befvekst10-I]]*Vekter!$F$3</f>
        <v>4.1082305099749679</v>
      </c>
      <c r="AG353" s="44">
        <f>Tabell2[[#This Row],[Kvinneandel-I]]*Vekter!$G$3</f>
        <v>2.711173017512019</v>
      </c>
      <c r="AH353" s="44">
        <f>Tabell2[[#This Row],[Eldreandel-I]]*Vekter!$H$3</f>
        <v>2.3518436725659733</v>
      </c>
      <c r="AI353" s="44">
        <f>Tabell2[[#This Row],[Sysselsettingsvekst10-I]]*Vekter!$I$3</f>
        <v>9.2219794497249555E-2</v>
      </c>
      <c r="AJ353" s="44">
        <f>Tabell2[[#This Row],[Yrkesaktivandel-I]]*Vekter!$K$3</f>
        <v>0</v>
      </c>
      <c r="AK353" s="44">
        <f>Tabell2[[#This Row],[Inntekt-I]]*Vekter!$M$3</f>
        <v>0</v>
      </c>
      <c r="AL35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18.72174608404066</v>
      </c>
    </row>
    <row r="354" spans="1:38" s="38" customFormat="1" ht="12.75">
      <c r="A354" s="42" t="s">
        <v>352</v>
      </c>
      <c r="B354" s="38">
        <f>'Rådata-K'!Q354</f>
        <v>6</v>
      </c>
      <c r="C354" s="44">
        <f>'Rådata-K'!P354</f>
        <v>236.07147719433999</v>
      </c>
      <c r="D354" s="41">
        <f>'Rådata-K'!R354</f>
        <v>6.8739889667758929</v>
      </c>
      <c r="E354" s="41">
        <f>'Rådata-K'!S354</f>
        <v>-1.6760605161673103E-2</v>
      </c>
      <c r="F354" s="41">
        <f>'Rådata-K'!T354</f>
        <v>0.10876451953537487</v>
      </c>
      <c r="G354" s="41">
        <f>'Rådata-K'!U354</f>
        <v>0.16359933624981143</v>
      </c>
      <c r="H354" s="41">
        <f>'Rådata-K'!V354</f>
        <v>1.1587659894657598E-2</v>
      </c>
      <c r="I354" s="41">
        <f>'Rådata-K'!W354</f>
        <v>0.88737607402511565</v>
      </c>
      <c r="J354" s="41">
        <f>'Rådata-K'!O354</f>
        <v>321100</v>
      </c>
      <c r="K354" s="41">
        <f>Tabell2[[#This Row],[NIBR11]]</f>
        <v>6</v>
      </c>
      <c r="L354" s="41">
        <f>IF(Tabell2[[#This Row],[ReisetidOslo]]&lt;=C$433,C$433,IF(Tabell2[[#This Row],[ReisetidOslo]]&gt;=C$434,C$434,Tabell2[[#This Row],[ReisetidOslo]]))</f>
        <v>236.07147719433999</v>
      </c>
      <c r="M354" s="41">
        <f>IF(Tabell2[[#This Row],[Beftettotal]]&lt;=D$433,D$433,IF(Tabell2[[#This Row],[Beftettotal]]&gt;=D$434,D$434,Tabell2[[#This Row],[Beftettotal]]))</f>
        <v>6.8739889667758929</v>
      </c>
      <c r="N354" s="41">
        <f>IF(Tabell2[[#This Row],[Befvekst10]]&lt;=E$433,E$433,IF(Tabell2[[#This Row],[Befvekst10]]&gt;=E$434,E$434,Tabell2[[#This Row],[Befvekst10]]))</f>
        <v>-1.6760605161673103E-2</v>
      </c>
      <c r="O354" s="41">
        <f>IF(Tabell2[[#This Row],[Kvinneandel]]&lt;=F$433,F$433,IF(Tabell2[[#This Row],[Kvinneandel]]&gt;=F$434,F$434,Tabell2[[#This Row],[Kvinneandel]]))</f>
        <v>0.10876451953537487</v>
      </c>
      <c r="P354" s="41">
        <f>IF(Tabell2[[#This Row],[Eldreandel]]&lt;=G$433,G$433,IF(Tabell2[[#This Row],[Eldreandel]]&gt;=G$434,G$434,Tabell2[[#This Row],[Eldreandel]]))</f>
        <v>0.16359933624981143</v>
      </c>
      <c r="Q354" s="41">
        <f>IF(Tabell2[[#This Row],[Sysselsettingsvekst10]]&lt;=H$433,H$433,IF(Tabell2[[#This Row],[Sysselsettingsvekst10]]&gt;=H$434,H$434,Tabell2[[#This Row],[Sysselsettingsvekst10]]))</f>
        <v>1.1587659894657598E-2</v>
      </c>
      <c r="R354" s="41">
        <f>IF(Tabell2[[#This Row],[Yrkesaktivandel]]&lt;=I$433,I$433,IF(Tabell2[[#This Row],[Yrkesaktivandel]]&gt;=I$434,I$434,Tabell2[[#This Row],[Yrkesaktivandel]]))</f>
        <v>0.88737607402511565</v>
      </c>
      <c r="S354" s="41">
        <f>IF(Tabell2[[#This Row],[Inntekt]]&lt;=J$433,J$433,IF(Tabell2[[#This Row],[Inntekt]]&gt;=J$434,J$434,Tabell2[[#This Row],[Inntekt]]))</f>
        <v>321100</v>
      </c>
      <c r="T354" s="44">
        <f>IF(Tabell2[[#This Row],[NIBR11-T]]&lt;=K$436,100,IF(Tabell2[[#This Row],[NIBR11-T]]&gt;=K$435,0,100*(K$435-Tabell2[[#This Row],[NIBR11-T]])/K$438))</f>
        <v>50</v>
      </c>
      <c r="U354" s="44">
        <f>(L$435-Tabell2[[#This Row],[ReisetidOslo-T]])*100/L$438</f>
        <v>19.082815896483236</v>
      </c>
      <c r="V354" s="44">
        <f>100-(M$435-Tabell2[[#This Row],[Beftettotal-T]])*100/M$438</f>
        <v>4.5425661297630882</v>
      </c>
      <c r="W354" s="44">
        <f>100-(N$435-Tabell2[[#This Row],[Befvekst10-T]])*100/N$438</f>
        <v>31.095897021981273</v>
      </c>
      <c r="X354" s="44">
        <f>100-(O$435-Tabell2[[#This Row],[Kvinneandel-T]])*100/O$438</f>
        <v>46.647661464629991</v>
      </c>
      <c r="Y354" s="44">
        <f>(P$435-Tabell2[[#This Row],[Eldreandel-T]])*100/P$438</f>
        <v>41.614370524785073</v>
      </c>
      <c r="Z354" s="44">
        <f>100-(Q$435-Tabell2[[#This Row],[Sysselsettingsvekst10-T]])*100/Q$438</f>
        <v>30.506172332293275</v>
      </c>
      <c r="AA354" s="44">
        <f>100-(R$435-Tabell2[[#This Row],[Yrkesaktivandel-T]])*100/R$438</f>
        <v>45.513664167503883</v>
      </c>
      <c r="AB354" s="44">
        <f>100-(S$435-Tabell2[[#This Row],[Inntekt-T]])*100/S$438</f>
        <v>39.369222403480151</v>
      </c>
      <c r="AC354" s="44">
        <f>Tabell2[[#This Row],[NIBR11-I]]*Vekter!$B$3</f>
        <v>10</v>
      </c>
      <c r="AD354" s="44">
        <f>Tabell2[[#This Row],[ReisetidOslo-I]]*Vekter!$C$3</f>
        <v>1.9082815896483236</v>
      </c>
      <c r="AE354" s="44">
        <f>Tabell2[[#This Row],[Beftettotal-I]]*Vekter!$E$4</f>
        <v>0.45425661297630882</v>
      </c>
      <c r="AF354" s="44">
        <f>Tabell2[[#This Row],[Befvekst10-I]]*Vekter!$F$3</f>
        <v>6.2191794043962547</v>
      </c>
      <c r="AG354" s="44">
        <f>Tabell2[[#This Row],[Kvinneandel-I]]*Vekter!$G$3</f>
        <v>2.3323830732314996</v>
      </c>
      <c r="AH354" s="44">
        <f>Tabell2[[#This Row],[Eldreandel-I]]*Vekter!$H$3</f>
        <v>2.0807185262392536</v>
      </c>
      <c r="AI354" s="44">
        <f>Tabell2[[#This Row],[Sysselsettingsvekst10-I]]*Vekter!$I$3</f>
        <v>3.0506172332293278</v>
      </c>
      <c r="AJ354" s="44">
        <f>Tabell2[[#This Row],[Yrkesaktivandel-I]]*Vekter!$K$3</f>
        <v>4.5513664167503887</v>
      </c>
      <c r="AK354" s="44">
        <f>Tabell2[[#This Row],[Inntekt-I]]*Vekter!$M$3</f>
        <v>3.9369222403480153</v>
      </c>
      <c r="AL35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34.533725096819374</v>
      </c>
    </row>
    <row r="355" spans="1:38" s="38" customFormat="1" ht="12.75">
      <c r="A355" s="42" t="s">
        <v>353</v>
      </c>
      <c r="B355" s="38">
        <f>'Rådata-K'!Q355</f>
        <v>6</v>
      </c>
      <c r="C355" s="44">
        <f>'Rådata-K'!P355</f>
        <v>260.79449851359999</v>
      </c>
      <c r="D355" s="41">
        <f>'Rådata-K'!R355</f>
        <v>0.72599356335603615</v>
      </c>
      <c r="E355" s="41">
        <f>'Rådata-K'!S355</f>
        <v>-7.2657743785850881E-2</v>
      </c>
      <c r="F355" s="41">
        <f>'Rådata-K'!T355</f>
        <v>8.5910652920962199E-2</v>
      </c>
      <c r="G355" s="41">
        <f>'Rådata-K'!U355</f>
        <v>0.20412371134020618</v>
      </c>
      <c r="H355" s="41">
        <f>'Rådata-K'!V355</f>
        <v>-4.2124542124542086E-2</v>
      </c>
      <c r="I355" s="41">
        <f>'Rådata-K'!W355</f>
        <v>0.87293519695044475</v>
      </c>
      <c r="J355" s="41">
        <f>'Rådata-K'!O355</f>
        <v>291900</v>
      </c>
      <c r="K355" s="41">
        <f>Tabell2[[#This Row],[NIBR11]]</f>
        <v>6</v>
      </c>
      <c r="L355" s="41">
        <f>IF(Tabell2[[#This Row],[ReisetidOslo]]&lt;=C$433,C$433,IF(Tabell2[[#This Row],[ReisetidOslo]]&gt;=C$434,C$434,Tabell2[[#This Row],[ReisetidOslo]]))</f>
        <v>260.79449851359999</v>
      </c>
      <c r="M355" s="41">
        <f>IF(Tabell2[[#This Row],[Beftettotal]]&lt;=D$433,D$433,IF(Tabell2[[#This Row],[Beftettotal]]&gt;=D$434,D$434,Tabell2[[#This Row],[Beftettotal]]))</f>
        <v>1.3207758882127238</v>
      </c>
      <c r="N355" s="41">
        <f>IF(Tabell2[[#This Row],[Befvekst10]]&lt;=E$433,E$433,IF(Tabell2[[#This Row],[Befvekst10]]&gt;=E$434,E$434,Tabell2[[#This Row],[Befvekst10]]))</f>
        <v>-7.2657743785850881E-2</v>
      </c>
      <c r="O355" s="41">
        <f>IF(Tabell2[[#This Row],[Kvinneandel]]&lt;=F$433,F$433,IF(Tabell2[[#This Row],[Kvinneandel]]&gt;=F$434,F$434,Tabell2[[#This Row],[Kvinneandel]]))</f>
        <v>9.1717808671657367E-2</v>
      </c>
      <c r="P355" s="41">
        <f>IF(Tabell2[[#This Row],[Eldreandel]]&lt;=G$433,G$433,IF(Tabell2[[#This Row],[Eldreandel]]&gt;=G$434,G$434,Tabell2[[#This Row],[Eldreandel]]))</f>
        <v>0.1989437597342919</v>
      </c>
      <c r="Q355" s="41">
        <f>IF(Tabell2[[#This Row],[Sysselsettingsvekst10]]&lt;=H$433,H$433,IF(Tabell2[[#This Row],[Sysselsettingsvekst10]]&gt;=H$434,H$434,Tabell2[[#This Row],[Sysselsettingsvekst10]]))</f>
        <v>-4.2124542124542086E-2</v>
      </c>
      <c r="R355" s="41">
        <f>IF(Tabell2[[#This Row],[Yrkesaktivandel]]&lt;=I$433,I$433,IF(Tabell2[[#This Row],[Yrkesaktivandel]]&gt;=I$434,I$434,Tabell2[[#This Row],[Yrkesaktivandel]]))</f>
        <v>0.87293519695044475</v>
      </c>
      <c r="S355" s="41">
        <f>IF(Tabell2[[#This Row],[Inntekt]]&lt;=J$433,J$433,IF(Tabell2[[#This Row],[Inntekt]]&gt;=J$434,J$434,Tabell2[[#This Row],[Inntekt]]))</f>
        <v>292140</v>
      </c>
      <c r="T355" s="44">
        <f>IF(Tabell2[[#This Row],[NIBR11-T]]&lt;=K$436,100,IF(Tabell2[[#This Row],[NIBR11-T]]&gt;=K$435,0,100*(K$435-Tabell2[[#This Row],[NIBR11-T]])/K$438))</f>
        <v>50</v>
      </c>
      <c r="U355" s="44">
        <f>(L$435-Tabell2[[#This Row],[ReisetidOslo-T]])*100/L$438</f>
        <v>8.1070159494560414</v>
      </c>
      <c r="V355" s="44">
        <f>100-(M$435-Tabell2[[#This Row],[Beftettotal-T]])*100/M$438</f>
        <v>0</v>
      </c>
      <c r="W355" s="44">
        <f>100-(N$435-Tabell2[[#This Row],[Befvekst10-T]])*100/N$438</f>
        <v>7.9704191674959759</v>
      </c>
      <c r="X355" s="44">
        <f>100-(O$435-Tabell2[[#This Row],[Kvinneandel-T]])*100/O$438</f>
        <v>0</v>
      </c>
      <c r="Y355" s="44">
        <f>(P$435-Tabell2[[#This Row],[Eldreandel-T]])*100/P$438</f>
        <v>0</v>
      </c>
      <c r="Z355" s="44">
        <f>100-(Q$435-Tabell2[[#This Row],[Sysselsettingsvekst10-T]])*100/Q$438</f>
        <v>14.713867577410213</v>
      </c>
      <c r="AA355" s="44">
        <f>100-(R$435-Tabell2[[#This Row],[Yrkesaktivandel-T]])*100/R$438</f>
        <v>34.729482743677195</v>
      </c>
      <c r="AB355" s="44">
        <f>100-(S$435-Tabell2[[#This Row],[Inntekt-T]])*100/S$438</f>
        <v>0</v>
      </c>
      <c r="AC355" s="44">
        <f>Tabell2[[#This Row],[NIBR11-I]]*Vekter!$B$3</f>
        <v>10</v>
      </c>
      <c r="AD355" s="44">
        <f>Tabell2[[#This Row],[ReisetidOslo-I]]*Vekter!$C$3</f>
        <v>0.81070159494560423</v>
      </c>
      <c r="AE355" s="44">
        <f>Tabell2[[#This Row],[Beftettotal-I]]*Vekter!$E$4</f>
        <v>0</v>
      </c>
      <c r="AF355" s="44">
        <f>Tabell2[[#This Row],[Befvekst10-I]]*Vekter!$F$3</f>
        <v>1.5940838334991954</v>
      </c>
      <c r="AG355" s="44">
        <f>Tabell2[[#This Row],[Kvinneandel-I]]*Vekter!$G$3</f>
        <v>0</v>
      </c>
      <c r="AH355" s="44">
        <f>Tabell2[[#This Row],[Eldreandel-I]]*Vekter!$H$3</f>
        <v>0</v>
      </c>
      <c r="AI355" s="44">
        <f>Tabell2[[#This Row],[Sysselsettingsvekst10-I]]*Vekter!$I$3</f>
        <v>1.4713867577410213</v>
      </c>
      <c r="AJ355" s="44">
        <f>Tabell2[[#This Row],[Yrkesaktivandel-I]]*Vekter!$K$3</f>
        <v>3.4729482743677198</v>
      </c>
      <c r="AK355" s="44">
        <f>Tabell2[[#This Row],[Inntekt-I]]*Vekter!$M$3</f>
        <v>0</v>
      </c>
      <c r="AL35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17.349120460553539</v>
      </c>
    </row>
    <row r="356" spans="1:38" s="38" customFormat="1" ht="12.75">
      <c r="A356" s="42" t="s">
        <v>354</v>
      </c>
      <c r="B356" s="38">
        <f>'Rådata-K'!Q356</f>
        <v>11</v>
      </c>
      <c r="C356" s="44">
        <f>'Rådata-K'!P356</f>
        <v>286.58460247689999</v>
      </c>
      <c r="D356" s="41">
        <f>'Rådata-K'!R356</f>
        <v>0.54240925075996893</v>
      </c>
      <c r="E356" s="41">
        <f>'Rådata-K'!S356</f>
        <v>-9.1703056768558944E-2</v>
      </c>
      <c r="F356" s="41">
        <f>'Rådata-K'!T356</f>
        <v>9.2719780219780223E-2</v>
      </c>
      <c r="G356" s="41">
        <f>'Rådata-K'!U356</f>
        <v>0.19230769230769232</v>
      </c>
      <c r="H356" s="41">
        <f>'Rådata-K'!V356</f>
        <v>1.5847860538826808E-3</v>
      </c>
      <c r="I356" s="41">
        <f>'Rådata-K'!W356</f>
        <v>0.92894056847545214</v>
      </c>
      <c r="J356" s="41">
        <f>'Rådata-K'!O356</f>
        <v>275600</v>
      </c>
      <c r="K356" s="41">
        <f>Tabell2[[#This Row],[NIBR11]]</f>
        <v>11</v>
      </c>
      <c r="L356" s="41">
        <f>IF(Tabell2[[#This Row],[ReisetidOslo]]&lt;=C$433,C$433,IF(Tabell2[[#This Row],[ReisetidOslo]]&gt;=C$434,C$434,Tabell2[[#This Row],[ReisetidOslo]]))</f>
        <v>279.05557553043002</v>
      </c>
      <c r="M356" s="41">
        <f>IF(Tabell2[[#This Row],[Beftettotal]]&lt;=D$433,D$433,IF(Tabell2[[#This Row],[Beftettotal]]&gt;=D$434,D$434,Tabell2[[#This Row],[Beftettotal]]))</f>
        <v>1.3207758882127238</v>
      </c>
      <c r="N356" s="41">
        <f>IF(Tabell2[[#This Row],[Befvekst10]]&lt;=E$433,E$433,IF(Tabell2[[#This Row],[Befvekst10]]&gt;=E$434,E$434,Tabell2[[#This Row],[Befvekst10]]))</f>
        <v>-9.1703056768558944E-2</v>
      </c>
      <c r="O356" s="41">
        <f>IF(Tabell2[[#This Row],[Kvinneandel]]&lt;=F$433,F$433,IF(Tabell2[[#This Row],[Kvinneandel]]&gt;=F$434,F$434,Tabell2[[#This Row],[Kvinneandel]]))</f>
        <v>9.2719780219780223E-2</v>
      </c>
      <c r="P356" s="41">
        <f>IF(Tabell2[[#This Row],[Eldreandel]]&lt;=G$433,G$433,IF(Tabell2[[#This Row],[Eldreandel]]&gt;=G$434,G$434,Tabell2[[#This Row],[Eldreandel]]))</f>
        <v>0.19230769230769232</v>
      </c>
      <c r="Q356" s="41">
        <f>IF(Tabell2[[#This Row],[Sysselsettingsvekst10]]&lt;=H$433,H$433,IF(Tabell2[[#This Row],[Sysselsettingsvekst10]]&gt;=H$434,H$434,Tabell2[[#This Row],[Sysselsettingsvekst10]]))</f>
        <v>1.5847860538826808E-3</v>
      </c>
      <c r="R356" s="41">
        <f>IF(Tabell2[[#This Row],[Yrkesaktivandel]]&lt;=I$433,I$433,IF(Tabell2[[#This Row],[Yrkesaktivandel]]&gt;=I$434,I$434,Tabell2[[#This Row],[Yrkesaktivandel]]))</f>
        <v>0.92894056847545214</v>
      </c>
      <c r="S356" s="41">
        <f>IF(Tabell2[[#This Row],[Inntekt]]&lt;=J$433,J$433,IF(Tabell2[[#This Row],[Inntekt]]&gt;=J$434,J$434,Tabell2[[#This Row],[Inntekt]]))</f>
        <v>292140</v>
      </c>
      <c r="T356" s="44">
        <f>IF(Tabell2[[#This Row],[NIBR11-T]]&lt;=K$436,100,IF(Tabell2[[#This Row],[NIBR11-T]]&gt;=K$435,0,100*(K$435-Tabell2[[#This Row],[NIBR11-T]])/K$438))</f>
        <v>0</v>
      </c>
      <c r="U356" s="44">
        <f>(L$435-Tabell2[[#This Row],[ReisetidOslo-T]])*100/L$438</f>
        <v>0</v>
      </c>
      <c r="V356" s="44">
        <f>100-(M$435-Tabell2[[#This Row],[Beftettotal-T]])*100/M$438</f>
        <v>0</v>
      </c>
      <c r="W356" s="44">
        <f>100-(N$435-Tabell2[[#This Row],[Befvekst10-T]])*100/N$438</f>
        <v>9.1089841274396122E-2</v>
      </c>
      <c r="X356" s="44">
        <f>100-(O$435-Tabell2[[#This Row],[Kvinneandel-T]])*100/O$438</f>
        <v>2.7418561825617331</v>
      </c>
      <c r="Y356" s="44">
        <f>(P$435-Tabell2[[#This Row],[Eldreandel-T]])*100/P$438</f>
        <v>7.8132769329009006</v>
      </c>
      <c r="Z356" s="44">
        <f>100-(Q$435-Tabell2[[#This Row],[Sysselsettingsvekst10-T]])*100/Q$438</f>
        <v>27.56515658206024</v>
      </c>
      <c r="AA356" s="44">
        <f>100-(R$435-Tabell2[[#This Row],[Yrkesaktivandel-T]])*100/R$438</f>
        <v>76.553264229488462</v>
      </c>
      <c r="AB356" s="44">
        <f>100-(S$435-Tabell2[[#This Row],[Inntekt-T]])*100/S$438</f>
        <v>0</v>
      </c>
      <c r="AC356" s="44">
        <f>Tabell2[[#This Row],[NIBR11-I]]*Vekter!$B$3</f>
        <v>0</v>
      </c>
      <c r="AD356" s="44">
        <f>Tabell2[[#This Row],[ReisetidOslo-I]]*Vekter!$C$3</f>
        <v>0</v>
      </c>
      <c r="AE356" s="44">
        <f>Tabell2[[#This Row],[Beftettotal-I]]*Vekter!$E$4</f>
        <v>0</v>
      </c>
      <c r="AF356" s="44">
        <f>Tabell2[[#This Row],[Befvekst10-I]]*Vekter!$F$3</f>
        <v>1.8217968254879226E-2</v>
      </c>
      <c r="AG356" s="44">
        <f>Tabell2[[#This Row],[Kvinneandel-I]]*Vekter!$G$3</f>
        <v>0.13709280912808666</v>
      </c>
      <c r="AH356" s="44">
        <f>Tabell2[[#This Row],[Eldreandel-I]]*Vekter!$H$3</f>
        <v>0.39066384664504505</v>
      </c>
      <c r="AI356" s="44">
        <f>Tabell2[[#This Row],[Sysselsettingsvekst10-I]]*Vekter!$I$3</f>
        <v>2.7565156582060242</v>
      </c>
      <c r="AJ356" s="44">
        <f>Tabell2[[#This Row],[Yrkesaktivandel-I]]*Vekter!$K$3</f>
        <v>7.6553264229488462</v>
      </c>
      <c r="AK356" s="44">
        <f>Tabell2[[#This Row],[Inntekt-I]]*Vekter!$M$3</f>
        <v>0</v>
      </c>
      <c r="AL35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10.957816705182882</v>
      </c>
    </row>
    <row r="357" spans="1:38" s="38" customFormat="1" ht="12.75">
      <c r="A357" s="42" t="s">
        <v>355</v>
      </c>
      <c r="B357" s="38">
        <f>'Rådata-K'!Q357</f>
        <v>7</v>
      </c>
      <c r="C357" s="44">
        <f>'Rådata-K'!P357</f>
        <v>278.3886906546</v>
      </c>
      <c r="D357" s="41">
        <f>'Rådata-K'!R357</f>
        <v>7.39040742650851</v>
      </c>
      <c r="E357" s="41">
        <f>'Rådata-K'!S357</f>
        <v>-7.90488431876607E-2</v>
      </c>
      <c r="F357" s="41">
        <f>'Rådata-K'!T357</f>
        <v>8.932309839497557E-2</v>
      </c>
      <c r="G357" s="41">
        <f>'Rådata-K'!U357</f>
        <v>0.17236566643405443</v>
      </c>
      <c r="H357" s="41">
        <f>'Rådata-K'!V357</f>
        <v>-8.0592105263157854E-2</v>
      </c>
      <c r="I357" s="41">
        <f>'Rådata-K'!W357</f>
        <v>0.89234760051880679</v>
      </c>
      <c r="J357" s="41">
        <f>'Rådata-K'!O357</f>
        <v>299800</v>
      </c>
      <c r="K357" s="41">
        <f>Tabell2[[#This Row],[NIBR11]]</f>
        <v>7</v>
      </c>
      <c r="L357" s="41">
        <f>IF(Tabell2[[#This Row],[ReisetidOslo]]&lt;=C$433,C$433,IF(Tabell2[[#This Row],[ReisetidOslo]]&gt;=C$434,C$434,Tabell2[[#This Row],[ReisetidOslo]]))</f>
        <v>278.3886906546</v>
      </c>
      <c r="M357" s="41">
        <f>IF(Tabell2[[#This Row],[Beftettotal]]&lt;=D$433,D$433,IF(Tabell2[[#This Row],[Beftettotal]]&gt;=D$434,D$434,Tabell2[[#This Row],[Beftettotal]]))</f>
        <v>7.39040742650851</v>
      </c>
      <c r="N357" s="41">
        <f>IF(Tabell2[[#This Row],[Befvekst10]]&lt;=E$433,E$433,IF(Tabell2[[#This Row],[Befvekst10]]&gt;=E$434,E$434,Tabell2[[#This Row],[Befvekst10]]))</f>
        <v>-7.90488431876607E-2</v>
      </c>
      <c r="O357" s="41">
        <f>IF(Tabell2[[#This Row],[Kvinneandel]]&lt;=F$433,F$433,IF(Tabell2[[#This Row],[Kvinneandel]]&gt;=F$434,F$434,Tabell2[[#This Row],[Kvinneandel]]))</f>
        <v>9.1717808671657367E-2</v>
      </c>
      <c r="P357" s="41">
        <f>IF(Tabell2[[#This Row],[Eldreandel]]&lt;=G$433,G$433,IF(Tabell2[[#This Row],[Eldreandel]]&gt;=G$434,G$434,Tabell2[[#This Row],[Eldreandel]]))</f>
        <v>0.17236566643405443</v>
      </c>
      <c r="Q357" s="41">
        <f>IF(Tabell2[[#This Row],[Sysselsettingsvekst10]]&lt;=H$433,H$433,IF(Tabell2[[#This Row],[Sysselsettingsvekst10]]&gt;=H$434,H$434,Tabell2[[#This Row],[Sysselsettingsvekst10]]))</f>
        <v>-8.0592105263157854E-2</v>
      </c>
      <c r="R357" s="41">
        <f>IF(Tabell2[[#This Row],[Yrkesaktivandel]]&lt;=I$433,I$433,IF(Tabell2[[#This Row],[Yrkesaktivandel]]&gt;=I$434,I$434,Tabell2[[#This Row],[Yrkesaktivandel]]))</f>
        <v>0.89234760051880679</v>
      </c>
      <c r="S357" s="41">
        <f>IF(Tabell2[[#This Row],[Inntekt]]&lt;=J$433,J$433,IF(Tabell2[[#This Row],[Inntekt]]&gt;=J$434,J$434,Tabell2[[#This Row],[Inntekt]]))</f>
        <v>299800</v>
      </c>
      <c r="T357" s="44">
        <f>IF(Tabell2[[#This Row],[NIBR11-T]]&lt;=K$436,100,IF(Tabell2[[#This Row],[NIBR11-T]]&gt;=K$435,0,100*(K$435-Tabell2[[#This Row],[NIBR11-T]])/K$438))</f>
        <v>40</v>
      </c>
      <c r="U357" s="44">
        <f>(L$435-Tabell2[[#This Row],[ReisetidOslo-T]])*100/L$438</f>
        <v>0.29606393532113306</v>
      </c>
      <c r="V357" s="44">
        <f>100-(M$435-Tabell2[[#This Row],[Beftettotal-T]])*100/M$438</f>
        <v>4.9649999479469358</v>
      </c>
      <c r="W357" s="44">
        <f>100-(N$435-Tabell2[[#This Row],[Befvekst10-T]])*100/N$438</f>
        <v>5.3263262618451819</v>
      </c>
      <c r="X357" s="44">
        <f>100-(O$435-Tabell2[[#This Row],[Kvinneandel-T]])*100/O$438</f>
        <v>0</v>
      </c>
      <c r="Y357" s="44">
        <f>(P$435-Tabell2[[#This Row],[Eldreandel-T]])*100/P$438</f>
        <v>31.292931483916881</v>
      </c>
      <c r="Z357" s="44">
        <f>100-(Q$435-Tabell2[[#This Row],[Sysselsettingsvekst10-T]])*100/Q$438</f>
        <v>3.403747019597759</v>
      </c>
      <c r="AA357" s="44">
        <f>100-(R$435-Tabell2[[#This Row],[Yrkesaktivandel-T]])*100/R$438</f>
        <v>49.226308723932128</v>
      </c>
      <c r="AB357" s="44">
        <f>100-(S$435-Tabell2[[#This Row],[Inntekt-T]])*100/S$438</f>
        <v>10.413268080478517</v>
      </c>
      <c r="AC357" s="44">
        <f>Tabell2[[#This Row],[NIBR11-I]]*Vekter!$B$3</f>
        <v>8</v>
      </c>
      <c r="AD357" s="44">
        <f>Tabell2[[#This Row],[ReisetidOslo-I]]*Vekter!$C$3</f>
        <v>2.9606393532113306E-2</v>
      </c>
      <c r="AE357" s="44">
        <f>Tabell2[[#This Row],[Beftettotal-I]]*Vekter!$E$4</f>
        <v>0.49649999479469359</v>
      </c>
      <c r="AF357" s="44">
        <f>Tabell2[[#This Row],[Befvekst10-I]]*Vekter!$F$3</f>
        <v>1.0652652523690365</v>
      </c>
      <c r="AG357" s="44">
        <f>Tabell2[[#This Row],[Kvinneandel-I]]*Vekter!$G$3</f>
        <v>0</v>
      </c>
      <c r="AH357" s="44">
        <f>Tabell2[[#This Row],[Eldreandel-I]]*Vekter!$H$3</f>
        <v>1.5646465741958442</v>
      </c>
      <c r="AI357" s="44">
        <f>Tabell2[[#This Row],[Sysselsettingsvekst10-I]]*Vekter!$I$3</f>
        <v>0.34037470195977593</v>
      </c>
      <c r="AJ357" s="44">
        <f>Tabell2[[#This Row],[Yrkesaktivandel-I]]*Vekter!$K$3</f>
        <v>4.9226308723932135</v>
      </c>
      <c r="AK357" s="44">
        <f>Tabell2[[#This Row],[Inntekt-I]]*Vekter!$M$3</f>
        <v>1.0413268080478517</v>
      </c>
      <c r="AL35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17.460350597292528</v>
      </c>
    </row>
    <row r="358" spans="1:38" s="38" customFormat="1" ht="12.75">
      <c r="A358" s="42" t="s">
        <v>356</v>
      </c>
      <c r="B358" s="38">
        <f>'Rådata-K'!Q358</f>
        <v>5</v>
      </c>
      <c r="C358" s="44">
        <f>'Rådata-K'!P358</f>
        <v>297.9812655298</v>
      </c>
      <c r="D358" s="41">
        <f>'Rådata-K'!R358</f>
        <v>9.9000709878228577</v>
      </c>
      <c r="E358" s="41">
        <f>'Rådata-K'!S358</f>
        <v>-2.2641509433962259E-2</v>
      </c>
      <c r="F358" s="41">
        <f>'Rådata-K'!T358</f>
        <v>0.12134583563154992</v>
      </c>
      <c r="G358" s="41">
        <f>'Rådata-K'!U358</f>
        <v>0.15223386651958082</v>
      </c>
      <c r="H358" s="41">
        <f>'Rådata-K'!V358</f>
        <v>-2.4309392265193353E-2</v>
      </c>
      <c r="I358" s="41">
        <f>'Rådata-K'!W358</f>
        <v>0.82416502946954817</v>
      </c>
      <c r="J358" s="41">
        <f>'Rådata-K'!O358</f>
        <v>278000</v>
      </c>
      <c r="K358" s="41">
        <f>Tabell2[[#This Row],[NIBR11]]</f>
        <v>5</v>
      </c>
      <c r="L358" s="41">
        <f>IF(Tabell2[[#This Row],[ReisetidOslo]]&lt;=C$433,C$433,IF(Tabell2[[#This Row],[ReisetidOslo]]&gt;=C$434,C$434,Tabell2[[#This Row],[ReisetidOslo]]))</f>
        <v>279.05557553043002</v>
      </c>
      <c r="M358" s="41">
        <f>IF(Tabell2[[#This Row],[Beftettotal]]&lt;=D$433,D$433,IF(Tabell2[[#This Row],[Beftettotal]]&gt;=D$434,D$434,Tabell2[[#This Row],[Beftettotal]]))</f>
        <v>9.9000709878228577</v>
      </c>
      <c r="N358" s="41">
        <f>IF(Tabell2[[#This Row],[Befvekst10]]&lt;=E$433,E$433,IF(Tabell2[[#This Row],[Befvekst10]]&gt;=E$434,E$434,Tabell2[[#This Row],[Befvekst10]]))</f>
        <v>-2.2641509433962259E-2</v>
      </c>
      <c r="O358" s="41">
        <f>IF(Tabell2[[#This Row],[Kvinneandel]]&lt;=F$433,F$433,IF(Tabell2[[#This Row],[Kvinneandel]]&gt;=F$434,F$434,Tabell2[[#This Row],[Kvinneandel]]))</f>
        <v>0.12134583563154992</v>
      </c>
      <c r="P358" s="41">
        <f>IF(Tabell2[[#This Row],[Eldreandel]]&lt;=G$433,G$433,IF(Tabell2[[#This Row],[Eldreandel]]&gt;=G$434,G$434,Tabell2[[#This Row],[Eldreandel]]))</f>
        <v>0.15223386651958082</v>
      </c>
      <c r="Q358" s="41">
        <f>IF(Tabell2[[#This Row],[Sysselsettingsvekst10]]&lt;=H$433,H$433,IF(Tabell2[[#This Row],[Sysselsettingsvekst10]]&gt;=H$434,H$434,Tabell2[[#This Row],[Sysselsettingsvekst10]]))</f>
        <v>-2.4309392265193353E-2</v>
      </c>
      <c r="R358" s="41">
        <f>IF(Tabell2[[#This Row],[Yrkesaktivandel]]&lt;=I$433,I$433,IF(Tabell2[[#This Row],[Yrkesaktivandel]]&gt;=I$434,I$434,Tabell2[[#This Row],[Yrkesaktivandel]]))</f>
        <v>0.82642965596795781</v>
      </c>
      <c r="S358" s="41">
        <f>IF(Tabell2[[#This Row],[Inntekt]]&lt;=J$433,J$433,IF(Tabell2[[#This Row],[Inntekt]]&gt;=J$434,J$434,Tabell2[[#This Row],[Inntekt]]))</f>
        <v>292140</v>
      </c>
      <c r="T358" s="44">
        <f>IF(Tabell2[[#This Row],[NIBR11-T]]&lt;=K$436,100,IF(Tabell2[[#This Row],[NIBR11-T]]&gt;=K$435,0,100*(K$435-Tabell2[[#This Row],[NIBR11-T]])/K$438))</f>
        <v>60</v>
      </c>
      <c r="U358" s="44">
        <f>(L$435-Tabell2[[#This Row],[ReisetidOslo-T]])*100/L$438</f>
        <v>0</v>
      </c>
      <c r="V358" s="44">
        <f>100-(M$435-Tabell2[[#This Row],[Beftettotal-T]])*100/M$438</f>
        <v>7.0179218382909738</v>
      </c>
      <c r="W358" s="44">
        <f>100-(N$435-Tabell2[[#This Row],[Befvekst10-T]])*100/N$438</f>
        <v>28.662879431804555</v>
      </c>
      <c r="X358" s="44">
        <f>100-(O$435-Tabell2[[#This Row],[Kvinneandel-T]])*100/O$438</f>
        <v>81.075943772334142</v>
      </c>
      <c r="Y358" s="44">
        <f>(P$435-Tabell2[[#This Row],[Eldreandel-T]])*100/P$438</f>
        <v>54.996025165430801</v>
      </c>
      <c r="Z358" s="44">
        <f>100-(Q$435-Tabell2[[#This Row],[Sysselsettingsvekst10-T]])*100/Q$438</f>
        <v>19.951825904499088</v>
      </c>
      <c r="AA358" s="44">
        <f>100-(R$435-Tabell2[[#This Row],[Yrkesaktivandel-T]])*100/R$438</f>
        <v>0</v>
      </c>
      <c r="AB358" s="44">
        <f>100-(S$435-Tabell2[[#This Row],[Inntekt-T]])*100/S$438</f>
        <v>0</v>
      </c>
      <c r="AC358" s="44">
        <f>Tabell2[[#This Row],[NIBR11-I]]*Vekter!$B$3</f>
        <v>12</v>
      </c>
      <c r="AD358" s="44">
        <f>Tabell2[[#This Row],[ReisetidOslo-I]]*Vekter!$C$3</f>
        <v>0</v>
      </c>
      <c r="AE358" s="44">
        <f>Tabell2[[#This Row],[Beftettotal-I]]*Vekter!$E$4</f>
        <v>0.70179218382909747</v>
      </c>
      <c r="AF358" s="44">
        <f>Tabell2[[#This Row],[Befvekst10-I]]*Vekter!$F$3</f>
        <v>5.7325758863609115</v>
      </c>
      <c r="AG358" s="44">
        <f>Tabell2[[#This Row],[Kvinneandel-I]]*Vekter!$G$3</f>
        <v>4.0537971886167075</v>
      </c>
      <c r="AH358" s="44">
        <f>Tabell2[[#This Row],[Eldreandel-I]]*Vekter!$H$3</f>
        <v>2.7498012582715403</v>
      </c>
      <c r="AI358" s="44">
        <f>Tabell2[[#This Row],[Sysselsettingsvekst10-I]]*Vekter!$I$3</f>
        <v>1.995182590449909</v>
      </c>
      <c r="AJ358" s="44">
        <f>Tabell2[[#This Row],[Yrkesaktivandel-I]]*Vekter!$K$3</f>
        <v>0</v>
      </c>
      <c r="AK358" s="44">
        <f>Tabell2[[#This Row],[Inntekt-I]]*Vekter!$M$3</f>
        <v>0</v>
      </c>
      <c r="AL35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27.233149107528163</v>
      </c>
    </row>
    <row r="359" spans="1:38" s="38" customFormat="1" ht="12.75">
      <c r="A359" s="42" t="s">
        <v>357</v>
      </c>
      <c r="B359" s="38">
        <f>'Rådata-K'!Q359</f>
        <v>5</v>
      </c>
      <c r="C359" s="44">
        <f>'Rådata-K'!P359</f>
        <v>275.5096024769</v>
      </c>
      <c r="D359" s="41">
        <f>'Rådata-K'!R359</f>
        <v>2.8858984365165288</v>
      </c>
      <c r="E359" s="41">
        <f>'Rådata-K'!S359</f>
        <v>1.0917030567685337E-3</v>
      </c>
      <c r="F359" s="41">
        <f>'Rådata-K'!T359</f>
        <v>9.9236641221374045E-2</v>
      </c>
      <c r="G359" s="41">
        <f>'Rådata-K'!U359</f>
        <v>0.1812431842966194</v>
      </c>
      <c r="H359" s="41">
        <f>'Rådata-K'!V359</f>
        <v>0.11220472440944884</v>
      </c>
      <c r="I359" s="41">
        <f>'Rådata-K'!W359</f>
        <v>0.87378246753246758</v>
      </c>
      <c r="J359" s="41">
        <f>'Rådata-K'!O359</f>
        <v>297900</v>
      </c>
      <c r="K359" s="41">
        <f>Tabell2[[#This Row],[NIBR11]]</f>
        <v>5</v>
      </c>
      <c r="L359" s="41">
        <f>IF(Tabell2[[#This Row],[ReisetidOslo]]&lt;=C$433,C$433,IF(Tabell2[[#This Row],[ReisetidOslo]]&gt;=C$434,C$434,Tabell2[[#This Row],[ReisetidOslo]]))</f>
        <v>275.5096024769</v>
      </c>
      <c r="M359" s="41">
        <f>IF(Tabell2[[#This Row],[Beftettotal]]&lt;=D$433,D$433,IF(Tabell2[[#This Row],[Beftettotal]]&gt;=D$434,D$434,Tabell2[[#This Row],[Beftettotal]]))</f>
        <v>2.8858984365165288</v>
      </c>
      <c r="N359" s="41">
        <f>IF(Tabell2[[#This Row],[Befvekst10]]&lt;=E$433,E$433,IF(Tabell2[[#This Row],[Befvekst10]]&gt;=E$434,E$434,Tabell2[[#This Row],[Befvekst10]]))</f>
        <v>1.0917030567685337E-3</v>
      </c>
      <c r="O359" s="41">
        <f>IF(Tabell2[[#This Row],[Kvinneandel]]&lt;=F$433,F$433,IF(Tabell2[[#This Row],[Kvinneandel]]&gt;=F$434,F$434,Tabell2[[#This Row],[Kvinneandel]]))</f>
        <v>9.9236641221374045E-2</v>
      </c>
      <c r="P359" s="41">
        <f>IF(Tabell2[[#This Row],[Eldreandel]]&lt;=G$433,G$433,IF(Tabell2[[#This Row],[Eldreandel]]&gt;=G$434,G$434,Tabell2[[#This Row],[Eldreandel]]))</f>
        <v>0.1812431842966194</v>
      </c>
      <c r="Q359" s="41">
        <f>IF(Tabell2[[#This Row],[Sysselsettingsvekst10]]&lt;=H$433,H$433,IF(Tabell2[[#This Row],[Sysselsettingsvekst10]]&gt;=H$434,H$434,Tabell2[[#This Row],[Sysselsettingsvekst10]]))</f>
        <v>0.11220472440944884</v>
      </c>
      <c r="R359" s="41">
        <f>IF(Tabell2[[#This Row],[Yrkesaktivandel]]&lt;=I$433,I$433,IF(Tabell2[[#This Row],[Yrkesaktivandel]]&gt;=I$434,I$434,Tabell2[[#This Row],[Yrkesaktivandel]]))</f>
        <v>0.87378246753246758</v>
      </c>
      <c r="S359" s="41">
        <f>IF(Tabell2[[#This Row],[Inntekt]]&lt;=J$433,J$433,IF(Tabell2[[#This Row],[Inntekt]]&gt;=J$434,J$434,Tabell2[[#This Row],[Inntekt]]))</f>
        <v>297900</v>
      </c>
      <c r="T359" s="44">
        <f>IF(Tabell2[[#This Row],[NIBR11-T]]&lt;=K$436,100,IF(Tabell2[[#This Row],[NIBR11-T]]&gt;=K$435,0,100*(K$435-Tabell2[[#This Row],[NIBR11-T]])/K$438))</f>
        <v>60</v>
      </c>
      <c r="U359" s="44">
        <f>(L$435-Tabell2[[#This Row],[ReisetidOslo-T]])*100/L$438</f>
        <v>1.5742368358018948</v>
      </c>
      <c r="V359" s="44">
        <f>100-(M$435-Tabell2[[#This Row],[Beftettotal-T]])*100/M$438</f>
        <v>1.2802809069759178</v>
      </c>
      <c r="W359" s="44">
        <f>100-(N$435-Tabell2[[#This Row],[Befvekst10-T]])*100/N$438</f>
        <v>38.481662528383183</v>
      </c>
      <c r="X359" s="44">
        <f>100-(O$435-Tabell2[[#This Row],[Kvinneandel-T]])*100/O$438</f>
        <v>20.574992923411187</v>
      </c>
      <c r="Y359" s="44">
        <f>(P$435-Tabell2[[#This Row],[Eldreandel-T]])*100/P$438</f>
        <v>20.840580554062495</v>
      </c>
      <c r="Z359" s="44">
        <f>100-(Q$435-Tabell2[[#This Row],[Sysselsettingsvekst10-T]])*100/Q$438</f>
        <v>60.089307758231065</v>
      </c>
      <c r="AA359" s="44">
        <f>100-(R$435-Tabell2[[#This Row],[Yrkesaktivandel-T]])*100/R$438</f>
        <v>35.362208832567731</v>
      </c>
      <c r="AB359" s="44">
        <f>100-(S$435-Tabell2[[#This Row],[Inntekt-T]])*100/S$438</f>
        <v>7.8303425774877695</v>
      </c>
      <c r="AC359" s="44">
        <f>Tabell2[[#This Row],[NIBR11-I]]*Vekter!$B$3</f>
        <v>12</v>
      </c>
      <c r="AD359" s="44">
        <f>Tabell2[[#This Row],[ReisetidOslo-I]]*Vekter!$C$3</f>
        <v>0.15742368358018949</v>
      </c>
      <c r="AE359" s="44">
        <f>Tabell2[[#This Row],[Beftettotal-I]]*Vekter!$E$4</f>
        <v>0.12802809069759177</v>
      </c>
      <c r="AF359" s="44">
        <f>Tabell2[[#This Row],[Befvekst10-I]]*Vekter!$F$3</f>
        <v>7.6963325056766365</v>
      </c>
      <c r="AG359" s="44">
        <f>Tabell2[[#This Row],[Kvinneandel-I]]*Vekter!$G$3</f>
        <v>1.0287496461705594</v>
      </c>
      <c r="AH359" s="44">
        <f>Tabell2[[#This Row],[Eldreandel-I]]*Vekter!$H$3</f>
        <v>1.0420290277031248</v>
      </c>
      <c r="AI359" s="44">
        <f>Tabell2[[#This Row],[Sysselsettingsvekst10-I]]*Vekter!$I$3</f>
        <v>6.0089307758231065</v>
      </c>
      <c r="AJ359" s="44">
        <f>Tabell2[[#This Row],[Yrkesaktivandel-I]]*Vekter!$K$3</f>
        <v>3.5362208832567732</v>
      </c>
      <c r="AK359" s="44">
        <f>Tabell2[[#This Row],[Inntekt-I]]*Vekter!$M$3</f>
        <v>0.783034257748777</v>
      </c>
      <c r="AL35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32.38074887065676</v>
      </c>
    </row>
    <row r="360" spans="1:38" s="38" customFormat="1" ht="12.75">
      <c r="A360" s="42" t="s">
        <v>358</v>
      </c>
      <c r="B360" s="38">
        <f>'Rådata-K'!Q360</f>
        <v>5</v>
      </c>
      <c r="C360" s="44">
        <f>'Rådata-K'!P360</f>
        <v>254.2271157701</v>
      </c>
      <c r="D360" s="41">
        <f>'Rådata-K'!R360</f>
        <v>5.7506024771619124</v>
      </c>
      <c r="E360" s="41">
        <f>'Rådata-K'!S360</f>
        <v>1.1913214990137977E-2</v>
      </c>
      <c r="F360" s="41">
        <f>'Rådata-K'!T360</f>
        <v>0.11273974738811789</v>
      </c>
      <c r="G360" s="41">
        <f>'Rådata-K'!U360</f>
        <v>0.14992983003274599</v>
      </c>
      <c r="H360" s="41">
        <f>'Rådata-K'!V360</f>
        <v>0.11895718232044206</v>
      </c>
      <c r="I360" s="41">
        <f>'Rådata-K'!W360</f>
        <v>0.87578103776147787</v>
      </c>
      <c r="J360" s="41">
        <f>'Rådata-K'!O360</f>
        <v>325200</v>
      </c>
      <c r="K360" s="41">
        <f>Tabell2[[#This Row],[NIBR11]]</f>
        <v>5</v>
      </c>
      <c r="L360" s="41">
        <f>IF(Tabell2[[#This Row],[ReisetidOslo]]&lt;=C$433,C$433,IF(Tabell2[[#This Row],[ReisetidOslo]]&gt;=C$434,C$434,Tabell2[[#This Row],[ReisetidOslo]]))</f>
        <v>254.2271157701</v>
      </c>
      <c r="M360" s="41">
        <f>IF(Tabell2[[#This Row],[Beftettotal]]&lt;=D$433,D$433,IF(Tabell2[[#This Row],[Beftettotal]]&gt;=D$434,D$434,Tabell2[[#This Row],[Beftettotal]]))</f>
        <v>5.7506024771619124</v>
      </c>
      <c r="N360" s="41">
        <f>IF(Tabell2[[#This Row],[Befvekst10]]&lt;=E$433,E$433,IF(Tabell2[[#This Row],[Befvekst10]]&gt;=E$434,E$434,Tabell2[[#This Row],[Befvekst10]]))</f>
        <v>1.1913214990137977E-2</v>
      </c>
      <c r="O360" s="41">
        <f>IF(Tabell2[[#This Row],[Kvinneandel]]&lt;=F$433,F$433,IF(Tabell2[[#This Row],[Kvinneandel]]&gt;=F$434,F$434,Tabell2[[#This Row],[Kvinneandel]]))</f>
        <v>0.11273974738811789</v>
      </c>
      <c r="P360" s="41">
        <f>IF(Tabell2[[#This Row],[Eldreandel]]&lt;=G$433,G$433,IF(Tabell2[[#This Row],[Eldreandel]]&gt;=G$434,G$434,Tabell2[[#This Row],[Eldreandel]]))</f>
        <v>0.14992983003274599</v>
      </c>
      <c r="Q360" s="41">
        <f>IF(Tabell2[[#This Row],[Sysselsettingsvekst10]]&lt;=H$433,H$433,IF(Tabell2[[#This Row],[Sysselsettingsvekst10]]&gt;=H$434,H$434,Tabell2[[#This Row],[Sysselsettingsvekst10]]))</f>
        <v>0.11895718232044206</v>
      </c>
      <c r="R360" s="41">
        <f>IF(Tabell2[[#This Row],[Yrkesaktivandel]]&lt;=I$433,I$433,IF(Tabell2[[#This Row],[Yrkesaktivandel]]&gt;=I$434,I$434,Tabell2[[#This Row],[Yrkesaktivandel]]))</f>
        <v>0.87578103776147787</v>
      </c>
      <c r="S360" s="41">
        <f>IF(Tabell2[[#This Row],[Inntekt]]&lt;=J$433,J$433,IF(Tabell2[[#This Row],[Inntekt]]&gt;=J$434,J$434,Tabell2[[#This Row],[Inntekt]]))</f>
        <v>325200</v>
      </c>
      <c r="T360" s="44">
        <f>IF(Tabell2[[#This Row],[NIBR11-T]]&lt;=K$436,100,IF(Tabell2[[#This Row],[NIBR11-T]]&gt;=K$435,0,100*(K$435-Tabell2[[#This Row],[NIBR11-T]])/K$438))</f>
        <v>60</v>
      </c>
      <c r="U360" s="44">
        <f>(L$435-Tabell2[[#This Row],[ReisetidOslo-T]])*100/L$438</f>
        <v>11.022609405344063</v>
      </c>
      <c r="V360" s="44">
        <f>100-(M$435-Tabell2[[#This Row],[Beftettotal-T]])*100/M$438</f>
        <v>3.6236283281410095</v>
      </c>
      <c r="W360" s="44">
        <f>100-(N$435-Tabell2[[#This Row],[Befvekst10-T]])*100/N$438</f>
        <v>42.958683011484247</v>
      </c>
      <c r="X360" s="44">
        <f>100-(O$435-Tabell2[[#This Row],[Kvinneandel-T]])*100/O$438</f>
        <v>57.52571791798411</v>
      </c>
      <c r="Y360" s="44">
        <f>(P$435-Tabell2[[#This Row],[Eldreandel-T]])*100/P$438</f>
        <v>57.708787706539155</v>
      </c>
      <c r="Z360" s="44">
        <f>100-(Q$435-Tabell2[[#This Row],[Sysselsettingsvekst10-T]])*100/Q$438</f>
        <v>62.074645710616778</v>
      </c>
      <c r="AA360" s="44">
        <f>100-(R$435-Tabell2[[#This Row],[Yrkesaktivandel-T]])*100/R$438</f>
        <v>36.854704324805475</v>
      </c>
      <c r="AB360" s="44">
        <f>100-(S$435-Tabell2[[#This Row],[Inntekt-T]])*100/S$438</f>
        <v>44.94290375203915</v>
      </c>
      <c r="AC360" s="44">
        <f>Tabell2[[#This Row],[NIBR11-I]]*Vekter!$B$3</f>
        <v>12</v>
      </c>
      <c r="AD360" s="44">
        <f>Tabell2[[#This Row],[ReisetidOslo-I]]*Vekter!$C$3</f>
        <v>1.1022609405344064</v>
      </c>
      <c r="AE360" s="44">
        <f>Tabell2[[#This Row],[Beftettotal-I]]*Vekter!$E$4</f>
        <v>0.36236283281410098</v>
      </c>
      <c r="AF360" s="44">
        <f>Tabell2[[#This Row],[Befvekst10-I]]*Vekter!$F$3</f>
        <v>8.5917366022968498</v>
      </c>
      <c r="AG360" s="44">
        <f>Tabell2[[#This Row],[Kvinneandel-I]]*Vekter!$G$3</f>
        <v>2.8762858958992057</v>
      </c>
      <c r="AH360" s="44">
        <f>Tabell2[[#This Row],[Eldreandel-I]]*Vekter!$H$3</f>
        <v>2.8854393853269578</v>
      </c>
      <c r="AI360" s="44">
        <f>Tabell2[[#This Row],[Sysselsettingsvekst10-I]]*Vekter!$I$3</f>
        <v>6.2074645710616778</v>
      </c>
      <c r="AJ360" s="44">
        <f>Tabell2[[#This Row],[Yrkesaktivandel-I]]*Vekter!$K$3</f>
        <v>3.6854704324805478</v>
      </c>
      <c r="AK360" s="44">
        <f>Tabell2[[#This Row],[Inntekt-I]]*Vekter!$M$3</f>
        <v>4.4942903752039154</v>
      </c>
      <c r="AL36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42.205311035617662</v>
      </c>
    </row>
    <row r="361" spans="1:38" s="38" customFormat="1" ht="12.75">
      <c r="A361" s="42" t="s">
        <v>359</v>
      </c>
      <c r="B361" s="38">
        <f>'Rådata-K'!Q361</f>
        <v>11</v>
      </c>
      <c r="C361" s="44">
        <f>'Rådata-K'!P361</f>
        <v>367.19264821299998</v>
      </c>
      <c r="D361" s="41">
        <f>'Rådata-K'!R361</f>
        <v>7.3218673218673214</v>
      </c>
      <c r="E361" s="41">
        <f>'Rådata-K'!S361</f>
        <v>-6.2439496611810252E-2</v>
      </c>
      <c r="F361" s="41">
        <f>'Rådata-K'!T361</f>
        <v>0.10170366546205473</v>
      </c>
      <c r="G361" s="41">
        <f>'Rådata-K'!U361</f>
        <v>0.19359834796076406</v>
      </c>
      <c r="H361" s="41">
        <f>'Rådata-K'!V361</f>
        <v>4.8463356973995175E-2</v>
      </c>
      <c r="I361" s="41">
        <f>'Rådata-K'!W361</f>
        <v>0.90926275992438566</v>
      </c>
      <c r="J361" s="41">
        <f>'Rådata-K'!O361</f>
        <v>319000</v>
      </c>
      <c r="K361" s="41">
        <f>Tabell2[[#This Row],[NIBR11]]</f>
        <v>11</v>
      </c>
      <c r="L361" s="41">
        <f>IF(Tabell2[[#This Row],[ReisetidOslo]]&lt;=C$433,C$433,IF(Tabell2[[#This Row],[ReisetidOslo]]&gt;=C$434,C$434,Tabell2[[#This Row],[ReisetidOslo]]))</f>
        <v>279.05557553043002</v>
      </c>
      <c r="M361" s="41">
        <f>IF(Tabell2[[#This Row],[Beftettotal]]&lt;=D$433,D$433,IF(Tabell2[[#This Row],[Beftettotal]]&gt;=D$434,D$434,Tabell2[[#This Row],[Beftettotal]]))</f>
        <v>7.3218673218673214</v>
      </c>
      <c r="N361" s="41">
        <f>IF(Tabell2[[#This Row],[Befvekst10]]&lt;=E$433,E$433,IF(Tabell2[[#This Row],[Befvekst10]]&gt;=E$434,E$434,Tabell2[[#This Row],[Befvekst10]]))</f>
        <v>-6.2439496611810252E-2</v>
      </c>
      <c r="O361" s="41">
        <f>IF(Tabell2[[#This Row],[Kvinneandel]]&lt;=F$433,F$433,IF(Tabell2[[#This Row],[Kvinneandel]]&gt;=F$434,F$434,Tabell2[[#This Row],[Kvinneandel]]))</f>
        <v>0.10170366546205473</v>
      </c>
      <c r="P361" s="41">
        <f>IF(Tabell2[[#This Row],[Eldreandel]]&lt;=G$433,G$433,IF(Tabell2[[#This Row],[Eldreandel]]&gt;=G$434,G$434,Tabell2[[#This Row],[Eldreandel]]))</f>
        <v>0.19359834796076406</v>
      </c>
      <c r="Q361" s="41">
        <f>IF(Tabell2[[#This Row],[Sysselsettingsvekst10]]&lt;=H$433,H$433,IF(Tabell2[[#This Row],[Sysselsettingsvekst10]]&gt;=H$434,H$434,Tabell2[[#This Row],[Sysselsettingsvekst10]]))</f>
        <v>4.8463356973995175E-2</v>
      </c>
      <c r="R361" s="41">
        <f>IF(Tabell2[[#This Row],[Yrkesaktivandel]]&lt;=I$433,I$433,IF(Tabell2[[#This Row],[Yrkesaktivandel]]&gt;=I$434,I$434,Tabell2[[#This Row],[Yrkesaktivandel]]))</f>
        <v>0.90926275992438566</v>
      </c>
      <c r="S361" s="41">
        <f>IF(Tabell2[[#This Row],[Inntekt]]&lt;=J$433,J$433,IF(Tabell2[[#This Row],[Inntekt]]&gt;=J$434,J$434,Tabell2[[#This Row],[Inntekt]]))</f>
        <v>319000</v>
      </c>
      <c r="T361" s="44">
        <f>IF(Tabell2[[#This Row],[NIBR11-T]]&lt;=K$436,100,IF(Tabell2[[#This Row],[NIBR11-T]]&gt;=K$435,0,100*(K$435-Tabell2[[#This Row],[NIBR11-T]])/K$438))</f>
        <v>0</v>
      </c>
      <c r="U361" s="44">
        <f>(L$435-Tabell2[[#This Row],[ReisetidOslo-T]])*100/L$438</f>
        <v>0</v>
      </c>
      <c r="V361" s="44">
        <f>100-(M$435-Tabell2[[#This Row],[Beftettotal-T]])*100/M$438</f>
        <v>4.9089336754180692</v>
      </c>
      <c r="W361" s="44">
        <f>100-(N$435-Tabell2[[#This Row],[Befvekst10-T]])*100/N$438</f>
        <v>12.197860044634609</v>
      </c>
      <c r="X361" s="44">
        <f>100-(O$435-Tabell2[[#This Row],[Kvinneandel-T]])*100/O$438</f>
        <v>27.325908834658819</v>
      </c>
      <c r="Y361" s="44">
        <f>(P$435-Tabell2[[#This Row],[Eldreandel-T]])*100/P$438</f>
        <v>6.2936645790476993</v>
      </c>
      <c r="Z361" s="44">
        <f>100-(Q$435-Tabell2[[#This Row],[Sysselsettingsvekst10-T]])*100/Q$438</f>
        <v>41.348257080885148</v>
      </c>
      <c r="AA361" s="44">
        <f>100-(R$435-Tabell2[[#This Row],[Yrkesaktivandel-T]])*100/R$438</f>
        <v>61.858238689090989</v>
      </c>
      <c r="AB361" s="44">
        <f>100-(S$435-Tabell2[[#This Row],[Inntekt-T]])*100/S$438</f>
        <v>36.514410005437739</v>
      </c>
      <c r="AC361" s="44">
        <f>Tabell2[[#This Row],[NIBR11-I]]*Vekter!$B$3</f>
        <v>0</v>
      </c>
      <c r="AD361" s="44">
        <f>Tabell2[[#This Row],[ReisetidOslo-I]]*Vekter!$C$3</f>
        <v>0</v>
      </c>
      <c r="AE361" s="44">
        <f>Tabell2[[#This Row],[Beftettotal-I]]*Vekter!$E$4</f>
        <v>0.49089336754180696</v>
      </c>
      <c r="AF361" s="44">
        <f>Tabell2[[#This Row],[Befvekst10-I]]*Vekter!$F$3</f>
        <v>2.4395720089269219</v>
      </c>
      <c r="AG361" s="44">
        <f>Tabell2[[#This Row],[Kvinneandel-I]]*Vekter!$G$3</f>
        <v>1.3662954417329409</v>
      </c>
      <c r="AH361" s="44">
        <f>Tabell2[[#This Row],[Eldreandel-I]]*Vekter!$H$3</f>
        <v>0.31468322895238499</v>
      </c>
      <c r="AI361" s="44">
        <f>Tabell2[[#This Row],[Sysselsettingsvekst10-I]]*Vekter!$I$3</f>
        <v>4.1348257080885151</v>
      </c>
      <c r="AJ361" s="44">
        <f>Tabell2[[#This Row],[Yrkesaktivandel-I]]*Vekter!$K$3</f>
        <v>6.1858238689090994</v>
      </c>
      <c r="AK361" s="44">
        <f>Tabell2[[#This Row],[Inntekt-I]]*Vekter!$M$3</f>
        <v>3.6514410005437741</v>
      </c>
      <c r="AL36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18.583534624695442</v>
      </c>
    </row>
    <row r="362" spans="1:38" s="38" customFormat="1" ht="12.75">
      <c r="A362" s="42" t="s">
        <v>360</v>
      </c>
      <c r="B362" s="38">
        <f>'Rådata-K'!Q362</f>
        <v>11</v>
      </c>
      <c r="C362" s="44">
        <f>'Rådata-K'!P362</f>
        <v>399</v>
      </c>
      <c r="D362" s="41">
        <f>'Rådata-K'!R362</f>
        <v>30.453431372549019</v>
      </c>
      <c r="E362" s="41">
        <f>'Rådata-K'!S362</f>
        <v>4.8523206751054815E-2</v>
      </c>
      <c r="F362" s="41">
        <f>'Rådata-K'!T362</f>
        <v>0.1227364185110664</v>
      </c>
      <c r="G362" s="41">
        <f>'Rådata-K'!U362</f>
        <v>0.15090543259557343</v>
      </c>
      <c r="H362" s="41">
        <f>'Rådata-K'!V362</f>
        <v>0.17194570135746612</v>
      </c>
      <c r="I362" s="41">
        <f>'Rådata-K'!W362</f>
        <v>0.92086330935251803</v>
      </c>
      <c r="J362" s="41">
        <f>'Rådata-K'!O362</f>
        <v>300100</v>
      </c>
      <c r="K362" s="41">
        <f>Tabell2[[#This Row],[NIBR11]]</f>
        <v>11</v>
      </c>
      <c r="L362" s="41">
        <f>IF(Tabell2[[#This Row],[ReisetidOslo]]&lt;=C$433,C$433,IF(Tabell2[[#This Row],[ReisetidOslo]]&gt;=C$434,C$434,Tabell2[[#This Row],[ReisetidOslo]]))</f>
        <v>279.05557553043002</v>
      </c>
      <c r="M362" s="41">
        <f>IF(Tabell2[[#This Row],[Beftettotal]]&lt;=D$433,D$433,IF(Tabell2[[#This Row],[Beftettotal]]&gt;=D$434,D$434,Tabell2[[#This Row],[Beftettotal]]))</f>
        <v>30.453431372549019</v>
      </c>
      <c r="N362" s="41">
        <f>IF(Tabell2[[#This Row],[Befvekst10]]&lt;=E$433,E$433,IF(Tabell2[[#This Row],[Befvekst10]]&gt;=E$434,E$434,Tabell2[[#This Row],[Befvekst10]]))</f>
        <v>4.8523206751054815E-2</v>
      </c>
      <c r="O362" s="41">
        <f>IF(Tabell2[[#This Row],[Kvinneandel]]&lt;=F$433,F$433,IF(Tabell2[[#This Row],[Kvinneandel]]&gt;=F$434,F$434,Tabell2[[#This Row],[Kvinneandel]]))</f>
        <v>0.1227364185110664</v>
      </c>
      <c r="P362" s="41">
        <f>IF(Tabell2[[#This Row],[Eldreandel]]&lt;=G$433,G$433,IF(Tabell2[[#This Row],[Eldreandel]]&gt;=G$434,G$434,Tabell2[[#This Row],[Eldreandel]]))</f>
        <v>0.15090543259557343</v>
      </c>
      <c r="Q362" s="41">
        <f>IF(Tabell2[[#This Row],[Sysselsettingsvekst10]]&lt;=H$433,H$433,IF(Tabell2[[#This Row],[Sysselsettingsvekst10]]&gt;=H$434,H$434,Tabell2[[#This Row],[Sysselsettingsvekst10]]))</f>
        <v>0.17194570135746612</v>
      </c>
      <c r="R362" s="41">
        <f>IF(Tabell2[[#This Row],[Yrkesaktivandel]]&lt;=I$433,I$433,IF(Tabell2[[#This Row],[Yrkesaktivandel]]&gt;=I$434,I$434,Tabell2[[#This Row],[Yrkesaktivandel]]))</f>
        <v>0.92086330935251803</v>
      </c>
      <c r="S362" s="41">
        <f>IF(Tabell2[[#This Row],[Inntekt]]&lt;=J$433,J$433,IF(Tabell2[[#This Row],[Inntekt]]&gt;=J$434,J$434,Tabell2[[#This Row],[Inntekt]]))</f>
        <v>300100</v>
      </c>
      <c r="T362" s="44">
        <f>IF(Tabell2[[#This Row],[NIBR11-T]]&lt;=K$436,100,IF(Tabell2[[#This Row],[NIBR11-T]]&gt;=K$435,0,100*(K$435-Tabell2[[#This Row],[NIBR11-T]])/K$438))</f>
        <v>0</v>
      </c>
      <c r="U362" s="44">
        <f>(L$435-Tabell2[[#This Row],[ReisetidOslo-T]])*100/L$438</f>
        <v>0</v>
      </c>
      <c r="V362" s="44">
        <f>100-(M$435-Tabell2[[#This Row],[Beftettotal-T]])*100/M$438</f>
        <v>23.830710653631854</v>
      </c>
      <c r="W362" s="44">
        <f>100-(N$435-Tabell2[[#This Row],[Befvekst10-T]])*100/N$438</f>
        <v>58.104781265497067</v>
      </c>
      <c r="X362" s="44">
        <f>100-(O$435-Tabell2[[#This Row],[Kvinneandel-T]])*100/O$438</f>
        <v>84.881219753183913</v>
      </c>
      <c r="Y362" s="44">
        <f>(P$435-Tabell2[[#This Row],[Eldreandel-T]])*100/P$438</f>
        <v>56.560117491214854</v>
      </c>
      <c r="Z362" s="44">
        <f>100-(Q$435-Tabell2[[#This Row],[Sysselsettingsvekst10-T]])*100/Q$438</f>
        <v>77.654175308816548</v>
      </c>
      <c r="AA362" s="44">
        <f>100-(R$435-Tabell2[[#This Row],[Yrkesaktivandel-T]])*100/R$438</f>
        <v>70.521315661643882</v>
      </c>
      <c r="AB362" s="44">
        <f>100-(S$435-Tabell2[[#This Row],[Inntekt-T]])*100/S$438</f>
        <v>10.821098423056014</v>
      </c>
      <c r="AC362" s="44">
        <f>Tabell2[[#This Row],[NIBR11-I]]*Vekter!$B$3</f>
        <v>0</v>
      </c>
      <c r="AD362" s="44">
        <f>Tabell2[[#This Row],[ReisetidOslo-I]]*Vekter!$C$3</f>
        <v>0</v>
      </c>
      <c r="AE362" s="44">
        <f>Tabell2[[#This Row],[Beftettotal-I]]*Vekter!$E$4</f>
        <v>2.3830710653631857</v>
      </c>
      <c r="AF362" s="44">
        <f>Tabell2[[#This Row],[Befvekst10-I]]*Vekter!$F$3</f>
        <v>11.620956253099415</v>
      </c>
      <c r="AG362" s="44">
        <f>Tabell2[[#This Row],[Kvinneandel-I]]*Vekter!$G$3</f>
        <v>4.2440609876591955</v>
      </c>
      <c r="AH362" s="44">
        <f>Tabell2[[#This Row],[Eldreandel-I]]*Vekter!$H$3</f>
        <v>2.828005874560743</v>
      </c>
      <c r="AI362" s="44">
        <f>Tabell2[[#This Row],[Sysselsettingsvekst10-I]]*Vekter!$I$3</f>
        <v>7.7654175308816553</v>
      </c>
      <c r="AJ362" s="44">
        <f>Tabell2[[#This Row],[Yrkesaktivandel-I]]*Vekter!$K$3</f>
        <v>7.0521315661643884</v>
      </c>
      <c r="AK362" s="44">
        <f>Tabell2[[#This Row],[Inntekt-I]]*Vekter!$M$3</f>
        <v>1.0821098423056015</v>
      </c>
      <c r="AL36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36.975753120034184</v>
      </c>
    </row>
    <row r="363" spans="1:38" s="38" customFormat="1" ht="12.75">
      <c r="A363" s="42" t="s">
        <v>361</v>
      </c>
      <c r="B363" s="38">
        <f>'Rådata-K'!Q363</f>
        <v>11</v>
      </c>
      <c r="C363" s="44">
        <f>'Rådata-K'!P363</f>
        <v>356.49084885899998</v>
      </c>
      <c r="D363" s="41">
        <f>'Rådata-K'!R363</f>
        <v>1.8558353367919356</v>
      </c>
      <c r="E363" s="41">
        <f>'Rådata-K'!S363</f>
        <v>-0.12524850894632211</v>
      </c>
      <c r="F363" s="41">
        <f>'Rådata-K'!T363</f>
        <v>0.1</v>
      </c>
      <c r="G363" s="41">
        <f>'Rådata-K'!U363</f>
        <v>0.16515151515151516</v>
      </c>
      <c r="H363" s="41">
        <f>'Rådata-K'!V363</f>
        <v>-1.5544041450777257E-2</v>
      </c>
      <c r="I363" s="41">
        <f>'Rådata-K'!W363</f>
        <v>0.94555873925501432</v>
      </c>
      <c r="J363" s="41">
        <f>'Rådata-K'!O363</f>
        <v>297000</v>
      </c>
      <c r="K363" s="41">
        <f>Tabell2[[#This Row],[NIBR11]]</f>
        <v>11</v>
      </c>
      <c r="L363" s="41">
        <f>IF(Tabell2[[#This Row],[ReisetidOslo]]&lt;=C$433,C$433,IF(Tabell2[[#This Row],[ReisetidOslo]]&gt;=C$434,C$434,Tabell2[[#This Row],[ReisetidOslo]]))</f>
        <v>279.05557553043002</v>
      </c>
      <c r="M363" s="41">
        <f>IF(Tabell2[[#This Row],[Beftettotal]]&lt;=D$433,D$433,IF(Tabell2[[#This Row],[Beftettotal]]&gt;=D$434,D$434,Tabell2[[#This Row],[Beftettotal]]))</f>
        <v>1.8558353367919356</v>
      </c>
      <c r="N363" s="41">
        <f>IF(Tabell2[[#This Row],[Befvekst10]]&lt;=E$433,E$433,IF(Tabell2[[#This Row],[Befvekst10]]&gt;=E$434,E$434,Tabell2[[#This Row],[Befvekst10]]))</f>
        <v>-9.1923232174966049E-2</v>
      </c>
      <c r="O363" s="41">
        <f>IF(Tabell2[[#This Row],[Kvinneandel]]&lt;=F$433,F$433,IF(Tabell2[[#This Row],[Kvinneandel]]&gt;=F$434,F$434,Tabell2[[#This Row],[Kvinneandel]]))</f>
        <v>0.1</v>
      </c>
      <c r="P363" s="41">
        <f>IF(Tabell2[[#This Row],[Eldreandel]]&lt;=G$433,G$433,IF(Tabell2[[#This Row],[Eldreandel]]&gt;=G$434,G$434,Tabell2[[#This Row],[Eldreandel]]))</f>
        <v>0.16515151515151516</v>
      </c>
      <c r="Q363" s="41">
        <f>IF(Tabell2[[#This Row],[Sysselsettingsvekst10]]&lt;=H$433,H$433,IF(Tabell2[[#This Row],[Sysselsettingsvekst10]]&gt;=H$434,H$434,Tabell2[[#This Row],[Sysselsettingsvekst10]]))</f>
        <v>-1.5544041450777257E-2</v>
      </c>
      <c r="R363" s="41">
        <f>IF(Tabell2[[#This Row],[Yrkesaktivandel]]&lt;=I$433,I$433,IF(Tabell2[[#This Row],[Yrkesaktivandel]]&gt;=I$434,I$434,Tabell2[[#This Row],[Yrkesaktivandel]]))</f>
        <v>0.94555873925501432</v>
      </c>
      <c r="S363" s="41">
        <f>IF(Tabell2[[#This Row],[Inntekt]]&lt;=J$433,J$433,IF(Tabell2[[#This Row],[Inntekt]]&gt;=J$434,J$434,Tabell2[[#This Row],[Inntekt]]))</f>
        <v>297000</v>
      </c>
      <c r="T363" s="44">
        <f>IF(Tabell2[[#This Row],[NIBR11-T]]&lt;=K$436,100,IF(Tabell2[[#This Row],[NIBR11-T]]&gt;=K$435,0,100*(K$435-Tabell2[[#This Row],[NIBR11-T]])/K$438))</f>
        <v>0</v>
      </c>
      <c r="U363" s="44">
        <f>(L$435-Tabell2[[#This Row],[ReisetidOslo-T]])*100/L$438</f>
        <v>0</v>
      </c>
      <c r="V363" s="44">
        <f>100-(M$435-Tabell2[[#This Row],[Beftettotal-T]])*100/M$438</f>
        <v>0.43768227405287519</v>
      </c>
      <c r="W363" s="44">
        <f>100-(N$435-Tabell2[[#This Row],[Befvekst10-T]])*100/N$438</f>
        <v>0</v>
      </c>
      <c r="X363" s="44">
        <f>100-(O$435-Tabell2[[#This Row],[Kvinneandel-T]])*100/O$438</f>
        <v>22.66389454003847</v>
      </c>
      <c r="Y363" s="44">
        <f>(P$435-Tabell2[[#This Row],[Eldreandel-T]])*100/P$438</f>
        <v>39.786841835156991</v>
      </c>
      <c r="Z363" s="44">
        <f>100-(Q$435-Tabell2[[#This Row],[Sysselsettingsvekst10-T]])*100/Q$438</f>
        <v>22.528988749084021</v>
      </c>
      <c r="AA363" s="44">
        <f>100-(R$435-Tabell2[[#This Row],[Yrkesaktivandel-T]])*100/R$438</f>
        <v>88.963408550519475</v>
      </c>
      <c r="AB363" s="44">
        <f>100-(S$435-Tabell2[[#This Row],[Inntekt-T]])*100/S$438</f>
        <v>6.6068515497553051</v>
      </c>
      <c r="AC363" s="44">
        <f>Tabell2[[#This Row],[NIBR11-I]]*Vekter!$B$3</f>
        <v>0</v>
      </c>
      <c r="AD363" s="44">
        <f>Tabell2[[#This Row],[ReisetidOslo-I]]*Vekter!$C$3</f>
        <v>0</v>
      </c>
      <c r="AE363" s="44">
        <f>Tabell2[[#This Row],[Beftettotal-I]]*Vekter!$E$4</f>
        <v>4.3768227405287519E-2</v>
      </c>
      <c r="AF363" s="44">
        <f>Tabell2[[#This Row],[Befvekst10-I]]*Vekter!$F$3</f>
        <v>0</v>
      </c>
      <c r="AG363" s="44">
        <f>Tabell2[[#This Row],[Kvinneandel-I]]*Vekter!$G$3</f>
        <v>1.1331947270019236</v>
      </c>
      <c r="AH363" s="44">
        <f>Tabell2[[#This Row],[Eldreandel-I]]*Vekter!$H$3</f>
        <v>1.9893420917578497</v>
      </c>
      <c r="AI363" s="44">
        <f>Tabell2[[#This Row],[Sysselsettingsvekst10-I]]*Vekter!$I$3</f>
        <v>2.2528988749084022</v>
      </c>
      <c r="AJ363" s="44">
        <f>Tabell2[[#This Row],[Yrkesaktivandel-I]]*Vekter!$K$3</f>
        <v>8.8963408550519478</v>
      </c>
      <c r="AK363" s="44">
        <f>Tabell2[[#This Row],[Inntekt-I]]*Vekter!$M$3</f>
        <v>0.6606851549755306</v>
      </c>
      <c r="AL36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14.97622993110094</v>
      </c>
    </row>
    <row r="364" spans="1:38" s="38" customFormat="1" ht="12.75">
      <c r="A364" s="42" t="s">
        <v>362</v>
      </c>
      <c r="B364" s="38">
        <f>'Rådata-K'!Q364</f>
        <v>10</v>
      </c>
      <c r="C364" s="44">
        <f>'Rådata-K'!P364</f>
        <v>289.23257691110001</v>
      </c>
      <c r="D364" s="41">
        <f>'Rådata-K'!R364</f>
        <v>7.6176635503324208</v>
      </c>
      <c r="E364" s="41">
        <f>'Rådata-K'!S364</f>
        <v>-2.5329428989751102E-2</v>
      </c>
      <c r="F364" s="41">
        <f>'Rådata-K'!T364</f>
        <v>0.10785639176806369</v>
      </c>
      <c r="G364" s="41">
        <f>'Rådata-K'!U364</f>
        <v>0.16238545891542738</v>
      </c>
      <c r="H364" s="41">
        <f>'Rådata-K'!V364</f>
        <v>9.122562674094703E-2</v>
      </c>
      <c r="I364" s="41">
        <f>'Rådata-K'!W364</f>
        <v>0.87230603448275867</v>
      </c>
      <c r="J364" s="41">
        <f>'Rådata-K'!O364</f>
        <v>347400</v>
      </c>
      <c r="K364" s="41">
        <f>Tabell2[[#This Row],[NIBR11]]</f>
        <v>10</v>
      </c>
      <c r="L364" s="41">
        <f>IF(Tabell2[[#This Row],[ReisetidOslo]]&lt;=C$433,C$433,IF(Tabell2[[#This Row],[ReisetidOslo]]&gt;=C$434,C$434,Tabell2[[#This Row],[ReisetidOslo]]))</f>
        <v>279.05557553043002</v>
      </c>
      <c r="M364" s="41">
        <f>IF(Tabell2[[#This Row],[Beftettotal]]&lt;=D$433,D$433,IF(Tabell2[[#This Row],[Beftettotal]]&gt;=D$434,D$434,Tabell2[[#This Row],[Beftettotal]]))</f>
        <v>7.6176635503324208</v>
      </c>
      <c r="N364" s="41">
        <f>IF(Tabell2[[#This Row],[Befvekst10]]&lt;=E$433,E$433,IF(Tabell2[[#This Row],[Befvekst10]]&gt;=E$434,E$434,Tabell2[[#This Row],[Befvekst10]]))</f>
        <v>-2.5329428989751102E-2</v>
      </c>
      <c r="O364" s="41">
        <f>IF(Tabell2[[#This Row],[Kvinneandel]]&lt;=F$433,F$433,IF(Tabell2[[#This Row],[Kvinneandel]]&gt;=F$434,F$434,Tabell2[[#This Row],[Kvinneandel]]))</f>
        <v>0.10785639176806369</v>
      </c>
      <c r="P364" s="41">
        <f>IF(Tabell2[[#This Row],[Eldreandel]]&lt;=G$433,G$433,IF(Tabell2[[#This Row],[Eldreandel]]&gt;=G$434,G$434,Tabell2[[#This Row],[Eldreandel]]))</f>
        <v>0.16238545891542738</v>
      </c>
      <c r="Q364" s="41">
        <f>IF(Tabell2[[#This Row],[Sysselsettingsvekst10]]&lt;=H$433,H$433,IF(Tabell2[[#This Row],[Sysselsettingsvekst10]]&gt;=H$434,H$434,Tabell2[[#This Row],[Sysselsettingsvekst10]]))</f>
        <v>9.122562674094703E-2</v>
      </c>
      <c r="R364" s="41">
        <f>IF(Tabell2[[#This Row],[Yrkesaktivandel]]&lt;=I$433,I$433,IF(Tabell2[[#This Row],[Yrkesaktivandel]]&gt;=I$434,I$434,Tabell2[[#This Row],[Yrkesaktivandel]]))</f>
        <v>0.87230603448275867</v>
      </c>
      <c r="S364" s="41">
        <f>IF(Tabell2[[#This Row],[Inntekt]]&lt;=J$433,J$433,IF(Tabell2[[#This Row],[Inntekt]]&gt;=J$434,J$434,Tabell2[[#This Row],[Inntekt]]))</f>
        <v>347400</v>
      </c>
      <c r="T364" s="44">
        <f>IF(Tabell2[[#This Row],[NIBR11-T]]&lt;=K$436,100,IF(Tabell2[[#This Row],[NIBR11-T]]&gt;=K$435,0,100*(K$435-Tabell2[[#This Row],[NIBR11-T]])/K$438))</f>
        <v>10</v>
      </c>
      <c r="U364" s="44">
        <f>(L$435-Tabell2[[#This Row],[ReisetidOslo-T]])*100/L$438</f>
        <v>0</v>
      </c>
      <c r="V364" s="44">
        <f>100-(M$435-Tabell2[[#This Row],[Beftettotal-T]])*100/M$438</f>
        <v>5.1508970054268133</v>
      </c>
      <c r="W364" s="44">
        <f>100-(N$435-Tabell2[[#This Row],[Befvekst10-T]])*100/N$438</f>
        <v>27.55084712224469</v>
      </c>
      <c r="X364" s="44">
        <f>100-(O$435-Tabell2[[#This Row],[Kvinneandel-T]])*100/O$438</f>
        <v>44.162605139405024</v>
      </c>
      <c r="Y364" s="44">
        <f>(P$435-Tabell2[[#This Row],[Eldreandel-T]])*100/P$438</f>
        <v>43.043584420065535</v>
      </c>
      <c r="Z364" s="44">
        <f>100-(Q$435-Tabell2[[#This Row],[Sysselsettingsvekst10-T]])*100/Q$438</f>
        <v>53.921094737565674</v>
      </c>
      <c r="AA364" s="44">
        <f>100-(R$435-Tabell2[[#This Row],[Yrkesaktivandel-T]])*100/R$438</f>
        <v>34.259635783447195</v>
      </c>
      <c r="AB364" s="44">
        <f>100-(S$435-Tabell2[[#This Row],[Inntekt-T]])*100/S$438</f>
        <v>75.122349102773242</v>
      </c>
      <c r="AC364" s="44">
        <f>Tabell2[[#This Row],[NIBR11-I]]*Vekter!$B$3</f>
        <v>2</v>
      </c>
      <c r="AD364" s="44">
        <f>Tabell2[[#This Row],[ReisetidOslo-I]]*Vekter!$C$3</f>
        <v>0</v>
      </c>
      <c r="AE364" s="44">
        <f>Tabell2[[#This Row],[Beftettotal-I]]*Vekter!$E$4</f>
        <v>0.51508970054268133</v>
      </c>
      <c r="AF364" s="44">
        <f>Tabell2[[#This Row],[Befvekst10-I]]*Vekter!$F$3</f>
        <v>5.5101694244489385</v>
      </c>
      <c r="AG364" s="44">
        <f>Tabell2[[#This Row],[Kvinneandel-I]]*Vekter!$G$3</f>
        <v>2.2081302569702514</v>
      </c>
      <c r="AH364" s="44">
        <f>Tabell2[[#This Row],[Eldreandel-I]]*Vekter!$H$3</f>
        <v>2.1521792210032769</v>
      </c>
      <c r="AI364" s="44">
        <f>Tabell2[[#This Row],[Sysselsettingsvekst10-I]]*Vekter!$I$3</f>
        <v>5.3921094737565678</v>
      </c>
      <c r="AJ364" s="44">
        <f>Tabell2[[#This Row],[Yrkesaktivandel-I]]*Vekter!$K$3</f>
        <v>3.4259635783447195</v>
      </c>
      <c r="AK364" s="44">
        <f>Tabell2[[#This Row],[Inntekt-I]]*Vekter!$M$3</f>
        <v>7.5122349102773249</v>
      </c>
      <c r="AL36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28.715876565343763</v>
      </c>
    </row>
    <row r="365" spans="1:38" s="38" customFormat="1" ht="12.75">
      <c r="A365" s="42" t="s">
        <v>363</v>
      </c>
      <c r="B365" s="38">
        <f>'Rådata-K'!Q365</f>
        <v>8</v>
      </c>
      <c r="C365" s="44">
        <f>'Rådata-K'!P365</f>
        <v>266.56705235760001</v>
      </c>
      <c r="D365" s="41">
        <f>'Rådata-K'!R365</f>
        <v>3.0219240590483958</v>
      </c>
      <c r="E365" s="41">
        <f>'Rådata-K'!S365</f>
        <v>-0.12126537785588754</v>
      </c>
      <c r="F365" s="41">
        <f>'Rådata-K'!T365</f>
        <v>9.9000000000000005E-2</v>
      </c>
      <c r="G365" s="41">
        <f>'Rådata-K'!U365</f>
        <v>0.20100000000000001</v>
      </c>
      <c r="H365" s="41">
        <f>'Rådata-K'!V365</f>
        <v>2.5032938076416267E-2</v>
      </c>
      <c r="I365" s="41">
        <f>'Rådata-K'!W365</f>
        <v>0.87818181818181817</v>
      </c>
      <c r="J365" s="41">
        <f>'Rådata-K'!O365</f>
        <v>302100</v>
      </c>
      <c r="K365" s="41">
        <f>Tabell2[[#This Row],[NIBR11]]</f>
        <v>8</v>
      </c>
      <c r="L365" s="41">
        <f>IF(Tabell2[[#This Row],[ReisetidOslo]]&lt;=C$433,C$433,IF(Tabell2[[#This Row],[ReisetidOslo]]&gt;=C$434,C$434,Tabell2[[#This Row],[ReisetidOslo]]))</f>
        <v>266.56705235760001</v>
      </c>
      <c r="M365" s="41">
        <f>IF(Tabell2[[#This Row],[Beftettotal]]&lt;=D$433,D$433,IF(Tabell2[[#This Row],[Beftettotal]]&gt;=D$434,D$434,Tabell2[[#This Row],[Beftettotal]]))</f>
        <v>3.0219240590483958</v>
      </c>
      <c r="N365" s="41">
        <f>IF(Tabell2[[#This Row],[Befvekst10]]&lt;=E$433,E$433,IF(Tabell2[[#This Row],[Befvekst10]]&gt;=E$434,E$434,Tabell2[[#This Row],[Befvekst10]]))</f>
        <v>-9.1923232174966049E-2</v>
      </c>
      <c r="O365" s="41">
        <f>IF(Tabell2[[#This Row],[Kvinneandel]]&lt;=F$433,F$433,IF(Tabell2[[#This Row],[Kvinneandel]]&gt;=F$434,F$434,Tabell2[[#This Row],[Kvinneandel]]))</f>
        <v>9.9000000000000005E-2</v>
      </c>
      <c r="P365" s="41">
        <f>IF(Tabell2[[#This Row],[Eldreandel]]&lt;=G$433,G$433,IF(Tabell2[[#This Row],[Eldreandel]]&gt;=G$434,G$434,Tabell2[[#This Row],[Eldreandel]]))</f>
        <v>0.1989437597342919</v>
      </c>
      <c r="Q365" s="41">
        <f>IF(Tabell2[[#This Row],[Sysselsettingsvekst10]]&lt;=H$433,H$433,IF(Tabell2[[#This Row],[Sysselsettingsvekst10]]&gt;=H$434,H$434,Tabell2[[#This Row],[Sysselsettingsvekst10]]))</f>
        <v>2.5032938076416267E-2</v>
      </c>
      <c r="R365" s="41">
        <f>IF(Tabell2[[#This Row],[Yrkesaktivandel]]&lt;=I$433,I$433,IF(Tabell2[[#This Row],[Yrkesaktivandel]]&gt;=I$434,I$434,Tabell2[[#This Row],[Yrkesaktivandel]]))</f>
        <v>0.87818181818181817</v>
      </c>
      <c r="S365" s="41">
        <f>IF(Tabell2[[#This Row],[Inntekt]]&lt;=J$433,J$433,IF(Tabell2[[#This Row],[Inntekt]]&gt;=J$434,J$434,Tabell2[[#This Row],[Inntekt]]))</f>
        <v>302100</v>
      </c>
      <c r="T365" s="44">
        <f>IF(Tabell2[[#This Row],[NIBR11-T]]&lt;=K$436,100,IF(Tabell2[[#This Row],[NIBR11-T]]&gt;=K$435,0,100*(K$435-Tabell2[[#This Row],[NIBR11-T]])/K$438))</f>
        <v>30</v>
      </c>
      <c r="U365" s="44">
        <f>(L$435-Tabell2[[#This Row],[ReisetidOslo-T]])*100/L$438</f>
        <v>5.54428725392121</v>
      </c>
      <c r="V365" s="44">
        <f>100-(M$435-Tabell2[[#This Row],[Beftettotal-T]])*100/M$438</f>
        <v>1.391550792887287</v>
      </c>
      <c r="W365" s="44">
        <f>100-(N$435-Tabell2[[#This Row],[Befvekst10-T]])*100/N$438</f>
        <v>0</v>
      </c>
      <c r="X365" s="44">
        <f>100-(O$435-Tabell2[[#This Row],[Kvinneandel-T]])*100/O$438</f>
        <v>19.92743342225674</v>
      </c>
      <c r="Y365" s="44">
        <f>(P$435-Tabell2[[#This Row],[Eldreandel-T]])*100/P$438</f>
        <v>0</v>
      </c>
      <c r="Z365" s="44">
        <f>100-(Q$435-Tabell2[[#This Row],[Sysselsettingsvekst10-T]])*100/Q$438</f>
        <v>34.459313752274781</v>
      </c>
      <c r="AA365" s="44">
        <f>100-(R$435-Tabell2[[#This Row],[Yrkesaktivandel-T]])*100/R$438</f>
        <v>38.647562991065598</v>
      </c>
      <c r="AB365" s="44">
        <f>100-(S$435-Tabell2[[#This Row],[Inntekt-T]])*100/S$438</f>
        <v>13.539967373572594</v>
      </c>
      <c r="AC365" s="44">
        <f>Tabell2[[#This Row],[NIBR11-I]]*Vekter!$B$3</f>
        <v>6</v>
      </c>
      <c r="AD365" s="44">
        <f>Tabell2[[#This Row],[ReisetidOslo-I]]*Vekter!$C$3</f>
        <v>0.55442872539212107</v>
      </c>
      <c r="AE365" s="44">
        <f>Tabell2[[#This Row],[Beftettotal-I]]*Vekter!$E$4</f>
        <v>0.13915507928872869</v>
      </c>
      <c r="AF365" s="44">
        <f>Tabell2[[#This Row],[Befvekst10-I]]*Vekter!$F$3</f>
        <v>0</v>
      </c>
      <c r="AG365" s="44">
        <f>Tabell2[[#This Row],[Kvinneandel-I]]*Vekter!$G$3</f>
        <v>0.99637167111283709</v>
      </c>
      <c r="AH365" s="44">
        <f>Tabell2[[#This Row],[Eldreandel-I]]*Vekter!$H$3</f>
        <v>0</v>
      </c>
      <c r="AI365" s="44">
        <f>Tabell2[[#This Row],[Sysselsettingsvekst10-I]]*Vekter!$I$3</f>
        <v>3.4459313752274783</v>
      </c>
      <c r="AJ365" s="44">
        <f>Tabell2[[#This Row],[Yrkesaktivandel-I]]*Vekter!$K$3</f>
        <v>3.8647562991065598</v>
      </c>
      <c r="AK365" s="44">
        <f>Tabell2[[#This Row],[Inntekt-I]]*Vekter!$M$3</f>
        <v>1.3539967373572595</v>
      </c>
      <c r="AL36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16.354639887484986</v>
      </c>
    </row>
    <row r="366" spans="1:38" s="38" customFormat="1" ht="12.75">
      <c r="A366" s="42" t="s">
        <v>364</v>
      </c>
      <c r="B366" s="38">
        <f>'Rådata-K'!Q366</f>
        <v>11</v>
      </c>
      <c r="C366" s="44">
        <f>'Rådata-K'!P366</f>
        <v>280.86956907180002</v>
      </c>
      <c r="D366" s="41">
        <f>'Rådata-K'!R366</f>
        <v>0.89759115009491408</v>
      </c>
      <c r="E366" s="41">
        <f>'Rådata-K'!S366</f>
        <v>-0.12728719172633252</v>
      </c>
      <c r="F366" s="41">
        <f>'Rådata-K'!T366</f>
        <v>8.0218778486782133E-2</v>
      </c>
      <c r="G366" s="41">
        <f>'Rådata-K'!U366</f>
        <v>0.23154056517775751</v>
      </c>
      <c r="H366" s="41">
        <f>'Rådata-K'!V366</f>
        <v>0.13493975903614452</v>
      </c>
      <c r="I366" s="41">
        <f>'Rådata-K'!W366</f>
        <v>0.89816360601001666</v>
      </c>
      <c r="J366" s="41">
        <f>'Rådata-K'!O366</f>
        <v>278300</v>
      </c>
      <c r="K366" s="41">
        <f>Tabell2[[#This Row],[NIBR11]]</f>
        <v>11</v>
      </c>
      <c r="L366" s="41">
        <f>IF(Tabell2[[#This Row],[ReisetidOslo]]&lt;=C$433,C$433,IF(Tabell2[[#This Row],[ReisetidOslo]]&gt;=C$434,C$434,Tabell2[[#This Row],[ReisetidOslo]]))</f>
        <v>279.05557553043002</v>
      </c>
      <c r="M366" s="41">
        <f>IF(Tabell2[[#This Row],[Beftettotal]]&lt;=D$433,D$433,IF(Tabell2[[#This Row],[Beftettotal]]&gt;=D$434,D$434,Tabell2[[#This Row],[Beftettotal]]))</f>
        <v>1.3207758882127238</v>
      </c>
      <c r="N366" s="41">
        <f>IF(Tabell2[[#This Row],[Befvekst10]]&lt;=E$433,E$433,IF(Tabell2[[#This Row],[Befvekst10]]&gt;=E$434,E$434,Tabell2[[#This Row],[Befvekst10]]))</f>
        <v>-9.1923232174966049E-2</v>
      </c>
      <c r="O366" s="41">
        <f>IF(Tabell2[[#This Row],[Kvinneandel]]&lt;=F$433,F$433,IF(Tabell2[[#This Row],[Kvinneandel]]&gt;=F$434,F$434,Tabell2[[#This Row],[Kvinneandel]]))</f>
        <v>9.1717808671657367E-2</v>
      </c>
      <c r="P366" s="41">
        <f>IF(Tabell2[[#This Row],[Eldreandel]]&lt;=G$433,G$433,IF(Tabell2[[#This Row],[Eldreandel]]&gt;=G$434,G$434,Tabell2[[#This Row],[Eldreandel]]))</f>
        <v>0.1989437597342919</v>
      </c>
      <c r="Q366" s="41">
        <f>IF(Tabell2[[#This Row],[Sysselsettingsvekst10]]&lt;=H$433,H$433,IF(Tabell2[[#This Row],[Sysselsettingsvekst10]]&gt;=H$434,H$434,Tabell2[[#This Row],[Sysselsettingsvekst10]]))</f>
        <v>0.13493975903614452</v>
      </c>
      <c r="R366" s="41">
        <f>IF(Tabell2[[#This Row],[Yrkesaktivandel]]&lt;=I$433,I$433,IF(Tabell2[[#This Row],[Yrkesaktivandel]]&gt;=I$434,I$434,Tabell2[[#This Row],[Yrkesaktivandel]]))</f>
        <v>0.89816360601001666</v>
      </c>
      <c r="S366" s="41">
        <f>IF(Tabell2[[#This Row],[Inntekt]]&lt;=J$433,J$433,IF(Tabell2[[#This Row],[Inntekt]]&gt;=J$434,J$434,Tabell2[[#This Row],[Inntekt]]))</f>
        <v>292140</v>
      </c>
      <c r="T366" s="44">
        <f>IF(Tabell2[[#This Row],[NIBR11-T]]&lt;=K$436,100,IF(Tabell2[[#This Row],[NIBR11-T]]&gt;=K$435,0,100*(K$435-Tabell2[[#This Row],[NIBR11-T]])/K$438))</f>
        <v>0</v>
      </c>
      <c r="U366" s="44">
        <f>(L$435-Tabell2[[#This Row],[ReisetidOslo-T]])*100/L$438</f>
        <v>0</v>
      </c>
      <c r="V366" s="44">
        <f>100-(M$435-Tabell2[[#This Row],[Beftettotal-T]])*100/M$438</f>
        <v>0</v>
      </c>
      <c r="W366" s="44">
        <f>100-(N$435-Tabell2[[#This Row],[Befvekst10-T]])*100/N$438</f>
        <v>0</v>
      </c>
      <c r="X366" s="44">
        <f>100-(O$435-Tabell2[[#This Row],[Kvinneandel-T]])*100/O$438</f>
        <v>0</v>
      </c>
      <c r="Y366" s="44">
        <f>(P$435-Tabell2[[#This Row],[Eldreandel-T]])*100/P$438</f>
        <v>0</v>
      </c>
      <c r="Z366" s="44">
        <f>100-(Q$435-Tabell2[[#This Row],[Sysselsettingsvekst10-T]])*100/Q$438</f>
        <v>66.773796234597341</v>
      </c>
      <c r="AA366" s="44">
        <f>100-(R$435-Tabell2[[#This Row],[Yrkesaktivandel-T]])*100/R$438</f>
        <v>53.569594665281976</v>
      </c>
      <c r="AB366" s="44">
        <f>100-(S$435-Tabell2[[#This Row],[Inntekt-T]])*100/S$438</f>
        <v>0</v>
      </c>
      <c r="AC366" s="44">
        <f>Tabell2[[#This Row],[NIBR11-I]]*Vekter!$B$3</f>
        <v>0</v>
      </c>
      <c r="AD366" s="44">
        <f>Tabell2[[#This Row],[ReisetidOslo-I]]*Vekter!$C$3</f>
        <v>0</v>
      </c>
      <c r="AE366" s="44">
        <f>Tabell2[[#This Row],[Beftettotal-I]]*Vekter!$E$4</f>
        <v>0</v>
      </c>
      <c r="AF366" s="44">
        <f>Tabell2[[#This Row],[Befvekst10-I]]*Vekter!$F$3</f>
        <v>0</v>
      </c>
      <c r="AG366" s="44">
        <f>Tabell2[[#This Row],[Kvinneandel-I]]*Vekter!$G$3</f>
        <v>0</v>
      </c>
      <c r="AH366" s="44">
        <f>Tabell2[[#This Row],[Eldreandel-I]]*Vekter!$H$3</f>
        <v>0</v>
      </c>
      <c r="AI366" s="44">
        <f>Tabell2[[#This Row],[Sysselsettingsvekst10-I]]*Vekter!$I$3</f>
        <v>6.6773796234597347</v>
      </c>
      <c r="AJ366" s="44">
        <f>Tabell2[[#This Row],[Yrkesaktivandel-I]]*Vekter!$K$3</f>
        <v>5.3569594665281981</v>
      </c>
      <c r="AK366" s="44">
        <f>Tabell2[[#This Row],[Inntekt-I]]*Vekter!$M$3</f>
        <v>0</v>
      </c>
      <c r="AL36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12.034339089987933</v>
      </c>
    </row>
    <row r="367" spans="1:38" s="38" customFormat="1" ht="12.75">
      <c r="A367" s="42" t="s">
        <v>365</v>
      </c>
      <c r="B367" s="38">
        <f>'Rådata-K'!Q367</f>
        <v>6</v>
      </c>
      <c r="C367" s="44">
        <f>'Rådata-K'!P367</f>
        <v>265.28826460210001</v>
      </c>
      <c r="D367" s="41">
        <f>'Rådata-K'!R367</f>
        <v>2.125297812432315</v>
      </c>
      <c r="E367" s="41">
        <f>'Rådata-K'!S367</f>
        <v>-3.1462060456508345E-2</v>
      </c>
      <c r="F367" s="41">
        <f>'Rådata-K'!T367</f>
        <v>0.1040339702760085</v>
      </c>
      <c r="G367" s="41">
        <f>'Rådata-K'!U367</f>
        <v>0.1662420382165605</v>
      </c>
      <c r="H367" s="41">
        <f>'Rådata-K'!V367</f>
        <v>3.707317073170735E-2</v>
      </c>
      <c r="I367" s="41">
        <f>'Rådata-K'!W367</f>
        <v>0.84373859072654256</v>
      </c>
      <c r="J367" s="41">
        <f>'Rådata-K'!O367</f>
        <v>301600</v>
      </c>
      <c r="K367" s="41">
        <f>Tabell2[[#This Row],[NIBR11]]</f>
        <v>6</v>
      </c>
      <c r="L367" s="41">
        <f>IF(Tabell2[[#This Row],[ReisetidOslo]]&lt;=C$433,C$433,IF(Tabell2[[#This Row],[ReisetidOslo]]&gt;=C$434,C$434,Tabell2[[#This Row],[ReisetidOslo]]))</f>
        <v>265.28826460210001</v>
      </c>
      <c r="M367" s="41">
        <f>IF(Tabell2[[#This Row],[Beftettotal]]&lt;=D$433,D$433,IF(Tabell2[[#This Row],[Beftettotal]]&gt;=D$434,D$434,Tabell2[[#This Row],[Beftettotal]]))</f>
        <v>2.125297812432315</v>
      </c>
      <c r="N367" s="41">
        <f>IF(Tabell2[[#This Row],[Befvekst10]]&lt;=E$433,E$433,IF(Tabell2[[#This Row],[Befvekst10]]&gt;=E$434,E$434,Tabell2[[#This Row],[Befvekst10]]))</f>
        <v>-3.1462060456508345E-2</v>
      </c>
      <c r="O367" s="41">
        <f>IF(Tabell2[[#This Row],[Kvinneandel]]&lt;=F$433,F$433,IF(Tabell2[[#This Row],[Kvinneandel]]&gt;=F$434,F$434,Tabell2[[#This Row],[Kvinneandel]]))</f>
        <v>0.1040339702760085</v>
      </c>
      <c r="P367" s="41">
        <f>IF(Tabell2[[#This Row],[Eldreandel]]&lt;=G$433,G$433,IF(Tabell2[[#This Row],[Eldreandel]]&gt;=G$434,G$434,Tabell2[[#This Row],[Eldreandel]]))</f>
        <v>0.1662420382165605</v>
      </c>
      <c r="Q367" s="41">
        <f>IF(Tabell2[[#This Row],[Sysselsettingsvekst10]]&lt;=H$433,H$433,IF(Tabell2[[#This Row],[Sysselsettingsvekst10]]&gt;=H$434,H$434,Tabell2[[#This Row],[Sysselsettingsvekst10]]))</f>
        <v>3.707317073170735E-2</v>
      </c>
      <c r="R367" s="41">
        <f>IF(Tabell2[[#This Row],[Yrkesaktivandel]]&lt;=I$433,I$433,IF(Tabell2[[#This Row],[Yrkesaktivandel]]&gt;=I$434,I$434,Tabell2[[#This Row],[Yrkesaktivandel]]))</f>
        <v>0.84373859072654256</v>
      </c>
      <c r="S367" s="41">
        <f>IF(Tabell2[[#This Row],[Inntekt]]&lt;=J$433,J$433,IF(Tabell2[[#This Row],[Inntekt]]&gt;=J$434,J$434,Tabell2[[#This Row],[Inntekt]]))</f>
        <v>301600</v>
      </c>
      <c r="T367" s="44">
        <f>IF(Tabell2[[#This Row],[NIBR11-T]]&lt;=K$436,100,IF(Tabell2[[#This Row],[NIBR11-T]]&gt;=K$435,0,100*(K$435-Tabell2[[#This Row],[NIBR11-T]])/K$438))</f>
        <v>50</v>
      </c>
      <c r="U367" s="44">
        <f>(L$435-Tabell2[[#This Row],[ReisetidOslo-T]])*100/L$438</f>
        <v>6.1120058348270794</v>
      </c>
      <c r="V367" s="44">
        <f>100-(M$435-Tabell2[[#This Row],[Beftettotal-T]])*100/M$438</f>
        <v>0.65810441485118076</v>
      </c>
      <c r="W367" s="44">
        <f>100-(N$435-Tabell2[[#This Row],[Befvekst10-T]])*100/N$438</f>
        <v>25.013686246663283</v>
      </c>
      <c r="X367" s="44">
        <f>100-(O$435-Tabell2[[#This Row],[Kvinneandel-T]])*100/O$438</f>
        <v>33.702697350622842</v>
      </c>
      <c r="Y367" s="44">
        <f>(P$435-Tabell2[[#This Row],[Eldreandel-T]])*100/P$438</f>
        <v>38.50286472022264</v>
      </c>
      <c r="Z367" s="44">
        <f>100-(Q$435-Tabell2[[#This Row],[Sysselsettingsvekst10-T]])*100/Q$438</f>
        <v>37.999347790426569</v>
      </c>
      <c r="AA367" s="44">
        <f>100-(R$435-Tabell2[[#This Row],[Yrkesaktivandel-T]])*100/R$438</f>
        <v>12.925994157041998</v>
      </c>
      <c r="AB367" s="44">
        <f>100-(S$435-Tabell2[[#This Row],[Inntekt-T]])*100/S$438</f>
        <v>12.860250135943446</v>
      </c>
      <c r="AC367" s="44">
        <f>Tabell2[[#This Row],[NIBR11-I]]*Vekter!$B$3</f>
        <v>10</v>
      </c>
      <c r="AD367" s="44">
        <f>Tabell2[[#This Row],[ReisetidOslo-I]]*Vekter!$C$3</f>
        <v>0.611200583482708</v>
      </c>
      <c r="AE367" s="44">
        <f>Tabell2[[#This Row],[Beftettotal-I]]*Vekter!$E$4</f>
        <v>6.5810441485118082E-2</v>
      </c>
      <c r="AF367" s="44">
        <f>Tabell2[[#This Row],[Befvekst10-I]]*Vekter!$F$3</f>
        <v>5.0027372493326574</v>
      </c>
      <c r="AG367" s="44">
        <f>Tabell2[[#This Row],[Kvinneandel-I]]*Vekter!$G$3</f>
        <v>1.6851348675311422</v>
      </c>
      <c r="AH367" s="44">
        <f>Tabell2[[#This Row],[Eldreandel-I]]*Vekter!$H$3</f>
        <v>1.925143236011132</v>
      </c>
      <c r="AI367" s="44">
        <f>Tabell2[[#This Row],[Sysselsettingsvekst10-I]]*Vekter!$I$3</f>
        <v>3.799934779042657</v>
      </c>
      <c r="AJ367" s="44">
        <f>Tabell2[[#This Row],[Yrkesaktivandel-I]]*Vekter!$K$3</f>
        <v>1.2925994157042</v>
      </c>
      <c r="AK367" s="44">
        <f>Tabell2[[#This Row],[Inntekt-I]]*Vekter!$M$3</f>
        <v>1.2860250135943447</v>
      </c>
      <c r="AL36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25.668585586183958</v>
      </c>
    </row>
    <row r="368" spans="1:38" s="38" customFormat="1" ht="12.75">
      <c r="A368" s="42" t="s">
        <v>366</v>
      </c>
      <c r="B368" s="38">
        <f>'Rådata-K'!Q368</f>
        <v>5</v>
      </c>
      <c r="C368" s="44">
        <f>'Rådata-K'!P368</f>
        <v>239.2403969138</v>
      </c>
      <c r="D368" s="41">
        <f>'Rådata-K'!R368</f>
        <v>7.8640632233317902</v>
      </c>
      <c r="E368" s="41">
        <f>'Rådata-K'!S368</f>
        <v>-1.1841695232159499E-2</v>
      </c>
      <c r="F368" s="41">
        <f>'Rådata-K'!T368</f>
        <v>0.10890360559234731</v>
      </c>
      <c r="G368" s="41">
        <f>'Rådata-K'!U368</f>
        <v>0.1598864711447493</v>
      </c>
      <c r="H368" s="41">
        <f>'Rådata-K'!V368</f>
        <v>6.271965396052992E-2</v>
      </c>
      <c r="I368" s="41">
        <f>'Rådata-K'!W368</f>
        <v>0.86997245179063365</v>
      </c>
      <c r="J368" s="41">
        <f>'Rådata-K'!O368</f>
        <v>320800</v>
      </c>
      <c r="K368" s="41">
        <f>Tabell2[[#This Row],[NIBR11]]</f>
        <v>5</v>
      </c>
      <c r="L368" s="41">
        <f>IF(Tabell2[[#This Row],[ReisetidOslo]]&lt;=C$433,C$433,IF(Tabell2[[#This Row],[ReisetidOslo]]&gt;=C$434,C$434,Tabell2[[#This Row],[ReisetidOslo]]))</f>
        <v>239.2403969138</v>
      </c>
      <c r="M368" s="41">
        <f>IF(Tabell2[[#This Row],[Beftettotal]]&lt;=D$433,D$433,IF(Tabell2[[#This Row],[Beftettotal]]&gt;=D$434,D$434,Tabell2[[#This Row],[Beftettotal]]))</f>
        <v>7.8640632233317902</v>
      </c>
      <c r="N368" s="41">
        <f>IF(Tabell2[[#This Row],[Befvekst10]]&lt;=E$433,E$433,IF(Tabell2[[#This Row],[Befvekst10]]&gt;=E$434,E$434,Tabell2[[#This Row],[Befvekst10]]))</f>
        <v>-1.1841695232159499E-2</v>
      </c>
      <c r="O368" s="41">
        <f>IF(Tabell2[[#This Row],[Kvinneandel]]&lt;=F$433,F$433,IF(Tabell2[[#This Row],[Kvinneandel]]&gt;=F$434,F$434,Tabell2[[#This Row],[Kvinneandel]]))</f>
        <v>0.10890360559234731</v>
      </c>
      <c r="P368" s="41">
        <f>IF(Tabell2[[#This Row],[Eldreandel]]&lt;=G$433,G$433,IF(Tabell2[[#This Row],[Eldreandel]]&gt;=G$434,G$434,Tabell2[[#This Row],[Eldreandel]]))</f>
        <v>0.1598864711447493</v>
      </c>
      <c r="Q368" s="41">
        <f>IF(Tabell2[[#This Row],[Sysselsettingsvekst10]]&lt;=H$433,H$433,IF(Tabell2[[#This Row],[Sysselsettingsvekst10]]&gt;=H$434,H$434,Tabell2[[#This Row],[Sysselsettingsvekst10]]))</f>
        <v>6.271965396052992E-2</v>
      </c>
      <c r="R368" s="41">
        <f>IF(Tabell2[[#This Row],[Yrkesaktivandel]]&lt;=I$433,I$433,IF(Tabell2[[#This Row],[Yrkesaktivandel]]&gt;=I$434,I$434,Tabell2[[#This Row],[Yrkesaktivandel]]))</f>
        <v>0.86997245179063365</v>
      </c>
      <c r="S368" s="41">
        <f>IF(Tabell2[[#This Row],[Inntekt]]&lt;=J$433,J$433,IF(Tabell2[[#This Row],[Inntekt]]&gt;=J$434,J$434,Tabell2[[#This Row],[Inntekt]]))</f>
        <v>320800</v>
      </c>
      <c r="T368" s="44">
        <f>IF(Tabell2[[#This Row],[NIBR11-T]]&lt;=K$436,100,IF(Tabell2[[#This Row],[NIBR11-T]]&gt;=K$435,0,100*(K$435-Tabell2[[#This Row],[NIBR11-T]])/K$438))</f>
        <v>60</v>
      </c>
      <c r="U368" s="44">
        <f>(L$435-Tabell2[[#This Row],[ReisetidOslo-T]])*100/L$438</f>
        <v>17.675972111501068</v>
      </c>
      <c r="V368" s="44">
        <f>100-(M$435-Tabell2[[#This Row],[Beftettotal-T]])*100/M$438</f>
        <v>5.3524536165484591</v>
      </c>
      <c r="W368" s="44">
        <f>100-(N$435-Tabell2[[#This Row],[Befvekst10-T]])*100/N$438</f>
        <v>33.130923240550032</v>
      </c>
      <c r="X368" s="44">
        <f>100-(O$435-Tabell2[[#This Row],[Kvinneandel-T]])*100/O$438</f>
        <v>47.028265051560631</v>
      </c>
      <c r="Y368" s="44">
        <f>(P$435-Tabell2[[#This Row],[Eldreandel-T]])*100/P$438</f>
        <v>45.985881755077024</v>
      </c>
      <c r="Z368" s="44">
        <f>100-(Q$435-Tabell2[[#This Row],[Sysselsettingsvekst10-T]])*100/Q$438</f>
        <v>45.539851881020134</v>
      </c>
      <c r="AA368" s="44">
        <f>100-(R$435-Tabell2[[#This Row],[Yrkesaktivandel-T]])*100/R$438</f>
        <v>32.516959144815701</v>
      </c>
      <c r="AB368" s="44">
        <f>100-(S$435-Tabell2[[#This Row],[Inntekt-T]])*100/S$438</f>
        <v>38.961392060902668</v>
      </c>
      <c r="AC368" s="44">
        <f>Tabell2[[#This Row],[NIBR11-I]]*Vekter!$B$3</f>
        <v>12</v>
      </c>
      <c r="AD368" s="44">
        <f>Tabell2[[#This Row],[ReisetidOslo-I]]*Vekter!$C$3</f>
        <v>1.7675972111501068</v>
      </c>
      <c r="AE368" s="44">
        <f>Tabell2[[#This Row],[Beftettotal-I]]*Vekter!$E$4</f>
        <v>0.53524536165484593</v>
      </c>
      <c r="AF368" s="44">
        <f>Tabell2[[#This Row],[Befvekst10-I]]*Vekter!$F$3</f>
        <v>6.6261846481100068</v>
      </c>
      <c r="AG368" s="44">
        <f>Tabell2[[#This Row],[Kvinneandel-I]]*Vekter!$G$3</f>
        <v>2.3514132525780318</v>
      </c>
      <c r="AH368" s="44">
        <f>Tabell2[[#This Row],[Eldreandel-I]]*Vekter!$H$3</f>
        <v>2.2992940877538515</v>
      </c>
      <c r="AI368" s="44">
        <f>Tabell2[[#This Row],[Sysselsettingsvekst10-I]]*Vekter!$I$3</f>
        <v>4.5539851881020139</v>
      </c>
      <c r="AJ368" s="44">
        <f>Tabell2[[#This Row],[Yrkesaktivandel-I]]*Vekter!$K$3</f>
        <v>3.2516959144815702</v>
      </c>
      <c r="AK368" s="44">
        <f>Tabell2[[#This Row],[Inntekt-I]]*Vekter!$M$3</f>
        <v>3.8961392060902669</v>
      </c>
      <c r="AL36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37.281554869920697</v>
      </c>
    </row>
    <row r="369" spans="1:38" s="38" customFormat="1" ht="12.75">
      <c r="A369" s="42" t="s">
        <v>367</v>
      </c>
      <c r="B369" s="38">
        <f>'Rådata-K'!Q369</f>
        <v>6</v>
      </c>
      <c r="C369" s="44">
        <f>'Rådata-K'!P369</f>
        <v>252.41741302689999</v>
      </c>
      <c r="D369" s="41">
        <f>'Rådata-K'!R369</f>
        <v>1.2238712949328185</v>
      </c>
      <c r="E369" s="41">
        <f>'Rådata-K'!S369</f>
        <v>-0.12071992976294998</v>
      </c>
      <c r="F369" s="41">
        <f>'Rådata-K'!T369</f>
        <v>9.0863704443334997E-2</v>
      </c>
      <c r="G369" s="41">
        <f>'Rådata-K'!U369</f>
        <v>0.18671992011982028</v>
      </c>
      <c r="H369" s="41">
        <f>'Rådata-K'!V369</f>
        <v>-2.4918743228602436E-2</v>
      </c>
      <c r="I369" s="41">
        <f>'Rådata-K'!W369</f>
        <v>0.86152416356877326</v>
      </c>
      <c r="J369" s="41">
        <f>'Rådata-K'!O369</f>
        <v>297700</v>
      </c>
      <c r="K369" s="41">
        <f>Tabell2[[#This Row],[NIBR11]]</f>
        <v>6</v>
      </c>
      <c r="L369" s="41">
        <f>IF(Tabell2[[#This Row],[ReisetidOslo]]&lt;=C$433,C$433,IF(Tabell2[[#This Row],[ReisetidOslo]]&gt;=C$434,C$434,Tabell2[[#This Row],[ReisetidOslo]]))</f>
        <v>252.41741302689999</v>
      </c>
      <c r="M369" s="41">
        <f>IF(Tabell2[[#This Row],[Beftettotal]]&lt;=D$433,D$433,IF(Tabell2[[#This Row],[Beftettotal]]&gt;=D$434,D$434,Tabell2[[#This Row],[Beftettotal]]))</f>
        <v>1.3207758882127238</v>
      </c>
      <c r="N369" s="41">
        <f>IF(Tabell2[[#This Row],[Befvekst10]]&lt;=E$433,E$433,IF(Tabell2[[#This Row],[Befvekst10]]&gt;=E$434,E$434,Tabell2[[#This Row],[Befvekst10]]))</f>
        <v>-9.1923232174966049E-2</v>
      </c>
      <c r="O369" s="41">
        <f>IF(Tabell2[[#This Row],[Kvinneandel]]&lt;=F$433,F$433,IF(Tabell2[[#This Row],[Kvinneandel]]&gt;=F$434,F$434,Tabell2[[#This Row],[Kvinneandel]]))</f>
        <v>9.1717808671657367E-2</v>
      </c>
      <c r="P369" s="41">
        <f>IF(Tabell2[[#This Row],[Eldreandel]]&lt;=G$433,G$433,IF(Tabell2[[#This Row],[Eldreandel]]&gt;=G$434,G$434,Tabell2[[#This Row],[Eldreandel]]))</f>
        <v>0.18671992011982028</v>
      </c>
      <c r="Q369" s="41">
        <f>IF(Tabell2[[#This Row],[Sysselsettingsvekst10]]&lt;=H$433,H$433,IF(Tabell2[[#This Row],[Sysselsettingsvekst10]]&gt;=H$434,H$434,Tabell2[[#This Row],[Sysselsettingsvekst10]]))</f>
        <v>-2.4918743228602436E-2</v>
      </c>
      <c r="R369" s="41">
        <f>IF(Tabell2[[#This Row],[Yrkesaktivandel]]&lt;=I$433,I$433,IF(Tabell2[[#This Row],[Yrkesaktivandel]]&gt;=I$434,I$434,Tabell2[[#This Row],[Yrkesaktivandel]]))</f>
        <v>0.86152416356877326</v>
      </c>
      <c r="S369" s="41">
        <f>IF(Tabell2[[#This Row],[Inntekt]]&lt;=J$433,J$433,IF(Tabell2[[#This Row],[Inntekt]]&gt;=J$434,J$434,Tabell2[[#This Row],[Inntekt]]))</f>
        <v>297700</v>
      </c>
      <c r="T369" s="44">
        <f>IF(Tabell2[[#This Row],[NIBR11-T]]&lt;=K$436,100,IF(Tabell2[[#This Row],[NIBR11-T]]&gt;=K$435,0,100*(K$435-Tabell2[[#This Row],[NIBR11-T]])/K$438))</f>
        <v>50</v>
      </c>
      <c r="U369" s="44">
        <f>(L$435-Tabell2[[#This Row],[ReisetidOslo-T]])*100/L$438</f>
        <v>11.826028009261851</v>
      </c>
      <c r="V369" s="44">
        <f>100-(M$435-Tabell2[[#This Row],[Beftettotal-T]])*100/M$438</f>
        <v>0</v>
      </c>
      <c r="W369" s="44">
        <f>100-(N$435-Tabell2[[#This Row],[Befvekst10-T]])*100/N$438</f>
        <v>0</v>
      </c>
      <c r="X369" s="44">
        <f>100-(O$435-Tabell2[[#This Row],[Kvinneandel-T]])*100/O$438</f>
        <v>0</v>
      </c>
      <c r="Y369" s="44">
        <f>(P$435-Tabell2[[#This Row],[Eldreandel-T]])*100/P$438</f>
        <v>14.392295609957534</v>
      </c>
      <c r="Z369" s="44">
        <f>100-(Q$435-Tabell2[[#This Row],[Sysselsettingsvekst10-T]])*100/Q$438</f>
        <v>19.772666314032136</v>
      </c>
      <c r="AA369" s="44">
        <f>100-(R$435-Tabell2[[#This Row],[Yrkesaktivandel-T]])*100/R$438</f>
        <v>26.207932869318725</v>
      </c>
      <c r="AB369" s="44">
        <f>100-(S$435-Tabell2[[#This Row],[Inntekt-T]])*100/S$438</f>
        <v>7.5584556824361044</v>
      </c>
      <c r="AC369" s="44">
        <f>Tabell2[[#This Row],[NIBR11-I]]*Vekter!$B$3</f>
        <v>10</v>
      </c>
      <c r="AD369" s="44">
        <f>Tabell2[[#This Row],[ReisetidOslo-I]]*Vekter!$C$3</f>
        <v>1.1826028009261851</v>
      </c>
      <c r="AE369" s="44">
        <f>Tabell2[[#This Row],[Beftettotal-I]]*Vekter!$E$4</f>
        <v>0</v>
      </c>
      <c r="AF369" s="44">
        <f>Tabell2[[#This Row],[Befvekst10-I]]*Vekter!$F$3</f>
        <v>0</v>
      </c>
      <c r="AG369" s="44">
        <f>Tabell2[[#This Row],[Kvinneandel-I]]*Vekter!$G$3</f>
        <v>0</v>
      </c>
      <c r="AH369" s="44">
        <f>Tabell2[[#This Row],[Eldreandel-I]]*Vekter!$H$3</f>
        <v>0.71961478049787675</v>
      </c>
      <c r="AI369" s="44">
        <f>Tabell2[[#This Row],[Sysselsettingsvekst10-I]]*Vekter!$I$3</f>
        <v>1.9772666314032137</v>
      </c>
      <c r="AJ369" s="44">
        <f>Tabell2[[#This Row],[Yrkesaktivandel-I]]*Vekter!$K$3</f>
        <v>2.6207932869318729</v>
      </c>
      <c r="AK369" s="44">
        <f>Tabell2[[#This Row],[Inntekt-I]]*Vekter!$M$3</f>
        <v>0.75584556824361049</v>
      </c>
      <c r="AL36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17.256123068002761</v>
      </c>
    </row>
    <row r="370" spans="1:38" s="38" customFormat="1" ht="12.75">
      <c r="A370" s="42" t="s">
        <v>368</v>
      </c>
      <c r="B370" s="38">
        <f>'Rådata-K'!Q370</f>
        <v>11</v>
      </c>
      <c r="C370" s="44">
        <f>'Rådata-K'!P370</f>
        <v>361.76036978000002</v>
      </c>
      <c r="D370" s="41">
        <f>'Rådata-K'!R370</f>
        <v>2.5886531859583672</v>
      </c>
      <c r="E370" s="41">
        <f>'Rådata-K'!S370</f>
        <v>-9.6919349255797815E-2</v>
      </c>
      <c r="F370" s="41">
        <f>'Rådata-K'!T370</f>
        <v>9.6972019931008055E-2</v>
      </c>
      <c r="G370" s="41">
        <f>'Rådata-K'!U370</f>
        <v>0.19087773093139135</v>
      </c>
      <c r="H370" s="41">
        <f>'Rådata-K'!V370</f>
        <v>-9.9009900990099098E-3</v>
      </c>
      <c r="I370" s="41">
        <f>'Rådata-K'!W370</f>
        <v>0.87692307692307692</v>
      </c>
      <c r="J370" s="41">
        <f>'Rådata-K'!O370</f>
        <v>294600</v>
      </c>
      <c r="K370" s="41">
        <f>Tabell2[[#This Row],[NIBR11]]</f>
        <v>11</v>
      </c>
      <c r="L370" s="41">
        <f>IF(Tabell2[[#This Row],[ReisetidOslo]]&lt;=C$433,C$433,IF(Tabell2[[#This Row],[ReisetidOslo]]&gt;=C$434,C$434,Tabell2[[#This Row],[ReisetidOslo]]))</f>
        <v>279.05557553043002</v>
      </c>
      <c r="M370" s="41">
        <f>IF(Tabell2[[#This Row],[Beftettotal]]&lt;=D$433,D$433,IF(Tabell2[[#This Row],[Beftettotal]]&gt;=D$434,D$434,Tabell2[[#This Row],[Beftettotal]]))</f>
        <v>2.5886531859583672</v>
      </c>
      <c r="N370" s="41">
        <f>IF(Tabell2[[#This Row],[Befvekst10]]&lt;=E$433,E$433,IF(Tabell2[[#This Row],[Befvekst10]]&gt;=E$434,E$434,Tabell2[[#This Row],[Befvekst10]]))</f>
        <v>-9.1923232174966049E-2</v>
      </c>
      <c r="O370" s="41">
        <f>IF(Tabell2[[#This Row],[Kvinneandel]]&lt;=F$433,F$433,IF(Tabell2[[#This Row],[Kvinneandel]]&gt;=F$434,F$434,Tabell2[[#This Row],[Kvinneandel]]))</f>
        <v>9.6972019931008055E-2</v>
      </c>
      <c r="P370" s="41">
        <f>IF(Tabell2[[#This Row],[Eldreandel]]&lt;=G$433,G$433,IF(Tabell2[[#This Row],[Eldreandel]]&gt;=G$434,G$434,Tabell2[[#This Row],[Eldreandel]]))</f>
        <v>0.19087773093139135</v>
      </c>
      <c r="Q370" s="41">
        <f>IF(Tabell2[[#This Row],[Sysselsettingsvekst10]]&lt;=H$433,H$433,IF(Tabell2[[#This Row],[Sysselsettingsvekst10]]&gt;=H$434,H$434,Tabell2[[#This Row],[Sysselsettingsvekst10]]))</f>
        <v>-9.9009900990099098E-3</v>
      </c>
      <c r="R370" s="41">
        <f>IF(Tabell2[[#This Row],[Yrkesaktivandel]]&lt;=I$433,I$433,IF(Tabell2[[#This Row],[Yrkesaktivandel]]&gt;=I$434,I$434,Tabell2[[#This Row],[Yrkesaktivandel]]))</f>
        <v>0.87692307692307692</v>
      </c>
      <c r="S370" s="41">
        <f>IF(Tabell2[[#This Row],[Inntekt]]&lt;=J$433,J$433,IF(Tabell2[[#This Row],[Inntekt]]&gt;=J$434,J$434,Tabell2[[#This Row],[Inntekt]]))</f>
        <v>294600</v>
      </c>
      <c r="T370" s="44">
        <f>IF(Tabell2[[#This Row],[NIBR11-T]]&lt;=K$436,100,IF(Tabell2[[#This Row],[NIBR11-T]]&gt;=K$435,0,100*(K$435-Tabell2[[#This Row],[NIBR11-T]])/K$438))</f>
        <v>0</v>
      </c>
      <c r="U370" s="44">
        <f>(L$435-Tabell2[[#This Row],[ReisetidOslo-T]])*100/L$438</f>
        <v>0</v>
      </c>
      <c r="V370" s="44">
        <f>100-(M$435-Tabell2[[#This Row],[Beftettotal-T]])*100/M$438</f>
        <v>1.037132267023523</v>
      </c>
      <c r="W370" s="44">
        <f>100-(N$435-Tabell2[[#This Row],[Befvekst10-T]])*100/N$438</f>
        <v>0</v>
      </c>
      <c r="X370" s="44">
        <f>100-(O$435-Tabell2[[#This Row],[Kvinneandel-T]])*100/O$438</f>
        <v>14.377944815824023</v>
      </c>
      <c r="Y370" s="44">
        <f>(P$435-Tabell2[[#This Row],[Eldreandel-T]])*100/P$438</f>
        <v>9.4969072395502465</v>
      </c>
      <c r="Z370" s="44">
        <f>100-(Q$435-Tabell2[[#This Row],[Sysselsettingsvekst10-T]])*100/Q$438</f>
        <v>24.188142225285006</v>
      </c>
      <c r="AA370" s="44">
        <f>100-(R$435-Tabell2[[#This Row],[Yrkesaktivandel-T]])*100/R$438</f>
        <v>37.707558167969964</v>
      </c>
      <c r="AB370" s="44">
        <f>100-(S$435-Tabell2[[#This Row],[Inntekt-T]])*100/S$438</f>
        <v>3.3442088091353952</v>
      </c>
      <c r="AC370" s="44">
        <f>Tabell2[[#This Row],[NIBR11-I]]*Vekter!$B$3</f>
        <v>0</v>
      </c>
      <c r="AD370" s="44">
        <f>Tabell2[[#This Row],[ReisetidOslo-I]]*Vekter!$C$3</f>
        <v>0</v>
      </c>
      <c r="AE370" s="44">
        <f>Tabell2[[#This Row],[Beftettotal-I]]*Vekter!$E$4</f>
        <v>0.10371322670235231</v>
      </c>
      <c r="AF370" s="44">
        <f>Tabell2[[#This Row],[Befvekst10-I]]*Vekter!$F$3</f>
        <v>0</v>
      </c>
      <c r="AG370" s="44">
        <f>Tabell2[[#This Row],[Kvinneandel-I]]*Vekter!$G$3</f>
        <v>0.71889724079120121</v>
      </c>
      <c r="AH370" s="44">
        <f>Tabell2[[#This Row],[Eldreandel-I]]*Vekter!$H$3</f>
        <v>0.47484536197751237</v>
      </c>
      <c r="AI370" s="44">
        <f>Tabell2[[#This Row],[Sysselsettingsvekst10-I]]*Vekter!$I$3</f>
        <v>2.4188142225285008</v>
      </c>
      <c r="AJ370" s="44">
        <f>Tabell2[[#This Row],[Yrkesaktivandel-I]]*Vekter!$K$3</f>
        <v>3.7707558167969966</v>
      </c>
      <c r="AK370" s="44">
        <f>Tabell2[[#This Row],[Inntekt-I]]*Vekter!$M$3</f>
        <v>0.33442088091353955</v>
      </c>
      <c r="AL37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7.8214467497101019</v>
      </c>
    </row>
    <row r="371" spans="1:38" s="38" customFormat="1" ht="12.75">
      <c r="A371" s="42" t="s">
        <v>369</v>
      </c>
      <c r="B371" s="38">
        <f>'Rådata-K'!Q371</f>
        <v>11</v>
      </c>
      <c r="C371" s="44">
        <f>'Rådata-K'!P371</f>
        <v>362.16962157699999</v>
      </c>
      <c r="D371" s="41">
        <f>'Rådata-K'!R371</f>
        <v>1.7311519976697898</v>
      </c>
      <c r="E371" s="41">
        <f>'Rådata-K'!S371</f>
        <v>-7.7122153209109756E-2</v>
      </c>
      <c r="F371" s="41">
        <f>'Rådata-K'!T371</f>
        <v>9.2540661805945043E-2</v>
      </c>
      <c r="G371" s="41">
        <f>'Rådata-K'!U371</f>
        <v>0.19349411104879416</v>
      </c>
      <c r="H371" s="41">
        <f>'Rådata-K'!V371</f>
        <v>0.10416666666666674</v>
      </c>
      <c r="I371" s="41">
        <f>'Rådata-K'!W371</f>
        <v>0.90466531440162268</v>
      </c>
      <c r="J371" s="41">
        <f>'Rådata-K'!O371</f>
        <v>309900</v>
      </c>
      <c r="K371" s="41">
        <f>Tabell2[[#This Row],[NIBR11]]</f>
        <v>11</v>
      </c>
      <c r="L371" s="41">
        <f>IF(Tabell2[[#This Row],[ReisetidOslo]]&lt;=C$433,C$433,IF(Tabell2[[#This Row],[ReisetidOslo]]&gt;=C$434,C$434,Tabell2[[#This Row],[ReisetidOslo]]))</f>
        <v>279.05557553043002</v>
      </c>
      <c r="M371" s="41">
        <f>IF(Tabell2[[#This Row],[Beftettotal]]&lt;=D$433,D$433,IF(Tabell2[[#This Row],[Beftettotal]]&gt;=D$434,D$434,Tabell2[[#This Row],[Beftettotal]]))</f>
        <v>1.7311519976697898</v>
      </c>
      <c r="N371" s="41">
        <f>IF(Tabell2[[#This Row],[Befvekst10]]&lt;=E$433,E$433,IF(Tabell2[[#This Row],[Befvekst10]]&gt;=E$434,E$434,Tabell2[[#This Row],[Befvekst10]]))</f>
        <v>-7.7122153209109756E-2</v>
      </c>
      <c r="O371" s="41">
        <f>IF(Tabell2[[#This Row],[Kvinneandel]]&lt;=F$433,F$433,IF(Tabell2[[#This Row],[Kvinneandel]]&gt;=F$434,F$434,Tabell2[[#This Row],[Kvinneandel]]))</f>
        <v>9.2540661805945043E-2</v>
      </c>
      <c r="P371" s="41">
        <f>IF(Tabell2[[#This Row],[Eldreandel]]&lt;=G$433,G$433,IF(Tabell2[[#This Row],[Eldreandel]]&gt;=G$434,G$434,Tabell2[[#This Row],[Eldreandel]]))</f>
        <v>0.19349411104879416</v>
      </c>
      <c r="Q371" s="41">
        <f>IF(Tabell2[[#This Row],[Sysselsettingsvekst10]]&lt;=H$433,H$433,IF(Tabell2[[#This Row],[Sysselsettingsvekst10]]&gt;=H$434,H$434,Tabell2[[#This Row],[Sysselsettingsvekst10]]))</f>
        <v>0.10416666666666674</v>
      </c>
      <c r="R371" s="41">
        <f>IF(Tabell2[[#This Row],[Yrkesaktivandel]]&lt;=I$433,I$433,IF(Tabell2[[#This Row],[Yrkesaktivandel]]&gt;=I$434,I$434,Tabell2[[#This Row],[Yrkesaktivandel]]))</f>
        <v>0.90466531440162268</v>
      </c>
      <c r="S371" s="41">
        <f>IF(Tabell2[[#This Row],[Inntekt]]&lt;=J$433,J$433,IF(Tabell2[[#This Row],[Inntekt]]&gt;=J$434,J$434,Tabell2[[#This Row],[Inntekt]]))</f>
        <v>309900</v>
      </c>
      <c r="T371" s="44">
        <f>IF(Tabell2[[#This Row],[NIBR11-T]]&lt;=K$436,100,IF(Tabell2[[#This Row],[NIBR11-T]]&gt;=K$435,0,100*(K$435-Tabell2[[#This Row],[NIBR11-T]])/K$438))</f>
        <v>0</v>
      </c>
      <c r="U371" s="44">
        <f>(L$435-Tabell2[[#This Row],[ReisetidOslo-T]])*100/L$438</f>
        <v>0</v>
      </c>
      <c r="V371" s="44">
        <f>100-(M$435-Tabell2[[#This Row],[Beftettotal-T]])*100/M$438</f>
        <v>0.33569045324044566</v>
      </c>
      <c r="W371" s="44">
        <f>100-(N$435-Tabell2[[#This Row],[Befvekst10-T]])*100/N$438</f>
        <v>6.123426570163403</v>
      </c>
      <c r="X371" s="44">
        <f>100-(O$435-Tabell2[[#This Row],[Kvinneandel-T]])*100/O$438</f>
        <v>2.2517056076230375</v>
      </c>
      <c r="Y371" s="44">
        <f>(P$435-Tabell2[[#This Row],[Eldreandel-T]])*100/P$438</f>
        <v>6.4163926659545156</v>
      </c>
      <c r="Z371" s="44">
        <f>100-(Q$435-Tabell2[[#This Row],[Sysselsettingsvekst10-T]])*100/Q$438</f>
        <v>57.725981498287609</v>
      </c>
      <c r="AA371" s="44">
        <f>100-(R$435-Tabell2[[#This Row],[Yrkesaktivandel-T]])*100/R$438</f>
        <v>58.42495092220058</v>
      </c>
      <c r="AB371" s="44">
        <f>100-(S$435-Tabell2[[#This Row],[Inntekt-T]])*100/S$438</f>
        <v>24.143556280587276</v>
      </c>
      <c r="AC371" s="44">
        <f>Tabell2[[#This Row],[NIBR11-I]]*Vekter!$B$3</f>
        <v>0</v>
      </c>
      <c r="AD371" s="44">
        <f>Tabell2[[#This Row],[ReisetidOslo-I]]*Vekter!$C$3</f>
        <v>0</v>
      </c>
      <c r="AE371" s="44">
        <f>Tabell2[[#This Row],[Beftettotal-I]]*Vekter!$E$4</f>
        <v>3.3569045324044568E-2</v>
      </c>
      <c r="AF371" s="44">
        <f>Tabell2[[#This Row],[Befvekst10-I]]*Vekter!$F$3</f>
        <v>1.2246853140326808</v>
      </c>
      <c r="AG371" s="44">
        <f>Tabell2[[#This Row],[Kvinneandel-I]]*Vekter!$G$3</f>
        <v>0.11258528038115188</v>
      </c>
      <c r="AH371" s="44">
        <f>Tabell2[[#This Row],[Eldreandel-I]]*Vekter!$H$3</f>
        <v>0.32081963329772578</v>
      </c>
      <c r="AI371" s="44">
        <f>Tabell2[[#This Row],[Sysselsettingsvekst10-I]]*Vekter!$I$3</f>
        <v>5.7725981498287613</v>
      </c>
      <c r="AJ371" s="44">
        <f>Tabell2[[#This Row],[Yrkesaktivandel-I]]*Vekter!$K$3</f>
        <v>5.8424950922200587</v>
      </c>
      <c r="AK371" s="44">
        <f>Tabell2[[#This Row],[Inntekt-I]]*Vekter!$M$3</f>
        <v>2.4143556280587277</v>
      </c>
      <c r="AL37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15.72110814314315</v>
      </c>
    </row>
    <row r="372" spans="1:38" s="38" customFormat="1" ht="12.75">
      <c r="A372" s="42" t="s">
        <v>370</v>
      </c>
      <c r="B372" s="38">
        <f>'Rådata-K'!Q372</f>
        <v>11</v>
      </c>
      <c r="C372" s="44">
        <f>'Rådata-K'!P372</f>
        <v>333.8756979186</v>
      </c>
      <c r="D372" s="41">
        <f>'Rådata-K'!R372</f>
        <v>1.3360381959386076</v>
      </c>
      <c r="E372" s="41">
        <f>'Rådata-K'!S372</f>
        <v>-0.14323258869908018</v>
      </c>
      <c r="F372" s="41">
        <f>'Rådata-K'!T372</f>
        <v>9.1513292433537827E-2</v>
      </c>
      <c r="G372" s="41">
        <f>'Rådata-K'!U372</f>
        <v>0.18865030674846625</v>
      </c>
      <c r="H372" s="41">
        <f>'Rådata-K'!V372</f>
        <v>-3.0963302752293531E-2</v>
      </c>
      <c r="I372" s="41">
        <f>'Rådata-K'!W372</f>
        <v>0.78442028985507251</v>
      </c>
      <c r="J372" s="41">
        <f>'Rådata-K'!O372</f>
        <v>293100</v>
      </c>
      <c r="K372" s="41">
        <f>Tabell2[[#This Row],[NIBR11]]</f>
        <v>11</v>
      </c>
      <c r="L372" s="41">
        <f>IF(Tabell2[[#This Row],[ReisetidOslo]]&lt;=C$433,C$433,IF(Tabell2[[#This Row],[ReisetidOslo]]&gt;=C$434,C$434,Tabell2[[#This Row],[ReisetidOslo]]))</f>
        <v>279.05557553043002</v>
      </c>
      <c r="M372" s="41">
        <f>IF(Tabell2[[#This Row],[Beftettotal]]&lt;=D$433,D$433,IF(Tabell2[[#This Row],[Beftettotal]]&gt;=D$434,D$434,Tabell2[[#This Row],[Beftettotal]]))</f>
        <v>1.3360381959386076</v>
      </c>
      <c r="N372" s="41">
        <f>IF(Tabell2[[#This Row],[Befvekst10]]&lt;=E$433,E$433,IF(Tabell2[[#This Row],[Befvekst10]]&gt;=E$434,E$434,Tabell2[[#This Row],[Befvekst10]]))</f>
        <v>-9.1923232174966049E-2</v>
      </c>
      <c r="O372" s="41">
        <f>IF(Tabell2[[#This Row],[Kvinneandel]]&lt;=F$433,F$433,IF(Tabell2[[#This Row],[Kvinneandel]]&gt;=F$434,F$434,Tabell2[[#This Row],[Kvinneandel]]))</f>
        <v>9.1717808671657367E-2</v>
      </c>
      <c r="P372" s="41">
        <f>IF(Tabell2[[#This Row],[Eldreandel]]&lt;=G$433,G$433,IF(Tabell2[[#This Row],[Eldreandel]]&gt;=G$434,G$434,Tabell2[[#This Row],[Eldreandel]]))</f>
        <v>0.18865030674846625</v>
      </c>
      <c r="Q372" s="41">
        <f>IF(Tabell2[[#This Row],[Sysselsettingsvekst10]]&lt;=H$433,H$433,IF(Tabell2[[#This Row],[Sysselsettingsvekst10]]&gt;=H$434,H$434,Tabell2[[#This Row],[Sysselsettingsvekst10]]))</f>
        <v>-3.0963302752293531E-2</v>
      </c>
      <c r="R372" s="41">
        <f>IF(Tabell2[[#This Row],[Yrkesaktivandel]]&lt;=I$433,I$433,IF(Tabell2[[#This Row],[Yrkesaktivandel]]&gt;=I$434,I$434,Tabell2[[#This Row],[Yrkesaktivandel]]))</f>
        <v>0.82642965596795781</v>
      </c>
      <c r="S372" s="41">
        <f>IF(Tabell2[[#This Row],[Inntekt]]&lt;=J$433,J$433,IF(Tabell2[[#This Row],[Inntekt]]&gt;=J$434,J$434,Tabell2[[#This Row],[Inntekt]]))</f>
        <v>293100</v>
      </c>
      <c r="T372" s="44">
        <f>IF(Tabell2[[#This Row],[NIBR11-T]]&lt;=K$436,100,IF(Tabell2[[#This Row],[NIBR11-T]]&gt;=K$435,0,100*(K$435-Tabell2[[#This Row],[NIBR11-T]])/K$438))</f>
        <v>0</v>
      </c>
      <c r="U372" s="44">
        <f>(L$435-Tabell2[[#This Row],[ReisetidOslo-T]])*100/L$438</f>
        <v>0</v>
      </c>
      <c r="V372" s="44">
        <f>100-(M$435-Tabell2[[#This Row],[Beftettotal-T]])*100/M$438</f>
        <v>1.2484671694892313E-2</v>
      </c>
      <c r="W372" s="44">
        <f>100-(N$435-Tabell2[[#This Row],[Befvekst10-T]])*100/N$438</f>
        <v>0</v>
      </c>
      <c r="X372" s="44">
        <f>100-(O$435-Tabell2[[#This Row],[Kvinneandel-T]])*100/O$438</f>
        <v>0</v>
      </c>
      <c r="Y372" s="44">
        <f>(P$435-Tabell2[[#This Row],[Eldreandel-T]])*100/P$438</f>
        <v>12.119466787163535</v>
      </c>
      <c r="Z372" s="44">
        <f>100-(Q$435-Tabell2[[#This Row],[Sysselsettingsvekst10-T]])*100/Q$438</f>
        <v>17.995462577848713</v>
      </c>
      <c r="AA372" s="44">
        <f>100-(R$435-Tabell2[[#This Row],[Yrkesaktivandel-T]])*100/R$438</f>
        <v>0</v>
      </c>
      <c r="AB372" s="44">
        <f>100-(S$435-Tabell2[[#This Row],[Inntekt-T]])*100/S$438</f>
        <v>1.305057096247964</v>
      </c>
      <c r="AC372" s="44">
        <f>Tabell2[[#This Row],[NIBR11-I]]*Vekter!$B$3</f>
        <v>0</v>
      </c>
      <c r="AD372" s="44">
        <f>Tabell2[[#This Row],[ReisetidOslo-I]]*Vekter!$C$3</f>
        <v>0</v>
      </c>
      <c r="AE372" s="44">
        <f>Tabell2[[#This Row],[Beftettotal-I]]*Vekter!$E$4</f>
        <v>1.2484671694892313E-3</v>
      </c>
      <c r="AF372" s="44">
        <f>Tabell2[[#This Row],[Befvekst10-I]]*Vekter!$F$3</f>
        <v>0</v>
      </c>
      <c r="AG372" s="44">
        <f>Tabell2[[#This Row],[Kvinneandel-I]]*Vekter!$G$3</f>
        <v>0</v>
      </c>
      <c r="AH372" s="44">
        <f>Tabell2[[#This Row],[Eldreandel-I]]*Vekter!$H$3</f>
        <v>0.60597333935817677</v>
      </c>
      <c r="AI372" s="44">
        <f>Tabell2[[#This Row],[Sysselsettingsvekst10-I]]*Vekter!$I$3</f>
        <v>1.7995462577848713</v>
      </c>
      <c r="AJ372" s="44">
        <f>Tabell2[[#This Row],[Yrkesaktivandel-I]]*Vekter!$K$3</f>
        <v>0</v>
      </c>
      <c r="AK372" s="44">
        <f>Tabell2[[#This Row],[Inntekt-I]]*Vekter!$M$3</f>
        <v>0.13050570962479641</v>
      </c>
      <c r="AL37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2.5372737739373337</v>
      </c>
    </row>
    <row r="373" spans="1:38" s="38" customFormat="1" ht="12.75">
      <c r="A373" s="42" t="s">
        <v>371</v>
      </c>
      <c r="B373" s="38">
        <f>'Rådata-K'!Q373</f>
        <v>11</v>
      </c>
      <c r="C373" s="44">
        <f>'Rådata-K'!P373</f>
        <v>258.49374085709997</v>
      </c>
      <c r="D373" s="41">
        <f>'Rådata-K'!R373</f>
        <v>4.1543535871575372</v>
      </c>
      <c r="E373" s="41">
        <f>'Rådata-K'!S373</f>
        <v>-7.5911789652247652E-2</v>
      </c>
      <c r="F373" s="41">
        <f>'Rådata-K'!T373</f>
        <v>9.1785222579164757E-2</v>
      </c>
      <c r="G373" s="41">
        <f>'Rådata-K'!U373</f>
        <v>0.21798990362551629</v>
      </c>
      <c r="H373" s="41">
        <f>'Rådata-K'!V373</f>
        <v>-4.0609137055837019E-3</v>
      </c>
      <c r="I373" s="41">
        <f>'Rådata-K'!W373</f>
        <v>0.84556962025316451</v>
      </c>
      <c r="J373" s="41">
        <f>'Rådata-K'!O373</f>
        <v>314600</v>
      </c>
      <c r="K373" s="41">
        <f>Tabell2[[#This Row],[NIBR11]]</f>
        <v>11</v>
      </c>
      <c r="L373" s="41">
        <f>IF(Tabell2[[#This Row],[ReisetidOslo]]&lt;=C$433,C$433,IF(Tabell2[[#This Row],[ReisetidOslo]]&gt;=C$434,C$434,Tabell2[[#This Row],[ReisetidOslo]]))</f>
        <v>258.49374085709997</v>
      </c>
      <c r="M373" s="41">
        <f>IF(Tabell2[[#This Row],[Beftettotal]]&lt;=D$433,D$433,IF(Tabell2[[#This Row],[Beftettotal]]&gt;=D$434,D$434,Tabell2[[#This Row],[Beftettotal]]))</f>
        <v>4.1543535871575372</v>
      </c>
      <c r="N373" s="41">
        <f>IF(Tabell2[[#This Row],[Befvekst10]]&lt;=E$433,E$433,IF(Tabell2[[#This Row],[Befvekst10]]&gt;=E$434,E$434,Tabell2[[#This Row],[Befvekst10]]))</f>
        <v>-7.5911789652247652E-2</v>
      </c>
      <c r="O373" s="41">
        <f>IF(Tabell2[[#This Row],[Kvinneandel]]&lt;=F$433,F$433,IF(Tabell2[[#This Row],[Kvinneandel]]&gt;=F$434,F$434,Tabell2[[#This Row],[Kvinneandel]]))</f>
        <v>9.1785222579164757E-2</v>
      </c>
      <c r="P373" s="41">
        <f>IF(Tabell2[[#This Row],[Eldreandel]]&lt;=G$433,G$433,IF(Tabell2[[#This Row],[Eldreandel]]&gt;=G$434,G$434,Tabell2[[#This Row],[Eldreandel]]))</f>
        <v>0.1989437597342919</v>
      </c>
      <c r="Q373" s="41">
        <f>IF(Tabell2[[#This Row],[Sysselsettingsvekst10]]&lt;=H$433,H$433,IF(Tabell2[[#This Row],[Sysselsettingsvekst10]]&gt;=H$434,H$434,Tabell2[[#This Row],[Sysselsettingsvekst10]]))</f>
        <v>-4.0609137055837019E-3</v>
      </c>
      <c r="R373" s="41">
        <f>IF(Tabell2[[#This Row],[Yrkesaktivandel]]&lt;=I$433,I$433,IF(Tabell2[[#This Row],[Yrkesaktivandel]]&gt;=I$434,I$434,Tabell2[[#This Row],[Yrkesaktivandel]]))</f>
        <v>0.84556962025316451</v>
      </c>
      <c r="S373" s="41">
        <f>IF(Tabell2[[#This Row],[Inntekt]]&lt;=J$433,J$433,IF(Tabell2[[#This Row],[Inntekt]]&gt;=J$434,J$434,Tabell2[[#This Row],[Inntekt]]))</f>
        <v>314600</v>
      </c>
      <c r="T373" s="44">
        <f>IF(Tabell2[[#This Row],[NIBR11-T]]&lt;=K$436,100,IF(Tabell2[[#This Row],[NIBR11-T]]&gt;=K$435,0,100*(K$435-Tabell2[[#This Row],[NIBR11-T]])/K$438))</f>
        <v>0</v>
      </c>
      <c r="U373" s="44">
        <f>(L$435-Tabell2[[#This Row],[ReisetidOslo-T]])*100/L$438</f>
        <v>9.128438672764652</v>
      </c>
      <c r="V373" s="44">
        <f>100-(M$435-Tabell2[[#This Row],[Beftettotal-T]])*100/M$438</f>
        <v>2.3178858616044948</v>
      </c>
      <c r="W373" s="44">
        <f>100-(N$435-Tabell2[[#This Row],[Befvekst10-T]])*100/N$438</f>
        <v>6.6241719807341042</v>
      </c>
      <c r="X373" s="44">
        <f>100-(O$435-Tabell2[[#This Row],[Kvinneandel-T]])*100/O$438</f>
        <v>0.18447553669170702</v>
      </c>
      <c r="Y373" s="44">
        <f>(P$435-Tabell2[[#This Row],[Eldreandel-T]])*100/P$438</f>
        <v>0</v>
      </c>
      <c r="Z373" s="44">
        <f>100-(Q$435-Tabell2[[#This Row],[Sysselsettingsvekst10-T]])*100/Q$438</f>
        <v>25.905224428763049</v>
      </c>
      <c r="AA373" s="44">
        <f>100-(R$435-Tabell2[[#This Row],[Yrkesaktivandel-T]])*100/R$438</f>
        <v>14.293373333900249</v>
      </c>
      <c r="AB373" s="44">
        <f>100-(S$435-Tabell2[[#This Row],[Inntekt-T]])*100/S$438</f>
        <v>30.532898314301249</v>
      </c>
      <c r="AC373" s="44">
        <f>Tabell2[[#This Row],[NIBR11-I]]*Vekter!$B$3</f>
        <v>0</v>
      </c>
      <c r="AD373" s="44">
        <f>Tabell2[[#This Row],[ReisetidOslo-I]]*Vekter!$C$3</f>
        <v>0.91284386727646527</v>
      </c>
      <c r="AE373" s="44">
        <f>Tabell2[[#This Row],[Beftettotal-I]]*Vekter!$E$4</f>
        <v>0.23178858616044951</v>
      </c>
      <c r="AF373" s="44">
        <f>Tabell2[[#This Row],[Befvekst10-I]]*Vekter!$F$3</f>
        <v>1.324834396146821</v>
      </c>
      <c r="AG373" s="44">
        <f>Tabell2[[#This Row],[Kvinneandel-I]]*Vekter!$G$3</f>
        <v>9.2237768345853517E-3</v>
      </c>
      <c r="AH373" s="44">
        <f>Tabell2[[#This Row],[Eldreandel-I]]*Vekter!$H$3</f>
        <v>0</v>
      </c>
      <c r="AI373" s="44">
        <f>Tabell2[[#This Row],[Sysselsettingsvekst10-I]]*Vekter!$I$3</f>
        <v>2.590522442876305</v>
      </c>
      <c r="AJ373" s="44">
        <f>Tabell2[[#This Row],[Yrkesaktivandel-I]]*Vekter!$K$3</f>
        <v>1.429337333390025</v>
      </c>
      <c r="AK373" s="44">
        <f>Tabell2[[#This Row],[Inntekt-I]]*Vekter!$M$3</f>
        <v>3.0532898314301251</v>
      </c>
      <c r="AL37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9.5518402341147777</v>
      </c>
    </row>
    <row r="374" spans="1:38" s="38" customFormat="1" ht="12.75">
      <c r="A374" s="42" t="s">
        <v>372</v>
      </c>
      <c r="B374" s="38">
        <f>'Rådata-K'!Q374</f>
        <v>5</v>
      </c>
      <c r="C374" s="44">
        <f>'Rådata-K'!P374</f>
        <v>223.53373469069999</v>
      </c>
      <c r="D374" s="41">
        <f>'Rådata-K'!R374</f>
        <v>4.0355784643429615</v>
      </c>
      <c r="E374" s="41">
        <f>'Rådata-K'!S374</f>
        <v>-0.13067027758970884</v>
      </c>
      <c r="F374" s="41">
        <f>'Rådata-K'!T374</f>
        <v>8.566978193146417E-2</v>
      </c>
      <c r="G374" s="41">
        <f>'Rådata-K'!U374</f>
        <v>0.2235202492211838</v>
      </c>
      <c r="H374" s="41">
        <f>'Rådata-K'!V374</f>
        <v>5.5776892430278835E-2</v>
      </c>
      <c r="I374" s="41">
        <f>'Rådata-K'!W374</f>
        <v>0.85168869309838469</v>
      </c>
      <c r="J374" s="41">
        <f>'Rådata-K'!O374</f>
        <v>303100</v>
      </c>
      <c r="K374" s="41">
        <f>Tabell2[[#This Row],[NIBR11]]</f>
        <v>5</v>
      </c>
      <c r="L374" s="41">
        <f>IF(Tabell2[[#This Row],[ReisetidOslo]]&lt;=C$433,C$433,IF(Tabell2[[#This Row],[ReisetidOslo]]&gt;=C$434,C$434,Tabell2[[#This Row],[ReisetidOslo]]))</f>
        <v>223.53373469069999</v>
      </c>
      <c r="M374" s="41">
        <f>IF(Tabell2[[#This Row],[Beftettotal]]&lt;=D$433,D$433,IF(Tabell2[[#This Row],[Beftettotal]]&gt;=D$434,D$434,Tabell2[[#This Row],[Beftettotal]]))</f>
        <v>4.0355784643429615</v>
      </c>
      <c r="N374" s="41">
        <f>IF(Tabell2[[#This Row],[Befvekst10]]&lt;=E$433,E$433,IF(Tabell2[[#This Row],[Befvekst10]]&gt;=E$434,E$434,Tabell2[[#This Row],[Befvekst10]]))</f>
        <v>-9.1923232174966049E-2</v>
      </c>
      <c r="O374" s="41">
        <f>IF(Tabell2[[#This Row],[Kvinneandel]]&lt;=F$433,F$433,IF(Tabell2[[#This Row],[Kvinneandel]]&gt;=F$434,F$434,Tabell2[[#This Row],[Kvinneandel]]))</f>
        <v>9.1717808671657367E-2</v>
      </c>
      <c r="P374" s="41">
        <f>IF(Tabell2[[#This Row],[Eldreandel]]&lt;=G$433,G$433,IF(Tabell2[[#This Row],[Eldreandel]]&gt;=G$434,G$434,Tabell2[[#This Row],[Eldreandel]]))</f>
        <v>0.1989437597342919</v>
      </c>
      <c r="Q374" s="41">
        <f>IF(Tabell2[[#This Row],[Sysselsettingsvekst10]]&lt;=H$433,H$433,IF(Tabell2[[#This Row],[Sysselsettingsvekst10]]&gt;=H$434,H$434,Tabell2[[#This Row],[Sysselsettingsvekst10]]))</f>
        <v>5.5776892430278835E-2</v>
      </c>
      <c r="R374" s="41">
        <f>IF(Tabell2[[#This Row],[Yrkesaktivandel]]&lt;=I$433,I$433,IF(Tabell2[[#This Row],[Yrkesaktivandel]]&gt;=I$434,I$434,Tabell2[[#This Row],[Yrkesaktivandel]]))</f>
        <v>0.85168869309838469</v>
      </c>
      <c r="S374" s="41">
        <f>IF(Tabell2[[#This Row],[Inntekt]]&lt;=J$433,J$433,IF(Tabell2[[#This Row],[Inntekt]]&gt;=J$434,J$434,Tabell2[[#This Row],[Inntekt]]))</f>
        <v>303100</v>
      </c>
      <c r="T374" s="44">
        <f>IF(Tabell2[[#This Row],[NIBR11-T]]&lt;=K$436,100,IF(Tabell2[[#This Row],[NIBR11-T]]&gt;=K$435,0,100*(K$435-Tabell2[[#This Row],[NIBR11-T]])/K$438))</f>
        <v>60</v>
      </c>
      <c r="U374" s="44">
        <f>(L$435-Tabell2[[#This Row],[ReisetidOslo-T]])*100/L$438</f>
        <v>24.648954101448044</v>
      </c>
      <c r="V374" s="44">
        <f>100-(M$435-Tabell2[[#This Row],[Beftettotal-T]])*100/M$438</f>
        <v>2.2207270019816434</v>
      </c>
      <c r="W374" s="44">
        <f>100-(N$435-Tabell2[[#This Row],[Befvekst10-T]])*100/N$438</f>
        <v>0</v>
      </c>
      <c r="X374" s="44">
        <f>100-(O$435-Tabell2[[#This Row],[Kvinneandel-T]])*100/O$438</f>
        <v>0</v>
      </c>
      <c r="Y374" s="44">
        <f>(P$435-Tabell2[[#This Row],[Eldreandel-T]])*100/P$438</f>
        <v>0</v>
      </c>
      <c r="Z374" s="44">
        <f>100-(Q$435-Tabell2[[#This Row],[Sysselsettingsvekst10-T]])*100/Q$438</f>
        <v>43.498561414339747</v>
      </c>
      <c r="AA374" s="44">
        <f>100-(R$435-Tabell2[[#This Row],[Yrkesaktivandel-T]])*100/R$438</f>
        <v>18.862984401652483</v>
      </c>
      <c r="AB374" s="44">
        <f>100-(S$435-Tabell2[[#This Row],[Inntekt-T]])*100/S$438</f>
        <v>14.899401848830891</v>
      </c>
      <c r="AC374" s="44">
        <f>Tabell2[[#This Row],[NIBR11-I]]*Vekter!$B$3</f>
        <v>12</v>
      </c>
      <c r="AD374" s="44">
        <f>Tabell2[[#This Row],[ReisetidOslo-I]]*Vekter!$C$3</f>
        <v>2.4648954101448046</v>
      </c>
      <c r="AE374" s="44">
        <f>Tabell2[[#This Row],[Beftettotal-I]]*Vekter!$E$4</f>
        <v>0.22207270019816436</v>
      </c>
      <c r="AF374" s="44">
        <f>Tabell2[[#This Row],[Befvekst10-I]]*Vekter!$F$3</f>
        <v>0</v>
      </c>
      <c r="AG374" s="44">
        <f>Tabell2[[#This Row],[Kvinneandel-I]]*Vekter!$G$3</f>
        <v>0</v>
      </c>
      <c r="AH374" s="44">
        <f>Tabell2[[#This Row],[Eldreandel-I]]*Vekter!$H$3</f>
        <v>0</v>
      </c>
      <c r="AI374" s="44">
        <f>Tabell2[[#This Row],[Sysselsettingsvekst10-I]]*Vekter!$I$3</f>
        <v>4.3498561414339747</v>
      </c>
      <c r="AJ374" s="44">
        <f>Tabell2[[#This Row],[Yrkesaktivandel-I]]*Vekter!$K$3</f>
        <v>1.8862984401652483</v>
      </c>
      <c r="AK374" s="44">
        <f>Tabell2[[#This Row],[Inntekt-I]]*Vekter!$M$3</f>
        <v>1.4899401848830891</v>
      </c>
      <c r="AL37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22.413062876825283</v>
      </c>
    </row>
    <row r="375" spans="1:38" s="38" customFormat="1" ht="12.75">
      <c r="A375" s="42" t="s">
        <v>373</v>
      </c>
      <c r="B375" s="38">
        <f>'Rådata-K'!Q375</f>
        <v>5</v>
      </c>
      <c r="C375" s="44">
        <f>'Rådata-K'!P375</f>
        <v>210.87046246760002</v>
      </c>
      <c r="D375" s="41">
        <f>'Rådata-K'!R375</f>
        <v>5.3862312234949066</v>
      </c>
      <c r="E375" s="41">
        <f>'Rådata-K'!S375</f>
        <v>-9.8806366047745398E-2</v>
      </c>
      <c r="F375" s="41">
        <f>'Rådata-K'!T375</f>
        <v>8.3149374540103016E-2</v>
      </c>
      <c r="G375" s="41">
        <f>'Rådata-K'!U375</f>
        <v>0.19941133186166299</v>
      </c>
      <c r="H375" s="41">
        <f>'Rådata-K'!V375</f>
        <v>-9.1954022988505746E-2</v>
      </c>
      <c r="I375" s="41">
        <f>'Rådata-K'!W375</f>
        <v>0.82853223593964331</v>
      </c>
      <c r="J375" s="41">
        <f>'Rådata-K'!O375</f>
        <v>298800</v>
      </c>
      <c r="K375" s="41">
        <f>Tabell2[[#This Row],[NIBR11]]</f>
        <v>5</v>
      </c>
      <c r="L375" s="41">
        <f>IF(Tabell2[[#This Row],[ReisetidOslo]]&lt;=C$433,C$433,IF(Tabell2[[#This Row],[ReisetidOslo]]&gt;=C$434,C$434,Tabell2[[#This Row],[ReisetidOslo]]))</f>
        <v>210.87046246760002</v>
      </c>
      <c r="M375" s="41">
        <f>IF(Tabell2[[#This Row],[Beftettotal]]&lt;=D$433,D$433,IF(Tabell2[[#This Row],[Beftettotal]]&gt;=D$434,D$434,Tabell2[[#This Row],[Beftettotal]]))</f>
        <v>5.3862312234949066</v>
      </c>
      <c r="N375" s="41">
        <f>IF(Tabell2[[#This Row],[Befvekst10]]&lt;=E$433,E$433,IF(Tabell2[[#This Row],[Befvekst10]]&gt;=E$434,E$434,Tabell2[[#This Row],[Befvekst10]]))</f>
        <v>-9.1923232174966049E-2</v>
      </c>
      <c r="O375" s="41">
        <f>IF(Tabell2[[#This Row],[Kvinneandel]]&lt;=F$433,F$433,IF(Tabell2[[#This Row],[Kvinneandel]]&gt;=F$434,F$434,Tabell2[[#This Row],[Kvinneandel]]))</f>
        <v>9.1717808671657367E-2</v>
      </c>
      <c r="P375" s="41">
        <f>IF(Tabell2[[#This Row],[Eldreandel]]&lt;=G$433,G$433,IF(Tabell2[[#This Row],[Eldreandel]]&gt;=G$434,G$434,Tabell2[[#This Row],[Eldreandel]]))</f>
        <v>0.1989437597342919</v>
      </c>
      <c r="Q375" s="41">
        <f>IF(Tabell2[[#This Row],[Sysselsettingsvekst10]]&lt;=H$433,H$433,IF(Tabell2[[#This Row],[Sysselsettingsvekst10]]&gt;=H$434,H$434,Tabell2[[#This Row],[Sysselsettingsvekst10]]))</f>
        <v>-9.1954022988505746E-2</v>
      </c>
      <c r="R375" s="41">
        <f>IF(Tabell2[[#This Row],[Yrkesaktivandel]]&lt;=I$433,I$433,IF(Tabell2[[#This Row],[Yrkesaktivandel]]&gt;=I$434,I$434,Tabell2[[#This Row],[Yrkesaktivandel]]))</f>
        <v>0.82853223593964331</v>
      </c>
      <c r="S375" s="41">
        <f>IF(Tabell2[[#This Row],[Inntekt]]&lt;=J$433,J$433,IF(Tabell2[[#This Row],[Inntekt]]&gt;=J$434,J$434,Tabell2[[#This Row],[Inntekt]]))</f>
        <v>298800</v>
      </c>
      <c r="T375" s="44">
        <f>IF(Tabell2[[#This Row],[NIBR11-T]]&lt;=K$436,100,IF(Tabell2[[#This Row],[NIBR11-T]]&gt;=K$435,0,100*(K$435-Tabell2[[#This Row],[NIBR11-T]])/K$438))</f>
        <v>60</v>
      </c>
      <c r="U375" s="44">
        <f>(L$435-Tabell2[[#This Row],[ReisetidOslo-T]])*100/L$438</f>
        <v>30.270821299661975</v>
      </c>
      <c r="V375" s="44">
        <f>100-(M$435-Tabell2[[#This Row],[Beftettotal-T]])*100/M$438</f>
        <v>3.3255701603468282</v>
      </c>
      <c r="W375" s="44">
        <f>100-(N$435-Tabell2[[#This Row],[Befvekst10-T]])*100/N$438</f>
        <v>0</v>
      </c>
      <c r="X375" s="44">
        <f>100-(O$435-Tabell2[[#This Row],[Kvinneandel-T]])*100/O$438</f>
        <v>0</v>
      </c>
      <c r="Y375" s="44">
        <f>(P$435-Tabell2[[#This Row],[Eldreandel-T]])*100/P$438</f>
        <v>0</v>
      </c>
      <c r="Z375" s="44">
        <f>100-(Q$435-Tabell2[[#This Row],[Sysselsettingsvekst10-T]])*100/Q$438</f>
        <v>6.314915592305681E-2</v>
      </c>
      <c r="AA375" s="44">
        <f>100-(R$435-Tabell2[[#This Row],[Yrkesaktivandel-T]])*100/R$438</f>
        <v>1.5701680552722053</v>
      </c>
      <c r="AB375" s="44">
        <f>100-(S$435-Tabell2[[#This Row],[Inntekt-T]])*100/S$438</f>
        <v>9.0538336052202339</v>
      </c>
      <c r="AC375" s="44">
        <f>Tabell2[[#This Row],[NIBR11-I]]*Vekter!$B$3</f>
        <v>12</v>
      </c>
      <c r="AD375" s="44">
        <f>Tabell2[[#This Row],[ReisetidOslo-I]]*Vekter!$C$3</f>
        <v>3.0270821299661979</v>
      </c>
      <c r="AE375" s="44">
        <f>Tabell2[[#This Row],[Beftettotal-I]]*Vekter!$E$4</f>
        <v>0.33255701603468285</v>
      </c>
      <c r="AF375" s="44">
        <f>Tabell2[[#This Row],[Befvekst10-I]]*Vekter!$F$3</f>
        <v>0</v>
      </c>
      <c r="AG375" s="44">
        <f>Tabell2[[#This Row],[Kvinneandel-I]]*Vekter!$G$3</f>
        <v>0</v>
      </c>
      <c r="AH375" s="44">
        <f>Tabell2[[#This Row],[Eldreandel-I]]*Vekter!$H$3</f>
        <v>0</v>
      </c>
      <c r="AI375" s="44">
        <f>Tabell2[[#This Row],[Sysselsettingsvekst10-I]]*Vekter!$I$3</f>
        <v>6.314915592305681E-3</v>
      </c>
      <c r="AJ375" s="44">
        <f>Tabell2[[#This Row],[Yrkesaktivandel-I]]*Vekter!$K$3</f>
        <v>0.15701680552722053</v>
      </c>
      <c r="AK375" s="44">
        <f>Tabell2[[#This Row],[Inntekt-I]]*Vekter!$M$3</f>
        <v>0.90538336052202339</v>
      </c>
      <c r="AL37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16.42835422764243</v>
      </c>
    </row>
    <row r="376" spans="1:38" s="38" customFormat="1" ht="12.75">
      <c r="A376" s="42" t="s">
        <v>374</v>
      </c>
      <c r="B376" s="38">
        <f>'Rådata-K'!Q376</f>
        <v>5</v>
      </c>
      <c r="C376" s="44">
        <f>'Rådata-K'!P376</f>
        <v>292.82049093099999</v>
      </c>
      <c r="D376" s="41">
        <f>'Rådata-K'!R376</f>
        <v>2.8103648317648573</v>
      </c>
      <c r="E376" s="41">
        <f>'Rådata-K'!S376</f>
        <v>-2.3516237402015694E-2</v>
      </c>
      <c r="F376" s="41">
        <f>'Rådata-K'!T376</f>
        <v>9.0214067278287458E-2</v>
      </c>
      <c r="G376" s="41">
        <f>'Rådata-K'!U376</f>
        <v>0.18654434250764526</v>
      </c>
      <c r="H376" s="41">
        <f>'Rådata-K'!V376</f>
        <v>-6.5789473684210509E-2</v>
      </c>
      <c r="I376" s="41">
        <f>'Rådata-K'!W376</f>
        <v>0.78921568627450978</v>
      </c>
      <c r="J376" s="41">
        <f>'Rådata-K'!O376</f>
        <v>291600</v>
      </c>
      <c r="K376" s="41">
        <f>Tabell2[[#This Row],[NIBR11]]</f>
        <v>5</v>
      </c>
      <c r="L376" s="41">
        <f>IF(Tabell2[[#This Row],[ReisetidOslo]]&lt;=C$433,C$433,IF(Tabell2[[#This Row],[ReisetidOslo]]&gt;=C$434,C$434,Tabell2[[#This Row],[ReisetidOslo]]))</f>
        <v>279.05557553043002</v>
      </c>
      <c r="M376" s="41">
        <f>IF(Tabell2[[#This Row],[Beftettotal]]&lt;=D$433,D$433,IF(Tabell2[[#This Row],[Beftettotal]]&gt;=D$434,D$434,Tabell2[[#This Row],[Beftettotal]]))</f>
        <v>2.8103648317648573</v>
      </c>
      <c r="N376" s="41">
        <f>IF(Tabell2[[#This Row],[Befvekst10]]&lt;=E$433,E$433,IF(Tabell2[[#This Row],[Befvekst10]]&gt;=E$434,E$434,Tabell2[[#This Row],[Befvekst10]]))</f>
        <v>-2.3516237402015694E-2</v>
      </c>
      <c r="O376" s="41">
        <f>IF(Tabell2[[#This Row],[Kvinneandel]]&lt;=F$433,F$433,IF(Tabell2[[#This Row],[Kvinneandel]]&gt;=F$434,F$434,Tabell2[[#This Row],[Kvinneandel]]))</f>
        <v>9.1717808671657367E-2</v>
      </c>
      <c r="P376" s="41">
        <f>IF(Tabell2[[#This Row],[Eldreandel]]&lt;=G$433,G$433,IF(Tabell2[[#This Row],[Eldreandel]]&gt;=G$434,G$434,Tabell2[[#This Row],[Eldreandel]]))</f>
        <v>0.18654434250764526</v>
      </c>
      <c r="Q376" s="41">
        <f>IF(Tabell2[[#This Row],[Sysselsettingsvekst10]]&lt;=H$433,H$433,IF(Tabell2[[#This Row],[Sysselsettingsvekst10]]&gt;=H$434,H$434,Tabell2[[#This Row],[Sysselsettingsvekst10]]))</f>
        <v>-6.5789473684210509E-2</v>
      </c>
      <c r="R376" s="41">
        <f>IF(Tabell2[[#This Row],[Yrkesaktivandel]]&lt;=I$433,I$433,IF(Tabell2[[#This Row],[Yrkesaktivandel]]&gt;=I$434,I$434,Tabell2[[#This Row],[Yrkesaktivandel]]))</f>
        <v>0.82642965596795781</v>
      </c>
      <c r="S376" s="41">
        <f>IF(Tabell2[[#This Row],[Inntekt]]&lt;=J$433,J$433,IF(Tabell2[[#This Row],[Inntekt]]&gt;=J$434,J$434,Tabell2[[#This Row],[Inntekt]]))</f>
        <v>292140</v>
      </c>
      <c r="T376" s="44">
        <f>IF(Tabell2[[#This Row],[NIBR11-T]]&lt;=K$436,100,IF(Tabell2[[#This Row],[NIBR11-T]]&gt;=K$435,0,100*(K$435-Tabell2[[#This Row],[NIBR11-T]])/K$438))</f>
        <v>60</v>
      </c>
      <c r="U376" s="44">
        <f>(L$435-Tabell2[[#This Row],[ReisetidOslo-T]])*100/L$438</f>
        <v>0</v>
      </c>
      <c r="V376" s="44">
        <f>100-(M$435-Tabell2[[#This Row],[Beftettotal-T]])*100/M$438</f>
        <v>1.2184939037131812</v>
      </c>
      <c r="W376" s="44">
        <f>100-(N$435-Tabell2[[#This Row],[Befvekst10-T]])*100/N$438</f>
        <v>28.300991457718368</v>
      </c>
      <c r="X376" s="44">
        <f>100-(O$435-Tabell2[[#This Row],[Kvinneandel-T]])*100/O$438</f>
        <v>0</v>
      </c>
      <c r="Y376" s="44">
        <f>(P$435-Tabell2[[#This Row],[Eldreandel-T]])*100/P$438</f>
        <v>14.599019927079762</v>
      </c>
      <c r="Z376" s="44">
        <f>100-(Q$435-Tabell2[[#This Row],[Sysselsettingsvekst10-T]])*100/Q$438</f>
        <v>7.7559735208577649</v>
      </c>
      <c r="AA376" s="44">
        <f>100-(R$435-Tabell2[[#This Row],[Yrkesaktivandel-T]])*100/R$438</f>
        <v>0</v>
      </c>
      <c r="AB376" s="44">
        <f>100-(S$435-Tabell2[[#This Row],[Inntekt-T]])*100/S$438</f>
        <v>0</v>
      </c>
      <c r="AC376" s="44">
        <f>Tabell2[[#This Row],[NIBR11-I]]*Vekter!$B$3</f>
        <v>12</v>
      </c>
      <c r="AD376" s="44">
        <f>Tabell2[[#This Row],[ReisetidOslo-I]]*Vekter!$C$3</f>
        <v>0</v>
      </c>
      <c r="AE376" s="44">
        <f>Tabell2[[#This Row],[Beftettotal-I]]*Vekter!$E$4</f>
        <v>0.12184939037131813</v>
      </c>
      <c r="AF376" s="44">
        <f>Tabell2[[#This Row],[Befvekst10-I]]*Vekter!$F$3</f>
        <v>5.6601982915436739</v>
      </c>
      <c r="AG376" s="44">
        <f>Tabell2[[#This Row],[Kvinneandel-I]]*Vekter!$G$3</f>
        <v>0</v>
      </c>
      <c r="AH376" s="44">
        <f>Tabell2[[#This Row],[Eldreandel-I]]*Vekter!$H$3</f>
        <v>0.72995099635398819</v>
      </c>
      <c r="AI376" s="44">
        <f>Tabell2[[#This Row],[Sysselsettingsvekst10-I]]*Vekter!$I$3</f>
        <v>0.77559735208577651</v>
      </c>
      <c r="AJ376" s="44">
        <f>Tabell2[[#This Row],[Yrkesaktivandel-I]]*Vekter!$K$3</f>
        <v>0</v>
      </c>
      <c r="AK376" s="44">
        <f>Tabell2[[#This Row],[Inntekt-I]]*Vekter!$M$3</f>
        <v>0</v>
      </c>
      <c r="AL37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19.287596030354756</v>
      </c>
    </row>
    <row r="377" spans="1:38" s="38" customFormat="1" ht="12.75">
      <c r="A377" s="42" t="s">
        <v>375</v>
      </c>
      <c r="B377" s="38">
        <f>'Rådata-K'!Q377</f>
        <v>11</v>
      </c>
      <c r="C377" s="44">
        <f>'Rådata-K'!P377</f>
        <v>241.53038907685001</v>
      </c>
      <c r="D377" s="41">
        <f>'Rådata-K'!R377</f>
        <v>56.883365200764814</v>
      </c>
      <c r="E377" s="41">
        <f>'Rådata-K'!S377</f>
        <v>-8.3204930662557741E-2</v>
      </c>
      <c r="F377" s="41">
        <f>'Rådata-K'!T377</f>
        <v>0.11764705882352941</v>
      </c>
      <c r="G377" s="41">
        <f>'Rådata-K'!U377</f>
        <v>0.14621848739495799</v>
      </c>
      <c r="H377" s="41">
        <f>'Rådata-K'!V377</f>
        <v>-6.4516129032258118E-2</v>
      </c>
      <c r="I377" s="41">
        <f>'Rådata-K'!W377</f>
        <v>0.87068965517241381</v>
      </c>
      <c r="J377" s="41">
        <f>'Rådata-K'!O377</f>
        <v>313900</v>
      </c>
      <c r="K377" s="41">
        <f>Tabell2[[#This Row],[NIBR11]]</f>
        <v>11</v>
      </c>
      <c r="L377" s="41">
        <f>IF(Tabell2[[#This Row],[ReisetidOslo]]&lt;=C$433,C$433,IF(Tabell2[[#This Row],[ReisetidOslo]]&gt;=C$434,C$434,Tabell2[[#This Row],[ReisetidOslo]]))</f>
        <v>241.53038907685001</v>
      </c>
      <c r="M377" s="41">
        <f>IF(Tabell2[[#This Row],[Beftettotal]]&lt;=D$433,D$433,IF(Tabell2[[#This Row],[Beftettotal]]&gt;=D$434,D$434,Tabell2[[#This Row],[Beftettotal]]))</f>
        <v>56.883365200764814</v>
      </c>
      <c r="N377" s="41">
        <f>IF(Tabell2[[#This Row],[Befvekst10]]&lt;=E$433,E$433,IF(Tabell2[[#This Row],[Befvekst10]]&gt;=E$434,E$434,Tabell2[[#This Row],[Befvekst10]]))</f>
        <v>-8.3204930662557741E-2</v>
      </c>
      <c r="O377" s="41">
        <f>IF(Tabell2[[#This Row],[Kvinneandel]]&lt;=F$433,F$433,IF(Tabell2[[#This Row],[Kvinneandel]]&gt;=F$434,F$434,Tabell2[[#This Row],[Kvinneandel]]))</f>
        <v>0.11764705882352941</v>
      </c>
      <c r="P377" s="41">
        <f>IF(Tabell2[[#This Row],[Eldreandel]]&lt;=G$433,G$433,IF(Tabell2[[#This Row],[Eldreandel]]&gt;=G$434,G$434,Tabell2[[#This Row],[Eldreandel]]))</f>
        <v>0.14621848739495799</v>
      </c>
      <c r="Q377" s="41">
        <f>IF(Tabell2[[#This Row],[Sysselsettingsvekst10]]&lt;=H$433,H$433,IF(Tabell2[[#This Row],[Sysselsettingsvekst10]]&gt;=H$434,H$434,Tabell2[[#This Row],[Sysselsettingsvekst10]]))</f>
        <v>-6.4516129032258118E-2</v>
      </c>
      <c r="R377" s="41">
        <f>IF(Tabell2[[#This Row],[Yrkesaktivandel]]&lt;=I$433,I$433,IF(Tabell2[[#This Row],[Yrkesaktivandel]]&gt;=I$434,I$434,Tabell2[[#This Row],[Yrkesaktivandel]]))</f>
        <v>0.87068965517241381</v>
      </c>
      <c r="S377" s="41">
        <f>IF(Tabell2[[#This Row],[Inntekt]]&lt;=J$433,J$433,IF(Tabell2[[#This Row],[Inntekt]]&gt;=J$434,J$434,Tabell2[[#This Row],[Inntekt]]))</f>
        <v>313900</v>
      </c>
      <c r="T377" s="44">
        <f>IF(Tabell2[[#This Row],[NIBR11-T]]&lt;=K$436,100,IF(Tabell2[[#This Row],[NIBR11-T]]&gt;=K$435,0,100*(K$435-Tabell2[[#This Row],[NIBR11-T]])/K$438))</f>
        <v>0</v>
      </c>
      <c r="U377" s="44">
        <f>(L$435-Tabell2[[#This Row],[ReisetidOslo-T]])*100/L$438</f>
        <v>16.659328735381155</v>
      </c>
      <c r="V377" s="44">
        <f>100-(M$435-Tabell2[[#This Row],[Beftettotal-T]])*100/M$438</f>
        <v>45.450576580151804</v>
      </c>
      <c r="W377" s="44">
        <f>100-(N$435-Tabell2[[#This Row],[Befvekst10-T]])*100/N$438</f>
        <v>3.606891041587545</v>
      </c>
      <c r="X377" s="44">
        <f>100-(O$435-Tabell2[[#This Row],[Kvinneandel-T]])*100/O$438</f>
        <v>70.95438485383329</v>
      </c>
      <c r="Y377" s="44">
        <f>(P$435-Tabell2[[#This Row],[Eldreandel-T]])*100/P$438</f>
        <v>62.078506390482573</v>
      </c>
      <c r="Z377" s="44">
        <f>100-(Q$435-Tabell2[[#This Row],[Sysselsettingsvekst10-T]])*100/Q$438</f>
        <v>8.1303585962349416</v>
      </c>
      <c r="AA377" s="44">
        <f>100-(R$435-Tabell2[[#This Row],[Yrkesaktivandel-T]])*100/R$438</f>
        <v>33.052553440571145</v>
      </c>
      <c r="AB377" s="44">
        <f>100-(S$435-Tabell2[[#This Row],[Inntekt-T]])*100/S$438</f>
        <v>29.58129418162045</v>
      </c>
      <c r="AC377" s="44">
        <f>Tabell2[[#This Row],[NIBR11-I]]*Vekter!$B$3</f>
        <v>0</v>
      </c>
      <c r="AD377" s="44">
        <f>Tabell2[[#This Row],[ReisetidOslo-I]]*Vekter!$C$3</f>
        <v>1.6659328735381156</v>
      </c>
      <c r="AE377" s="44">
        <f>Tabell2[[#This Row],[Beftettotal-I]]*Vekter!$E$4</f>
        <v>4.5450576580151809</v>
      </c>
      <c r="AF377" s="44">
        <f>Tabell2[[#This Row],[Befvekst10-I]]*Vekter!$F$3</f>
        <v>0.7213782083175091</v>
      </c>
      <c r="AG377" s="44">
        <f>Tabell2[[#This Row],[Kvinneandel-I]]*Vekter!$G$3</f>
        <v>3.5477192426916648</v>
      </c>
      <c r="AH377" s="44">
        <f>Tabell2[[#This Row],[Eldreandel-I]]*Vekter!$H$3</f>
        <v>3.1039253195241288</v>
      </c>
      <c r="AI377" s="44">
        <f>Tabell2[[#This Row],[Sysselsettingsvekst10-I]]*Vekter!$I$3</f>
        <v>0.81303585962349423</v>
      </c>
      <c r="AJ377" s="44">
        <f>Tabell2[[#This Row],[Yrkesaktivandel-I]]*Vekter!$K$3</f>
        <v>3.3052553440571146</v>
      </c>
      <c r="AK377" s="44">
        <f>Tabell2[[#This Row],[Inntekt-I]]*Vekter!$M$3</f>
        <v>2.958129418162045</v>
      </c>
      <c r="AL37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20.660433923929251</v>
      </c>
    </row>
    <row r="378" spans="1:38" s="38" customFormat="1" ht="12.75">
      <c r="A378" s="42" t="s">
        <v>376</v>
      </c>
      <c r="B378" s="38">
        <f>'Rådata-K'!Q378</f>
        <v>11</v>
      </c>
      <c r="C378" s="44">
        <f>'Rådata-K'!P378</f>
        <v>248.39309006892</v>
      </c>
      <c r="D378" s="41">
        <f>'Rådata-K'!R378</f>
        <v>40.528872099298439</v>
      </c>
      <c r="E378" s="41">
        <f>'Rådata-K'!S378</f>
        <v>-2.4675324675324628E-2</v>
      </c>
      <c r="F378" s="41">
        <f>'Rådata-K'!T378</f>
        <v>0.118508655126498</v>
      </c>
      <c r="G378" s="41">
        <f>'Rådata-K'!U378</f>
        <v>0.16910785619174434</v>
      </c>
      <c r="H378" s="41">
        <f>'Rådata-K'!V378</f>
        <v>-3.8659793814432963E-2</v>
      </c>
      <c r="I378" s="41">
        <f>'Rådata-K'!W378</f>
        <v>0.88317757009345799</v>
      </c>
      <c r="J378" s="41">
        <f>'Rådata-K'!O378</f>
        <v>325000</v>
      </c>
      <c r="K378" s="41">
        <f>Tabell2[[#This Row],[NIBR11]]</f>
        <v>11</v>
      </c>
      <c r="L378" s="41">
        <f>IF(Tabell2[[#This Row],[ReisetidOslo]]&lt;=C$433,C$433,IF(Tabell2[[#This Row],[ReisetidOslo]]&gt;=C$434,C$434,Tabell2[[#This Row],[ReisetidOslo]]))</f>
        <v>248.39309006892</v>
      </c>
      <c r="M378" s="41">
        <f>IF(Tabell2[[#This Row],[Beftettotal]]&lt;=D$433,D$433,IF(Tabell2[[#This Row],[Beftettotal]]&gt;=D$434,D$434,Tabell2[[#This Row],[Beftettotal]]))</f>
        <v>40.528872099298439</v>
      </c>
      <c r="N378" s="41">
        <f>IF(Tabell2[[#This Row],[Befvekst10]]&lt;=E$433,E$433,IF(Tabell2[[#This Row],[Befvekst10]]&gt;=E$434,E$434,Tabell2[[#This Row],[Befvekst10]]))</f>
        <v>-2.4675324675324628E-2</v>
      </c>
      <c r="O378" s="41">
        <f>IF(Tabell2[[#This Row],[Kvinneandel]]&lt;=F$433,F$433,IF(Tabell2[[#This Row],[Kvinneandel]]&gt;=F$434,F$434,Tabell2[[#This Row],[Kvinneandel]]))</f>
        <v>0.118508655126498</v>
      </c>
      <c r="P378" s="41">
        <f>IF(Tabell2[[#This Row],[Eldreandel]]&lt;=G$433,G$433,IF(Tabell2[[#This Row],[Eldreandel]]&gt;=G$434,G$434,Tabell2[[#This Row],[Eldreandel]]))</f>
        <v>0.16910785619174434</v>
      </c>
      <c r="Q378" s="41">
        <f>IF(Tabell2[[#This Row],[Sysselsettingsvekst10]]&lt;=H$433,H$433,IF(Tabell2[[#This Row],[Sysselsettingsvekst10]]&gt;=H$434,H$434,Tabell2[[#This Row],[Sysselsettingsvekst10]]))</f>
        <v>-3.8659793814432963E-2</v>
      </c>
      <c r="R378" s="41">
        <f>IF(Tabell2[[#This Row],[Yrkesaktivandel]]&lt;=I$433,I$433,IF(Tabell2[[#This Row],[Yrkesaktivandel]]&gt;=I$434,I$434,Tabell2[[#This Row],[Yrkesaktivandel]]))</f>
        <v>0.88317757009345799</v>
      </c>
      <c r="S378" s="41">
        <f>IF(Tabell2[[#This Row],[Inntekt]]&lt;=J$433,J$433,IF(Tabell2[[#This Row],[Inntekt]]&gt;=J$434,J$434,Tabell2[[#This Row],[Inntekt]]))</f>
        <v>325000</v>
      </c>
      <c r="T378" s="44">
        <f>IF(Tabell2[[#This Row],[NIBR11-T]]&lt;=K$436,100,IF(Tabell2[[#This Row],[NIBR11-T]]&gt;=K$435,0,100*(K$435-Tabell2[[#This Row],[NIBR11-T]])/K$438))</f>
        <v>0</v>
      </c>
      <c r="U378" s="44">
        <f>(L$435-Tabell2[[#This Row],[ReisetidOslo-T]])*100/L$438</f>
        <v>13.612628568256119</v>
      </c>
      <c r="V378" s="44">
        <f>100-(M$435-Tabell2[[#This Row],[Beftettotal-T]])*100/M$438</f>
        <v>32.072489807477965</v>
      </c>
      <c r="W378" s="44">
        <f>100-(N$435-Tabell2[[#This Row],[Befvekst10-T]])*100/N$438</f>
        <v>27.821459808512856</v>
      </c>
      <c r="X378" s="44">
        <f>100-(O$435-Tabell2[[#This Row],[Kvinneandel-T]])*100/O$438</f>
        <v>73.312109636131282</v>
      </c>
      <c r="Y378" s="44">
        <f>(P$435-Tabell2[[#This Row],[Eldreandel-T]])*100/P$438</f>
        <v>35.128663097489827</v>
      </c>
      <c r="Z378" s="44">
        <f>100-(Q$435-Tabell2[[#This Row],[Sysselsettingsvekst10-T]])*100/Q$438</f>
        <v>15.732562755698581</v>
      </c>
      <c r="AA378" s="44">
        <f>100-(R$435-Tabell2[[#This Row],[Yrkesaktivandel-T]])*100/R$438</f>
        <v>42.378298644099367</v>
      </c>
      <c r="AB378" s="44">
        <f>100-(S$435-Tabell2[[#This Row],[Inntekt-T]])*100/S$438</f>
        <v>44.671016856987492</v>
      </c>
      <c r="AC378" s="44">
        <f>Tabell2[[#This Row],[NIBR11-I]]*Vekter!$B$3</f>
        <v>0</v>
      </c>
      <c r="AD378" s="44">
        <f>Tabell2[[#This Row],[ReisetidOslo-I]]*Vekter!$C$3</f>
        <v>1.361262856825612</v>
      </c>
      <c r="AE378" s="44">
        <f>Tabell2[[#This Row],[Beftettotal-I]]*Vekter!$E$4</f>
        <v>3.2072489807477966</v>
      </c>
      <c r="AF378" s="44">
        <f>Tabell2[[#This Row],[Befvekst10-I]]*Vekter!$F$3</f>
        <v>5.5642919617025717</v>
      </c>
      <c r="AG378" s="44">
        <f>Tabell2[[#This Row],[Kvinneandel-I]]*Vekter!$G$3</f>
        <v>3.6656054818065642</v>
      </c>
      <c r="AH378" s="44">
        <f>Tabell2[[#This Row],[Eldreandel-I]]*Vekter!$H$3</f>
        <v>1.7564331548744914</v>
      </c>
      <c r="AI378" s="44">
        <f>Tabell2[[#This Row],[Sysselsettingsvekst10-I]]*Vekter!$I$3</f>
        <v>1.5732562755698583</v>
      </c>
      <c r="AJ378" s="44">
        <f>Tabell2[[#This Row],[Yrkesaktivandel-I]]*Vekter!$K$3</f>
        <v>4.237829864409937</v>
      </c>
      <c r="AK378" s="44">
        <f>Tabell2[[#This Row],[Inntekt-I]]*Vekter!$M$3</f>
        <v>4.4671016856987498</v>
      </c>
      <c r="AL37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25.833030261635578</v>
      </c>
    </row>
    <row r="379" spans="1:38" s="38" customFormat="1" ht="12.75">
      <c r="A379" s="42" t="s">
        <v>377</v>
      </c>
      <c r="B379" s="38">
        <f>'Rådata-K'!Q379</f>
        <v>9</v>
      </c>
      <c r="C379" s="44">
        <f>'Rådata-K'!P379</f>
        <v>267.30795825280001</v>
      </c>
      <c r="D379" s="41">
        <f>'Rådata-K'!R379</f>
        <v>7.7635567531155267</v>
      </c>
      <c r="E379" s="41">
        <f>'Rådata-K'!S379</f>
        <v>-0.1019480519480519</v>
      </c>
      <c r="F379" s="41">
        <f>'Rådata-K'!T379</f>
        <v>8.5321764280549536E-2</v>
      </c>
      <c r="G379" s="41">
        <f>'Rådata-K'!U379</f>
        <v>0.19884309472161968</v>
      </c>
      <c r="H379" s="41">
        <f>'Rådata-K'!V379</f>
        <v>3.0927835051546282E-2</v>
      </c>
      <c r="I379" s="41">
        <f>'Rådata-K'!W379</f>
        <v>0.92468619246861927</v>
      </c>
      <c r="J379" s="41">
        <f>'Rådata-K'!O379</f>
        <v>301800</v>
      </c>
      <c r="K379" s="41">
        <f>Tabell2[[#This Row],[NIBR11]]</f>
        <v>9</v>
      </c>
      <c r="L379" s="41">
        <f>IF(Tabell2[[#This Row],[ReisetidOslo]]&lt;=C$433,C$433,IF(Tabell2[[#This Row],[ReisetidOslo]]&gt;=C$434,C$434,Tabell2[[#This Row],[ReisetidOslo]]))</f>
        <v>267.30795825280001</v>
      </c>
      <c r="M379" s="41">
        <f>IF(Tabell2[[#This Row],[Beftettotal]]&lt;=D$433,D$433,IF(Tabell2[[#This Row],[Beftettotal]]&gt;=D$434,D$434,Tabell2[[#This Row],[Beftettotal]]))</f>
        <v>7.7635567531155267</v>
      </c>
      <c r="N379" s="41">
        <f>IF(Tabell2[[#This Row],[Befvekst10]]&lt;=E$433,E$433,IF(Tabell2[[#This Row],[Befvekst10]]&gt;=E$434,E$434,Tabell2[[#This Row],[Befvekst10]]))</f>
        <v>-9.1923232174966049E-2</v>
      </c>
      <c r="O379" s="41">
        <f>IF(Tabell2[[#This Row],[Kvinneandel]]&lt;=F$433,F$433,IF(Tabell2[[#This Row],[Kvinneandel]]&gt;=F$434,F$434,Tabell2[[#This Row],[Kvinneandel]]))</f>
        <v>9.1717808671657367E-2</v>
      </c>
      <c r="P379" s="41">
        <f>IF(Tabell2[[#This Row],[Eldreandel]]&lt;=G$433,G$433,IF(Tabell2[[#This Row],[Eldreandel]]&gt;=G$434,G$434,Tabell2[[#This Row],[Eldreandel]]))</f>
        <v>0.19884309472161968</v>
      </c>
      <c r="Q379" s="41">
        <f>IF(Tabell2[[#This Row],[Sysselsettingsvekst10]]&lt;=H$433,H$433,IF(Tabell2[[#This Row],[Sysselsettingsvekst10]]&gt;=H$434,H$434,Tabell2[[#This Row],[Sysselsettingsvekst10]]))</f>
        <v>3.0927835051546282E-2</v>
      </c>
      <c r="R379" s="41">
        <f>IF(Tabell2[[#This Row],[Yrkesaktivandel]]&lt;=I$433,I$433,IF(Tabell2[[#This Row],[Yrkesaktivandel]]&gt;=I$434,I$434,Tabell2[[#This Row],[Yrkesaktivandel]]))</f>
        <v>0.92468619246861927</v>
      </c>
      <c r="S379" s="41">
        <f>IF(Tabell2[[#This Row],[Inntekt]]&lt;=J$433,J$433,IF(Tabell2[[#This Row],[Inntekt]]&gt;=J$434,J$434,Tabell2[[#This Row],[Inntekt]]))</f>
        <v>301800</v>
      </c>
      <c r="T379" s="44">
        <f>IF(Tabell2[[#This Row],[NIBR11-T]]&lt;=K$436,100,IF(Tabell2[[#This Row],[NIBR11-T]]&gt;=K$435,0,100*(K$435-Tabell2[[#This Row],[NIBR11-T]])/K$438))</f>
        <v>20</v>
      </c>
      <c r="U379" s="44">
        <f>(L$435-Tabell2[[#This Row],[ReisetidOslo-T]])*100/L$438</f>
        <v>5.2153616432413701</v>
      </c>
      <c r="V379" s="44">
        <f>100-(M$435-Tabell2[[#This Row],[Beftettotal-T]])*100/M$438</f>
        <v>5.270238639206994</v>
      </c>
      <c r="W379" s="44">
        <f>100-(N$435-Tabell2[[#This Row],[Befvekst10-T]])*100/N$438</f>
        <v>0</v>
      </c>
      <c r="X379" s="44">
        <f>100-(O$435-Tabell2[[#This Row],[Kvinneandel-T]])*100/O$438</f>
        <v>0</v>
      </c>
      <c r="Y379" s="44">
        <f>(P$435-Tabell2[[#This Row],[Eldreandel-T]])*100/P$438</f>
        <v>0.11852254820519384</v>
      </c>
      <c r="Z379" s="44">
        <f>100-(Q$435-Tabell2[[#This Row],[Sysselsettingsvekst10-T]])*100/Q$438</f>
        <v>36.192514143065225</v>
      </c>
      <c r="AA379" s="44">
        <f>100-(R$435-Tabell2[[#This Row],[Yrkesaktivandel-T]])*100/R$438</f>
        <v>73.376174467860764</v>
      </c>
      <c r="AB379" s="44">
        <f>100-(S$435-Tabell2[[#This Row],[Inntekt-T]])*100/S$438</f>
        <v>13.132137030995111</v>
      </c>
      <c r="AC379" s="44">
        <f>Tabell2[[#This Row],[NIBR11-I]]*Vekter!$B$3</f>
        <v>4</v>
      </c>
      <c r="AD379" s="44">
        <f>Tabell2[[#This Row],[ReisetidOslo-I]]*Vekter!$C$3</f>
        <v>0.52153616432413707</v>
      </c>
      <c r="AE379" s="44">
        <f>Tabell2[[#This Row],[Beftettotal-I]]*Vekter!$E$4</f>
        <v>0.52702386392069944</v>
      </c>
      <c r="AF379" s="44">
        <f>Tabell2[[#This Row],[Befvekst10-I]]*Vekter!$F$3</f>
        <v>0</v>
      </c>
      <c r="AG379" s="44">
        <f>Tabell2[[#This Row],[Kvinneandel-I]]*Vekter!$G$3</f>
        <v>0</v>
      </c>
      <c r="AH379" s="44">
        <f>Tabell2[[#This Row],[Eldreandel-I]]*Vekter!$H$3</f>
        <v>5.9261274102596923E-3</v>
      </c>
      <c r="AI379" s="44">
        <f>Tabell2[[#This Row],[Sysselsettingsvekst10-I]]*Vekter!$I$3</f>
        <v>3.6192514143065226</v>
      </c>
      <c r="AJ379" s="44">
        <f>Tabell2[[#This Row],[Yrkesaktivandel-I]]*Vekter!$K$3</f>
        <v>7.3376174467860764</v>
      </c>
      <c r="AK379" s="44">
        <f>Tabell2[[#This Row],[Inntekt-I]]*Vekter!$M$3</f>
        <v>1.3132137030995112</v>
      </c>
      <c r="AL37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17.324568719847203</v>
      </c>
    </row>
    <row r="380" spans="1:38" s="38" customFormat="1" ht="12.75">
      <c r="A380" s="42" t="s">
        <v>378</v>
      </c>
      <c r="B380" s="38">
        <f>'Rådata-K'!Q380</f>
        <v>9</v>
      </c>
      <c r="C380" s="44">
        <f>'Rådata-K'!P380</f>
        <v>241.53765751212001</v>
      </c>
      <c r="D380" s="41">
        <f>'Rådata-K'!R380</f>
        <v>25.62358276643991</v>
      </c>
      <c r="E380" s="41">
        <f>'Rådata-K'!S380</f>
        <v>1.6872890888638858E-2</v>
      </c>
      <c r="F380" s="41">
        <f>'Rådata-K'!T380</f>
        <v>0.10785398230088496</v>
      </c>
      <c r="G380" s="41">
        <f>'Rådata-K'!U380</f>
        <v>0.15422197640117993</v>
      </c>
      <c r="H380" s="41">
        <f>'Rådata-K'!V380</f>
        <v>0.15419195324792079</v>
      </c>
      <c r="I380" s="41">
        <f>'Rådata-K'!W380</f>
        <v>0.88506515202138325</v>
      </c>
      <c r="J380" s="41">
        <f>'Rådata-K'!O380</f>
        <v>310100</v>
      </c>
      <c r="K380" s="41">
        <f>Tabell2[[#This Row],[NIBR11]]</f>
        <v>9</v>
      </c>
      <c r="L380" s="41">
        <f>IF(Tabell2[[#This Row],[ReisetidOslo]]&lt;=C$433,C$433,IF(Tabell2[[#This Row],[ReisetidOslo]]&gt;=C$434,C$434,Tabell2[[#This Row],[ReisetidOslo]]))</f>
        <v>241.53765751212001</v>
      </c>
      <c r="M380" s="41">
        <f>IF(Tabell2[[#This Row],[Beftettotal]]&lt;=D$433,D$433,IF(Tabell2[[#This Row],[Beftettotal]]&gt;=D$434,D$434,Tabell2[[#This Row],[Beftettotal]]))</f>
        <v>25.62358276643991</v>
      </c>
      <c r="N380" s="41">
        <f>IF(Tabell2[[#This Row],[Befvekst10]]&lt;=E$433,E$433,IF(Tabell2[[#This Row],[Befvekst10]]&gt;=E$434,E$434,Tabell2[[#This Row],[Befvekst10]]))</f>
        <v>1.6872890888638858E-2</v>
      </c>
      <c r="O380" s="41">
        <f>IF(Tabell2[[#This Row],[Kvinneandel]]&lt;=F$433,F$433,IF(Tabell2[[#This Row],[Kvinneandel]]&gt;=F$434,F$434,Tabell2[[#This Row],[Kvinneandel]]))</f>
        <v>0.10785398230088496</v>
      </c>
      <c r="P380" s="41">
        <f>IF(Tabell2[[#This Row],[Eldreandel]]&lt;=G$433,G$433,IF(Tabell2[[#This Row],[Eldreandel]]&gt;=G$434,G$434,Tabell2[[#This Row],[Eldreandel]]))</f>
        <v>0.15422197640117993</v>
      </c>
      <c r="Q380" s="41">
        <f>IF(Tabell2[[#This Row],[Sysselsettingsvekst10]]&lt;=H$433,H$433,IF(Tabell2[[#This Row],[Sysselsettingsvekst10]]&gt;=H$434,H$434,Tabell2[[#This Row],[Sysselsettingsvekst10]]))</f>
        <v>0.15419195324792079</v>
      </c>
      <c r="R380" s="41">
        <f>IF(Tabell2[[#This Row],[Yrkesaktivandel]]&lt;=I$433,I$433,IF(Tabell2[[#This Row],[Yrkesaktivandel]]&gt;=I$434,I$434,Tabell2[[#This Row],[Yrkesaktivandel]]))</f>
        <v>0.88506515202138325</v>
      </c>
      <c r="S380" s="41">
        <f>IF(Tabell2[[#This Row],[Inntekt]]&lt;=J$433,J$433,IF(Tabell2[[#This Row],[Inntekt]]&gt;=J$434,J$434,Tabell2[[#This Row],[Inntekt]]))</f>
        <v>310100</v>
      </c>
      <c r="T380" s="44">
        <f>IF(Tabell2[[#This Row],[NIBR11-T]]&lt;=K$436,100,IF(Tabell2[[#This Row],[NIBR11-T]]&gt;=K$435,0,100*(K$435-Tabell2[[#This Row],[NIBR11-T]])/K$438))</f>
        <v>20</v>
      </c>
      <c r="U380" s="44">
        <f>(L$435-Tabell2[[#This Row],[ReisetidOslo-T]])*100/L$438</f>
        <v>16.656101909241212</v>
      </c>
      <c r="V380" s="44">
        <f>100-(M$435-Tabell2[[#This Row],[Beftettotal-T]])*100/M$438</f>
        <v>19.879861590287163</v>
      </c>
      <c r="W380" s="44">
        <f>100-(N$435-Tabell2[[#This Row],[Befvekst10-T]])*100/N$438</f>
        <v>45.010574717915823</v>
      </c>
      <c r="X380" s="44">
        <f>100-(O$435-Tabell2[[#This Row],[Kvinneandel-T]])*100/O$438</f>
        <v>44.156011726155839</v>
      </c>
      <c r="Y380" s="44">
        <f>(P$435-Tabell2[[#This Row],[Eldreandel-T]])*100/P$438</f>
        <v>52.655233235604022</v>
      </c>
      <c r="Z380" s="44">
        <f>100-(Q$435-Tabell2[[#This Row],[Sysselsettingsvekst10-T]])*100/Q$438</f>
        <v>72.434270144862396</v>
      </c>
      <c r="AA380" s="44">
        <f>100-(R$435-Tabell2[[#This Row],[Yrkesaktivandel-T]])*100/R$438</f>
        <v>43.787910114221688</v>
      </c>
      <c r="AB380" s="44">
        <f>100-(S$435-Tabell2[[#This Row],[Inntekt-T]])*100/S$438</f>
        <v>24.415443175638927</v>
      </c>
      <c r="AC380" s="44">
        <f>Tabell2[[#This Row],[NIBR11-I]]*Vekter!$B$3</f>
        <v>4</v>
      </c>
      <c r="AD380" s="44">
        <f>Tabell2[[#This Row],[ReisetidOslo-I]]*Vekter!$C$3</f>
        <v>1.6656101909241212</v>
      </c>
      <c r="AE380" s="44">
        <f>Tabell2[[#This Row],[Beftettotal-I]]*Vekter!$E$4</f>
        <v>1.9879861590287164</v>
      </c>
      <c r="AF380" s="44">
        <f>Tabell2[[#This Row],[Befvekst10-I]]*Vekter!$F$3</f>
        <v>9.0021149435831642</v>
      </c>
      <c r="AG380" s="44">
        <f>Tabell2[[#This Row],[Kvinneandel-I]]*Vekter!$G$3</f>
        <v>2.2078005863077919</v>
      </c>
      <c r="AH380" s="44">
        <f>Tabell2[[#This Row],[Eldreandel-I]]*Vekter!$H$3</f>
        <v>2.6327616617802012</v>
      </c>
      <c r="AI380" s="44">
        <f>Tabell2[[#This Row],[Sysselsettingsvekst10-I]]*Vekter!$I$3</f>
        <v>7.2434270144862403</v>
      </c>
      <c r="AJ380" s="44">
        <f>Tabell2[[#This Row],[Yrkesaktivandel-I]]*Vekter!$K$3</f>
        <v>4.3787910114221686</v>
      </c>
      <c r="AK380" s="44">
        <f>Tabell2[[#This Row],[Inntekt-I]]*Vekter!$M$3</f>
        <v>2.4415443175638929</v>
      </c>
      <c r="AL38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35.560035885096298</v>
      </c>
    </row>
    <row r="381" spans="1:38" s="38" customFormat="1" ht="12.75">
      <c r="A381" s="42" t="s">
        <v>379</v>
      </c>
      <c r="B381" s="38">
        <f>'Rådata-K'!Q381</f>
        <v>7</v>
      </c>
      <c r="C381" s="44">
        <f>'Rådata-K'!P381</f>
        <v>245.31326180874001</v>
      </c>
      <c r="D381" s="41">
        <f>'Rådata-K'!R381</f>
        <v>19.019907475246487</v>
      </c>
      <c r="E381" s="41">
        <f>'Rådata-K'!S381</f>
        <v>-8.7970090169342541E-4</v>
      </c>
      <c r="F381" s="41">
        <f>'Rådata-K'!T381</f>
        <v>0.11336121505613031</v>
      </c>
      <c r="G381" s="41">
        <f>'Rådata-K'!U381</f>
        <v>0.15100154083204931</v>
      </c>
      <c r="H381" s="41">
        <f>'Rådata-K'!V381</f>
        <v>7.1034317254619728E-2</v>
      </c>
      <c r="I381" s="41">
        <f>'Rådata-K'!W381</f>
        <v>0.8695156695156695</v>
      </c>
      <c r="J381" s="41">
        <f>'Rådata-K'!O381</f>
        <v>316700</v>
      </c>
      <c r="K381" s="41">
        <f>Tabell2[[#This Row],[NIBR11]]</f>
        <v>7</v>
      </c>
      <c r="L381" s="41">
        <f>IF(Tabell2[[#This Row],[ReisetidOslo]]&lt;=C$433,C$433,IF(Tabell2[[#This Row],[ReisetidOslo]]&gt;=C$434,C$434,Tabell2[[#This Row],[ReisetidOslo]]))</f>
        <v>245.31326180874001</v>
      </c>
      <c r="M381" s="41">
        <f>IF(Tabell2[[#This Row],[Beftettotal]]&lt;=D$433,D$433,IF(Tabell2[[#This Row],[Beftettotal]]&gt;=D$434,D$434,Tabell2[[#This Row],[Beftettotal]]))</f>
        <v>19.019907475246487</v>
      </c>
      <c r="N381" s="41">
        <f>IF(Tabell2[[#This Row],[Befvekst10]]&lt;=E$433,E$433,IF(Tabell2[[#This Row],[Befvekst10]]&gt;=E$434,E$434,Tabell2[[#This Row],[Befvekst10]]))</f>
        <v>-8.7970090169342541E-4</v>
      </c>
      <c r="O381" s="41">
        <f>IF(Tabell2[[#This Row],[Kvinneandel]]&lt;=F$433,F$433,IF(Tabell2[[#This Row],[Kvinneandel]]&gt;=F$434,F$434,Tabell2[[#This Row],[Kvinneandel]]))</f>
        <v>0.11336121505613031</v>
      </c>
      <c r="P381" s="41">
        <f>IF(Tabell2[[#This Row],[Eldreandel]]&lt;=G$433,G$433,IF(Tabell2[[#This Row],[Eldreandel]]&gt;=G$434,G$434,Tabell2[[#This Row],[Eldreandel]]))</f>
        <v>0.15100154083204931</v>
      </c>
      <c r="Q381" s="41">
        <f>IF(Tabell2[[#This Row],[Sysselsettingsvekst10]]&lt;=H$433,H$433,IF(Tabell2[[#This Row],[Sysselsettingsvekst10]]&gt;=H$434,H$434,Tabell2[[#This Row],[Sysselsettingsvekst10]]))</f>
        <v>7.1034317254619728E-2</v>
      </c>
      <c r="R381" s="41">
        <f>IF(Tabell2[[#This Row],[Yrkesaktivandel]]&lt;=I$433,I$433,IF(Tabell2[[#This Row],[Yrkesaktivandel]]&gt;=I$434,I$434,Tabell2[[#This Row],[Yrkesaktivandel]]))</f>
        <v>0.8695156695156695</v>
      </c>
      <c r="S381" s="41">
        <f>IF(Tabell2[[#This Row],[Inntekt]]&lt;=J$433,J$433,IF(Tabell2[[#This Row],[Inntekt]]&gt;=J$434,J$434,Tabell2[[#This Row],[Inntekt]]))</f>
        <v>316700</v>
      </c>
      <c r="T381" s="44">
        <f>IF(Tabell2[[#This Row],[NIBR11-T]]&lt;=K$436,100,IF(Tabell2[[#This Row],[NIBR11-T]]&gt;=K$435,0,100*(K$435-Tabell2[[#This Row],[NIBR11-T]])/K$438))</f>
        <v>40</v>
      </c>
      <c r="U381" s="44">
        <f>(L$435-Tabell2[[#This Row],[ReisetidOslo-T]])*100/L$438</f>
        <v>14.979920147162069</v>
      </c>
      <c r="V381" s="44">
        <f>100-(M$435-Tabell2[[#This Row],[Beftettotal-T]])*100/M$438</f>
        <v>14.478010214274377</v>
      </c>
      <c r="W381" s="44">
        <f>100-(N$435-Tabell2[[#This Row],[Befvekst10-T]])*100/N$438</f>
        <v>37.666063381346746</v>
      </c>
      <c r="X381" s="44">
        <f>100-(O$435-Tabell2[[#This Row],[Kvinneandel-T]])*100/O$438</f>
        <v>59.226340027458576</v>
      </c>
      <c r="Y381" s="44">
        <f>(P$435-Tabell2[[#This Row],[Eldreandel-T]])*100/P$438</f>
        <v>56.446960071489308</v>
      </c>
      <c r="Z381" s="44">
        <f>100-(Q$435-Tabell2[[#This Row],[Sysselsettingsvekst10-T]])*100/Q$438</f>
        <v>47.984504897248542</v>
      </c>
      <c r="AA381" s="44">
        <f>100-(R$435-Tabell2[[#This Row],[Yrkesaktivandel-T]])*100/R$438</f>
        <v>32.175842542345492</v>
      </c>
      <c r="AB381" s="44">
        <f>100-(S$435-Tabell2[[#This Row],[Inntekt-T]])*100/S$438</f>
        <v>33.387710712343662</v>
      </c>
      <c r="AC381" s="44">
        <f>Tabell2[[#This Row],[NIBR11-I]]*Vekter!$B$3</f>
        <v>8</v>
      </c>
      <c r="AD381" s="44">
        <f>Tabell2[[#This Row],[ReisetidOslo-I]]*Vekter!$C$3</f>
        <v>1.4979920147162069</v>
      </c>
      <c r="AE381" s="44">
        <f>Tabell2[[#This Row],[Beftettotal-I]]*Vekter!$E$4</f>
        <v>1.4478010214274377</v>
      </c>
      <c r="AF381" s="44">
        <f>Tabell2[[#This Row],[Befvekst10-I]]*Vekter!$F$3</f>
        <v>7.5332126762693497</v>
      </c>
      <c r="AG381" s="44">
        <f>Tabell2[[#This Row],[Kvinneandel-I]]*Vekter!$G$3</f>
        <v>2.9613170013729291</v>
      </c>
      <c r="AH381" s="44">
        <f>Tabell2[[#This Row],[Eldreandel-I]]*Vekter!$H$3</f>
        <v>2.8223480035744655</v>
      </c>
      <c r="AI381" s="44">
        <f>Tabell2[[#This Row],[Sysselsettingsvekst10-I]]*Vekter!$I$3</f>
        <v>4.7984504897248543</v>
      </c>
      <c r="AJ381" s="44">
        <f>Tabell2[[#This Row],[Yrkesaktivandel-I]]*Vekter!$K$3</f>
        <v>3.2175842542345494</v>
      </c>
      <c r="AK381" s="44">
        <f>Tabell2[[#This Row],[Inntekt-I]]*Vekter!$M$3</f>
        <v>3.3387710712343663</v>
      </c>
      <c r="AL38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35.617476532554164</v>
      </c>
    </row>
    <row r="382" spans="1:38" s="38" customFormat="1" ht="12.75">
      <c r="A382" s="42" t="s">
        <v>380</v>
      </c>
      <c r="B382" s="38">
        <f>'Rådata-K'!Q382</f>
        <v>8</v>
      </c>
      <c r="C382" s="44">
        <f>'Rådata-K'!P382</f>
        <v>253.85781869707</v>
      </c>
      <c r="D382" s="41">
        <f>'Rådata-K'!R382</f>
        <v>14.012075418402654</v>
      </c>
      <c r="E382" s="41">
        <f>'Rådata-K'!S382</f>
        <v>-2.3859303898659423E-2</v>
      </c>
      <c r="F382" s="41">
        <f>'Rådata-K'!T382</f>
        <v>0.10520347738440217</v>
      </c>
      <c r="G382" s="41">
        <f>'Rådata-K'!U382</f>
        <v>0.16681365755323169</v>
      </c>
      <c r="H382" s="41">
        <f>'Rådata-K'!V382</f>
        <v>9.6011816838995623E-2</v>
      </c>
      <c r="I382" s="41">
        <f>'Rådata-K'!W382</f>
        <v>0.87645218945487047</v>
      </c>
      <c r="J382" s="41">
        <f>'Rådata-K'!O382</f>
        <v>320900</v>
      </c>
      <c r="K382" s="41">
        <f>Tabell2[[#This Row],[NIBR11]]</f>
        <v>8</v>
      </c>
      <c r="L382" s="41">
        <f>IF(Tabell2[[#This Row],[ReisetidOslo]]&lt;=C$433,C$433,IF(Tabell2[[#This Row],[ReisetidOslo]]&gt;=C$434,C$434,Tabell2[[#This Row],[ReisetidOslo]]))</f>
        <v>253.85781869707</v>
      </c>
      <c r="M382" s="41">
        <f>IF(Tabell2[[#This Row],[Beftettotal]]&lt;=D$433,D$433,IF(Tabell2[[#This Row],[Beftettotal]]&gt;=D$434,D$434,Tabell2[[#This Row],[Beftettotal]]))</f>
        <v>14.012075418402654</v>
      </c>
      <c r="N382" s="41">
        <f>IF(Tabell2[[#This Row],[Befvekst10]]&lt;=E$433,E$433,IF(Tabell2[[#This Row],[Befvekst10]]&gt;=E$434,E$434,Tabell2[[#This Row],[Befvekst10]]))</f>
        <v>-2.3859303898659423E-2</v>
      </c>
      <c r="O382" s="41">
        <f>IF(Tabell2[[#This Row],[Kvinneandel]]&lt;=F$433,F$433,IF(Tabell2[[#This Row],[Kvinneandel]]&gt;=F$434,F$434,Tabell2[[#This Row],[Kvinneandel]]))</f>
        <v>0.10520347738440217</v>
      </c>
      <c r="P382" s="41">
        <f>IF(Tabell2[[#This Row],[Eldreandel]]&lt;=G$433,G$433,IF(Tabell2[[#This Row],[Eldreandel]]&gt;=G$434,G$434,Tabell2[[#This Row],[Eldreandel]]))</f>
        <v>0.16681365755323169</v>
      </c>
      <c r="Q382" s="41">
        <f>IF(Tabell2[[#This Row],[Sysselsettingsvekst10]]&lt;=H$433,H$433,IF(Tabell2[[#This Row],[Sysselsettingsvekst10]]&gt;=H$434,H$434,Tabell2[[#This Row],[Sysselsettingsvekst10]]))</f>
        <v>9.6011816838995623E-2</v>
      </c>
      <c r="R382" s="41">
        <f>IF(Tabell2[[#This Row],[Yrkesaktivandel]]&lt;=I$433,I$433,IF(Tabell2[[#This Row],[Yrkesaktivandel]]&gt;=I$434,I$434,Tabell2[[#This Row],[Yrkesaktivandel]]))</f>
        <v>0.87645218945487047</v>
      </c>
      <c r="S382" s="41">
        <f>IF(Tabell2[[#This Row],[Inntekt]]&lt;=J$433,J$433,IF(Tabell2[[#This Row],[Inntekt]]&gt;=J$434,J$434,Tabell2[[#This Row],[Inntekt]]))</f>
        <v>320900</v>
      </c>
      <c r="T382" s="44">
        <f>IF(Tabell2[[#This Row],[NIBR11-T]]&lt;=K$436,100,IF(Tabell2[[#This Row],[NIBR11-T]]&gt;=K$435,0,100*(K$435-Tabell2[[#This Row],[NIBR11-T]])/K$438))</f>
        <v>30</v>
      </c>
      <c r="U382" s="44">
        <f>(L$435-Tabell2[[#This Row],[ReisetidOslo-T]])*100/L$438</f>
        <v>11.186559059484525</v>
      </c>
      <c r="V382" s="44">
        <f>100-(M$435-Tabell2[[#This Row],[Beftettotal-T]])*100/M$438</f>
        <v>10.381569475708943</v>
      </c>
      <c r="W382" s="44">
        <f>100-(N$435-Tabell2[[#This Row],[Befvekst10-T]])*100/N$438</f>
        <v>28.159059744109712</v>
      </c>
      <c r="X382" s="44">
        <f>100-(O$435-Tabell2[[#This Row],[Kvinneandel-T]])*100/O$438</f>
        <v>36.903008079711434</v>
      </c>
      <c r="Y382" s="44">
        <f>(P$435-Tabell2[[#This Row],[Eldreandel-T]])*100/P$438</f>
        <v>37.829842598760919</v>
      </c>
      <c r="Z382" s="44">
        <f>100-(Q$435-Tabell2[[#This Row],[Sysselsettingsvekst10-T]])*100/Q$438</f>
        <v>55.32831637067185</v>
      </c>
      <c r="AA382" s="44">
        <f>100-(R$435-Tabell2[[#This Row],[Yrkesaktivandel-T]])*100/R$438</f>
        <v>37.35590806658854</v>
      </c>
      <c r="AB382" s="44">
        <f>100-(S$435-Tabell2[[#This Row],[Inntekt-T]])*100/S$438</f>
        <v>39.097335508428493</v>
      </c>
      <c r="AC382" s="44">
        <f>Tabell2[[#This Row],[NIBR11-I]]*Vekter!$B$3</f>
        <v>6</v>
      </c>
      <c r="AD382" s="44">
        <f>Tabell2[[#This Row],[ReisetidOslo-I]]*Vekter!$C$3</f>
        <v>1.1186559059484524</v>
      </c>
      <c r="AE382" s="44">
        <f>Tabell2[[#This Row],[Beftettotal-I]]*Vekter!$E$4</f>
        <v>1.0381569475708943</v>
      </c>
      <c r="AF382" s="44">
        <f>Tabell2[[#This Row],[Befvekst10-I]]*Vekter!$F$3</f>
        <v>5.6318119488219427</v>
      </c>
      <c r="AG382" s="44">
        <f>Tabell2[[#This Row],[Kvinneandel-I]]*Vekter!$G$3</f>
        <v>1.8451504039855717</v>
      </c>
      <c r="AH382" s="44">
        <f>Tabell2[[#This Row],[Eldreandel-I]]*Vekter!$H$3</f>
        <v>1.8914921299380461</v>
      </c>
      <c r="AI382" s="44">
        <f>Tabell2[[#This Row],[Sysselsettingsvekst10-I]]*Vekter!$I$3</f>
        <v>5.5328316370671855</v>
      </c>
      <c r="AJ382" s="44">
        <f>Tabell2[[#This Row],[Yrkesaktivandel-I]]*Vekter!$K$3</f>
        <v>3.7355908066588541</v>
      </c>
      <c r="AK382" s="44">
        <f>Tabell2[[#This Row],[Inntekt-I]]*Vekter!$M$3</f>
        <v>3.9097335508428497</v>
      </c>
      <c r="AL38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30.7034233308338</v>
      </c>
    </row>
    <row r="383" spans="1:38" s="38" customFormat="1" ht="12.75">
      <c r="A383" s="42" t="s">
        <v>381</v>
      </c>
      <c r="B383" s="38">
        <f>'Rådata-K'!Q383</f>
        <v>8</v>
      </c>
      <c r="C383" s="44">
        <f>'Rådata-K'!P383</f>
        <v>311.784187116</v>
      </c>
      <c r="D383" s="41">
        <f>'Rådata-K'!R383</f>
        <v>11.001901063786756</v>
      </c>
      <c r="E383" s="41">
        <f>'Rådata-K'!S383</f>
        <v>-0.13896802785691675</v>
      </c>
      <c r="F383" s="41">
        <f>'Rådata-K'!T383</f>
        <v>8.3088235294117643E-2</v>
      </c>
      <c r="G383" s="41">
        <f>'Rådata-K'!U383</f>
        <v>0.24963235294117647</v>
      </c>
      <c r="H383" s="41">
        <f>'Rådata-K'!V383</f>
        <v>-0.18616567036720755</v>
      </c>
      <c r="I383" s="41">
        <f>'Rådata-K'!W383</f>
        <v>0.8132660418168709</v>
      </c>
      <c r="J383" s="41">
        <f>'Rådata-K'!O383</f>
        <v>273600</v>
      </c>
      <c r="K383" s="41">
        <f>Tabell2[[#This Row],[NIBR11]]</f>
        <v>8</v>
      </c>
      <c r="L383" s="41">
        <f>IF(Tabell2[[#This Row],[ReisetidOslo]]&lt;=C$433,C$433,IF(Tabell2[[#This Row],[ReisetidOslo]]&gt;=C$434,C$434,Tabell2[[#This Row],[ReisetidOslo]]))</f>
        <v>279.05557553043002</v>
      </c>
      <c r="M383" s="41">
        <f>IF(Tabell2[[#This Row],[Beftettotal]]&lt;=D$433,D$433,IF(Tabell2[[#This Row],[Beftettotal]]&gt;=D$434,D$434,Tabell2[[#This Row],[Beftettotal]]))</f>
        <v>11.001901063786756</v>
      </c>
      <c r="N383" s="41">
        <f>IF(Tabell2[[#This Row],[Befvekst10]]&lt;=E$433,E$433,IF(Tabell2[[#This Row],[Befvekst10]]&gt;=E$434,E$434,Tabell2[[#This Row],[Befvekst10]]))</f>
        <v>-9.1923232174966049E-2</v>
      </c>
      <c r="O383" s="41">
        <f>IF(Tabell2[[#This Row],[Kvinneandel]]&lt;=F$433,F$433,IF(Tabell2[[#This Row],[Kvinneandel]]&gt;=F$434,F$434,Tabell2[[#This Row],[Kvinneandel]]))</f>
        <v>9.1717808671657367E-2</v>
      </c>
      <c r="P383" s="41">
        <f>IF(Tabell2[[#This Row],[Eldreandel]]&lt;=G$433,G$433,IF(Tabell2[[#This Row],[Eldreandel]]&gt;=G$434,G$434,Tabell2[[#This Row],[Eldreandel]]))</f>
        <v>0.1989437597342919</v>
      </c>
      <c r="Q383" s="41">
        <f>IF(Tabell2[[#This Row],[Sysselsettingsvekst10]]&lt;=H$433,H$433,IF(Tabell2[[#This Row],[Sysselsettingsvekst10]]&gt;=H$434,H$434,Tabell2[[#This Row],[Sysselsettingsvekst10]]))</f>
        <v>-9.2168803558721979E-2</v>
      </c>
      <c r="R383" s="41">
        <f>IF(Tabell2[[#This Row],[Yrkesaktivandel]]&lt;=I$433,I$433,IF(Tabell2[[#This Row],[Yrkesaktivandel]]&gt;=I$434,I$434,Tabell2[[#This Row],[Yrkesaktivandel]]))</f>
        <v>0.82642965596795781</v>
      </c>
      <c r="S383" s="41">
        <f>IF(Tabell2[[#This Row],[Inntekt]]&lt;=J$433,J$433,IF(Tabell2[[#This Row],[Inntekt]]&gt;=J$434,J$434,Tabell2[[#This Row],[Inntekt]]))</f>
        <v>292140</v>
      </c>
      <c r="T383" s="44">
        <f>IF(Tabell2[[#This Row],[NIBR11-T]]&lt;=K$436,100,IF(Tabell2[[#This Row],[NIBR11-T]]&gt;=K$435,0,100*(K$435-Tabell2[[#This Row],[NIBR11-T]])/K$438))</f>
        <v>30</v>
      </c>
      <c r="U383" s="44">
        <f>(L$435-Tabell2[[#This Row],[ReisetidOslo-T]])*100/L$438</f>
        <v>0</v>
      </c>
      <c r="V383" s="44">
        <f>100-(M$435-Tabell2[[#This Row],[Beftettotal-T]])*100/M$438</f>
        <v>7.9192263466933213</v>
      </c>
      <c r="W383" s="44">
        <f>100-(N$435-Tabell2[[#This Row],[Befvekst10-T]])*100/N$438</f>
        <v>0</v>
      </c>
      <c r="X383" s="44">
        <f>100-(O$435-Tabell2[[#This Row],[Kvinneandel-T]])*100/O$438</f>
        <v>0</v>
      </c>
      <c r="Y383" s="44">
        <f>(P$435-Tabell2[[#This Row],[Eldreandel-T]])*100/P$438</f>
        <v>0</v>
      </c>
      <c r="Z383" s="44">
        <f>100-(Q$435-Tabell2[[#This Row],[Sysselsettingsvekst10-T]])*100/Q$438</f>
        <v>0</v>
      </c>
      <c r="AA383" s="44">
        <f>100-(R$435-Tabell2[[#This Row],[Yrkesaktivandel-T]])*100/R$438</f>
        <v>0</v>
      </c>
      <c r="AB383" s="44">
        <f>100-(S$435-Tabell2[[#This Row],[Inntekt-T]])*100/S$438</f>
        <v>0</v>
      </c>
      <c r="AC383" s="44">
        <f>Tabell2[[#This Row],[NIBR11-I]]*Vekter!$B$3</f>
        <v>6</v>
      </c>
      <c r="AD383" s="44">
        <f>Tabell2[[#This Row],[ReisetidOslo-I]]*Vekter!$C$3</f>
        <v>0</v>
      </c>
      <c r="AE383" s="44">
        <f>Tabell2[[#This Row],[Beftettotal-I]]*Vekter!$E$4</f>
        <v>0.79192263466933221</v>
      </c>
      <c r="AF383" s="44">
        <f>Tabell2[[#This Row],[Befvekst10-I]]*Vekter!$F$3</f>
        <v>0</v>
      </c>
      <c r="AG383" s="44">
        <f>Tabell2[[#This Row],[Kvinneandel-I]]*Vekter!$G$3</f>
        <v>0</v>
      </c>
      <c r="AH383" s="44">
        <f>Tabell2[[#This Row],[Eldreandel-I]]*Vekter!$H$3</f>
        <v>0</v>
      </c>
      <c r="AI383" s="44">
        <f>Tabell2[[#This Row],[Sysselsettingsvekst10-I]]*Vekter!$I$3</f>
        <v>0</v>
      </c>
      <c r="AJ383" s="44">
        <f>Tabell2[[#This Row],[Yrkesaktivandel-I]]*Vekter!$K$3</f>
        <v>0</v>
      </c>
      <c r="AK383" s="44">
        <f>Tabell2[[#This Row],[Inntekt-I]]*Vekter!$M$3</f>
        <v>0</v>
      </c>
      <c r="AL38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6.7919226346693318</v>
      </c>
    </row>
    <row r="384" spans="1:38" s="38" customFormat="1" ht="12.75">
      <c r="A384" s="42" t="s">
        <v>382</v>
      </c>
      <c r="B384" s="38">
        <f>'Rådata-K'!Q384</f>
        <v>8</v>
      </c>
      <c r="C384" s="44">
        <f>'Rådata-K'!P384</f>
        <v>301.65483854989998</v>
      </c>
      <c r="D384" s="41">
        <f>'Rådata-K'!R384</f>
        <v>13.997869140135371</v>
      </c>
      <c r="E384" s="41">
        <f>'Rådata-K'!S384</f>
        <v>-4.6938340089609509E-2</v>
      </c>
      <c r="F384" s="41">
        <f>'Rådata-K'!T384</f>
        <v>0.10879785090664876</v>
      </c>
      <c r="G384" s="41">
        <f>'Rådata-K'!U384</f>
        <v>0.15424222072979629</v>
      </c>
      <c r="H384" s="41">
        <f>'Rådata-K'!V384</f>
        <v>2.0438683948155623E-2</v>
      </c>
      <c r="I384" s="41">
        <f>'Rådata-K'!W384</f>
        <v>0.87415908191531455</v>
      </c>
      <c r="J384" s="41">
        <f>'Rådata-K'!O384</f>
        <v>322600</v>
      </c>
      <c r="K384" s="41">
        <f>Tabell2[[#This Row],[NIBR11]]</f>
        <v>8</v>
      </c>
      <c r="L384" s="41">
        <f>IF(Tabell2[[#This Row],[ReisetidOslo]]&lt;=C$433,C$433,IF(Tabell2[[#This Row],[ReisetidOslo]]&gt;=C$434,C$434,Tabell2[[#This Row],[ReisetidOslo]]))</f>
        <v>279.05557553043002</v>
      </c>
      <c r="M384" s="41">
        <f>IF(Tabell2[[#This Row],[Beftettotal]]&lt;=D$433,D$433,IF(Tabell2[[#This Row],[Beftettotal]]&gt;=D$434,D$434,Tabell2[[#This Row],[Beftettotal]]))</f>
        <v>13.997869140135371</v>
      </c>
      <c r="N384" s="41">
        <f>IF(Tabell2[[#This Row],[Befvekst10]]&lt;=E$433,E$433,IF(Tabell2[[#This Row],[Befvekst10]]&gt;=E$434,E$434,Tabell2[[#This Row],[Befvekst10]]))</f>
        <v>-4.6938340089609509E-2</v>
      </c>
      <c r="O384" s="41">
        <f>IF(Tabell2[[#This Row],[Kvinneandel]]&lt;=F$433,F$433,IF(Tabell2[[#This Row],[Kvinneandel]]&gt;=F$434,F$434,Tabell2[[#This Row],[Kvinneandel]]))</f>
        <v>0.10879785090664876</v>
      </c>
      <c r="P384" s="41">
        <f>IF(Tabell2[[#This Row],[Eldreandel]]&lt;=G$433,G$433,IF(Tabell2[[#This Row],[Eldreandel]]&gt;=G$434,G$434,Tabell2[[#This Row],[Eldreandel]]))</f>
        <v>0.15424222072979629</v>
      </c>
      <c r="Q384" s="41">
        <f>IF(Tabell2[[#This Row],[Sysselsettingsvekst10]]&lt;=H$433,H$433,IF(Tabell2[[#This Row],[Sysselsettingsvekst10]]&gt;=H$434,H$434,Tabell2[[#This Row],[Sysselsettingsvekst10]]))</f>
        <v>2.0438683948155623E-2</v>
      </c>
      <c r="R384" s="41">
        <f>IF(Tabell2[[#This Row],[Yrkesaktivandel]]&lt;=I$433,I$433,IF(Tabell2[[#This Row],[Yrkesaktivandel]]&gt;=I$434,I$434,Tabell2[[#This Row],[Yrkesaktivandel]]))</f>
        <v>0.87415908191531455</v>
      </c>
      <c r="S384" s="41">
        <f>IF(Tabell2[[#This Row],[Inntekt]]&lt;=J$433,J$433,IF(Tabell2[[#This Row],[Inntekt]]&gt;=J$434,J$434,Tabell2[[#This Row],[Inntekt]]))</f>
        <v>322600</v>
      </c>
      <c r="T384" s="44">
        <f>IF(Tabell2[[#This Row],[NIBR11-T]]&lt;=K$436,100,IF(Tabell2[[#This Row],[NIBR11-T]]&gt;=K$435,0,100*(K$435-Tabell2[[#This Row],[NIBR11-T]])/K$438))</f>
        <v>30</v>
      </c>
      <c r="U384" s="44">
        <f>(L$435-Tabell2[[#This Row],[ReisetidOslo-T]])*100/L$438</f>
        <v>0</v>
      </c>
      <c r="V384" s="44">
        <f>100-(M$435-Tabell2[[#This Row],[Beftettotal-T]])*100/M$438</f>
        <v>10.369948643305435</v>
      </c>
      <c r="W384" s="44">
        <f>100-(N$435-Tabell2[[#This Row],[Befvekst10-T]])*100/N$438</f>
        <v>18.61091911521126</v>
      </c>
      <c r="X384" s="44">
        <f>100-(O$435-Tabell2[[#This Row],[Kvinneandel-T]])*100/O$438</f>
        <v>46.738871466123314</v>
      </c>
      <c r="Y384" s="44">
        <f>(P$435-Tabell2[[#This Row],[Eldreandel-T]])*100/P$438</f>
        <v>52.631397651118206</v>
      </c>
      <c r="Z384" s="44">
        <f>100-(Q$435-Tabell2[[#This Row],[Sysselsettingsvekst10-T]])*100/Q$438</f>
        <v>33.108524572398366</v>
      </c>
      <c r="AA384" s="44">
        <f>100-(R$435-Tabell2[[#This Row],[Yrkesaktivandel-T]])*100/R$438</f>
        <v>35.643457527535716</v>
      </c>
      <c r="AB384" s="44">
        <f>100-(S$435-Tabell2[[#This Row],[Inntekt-T]])*100/S$438</f>
        <v>41.40837411636759</v>
      </c>
      <c r="AC384" s="44">
        <f>Tabell2[[#This Row],[NIBR11-I]]*Vekter!$B$3</f>
        <v>6</v>
      </c>
      <c r="AD384" s="44">
        <f>Tabell2[[#This Row],[ReisetidOslo-I]]*Vekter!$C$3</f>
        <v>0</v>
      </c>
      <c r="AE384" s="44">
        <f>Tabell2[[#This Row],[Beftettotal-I]]*Vekter!$E$4</f>
        <v>1.0369948643305436</v>
      </c>
      <c r="AF384" s="44">
        <f>Tabell2[[#This Row],[Befvekst10-I]]*Vekter!$F$3</f>
        <v>3.7221838230422524</v>
      </c>
      <c r="AG384" s="44">
        <f>Tabell2[[#This Row],[Kvinneandel-I]]*Vekter!$G$3</f>
        <v>2.3369435733061659</v>
      </c>
      <c r="AH384" s="44">
        <f>Tabell2[[#This Row],[Eldreandel-I]]*Vekter!$H$3</f>
        <v>2.6315698825559104</v>
      </c>
      <c r="AI384" s="44">
        <f>Tabell2[[#This Row],[Sysselsettingsvekst10-I]]*Vekter!$I$3</f>
        <v>3.3108524572398368</v>
      </c>
      <c r="AJ384" s="44">
        <f>Tabell2[[#This Row],[Yrkesaktivandel-I]]*Vekter!$K$3</f>
        <v>3.5643457527535718</v>
      </c>
      <c r="AK384" s="44">
        <f>Tabell2[[#This Row],[Inntekt-I]]*Vekter!$M$3</f>
        <v>4.1408374116367588</v>
      </c>
      <c r="AL38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26.743727764865039</v>
      </c>
    </row>
    <row r="385" spans="1:38" s="38" customFormat="1" ht="12.75">
      <c r="A385" s="42" t="s">
        <v>383</v>
      </c>
      <c r="B385" s="38">
        <f>'Rådata-K'!Q385</f>
        <v>8</v>
      </c>
      <c r="C385" s="44">
        <f>'Rådata-K'!P385</f>
        <v>266.07809050419996</v>
      </c>
      <c r="D385" s="41">
        <f>'Rådata-K'!R385</f>
        <v>13.819787643451416</v>
      </c>
      <c r="E385" s="41">
        <f>'Rådata-K'!S385</f>
        <v>6.1118197278911657E-2</v>
      </c>
      <c r="F385" s="41">
        <f>'Rådata-K'!T385</f>
        <v>0.11619753581087849</v>
      </c>
      <c r="G385" s="41">
        <f>'Rådata-K'!U385</f>
        <v>0.12621456476009216</v>
      </c>
      <c r="H385" s="41">
        <f>'Rådata-K'!V385</f>
        <v>2.8888888888888964E-2</v>
      </c>
      <c r="I385" s="41">
        <f>'Rådata-K'!W385</f>
        <v>0.86581359156147331</v>
      </c>
      <c r="J385" s="41">
        <f>'Rådata-K'!O385</f>
        <v>325200</v>
      </c>
      <c r="K385" s="41">
        <f>Tabell2[[#This Row],[NIBR11]]</f>
        <v>8</v>
      </c>
      <c r="L385" s="41">
        <f>IF(Tabell2[[#This Row],[ReisetidOslo]]&lt;=C$433,C$433,IF(Tabell2[[#This Row],[ReisetidOslo]]&gt;=C$434,C$434,Tabell2[[#This Row],[ReisetidOslo]]))</f>
        <v>266.07809050419996</v>
      </c>
      <c r="M385" s="41">
        <f>IF(Tabell2[[#This Row],[Beftettotal]]&lt;=D$433,D$433,IF(Tabell2[[#This Row],[Beftettotal]]&gt;=D$434,D$434,Tabell2[[#This Row],[Beftettotal]]))</f>
        <v>13.819787643451416</v>
      </c>
      <c r="N385" s="41">
        <f>IF(Tabell2[[#This Row],[Befvekst10]]&lt;=E$433,E$433,IF(Tabell2[[#This Row],[Befvekst10]]&gt;=E$434,E$434,Tabell2[[#This Row],[Befvekst10]]))</f>
        <v>6.1118197278911657E-2</v>
      </c>
      <c r="O385" s="41">
        <f>IF(Tabell2[[#This Row],[Kvinneandel]]&lt;=F$433,F$433,IF(Tabell2[[#This Row],[Kvinneandel]]&gt;=F$434,F$434,Tabell2[[#This Row],[Kvinneandel]]))</f>
        <v>0.11619753581087849</v>
      </c>
      <c r="P385" s="41">
        <f>IF(Tabell2[[#This Row],[Eldreandel]]&lt;=G$433,G$433,IF(Tabell2[[#This Row],[Eldreandel]]&gt;=G$434,G$434,Tabell2[[#This Row],[Eldreandel]]))</f>
        <v>0.12621456476009216</v>
      </c>
      <c r="Q385" s="41">
        <f>IF(Tabell2[[#This Row],[Sysselsettingsvekst10]]&lt;=H$433,H$433,IF(Tabell2[[#This Row],[Sysselsettingsvekst10]]&gt;=H$434,H$434,Tabell2[[#This Row],[Sysselsettingsvekst10]]))</f>
        <v>2.8888888888888964E-2</v>
      </c>
      <c r="R385" s="41">
        <f>IF(Tabell2[[#This Row],[Yrkesaktivandel]]&lt;=I$433,I$433,IF(Tabell2[[#This Row],[Yrkesaktivandel]]&gt;=I$434,I$434,Tabell2[[#This Row],[Yrkesaktivandel]]))</f>
        <v>0.86581359156147331</v>
      </c>
      <c r="S385" s="41">
        <f>IF(Tabell2[[#This Row],[Inntekt]]&lt;=J$433,J$433,IF(Tabell2[[#This Row],[Inntekt]]&gt;=J$434,J$434,Tabell2[[#This Row],[Inntekt]]))</f>
        <v>325200</v>
      </c>
      <c r="T385" s="44">
        <f>IF(Tabell2[[#This Row],[NIBR11-T]]&lt;=K$436,100,IF(Tabell2[[#This Row],[NIBR11-T]]&gt;=K$435,0,100*(K$435-Tabell2[[#This Row],[NIBR11-T]])/K$438))</f>
        <v>30</v>
      </c>
      <c r="U385" s="44">
        <f>(L$435-Tabell2[[#This Row],[ReisetidOslo-T]])*100/L$438</f>
        <v>5.761362158130658</v>
      </c>
      <c r="V385" s="44">
        <f>100-(M$435-Tabell2[[#This Row],[Beftettotal-T]])*100/M$438</f>
        <v>10.22427676583024</v>
      </c>
      <c r="W385" s="44">
        <f>100-(N$435-Tabell2[[#This Row],[Befvekst10-T]])*100/N$438</f>
        <v>63.315516227937906</v>
      </c>
      <c r="X385" s="44">
        <f>100-(O$435-Tabell2[[#This Row],[Kvinneandel-T]])*100/O$438</f>
        <v>66.987821490384249</v>
      </c>
      <c r="Y385" s="44">
        <f>(P$435-Tabell2[[#This Row],[Eldreandel-T]])*100/P$438</f>
        <v>85.631037919026696</v>
      </c>
      <c r="Z385" s="44">
        <f>100-(Q$435-Tabell2[[#This Row],[Sysselsettingsvekst10-T]])*100/Q$438</f>
        <v>35.593029147682344</v>
      </c>
      <c r="AA385" s="44">
        <f>100-(R$435-Tabell2[[#This Row],[Yrkesaktivandel-T]])*100/R$438</f>
        <v>29.41119880936705</v>
      </c>
      <c r="AB385" s="44">
        <f>100-(S$435-Tabell2[[#This Row],[Inntekt-T]])*100/S$438</f>
        <v>44.94290375203915</v>
      </c>
      <c r="AC385" s="44">
        <f>Tabell2[[#This Row],[NIBR11-I]]*Vekter!$B$3</f>
        <v>6</v>
      </c>
      <c r="AD385" s="44">
        <f>Tabell2[[#This Row],[ReisetidOslo-I]]*Vekter!$C$3</f>
        <v>0.57613621581306584</v>
      </c>
      <c r="AE385" s="44">
        <f>Tabell2[[#This Row],[Beftettotal-I]]*Vekter!$E$4</f>
        <v>1.022427676583024</v>
      </c>
      <c r="AF385" s="44">
        <f>Tabell2[[#This Row],[Befvekst10-I]]*Vekter!$F$3</f>
        <v>12.663103245587582</v>
      </c>
      <c r="AG385" s="44">
        <f>Tabell2[[#This Row],[Kvinneandel-I]]*Vekter!$G$3</f>
        <v>3.3493910745192128</v>
      </c>
      <c r="AH385" s="44">
        <f>Tabell2[[#This Row],[Eldreandel-I]]*Vekter!$H$3</f>
        <v>4.2815518959513348</v>
      </c>
      <c r="AI385" s="44">
        <f>Tabell2[[#This Row],[Sysselsettingsvekst10-I]]*Vekter!$I$3</f>
        <v>3.5593029147682347</v>
      </c>
      <c r="AJ385" s="44">
        <f>Tabell2[[#This Row],[Yrkesaktivandel-I]]*Vekter!$K$3</f>
        <v>2.9411198809367054</v>
      </c>
      <c r="AK385" s="44">
        <f>Tabell2[[#This Row],[Inntekt-I]]*Vekter!$M$3</f>
        <v>4.4942903752039154</v>
      </c>
      <c r="AL38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38.887323279363073</v>
      </c>
    </row>
    <row r="386" spans="1:38" s="38" customFormat="1" ht="12.75">
      <c r="A386" s="42" t="s">
        <v>384</v>
      </c>
      <c r="B386" s="38">
        <f>'Rådata-K'!Q386</f>
        <v>9</v>
      </c>
      <c r="C386" s="44">
        <f>'Rådata-K'!P386</f>
        <v>251.44344475393001</v>
      </c>
      <c r="D386" s="41">
        <f>'Rådata-K'!R386</f>
        <v>7.6743583095670216</v>
      </c>
      <c r="E386" s="41">
        <f>'Rådata-K'!S386</f>
        <v>-9.316994052982519E-2</v>
      </c>
      <c r="F386" s="41">
        <f>'Rådata-K'!T386</f>
        <v>9.3998410174880767E-2</v>
      </c>
      <c r="G386" s="41">
        <f>'Rådata-K'!U386</f>
        <v>0.18720190779014309</v>
      </c>
      <c r="H386" s="41">
        <f>'Rådata-K'!V386</f>
        <v>-3.4042553191489411E-2</v>
      </c>
      <c r="I386" s="41">
        <f>'Rådata-K'!W386</f>
        <v>0.85771470160116448</v>
      </c>
      <c r="J386" s="41">
        <f>'Rådata-K'!O386</f>
        <v>318900</v>
      </c>
      <c r="K386" s="41">
        <f>Tabell2[[#This Row],[NIBR11]]</f>
        <v>9</v>
      </c>
      <c r="L386" s="41">
        <f>IF(Tabell2[[#This Row],[ReisetidOslo]]&lt;=C$433,C$433,IF(Tabell2[[#This Row],[ReisetidOslo]]&gt;=C$434,C$434,Tabell2[[#This Row],[ReisetidOslo]]))</f>
        <v>251.44344475393001</v>
      </c>
      <c r="M386" s="41">
        <f>IF(Tabell2[[#This Row],[Beftettotal]]&lt;=D$433,D$433,IF(Tabell2[[#This Row],[Beftettotal]]&gt;=D$434,D$434,Tabell2[[#This Row],[Beftettotal]]))</f>
        <v>7.6743583095670216</v>
      </c>
      <c r="N386" s="41">
        <f>IF(Tabell2[[#This Row],[Befvekst10]]&lt;=E$433,E$433,IF(Tabell2[[#This Row],[Befvekst10]]&gt;=E$434,E$434,Tabell2[[#This Row],[Befvekst10]]))</f>
        <v>-9.1923232174966049E-2</v>
      </c>
      <c r="O386" s="41">
        <f>IF(Tabell2[[#This Row],[Kvinneandel]]&lt;=F$433,F$433,IF(Tabell2[[#This Row],[Kvinneandel]]&gt;=F$434,F$434,Tabell2[[#This Row],[Kvinneandel]]))</f>
        <v>9.3998410174880767E-2</v>
      </c>
      <c r="P386" s="41">
        <f>IF(Tabell2[[#This Row],[Eldreandel]]&lt;=G$433,G$433,IF(Tabell2[[#This Row],[Eldreandel]]&gt;=G$434,G$434,Tabell2[[#This Row],[Eldreandel]]))</f>
        <v>0.18720190779014309</v>
      </c>
      <c r="Q386" s="41">
        <f>IF(Tabell2[[#This Row],[Sysselsettingsvekst10]]&lt;=H$433,H$433,IF(Tabell2[[#This Row],[Sysselsettingsvekst10]]&gt;=H$434,H$434,Tabell2[[#This Row],[Sysselsettingsvekst10]]))</f>
        <v>-3.4042553191489411E-2</v>
      </c>
      <c r="R386" s="41">
        <f>IF(Tabell2[[#This Row],[Yrkesaktivandel]]&lt;=I$433,I$433,IF(Tabell2[[#This Row],[Yrkesaktivandel]]&gt;=I$434,I$434,Tabell2[[#This Row],[Yrkesaktivandel]]))</f>
        <v>0.85771470160116448</v>
      </c>
      <c r="S386" s="41">
        <f>IF(Tabell2[[#This Row],[Inntekt]]&lt;=J$433,J$433,IF(Tabell2[[#This Row],[Inntekt]]&gt;=J$434,J$434,Tabell2[[#This Row],[Inntekt]]))</f>
        <v>318900</v>
      </c>
      <c r="T386" s="44">
        <f>IF(Tabell2[[#This Row],[NIBR11-T]]&lt;=K$436,100,IF(Tabell2[[#This Row],[NIBR11-T]]&gt;=K$435,0,100*(K$435-Tabell2[[#This Row],[NIBR11-T]])/K$438))</f>
        <v>20</v>
      </c>
      <c r="U386" s="44">
        <f>(L$435-Tabell2[[#This Row],[ReisetidOslo-T]])*100/L$438</f>
        <v>12.258421800490847</v>
      </c>
      <c r="V386" s="44">
        <f>100-(M$435-Tabell2[[#This Row],[Beftettotal-T]])*100/M$438</f>
        <v>5.197273704716153</v>
      </c>
      <c r="W386" s="44">
        <f>100-(N$435-Tabell2[[#This Row],[Befvekst10-T]])*100/N$438</f>
        <v>0</v>
      </c>
      <c r="X386" s="44">
        <f>100-(O$435-Tabell2[[#This Row],[Kvinneandel-T]])*100/O$438</f>
        <v>6.2407773387253513</v>
      </c>
      <c r="Y386" s="44">
        <f>(P$435-Tabell2[[#This Row],[Eldreandel-T]])*100/P$438</f>
        <v>13.824805422714878</v>
      </c>
      <c r="Z386" s="44">
        <f>100-(Q$435-Tabell2[[#This Row],[Sysselsettingsvekst10-T]])*100/Q$438</f>
        <v>17.090110357602626</v>
      </c>
      <c r="AA386" s="44">
        <f>100-(R$435-Tabell2[[#This Row],[Yrkesaktivandel-T]])*100/R$438</f>
        <v>23.363096729973819</v>
      </c>
      <c r="AB386" s="44">
        <f>100-(S$435-Tabell2[[#This Row],[Inntekt-T]])*100/S$438</f>
        <v>36.378466557911906</v>
      </c>
      <c r="AC386" s="44">
        <f>Tabell2[[#This Row],[NIBR11-I]]*Vekter!$B$3</f>
        <v>4</v>
      </c>
      <c r="AD386" s="44">
        <f>Tabell2[[#This Row],[ReisetidOslo-I]]*Vekter!$C$3</f>
        <v>1.2258421800490849</v>
      </c>
      <c r="AE386" s="44">
        <f>Tabell2[[#This Row],[Beftettotal-I]]*Vekter!$E$4</f>
        <v>0.51972737047161532</v>
      </c>
      <c r="AF386" s="44">
        <f>Tabell2[[#This Row],[Befvekst10-I]]*Vekter!$F$3</f>
        <v>0</v>
      </c>
      <c r="AG386" s="44">
        <f>Tabell2[[#This Row],[Kvinneandel-I]]*Vekter!$G$3</f>
        <v>0.31203886693626759</v>
      </c>
      <c r="AH386" s="44">
        <f>Tabell2[[#This Row],[Eldreandel-I]]*Vekter!$H$3</f>
        <v>0.69124027113574393</v>
      </c>
      <c r="AI386" s="44">
        <f>Tabell2[[#This Row],[Sysselsettingsvekst10-I]]*Vekter!$I$3</f>
        <v>1.7090110357602626</v>
      </c>
      <c r="AJ386" s="44">
        <f>Tabell2[[#This Row],[Yrkesaktivandel-I]]*Vekter!$K$3</f>
        <v>2.3363096729973818</v>
      </c>
      <c r="AK386" s="44">
        <f>Tabell2[[#This Row],[Inntekt-I]]*Vekter!$M$3</f>
        <v>3.6378466557911908</v>
      </c>
      <c r="AL38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14.432016053141549</v>
      </c>
    </row>
    <row r="387" spans="1:38" s="38" customFormat="1" ht="12.75">
      <c r="A387" s="42" t="s">
        <v>385</v>
      </c>
      <c r="B387" s="38">
        <f>'Rådata-K'!Q387</f>
        <v>11</v>
      </c>
      <c r="C387" s="44">
        <f>'Rådata-K'!P387</f>
        <v>290.22977776059997</v>
      </c>
      <c r="D387" s="41">
        <f>'Rådata-K'!R387</f>
        <v>9.4113678529262934</v>
      </c>
      <c r="E387" s="41">
        <f>'Rådata-K'!S387</f>
        <v>-0.1294851794071763</v>
      </c>
      <c r="F387" s="41">
        <f>'Rådata-K'!T387</f>
        <v>9.9462365591397844E-2</v>
      </c>
      <c r="G387" s="41">
        <f>'Rådata-K'!U387</f>
        <v>0.21863799283154123</v>
      </c>
      <c r="H387" s="41">
        <f>'Rådata-K'!V387</f>
        <v>-8.206106870229013E-2</v>
      </c>
      <c r="I387" s="41">
        <f>'Rådata-K'!W387</f>
        <v>0.89049919484702089</v>
      </c>
      <c r="J387" s="41">
        <f>'Rådata-K'!O387</f>
        <v>311700</v>
      </c>
      <c r="K387" s="41">
        <f>Tabell2[[#This Row],[NIBR11]]</f>
        <v>11</v>
      </c>
      <c r="L387" s="41">
        <f>IF(Tabell2[[#This Row],[ReisetidOslo]]&lt;=C$433,C$433,IF(Tabell2[[#This Row],[ReisetidOslo]]&gt;=C$434,C$434,Tabell2[[#This Row],[ReisetidOslo]]))</f>
        <v>279.05557553043002</v>
      </c>
      <c r="M387" s="41">
        <f>IF(Tabell2[[#This Row],[Beftettotal]]&lt;=D$433,D$433,IF(Tabell2[[#This Row],[Beftettotal]]&gt;=D$434,D$434,Tabell2[[#This Row],[Beftettotal]]))</f>
        <v>9.4113678529262934</v>
      </c>
      <c r="N387" s="41">
        <f>IF(Tabell2[[#This Row],[Befvekst10]]&lt;=E$433,E$433,IF(Tabell2[[#This Row],[Befvekst10]]&gt;=E$434,E$434,Tabell2[[#This Row],[Befvekst10]]))</f>
        <v>-9.1923232174966049E-2</v>
      </c>
      <c r="O387" s="41">
        <f>IF(Tabell2[[#This Row],[Kvinneandel]]&lt;=F$433,F$433,IF(Tabell2[[#This Row],[Kvinneandel]]&gt;=F$434,F$434,Tabell2[[#This Row],[Kvinneandel]]))</f>
        <v>9.9462365591397844E-2</v>
      </c>
      <c r="P387" s="41">
        <f>IF(Tabell2[[#This Row],[Eldreandel]]&lt;=G$433,G$433,IF(Tabell2[[#This Row],[Eldreandel]]&gt;=G$434,G$434,Tabell2[[#This Row],[Eldreandel]]))</f>
        <v>0.1989437597342919</v>
      </c>
      <c r="Q387" s="41">
        <f>IF(Tabell2[[#This Row],[Sysselsettingsvekst10]]&lt;=H$433,H$433,IF(Tabell2[[#This Row],[Sysselsettingsvekst10]]&gt;=H$434,H$434,Tabell2[[#This Row],[Sysselsettingsvekst10]]))</f>
        <v>-8.206106870229013E-2</v>
      </c>
      <c r="R387" s="41">
        <f>IF(Tabell2[[#This Row],[Yrkesaktivandel]]&lt;=I$433,I$433,IF(Tabell2[[#This Row],[Yrkesaktivandel]]&gt;=I$434,I$434,Tabell2[[#This Row],[Yrkesaktivandel]]))</f>
        <v>0.89049919484702089</v>
      </c>
      <c r="S387" s="41">
        <f>IF(Tabell2[[#This Row],[Inntekt]]&lt;=J$433,J$433,IF(Tabell2[[#This Row],[Inntekt]]&gt;=J$434,J$434,Tabell2[[#This Row],[Inntekt]]))</f>
        <v>311700</v>
      </c>
      <c r="T387" s="44">
        <f>IF(Tabell2[[#This Row],[NIBR11-T]]&lt;=K$436,100,IF(Tabell2[[#This Row],[NIBR11-T]]&gt;=K$435,0,100*(K$435-Tabell2[[#This Row],[NIBR11-T]])/K$438))</f>
        <v>0</v>
      </c>
      <c r="U387" s="44">
        <f>(L$435-Tabell2[[#This Row],[ReisetidOslo-T]])*100/L$438</f>
        <v>0</v>
      </c>
      <c r="V387" s="44">
        <f>100-(M$435-Tabell2[[#This Row],[Beftettotal-T]])*100/M$438</f>
        <v>6.6181593446348472</v>
      </c>
      <c r="W387" s="44">
        <f>100-(N$435-Tabell2[[#This Row],[Befvekst10-T]])*100/N$438</f>
        <v>0</v>
      </c>
      <c r="X387" s="44">
        <f>100-(O$435-Tabell2[[#This Row],[Kvinneandel-T]])*100/O$438</f>
        <v>21.192678885317093</v>
      </c>
      <c r="Y387" s="44">
        <f>(P$435-Tabell2[[#This Row],[Eldreandel-T]])*100/P$438</f>
        <v>0</v>
      </c>
      <c r="Z387" s="44">
        <f>100-(Q$435-Tabell2[[#This Row],[Sysselsettingsvekst10-T]])*100/Q$438</f>
        <v>2.9718466797780252</v>
      </c>
      <c r="AA387" s="44">
        <f>100-(R$435-Tabell2[[#This Row],[Yrkesaktivandel-T]])*100/R$438</f>
        <v>47.845953361422147</v>
      </c>
      <c r="AB387" s="44">
        <f>100-(S$435-Tabell2[[#This Row],[Inntekt-T]])*100/S$438</f>
        <v>26.590538336052205</v>
      </c>
      <c r="AC387" s="44">
        <f>Tabell2[[#This Row],[NIBR11-I]]*Vekter!$B$3</f>
        <v>0</v>
      </c>
      <c r="AD387" s="44">
        <f>Tabell2[[#This Row],[ReisetidOslo-I]]*Vekter!$C$3</f>
        <v>0</v>
      </c>
      <c r="AE387" s="44">
        <f>Tabell2[[#This Row],[Beftettotal-I]]*Vekter!$E$4</f>
        <v>0.66181593446348475</v>
      </c>
      <c r="AF387" s="44">
        <f>Tabell2[[#This Row],[Befvekst10-I]]*Vekter!$F$3</f>
        <v>0</v>
      </c>
      <c r="AG387" s="44">
        <f>Tabell2[[#This Row],[Kvinneandel-I]]*Vekter!$G$3</f>
        <v>1.0596339442658547</v>
      </c>
      <c r="AH387" s="44">
        <f>Tabell2[[#This Row],[Eldreandel-I]]*Vekter!$H$3</f>
        <v>0</v>
      </c>
      <c r="AI387" s="44">
        <f>Tabell2[[#This Row],[Sysselsettingsvekst10-I]]*Vekter!$I$3</f>
        <v>0.29718466797780252</v>
      </c>
      <c r="AJ387" s="44">
        <f>Tabell2[[#This Row],[Yrkesaktivandel-I]]*Vekter!$K$3</f>
        <v>4.7845953361422149</v>
      </c>
      <c r="AK387" s="44">
        <f>Tabell2[[#This Row],[Inntekt-I]]*Vekter!$M$3</f>
        <v>2.6590538336052205</v>
      </c>
      <c r="AL38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9.4622837164545768</v>
      </c>
    </row>
    <row r="388" spans="1:38" s="38" customFormat="1" ht="12.75">
      <c r="A388" s="42" t="s">
        <v>386</v>
      </c>
      <c r="B388" s="38">
        <f>'Rådata-K'!Q388</f>
        <v>4</v>
      </c>
      <c r="C388" s="44">
        <f>'Rådata-K'!P388</f>
        <v>216.34609367482</v>
      </c>
      <c r="D388" s="41">
        <f>'Rådata-K'!R388</f>
        <v>27.425786969616404</v>
      </c>
      <c r="E388" s="41">
        <f>'Rådata-K'!S388</f>
        <v>0.14196021412993187</v>
      </c>
      <c r="F388" s="41">
        <f>'Rådata-K'!T388</f>
        <v>0.146897968632444</v>
      </c>
      <c r="G388" s="41">
        <f>'Rådata-K'!U388</f>
        <v>9.4160541698014938E-2</v>
      </c>
      <c r="H388" s="41">
        <f>'Rådata-K'!V388</f>
        <v>0.12815484311050485</v>
      </c>
      <c r="I388" s="41">
        <f>'Rådata-K'!W388</f>
        <v>0.86894953065112113</v>
      </c>
      <c r="J388" s="41">
        <f>'Rådata-K'!O388</f>
        <v>355900</v>
      </c>
      <c r="K388" s="41">
        <f>Tabell2[[#This Row],[NIBR11]]</f>
        <v>4</v>
      </c>
      <c r="L388" s="41">
        <f>IF(Tabell2[[#This Row],[ReisetidOslo]]&lt;=C$433,C$433,IF(Tabell2[[#This Row],[ReisetidOslo]]&gt;=C$434,C$434,Tabell2[[#This Row],[ReisetidOslo]]))</f>
        <v>216.34609367482</v>
      </c>
      <c r="M388" s="41">
        <f>IF(Tabell2[[#This Row],[Beftettotal]]&lt;=D$433,D$433,IF(Tabell2[[#This Row],[Beftettotal]]&gt;=D$434,D$434,Tabell2[[#This Row],[Beftettotal]]))</f>
        <v>27.425786969616404</v>
      </c>
      <c r="N388" s="41">
        <f>IF(Tabell2[[#This Row],[Befvekst10]]&lt;=E$433,E$433,IF(Tabell2[[#This Row],[Befvekst10]]&gt;=E$434,E$434,Tabell2[[#This Row],[Befvekst10]]))</f>
        <v>0.14196021412993187</v>
      </c>
      <c r="O388" s="41">
        <f>IF(Tabell2[[#This Row],[Kvinneandel]]&lt;=F$433,F$433,IF(Tabell2[[#This Row],[Kvinneandel]]&gt;=F$434,F$434,Tabell2[[#This Row],[Kvinneandel]]))</f>
        <v>0.12826135732659469</v>
      </c>
      <c r="P388" s="41">
        <f>IF(Tabell2[[#This Row],[Eldreandel]]&lt;=G$433,G$433,IF(Tabell2[[#This Row],[Eldreandel]]&gt;=G$434,G$434,Tabell2[[#This Row],[Eldreandel]]))</f>
        <v>0.11401054306234992</v>
      </c>
      <c r="Q388" s="41">
        <f>IF(Tabell2[[#This Row],[Sysselsettingsvekst10]]&lt;=H$433,H$433,IF(Tabell2[[#This Row],[Sysselsettingsvekst10]]&gt;=H$434,H$434,Tabell2[[#This Row],[Sysselsettingsvekst10]]))</f>
        <v>0.12815484311050485</v>
      </c>
      <c r="R388" s="41">
        <f>IF(Tabell2[[#This Row],[Yrkesaktivandel]]&lt;=I$433,I$433,IF(Tabell2[[#This Row],[Yrkesaktivandel]]&gt;=I$434,I$434,Tabell2[[#This Row],[Yrkesaktivandel]]))</f>
        <v>0.86894953065112113</v>
      </c>
      <c r="S388" s="41">
        <f>IF(Tabell2[[#This Row],[Inntekt]]&lt;=J$433,J$433,IF(Tabell2[[#This Row],[Inntekt]]&gt;=J$434,J$434,Tabell2[[#This Row],[Inntekt]]))</f>
        <v>355900</v>
      </c>
      <c r="T388" s="44">
        <f>IF(Tabell2[[#This Row],[NIBR11-T]]&lt;=K$436,100,IF(Tabell2[[#This Row],[NIBR11-T]]&gt;=K$435,0,100*(K$435-Tabell2[[#This Row],[NIBR11-T]])/K$438))</f>
        <v>70</v>
      </c>
      <c r="U388" s="44">
        <f>(L$435-Tabell2[[#This Row],[ReisetidOslo-T]])*100/L$438</f>
        <v>27.839911584459564</v>
      </c>
      <c r="V388" s="44">
        <f>100-(M$435-Tabell2[[#This Row],[Beftettotal-T]])*100/M$438</f>
        <v>21.354076906077722</v>
      </c>
      <c r="W388" s="44">
        <f>100-(N$435-Tabell2[[#This Row],[Befvekst10-T]])*100/N$438</f>
        <v>96.761061320501128</v>
      </c>
      <c r="X388" s="44">
        <f>100-(O$435-Tabell2[[#This Row],[Kvinneandel-T]])*100/O$438</f>
        <v>100</v>
      </c>
      <c r="Y388" s="44">
        <f>(P$435-Tabell2[[#This Row],[Eldreandel-T]])*100/P$438</f>
        <v>100</v>
      </c>
      <c r="Z388" s="44">
        <f>100-(Q$435-Tabell2[[#This Row],[Sysselsettingsvekst10-T]])*100/Q$438</f>
        <v>64.778915071548752</v>
      </c>
      <c r="AA388" s="44">
        <f>100-(R$435-Tabell2[[#This Row],[Yrkesaktivandel-T]])*100/R$438</f>
        <v>31.753060449900588</v>
      </c>
      <c r="AB388" s="44">
        <f>100-(S$435-Tabell2[[#This Row],[Inntekt-T]])*100/S$438</f>
        <v>86.677542142468738</v>
      </c>
      <c r="AC388" s="44">
        <f>Tabell2[[#This Row],[NIBR11-I]]*Vekter!$B$3</f>
        <v>14</v>
      </c>
      <c r="AD388" s="44">
        <f>Tabell2[[#This Row],[ReisetidOslo-I]]*Vekter!$C$3</f>
        <v>2.7839911584459567</v>
      </c>
      <c r="AE388" s="44">
        <f>Tabell2[[#This Row],[Beftettotal-I]]*Vekter!$E$4</f>
        <v>2.1354076906077721</v>
      </c>
      <c r="AF388" s="44">
        <f>Tabell2[[#This Row],[Befvekst10-I]]*Vekter!$F$3</f>
        <v>19.352212264100228</v>
      </c>
      <c r="AG388" s="44">
        <f>Tabell2[[#This Row],[Kvinneandel-I]]*Vekter!$G$3</f>
        <v>5</v>
      </c>
      <c r="AH388" s="44">
        <f>Tabell2[[#This Row],[Eldreandel-I]]*Vekter!$H$3</f>
        <v>5</v>
      </c>
      <c r="AI388" s="44">
        <f>Tabell2[[#This Row],[Sysselsettingsvekst10-I]]*Vekter!$I$3</f>
        <v>6.4778915071548759</v>
      </c>
      <c r="AJ388" s="44">
        <f>Tabell2[[#This Row],[Yrkesaktivandel-I]]*Vekter!$K$3</f>
        <v>3.1753060449900588</v>
      </c>
      <c r="AK388" s="44">
        <f>Tabell2[[#This Row],[Inntekt-I]]*Vekter!$M$3</f>
        <v>8.6677542142468749</v>
      </c>
      <c r="AL38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66.592562879545767</v>
      </c>
    </row>
    <row r="389" spans="1:38" s="38" customFormat="1" ht="12.75">
      <c r="A389" s="42" t="s">
        <v>387</v>
      </c>
      <c r="B389" s="38">
        <f>'Rådata-K'!Q389</f>
        <v>5</v>
      </c>
      <c r="C389" s="44">
        <f>'Rådata-K'!P389</f>
        <v>235.3452336666</v>
      </c>
      <c r="D389" s="41">
        <f>'Rådata-K'!R389</f>
        <v>54.041627416677876</v>
      </c>
      <c r="E389" s="41">
        <f>'Rådata-K'!S389</f>
        <v>1.8988412416476308E-2</v>
      </c>
      <c r="F389" s="41">
        <f>'Rådata-K'!T389</f>
        <v>0.12230753268312929</v>
      </c>
      <c r="G389" s="41">
        <f>'Rådata-K'!U389</f>
        <v>0.13969703257937333</v>
      </c>
      <c r="H389" s="41">
        <f>'Rådata-K'!V389</f>
        <v>7.9787234042553168E-2</v>
      </c>
      <c r="I389" s="41">
        <f>'Rådata-K'!W389</f>
        <v>0.86613005719127301</v>
      </c>
      <c r="J389" s="41">
        <f>'Rådata-K'!O389</f>
        <v>336900</v>
      </c>
      <c r="K389" s="41">
        <f>Tabell2[[#This Row],[NIBR11]]</f>
        <v>5</v>
      </c>
      <c r="L389" s="41">
        <f>IF(Tabell2[[#This Row],[ReisetidOslo]]&lt;=C$433,C$433,IF(Tabell2[[#This Row],[ReisetidOslo]]&gt;=C$434,C$434,Tabell2[[#This Row],[ReisetidOslo]]))</f>
        <v>235.3452336666</v>
      </c>
      <c r="M389" s="41">
        <f>IF(Tabell2[[#This Row],[Beftettotal]]&lt;=D$433,D$433,IF(Tabell2[[#This Row],[Beftettotal]]&gt;=D$434,D$434,Tabell2[[#This Row],[Beftettotal]]))</f>
        <v>54.041627416677876</v>
      </c>
      <c r="N389" s="41">
        <f>IF(Tabell2[[#This Row],[Befvekst10]]&lt;=E$433,E$433,IF(Tabell2[[#This Row],[Befvekst10]]&gt;=E$434,E$434,Tabell2[[#This Row],[Befvekst10]]))</f>
        <v>1.8988412416476308E-2</v>
      </c>
      <c r="O389" s="41">
        <f>IF(Tabell2[[#This Row],[Kvinneandel]]&lt;=F$433,F$433,IF(Tabell2[[#This Row],[Kvinneandel]]&gt;=F$434,F$434,Tabell2[[#This Row],[Kvinneandel]]))</f>
        <v>0.12230753268312929</v>
      </c>
      <c r="P389" s="41">
        <f>IF(Tabell2[[#This Row],[Eldreandel]]&lt;=G$433,G$433,IF(Tabell2[[#This Row],[Eldreandel]]&gt;=G$434,G$434,Tabell2[[#This Row],[Eldreandel]]))</f>
        <v>0.13969703257937333</v>
      </c>
      <c r="Q389" s="41">
        <f>IF(Tabell2[[#This Row],[Sysselsettingsvekst10]]&lt;=H$433,H$433,IF(Tabell2[[#This Row],[Sysselsettingsvekst10]]&gt;=H$434,H$434,Tabell2[[#This Row],[Sysselsettingsvekst10]]))</f>
        <v>7.9787234042553168E-2</v>
      </c>
      <c r="R389" s="41">
        <f>IF(Tabell2[[#This Row],[Yrkesaktivandel]]&lt;=I$433,I$433,IF(Tabell2[[#This Row],[Yrkesaktivandel]]&gt;=I$434,I$434,Tabell2[[#This Row],[Yrkesaktivandel]]))</f>
        <v>0.86613005719127301</v>
      </c>
      <c r="S389" s="41">
        <f>IF(Tabell2[[#This Row],[Inntekt]]&lt;=J$433,J$433,IF(Tabell2[[#This Row],[Inntekt]]&gt;=J$434,J$434,Tabell2[[#This Row],[Inntekt]]))</f>
        <v>336900</v>
      </c>
      <c r="T389" s="44">
        <f>IF(Tabell2[[#This Row],[NIBR11-T]]&lt;=K$436,100,IF(Tabell2[[#This Row],[NIBR11-T]]&gt;=K$435,0,100*(K$435-Tabell2[[#This Row],[NIBR11-T]])/K$438))</f>
        <v>60</v>
      </c>
      <c r="U389" s="44">
        <f>(L$435-Tabell2[[#This Row],[ReisetidOslo-T]])*100/L$438</f>
        <v>19.405232140451272</v>
      </c>
      <c r="V389" s="44">
        <f>100-(M$435-Tabell2[[#This Row],[Beftettotal-T]])*100/M$438</f>
        <v>43.126015713310117</v>
      </c>
      <c r="W389" s="44">
        <f>100-(N$435-Tabell2[[#This Row],[Befvekst10-T]])*100/N$438</f>
        <v>45.88579744750168</v>
      </c>
      <c r="X389" s="44">
        <f>100-(O$435-Tabell2[[#This Row],[Kvinneandel-T]])*100/O$438</f>
        <v>83.707590361066394</v>
      </c>
      <c r="Y389" s="44">
        <f>(P$435-Tabell2[[#This Row],[Eldreandel-T]])*100/P$438</f>
        <v>69.756838933537026</v>
      </c>
      <c r="Z389" s="44">
        <f>100-(Q$435-Tabell2[[#This Row],[Sysselsettingsvekst10-T]])*100/Q$438</f>
        <v>50.558011925684404</v>
      </c>
      <c r="AA389" s="44">
        <f>100-(R$435-Tabell2[[#This Row],[Yrkesaktivandel-T]])*100/R$438</f>
        <v>29.647529521727421</v>
      </c>
      <c r="AB389" s="44">
        <f>100-(S$435-Tabell2[[#This Row],[Inntekt-T]])*100/S$438</f>
        <v>60.848287112561174</v>
      </c>
      <c r="AC389" s="44">
        <f>Tabell2[[#This Row],[NIBR11-I]]*Vekter!$B$3</f>
        <v>12</v>
      </c>
      <c r="AD389" s="44">
        <f>Tabell2[[#This Row],[ReisetidOslo-I]]*Vekter!$C$3</f>
        <v>1.9405232140451272</v>
      </c>
      <c r="AE389" s="44">
        <f>Tabell2[[#This Row],[Beftettotal-I]]*Vekter!$E$4</f>
        <v>4.3126015713310117</v>
      </c>
      <c r="AF389" s="44">
        <f>Tabell2[[#This Row],[Befvekst10-I]]*Vekter!$F$3</f>
        <v>9.1771594895003368</v>
      </c>
      <c r="AG389" s="44">
        <f>Tabell2[[#This Row],[Kvinneandel-I]]*Vekter!$G$3</f>
        <v>4.1853795180533195</v>
      </c>
      <c r="AH389" s="44">
        <f>Tabell2[[#This Row],[Eldreandel-I]]*Vekter!$H$3</f>
        <v>3.4878419466768515</v>
      </c>
      <c r="AI389" s="44">
        <f>Tabell2[[#This Row],[Sysselsettingsvekst10-I]]*Vekter!$I$3</f>
        <v>5.055801192568441</v>
      </c>
      <c r="AJ389" s="44">
        <f>Tabell2[[#This Row],[Yrkesaktivandel-I]]*Vekter!$K$3</f>
        <v>2.9647529521727423</v>
      </c>
      <c r="AK389" s="44">
        <f>Tabell2[[#This Row],[Inntekt-I]]*Vekter!$M$3</f>
        <v>6.0848287112561179</v>
      </c>
      <c r="AL38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49.208888595603945</v>
      </c>
    </row>
    <row r="390" spans="1:38" s="38" customFormat="1" ht="12.75">
      <c r="A390" s="42" t="s">
        <v>388</v>
      </c>
      <c r="B390" s="38">
        <f>'Rådata-K'!Q390</f>
        <v>5</v>
      </c>
      <c r="C390" s="44">
        <f>'Rådata-K'!P390</f>
        <v>248.80440292559999</v>
      </c>
      <c r="D390" s="41">
        <f>'Rådata-K'!R390</f>
        <v>5.8995611896635785</v>
      </c>
      <c r="E390" s="41">
        <f>'Rådata-K'!S390</f>
        <v>-3.9987305617264379E-2</v>
      </c>
      <c r="F390" s="41">
        <f>'Rådata-K'!T390</f>
        <v>0.10545454545454545</v>
      </c>
      <c r="G390" s="41">
        <f>'Rådata-K'!U390</f>
        <v>0.15272727272727274</v>
      </c>
      <c r="H390" s="41">
        <f>'Rådata-K'!V390</f>
        <v>-0.10499265785609402</v>
      </c>
      <c r="I390" s="41">
        <f>'Rådata-K'!W390</f>
        <v>0.853558926487748</v>
      </c>
      <c r="J390" s="41">
        <f>'Rådata-K'!O390</f>
        <v>294700</v>
      </c>
      <c r="K390" s="41">
        <f>Tabell2[[#This Row],[NIBR11]]</f>
        <v>5</v>
      </c>
      <c r="L390" s="41">
        <f>IF(Tabell2[[#This Row],[ReisetidOslo]]&lt;=C$433,C$433,IF(Tabell2[[#This Row],[ReisetidOslo]]&gt;=C$434,C$434,Tabell2[[#This Row],[ReisetidOslo]]))</f>
        <v>248.80440292559999</v>
      </c>
      <c r="M390" s="41">
        <f>IF(Tabell2[[#This Row],[Beftettotal]]&lt;=D$433,D$433,IF(Tabell2[[#This Row],[Beftettotal]]&gt;=D$434,D$434,Tabell2[[#This Row],[Beftettotal]]))</f>
        <v>5.8995611896635785</v>
      </c>
      <c r="N390" s="41">
        <f>IF(Tabell2[[#This Row],[Befvekst10]]&lt;=E$433,E$433,IF(Tabell2[[#This Row],[Befvekst10]]&gt;=E$434,E$434,Tabell2[[#This Row],[Befvekst10]]))</f>
        <v>-3.9987305617264379E-2</v>
      </c>
      <c r="O390" s="41">
        <f>IF(Tabell2[[#This Row],[Kvinneandel]]&lt;=F$433,F$433,IF(Tabell2[[#This Row],[Kvinneandel]]&gt;=F$434,F$434,Tabell2[[#This Row],[Kvinneandel]]))</f>
        <v>0.10545454545454545</v>
      </c>
      <c r="P390" s="41">
        <f>IF(Tabell2[[#This Row],[Eldreandel]]&lt;=G$433,G$433,IF(Tabell2[[#This Row],[Eldreandel]]&gt;=G$434,G$434,Tabell2[[#This Row],[Eldreandel]]))</f>
        <v>0.15272727272727274</v>
      </c>
      <c r="Q390" s="41">
        <f>IF(Tabell2[[#This Row],[Sysselsettingsvekst10]]&lt;=H$433,H$433,IF(Tabell2[[#This Row],[Sysselsettingsvekst10]]&gt;=H$434,H$434,Tabell2[[#This Row],[Sysselsettingsvekst10]]))</f>
        <v>-9.2168803558721979E-2</v>
      </c>
      <c r="R390" s="41">
        <f>IF(Tabell2[[#This Row],[Yrkesaktivandel]]&lt;=I$433,I$433,IF(Tabell2[[#This Row],[Yrkesaktivandel]]&gt;=I$434,I$434,Tabell2[[#This Row],[Yrkesaktivandel]]))</f>
        <v>0.853558926487748</v>
      </c>
      <c r="S390" s="41">
        <f>IF(Tabell2[[#This Row],[Inntekt]]&lt;=J$433,J$433,IF(Tabell2[[#This Row],[Inntekt]]&gt;=J$434,J$434,Tabell2[[#This Row],[Inntekt]]))</f>
        <v>294700</v>
      </c>
      <c r="T390" s="44">
        <f>IF(Tabell2[[#This Row],[NIBR11-T]]&lt;=K$436,100,IF(Tabell2[[#This Row],[NIBR11-T]]&gt;=K$435,0,100*(K$435-Tabell2[[#This Row],[NIBR11-T]])/K$438))</f>
        <v>60</v>
      </c>
      <c r="U390" s="44">
        <f>(L$435-Tabell2[[#This Row],[ReisetidOslo-T]])*100/L$438</f>
        <v>13.430025982097167</v>
      </c>
      <c r="V390" s="44">
        <f>100-(M$435-Tabell2[[#This Row],[Beftettotal-T]])*100/M$438</f>
        <v>3.7454775697548683</v>
      </c>
      <c r="W390" s="44">
        <f>100-(N$435-Tabell2[[#This Row],[Befvekst10-T]])*100/N$438</f>
        <v>21.486665489936271</v>
      </c>
      <c r="X390" s="44">
        <f>100-(O$435-Tabell2[[#This Row],[Kvinneandel-T]])*100/O$438</f>
        <v>37.590046091575033</v>
      </c>
      <c r="Y390" s="44">
        <f>(P$435-Tabell2[[#This Row],[Eldreandel-T]])*100/P$438</f>
        <v>54.415090841940241</v>
      </c>
      <c r="Z390" s="44">
        <f>100-(Q$435-Tabell2[[#This Row],[Sysselsettingsvekst10-T]])*100/Q$438</f>
        <v>0</v>
      </c>
      <c r="AA390" s="44">
        <f>100-(R$435-Tabell2[[#This Row],[Yrkesaktivandel-T]])*100/R$438</f>
        <v>20.259640302225748</v>
      </c>
      <c r="AB390" s="44">
        <f>100-(S$435-Tabell2[[#This Row],[Inntekt-T]])*100/S$438</f>
        <v>3.4801522566612277</v>
      </c>
      <c r="AC390" s="44">
        <f>Tabell2[[#This Row],[NIBR11-I]]*Vekter!$B$3</f>
        <v>12</v>
      </c>
      <c r="AD390" s="44">
        <f>Tabell2[[#This Row],[ReisetidOslo-I]]*Vekter!$C$3</f>
        <v>1.3430025982097167</v>
      </c>
      <c r="AE390" s="44">
        <f>Tabell2[[#This Row],[Beftettotal-I]]*Vekter!$E$4</f>
        <v>0.37454775697548687</v>
      </c>
      <c r="AF390" s="44">
        <f>Tabell2[[#This Row],[Befvekst10-I]]*Vekter!$F$3</f>
        <v>4.2973330979872548</v>
      </c>
      <c r="AG390" s="44">
        <f>Tabell2[[#This Row],[Kvinneandel-I]]*Vekter!$G$3</f>
        <v>1.8795023045787518</v>
      </c>
      <c r="AH390" s="44">
        <f>Tabell2[[#This Row],[Eldreandel-I]]*Vekter!$H$3</f>
        <v>2.7207545420970121</v>
      </c>
      <c r="AI390" s="44">
        <f>Tabell2[[#This Row],[Sysselsettingsvekst10-I]]*Vekter!$I$3</f>
        <v>0</v>
      </c>
      <c r="AJ390" s="44">
        <f>Tabell2[[#This Row],[Yrkesaktivandel-I]]*Vekter!$K$3</f>
        <v>2.0259640302225748</v>
      </c>
      <c r="AK390" s="44">
        <f>Tabell2[[#This Row],[Inntekt-I]]*Vekter!$M$3</f>
        <v>0.34801522566612281</v>
      </c>
      <c r="AL39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24.98911955573692</v>
      </c>
    </row>
    <row r="391" spans="1:38" s="38" customFormat="1" ht="12.75">
      <c r="A391" s="42" t="s">
        <v>389</v>
      </c>
      <c r="B391" s="38">
        <f>'Rådata-K'!Q391</f>
        <v>5</v>
      </c>
      <c r="C391" s="44">
        <f>'Rådata-K'!P391</f>
        <v>212.67000667799999</v>
      </c>
      <c r="D391" s="41">
        <f>'Rådata-K'!R391</f>
        <v>6.0031914678732301</v>
      </c>
      <c r="E391" s="41">
        <f>'Rådata-K'!S391</f>
        <v>-3.0026109660574396E-2</v>
      </c>
      <c r="F391" s="41">
        <f>'Rådata-K'!T391</f>
        <v>0.10329744279946164</v>
      </c>
      <c r="G391" s="41">
        <f>'Rådata-K'!U391</f>
        <v>0.17496635262449528</v>
      </c>
      <c r="H391" s="41">
        <f>'Rådata-K'!V391</f>
        <v>-0.11814744801512289</v>
      </c>
      <c r="I391" s="41">
        <f>'Rådata-K'!W391</f>
        <v>0.83752191700759793</v>
      </c>
      <c r="J391" s="41">
        <f>'Rådata-K'!O391</f>
        <v>306800</v>
      </c>
      <c r="K391" s="41">
        <f>Tabell2[[#This Row],[NIBR11]]</f>
        <v>5</v>
      </c>
      <c r="L391" s="41">
        <f>IF(Tabell2[[#This Row],[ReisetidOslo]]&lt;=C$433,C$433,IF(Tabell2[[#This Row],[ReisetidOslo]]&gt;=C$434,C$434,Tabell2[[#This Row],[ReisetidOslo]]))</f>
        <v>212.67000667799999</v>
      </c>
      <c r="M391" s="41">
        <f>IF(Tabell2[[#This Row],[Beftettotal]]&lt;=D$433,D$433,IF(Tabell2[[#This Row],[Beftettotal]]&gt;=D$434,D$434,Tabell2[[#This Row],[Beftettotal]]))</f>
        <v>6.0031914678732301</v>
      </c>
      <c r="N391" s="41">
        <f>IF(Tabell2[[#This Row],[Befvekst10]]&lt;=E$433,E$433,IF(Tabell2[[#This Row],[Befvekst10]]&gt;=E$434,E$434,Tabell2[[#This Row],[Befvekst10]]))</f>
        <v>-3.0026109660574396E-2</v>
      </c>
      <c r="O391" s="41">
        <f>IF(Tabell2[[#This Row],[Kvinneandel]]&lt;=F$433,F$433,IF(Tabell2[[#This Row],[Kvinneandel]]&gt;=F$434,F$434,Tabell2[[#This Row],[Kvinneandel]]))</f>
        <v>0.10329744279946164</v>
      </c>
      <c r="P391" s="41">
        <f>IF(Tabell2[[#This Row],[Eldreandel]]&lt;=G$433,G$433,IF(Tabell2[[#This Row],[Eldreandel]]&gt;=G$434,G$434,Tabell2[[#This Row],[Eldreandel]]))</f>
        <v>0.17496635262449528</v>
      </c>
      <c r="Q391" s="41">
        <f>IF(Tabell2[[#This Row],[Sysselsettingsvekst10]]&lt;=H$433,H$433,IF(Tabell2[[#This Row],[Sysselsettingsvekst10]]&gt;=H$434,H$434,Tabell2[[#This Row],[Sysselsettingsvekst10]]))</f>
        <v>-9.2168803558721979E-2</v>
      </c>
      <c r="R391" s="41">
        <f>IF(Tabell2[[#This Row],[Yrkesaktivandel]]&lt;=I$433,I$433,IF(Tabell2[[#This Row],[Yrkesaktivandel]]&gt;=I$434,I$434,Tabell2[[#This Row],[Yrkesaktivandel]]))</f>
        <v>0.83752191700759793</v>
      </c>
      <c r="S391" s="41">
        <f>IF(Tabell2[[#This Row],[Inntekt]]&lt;=J$433,J$433,IF(Tabell2[[#This Row],[Inntekt]]&gt;=J$434,J$434,Tabell2[[#This Row],[Inntekt]]))</f>
        <v>306800</v>
      </c>
      <c r="T391" s="44">
        <f>IF(Tabell2[[#This Row],[NIBR11-T]]&lt;=K$436,100,IF(Tabell2[[#This Row],[NIBR11-T]]&gt;=K$435,0,100*(K$435-Tabell2[[#This Row],[NIBR11-T]])/K$438))</f>
        <v>60</v>
      </c>
      <c r="U391" s="44">
        <f>(L$435-Tabell2[[#This Row],[ReisetidOslo-T]])*100/L$438</f>
        <v>29.471912582393099</v>
      </c>
      <c r="V391" s="44">
        <f>100-(M$435-Tabell2[[#This Row],[Beftettotal-T]])*100/M$438</f>
        <v>3.8302478433160019</v>
      </c>
      <c r="W391" s="44">
        <f>100-(N$435-Tabell2[[#This Row],[Befvekst10-T]])*100/N$438</f>
        <v>25.607760454195926</v>
      </c>
      <c r="X391" s="44">
        <f>100-(O$435-Tabell2[[#This Row],[Kvinneandel-T]])*100/O$438</f>
        <v>31.687218548874483</v>
      </c>
      <c r="Y391" s="44">
        <f>(P$435-Tabell2[[#This Row],[Eldreandel-T]])*100/P$438</f>
        <v>28.23089487168529</v>
      </c>
      <c r="Z391" s="44">
        <f>100-(Q$435-Tabell2[[#This Row],[Sysselsettingsvekst10-T]])*100/Q$438</f>
        <v>0</v>
      </c>
      <c r="AA391" s="44">
        <f>100-(R$435-Tabell2[[#This Row],[Yrkesaktivandel-T]])*100/R$438</f>
        <v>8.2834965517251788</v>
      </c>
      <c r="AB391" s="44">
        <f>100-(S$435-Tabell2[[#This Row],[Inntekt-T]])*100/S$438</f>
        <v>19.929309407286567</v>
      </c>
      <c r="AC391" s="44">
        <f>Tabell2[[#This Row],[NIBR11-I]]*Vekter!$B$3</f>
        <v>12</v>
      </c>
      <c r="AD391" s="44">
        <f>Tabell2[[#This Row],[ReisetidOslo-I]]*Vekter!$C$3</f>
        <v>2.9471912582393101</v>
      </c>
      <c r="AE391" s="44">
        <f>Tabell2[[#This Row],[Beftettotal-I]]*Vekter!$E$4</f>
        <v>0.3830247843316002</v>
      </c>
      <c r="AF391" s="44">
        <f>Tabell2[[#This Row],[Befvekst10-I]]*Vekter!$F$3</f>
        <v>5.1215520908391854</v>
      </c>
      <c r="AG391" s="44">
        <f>Tabell2[[#This Row],[Kvinneandel-I]]*Vekter!$G$3</f>
        <v>1.5843609274437243</v>
      </c>
      <c r="AH391" s="44">
        <f>Tabell2[[#This Row],[Eldreandel-I]]*Vekter!$H$3</f>
        <v>1.4115447435842645</v>
      </c>
      <c r="AI391" s="44">
        <f>Tabell2[[#This Row],[Sysselsettingsvekst10-I]]*Vekter!$I$3</f>
        <v>0</v>
      </c>
      <c r="AJ391" s="44">
        <f>Tabell2[[#This Row],[Yrkesaktivandel-I]]*Vekter!$K$3</f>
        <v>0.82834965517251791</v>
      </c>
      <c r="AK391" s="44">
        <f>Tabell2[[#This Row],[Inntekt-I]]*Vekter!$M$3</f>
        <v>1.9929309407286568</v>
      </c>
      <c r="AL39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26.268954400339258</v>
      </c>
    </row>
    <row r="392" spans="1:38" s="38" customFormat="1" ht="12.75">
      <c r="A392" s="42" t="s">
        <v>390</v>
      </c>
      <c r="B392" s="38">
        <f>'Rådata-K'!Q392</f>
        <v>11</v>
      </c>
      <c r="C392" s="44">
        <f>'Rådata-K'!P392</f>
        <v>289.06791315190003</v>
      </c>
      <c r="D392" s="41">
        <f>'Rådata-K'!R392</f>
        <v>5.8440751025821687</v>
      </c>
      <c r="E392" s="41">
        <f>'Rådata-K'!S392</f>
        <v>-0.17784256559766765</v>
      </c>
      <c r="F392" s="41">
        <f>'Rådata-K'!T392</f>
        <v>7.2340425531914887E-2</v>
      </c>
      <c r="G392" s="41">
        <f>'Rådata-K'!U392</f>
        <v>0.25673758865248225</v>
      </c>
      <c r="H392" s="41">
        <f>'Rådata-K'!V392</f>
        <v>-0.12923076923076926</v>
      </c>
      <c r="I392" s="41">
        <f>'Rådata-K'!W392</f>
        <v>0.87414500683994523</v>
      </c>
      <c r="J392" s="41">
        <f>'Rådata-K'!O392</f>
        <v>279300</v>
      </c>
      <c r="K392" s="41">
        <f>Tabell2[[#This Row],[NIBR11]]</f>
        <v>11</v>
      </c>
      <c r="L392" s="41">
        <f>IF(Tabell2[[#This Row],[ReisetidOslo]]&lt;=C$433,C$433,IF(Tabell2[[#This Row],[ReisetidOslo]]&gt;=C$434,C$434,Tabell2[[#This Row],[ReisetidOslo]]))</f>
        <v>279.05557553043002</v>
      </c>
      <c r="M392" s="41">
        <f>IF(Tabell2[[#This Row],[Beftettotal]]&lt;=D$433,D$433,IF(Tabell2[[#This Row],[Beftettotal]]&gt;=D$434,D$434,Tabell2[[#This Row],[Beftettotal]]))</f>
        <v>5.8440751025821687</v>
      </c>
      <c r="N392" s="41">
        <f>IF(Tabell2[[#This Row],[Befvekst10]]&lt;=E$433,E$433,IF(Tabell2[[#This Row],[Befvekst10]]&gt;=E$434,E$434,Tabell2[[#This Row],[Befvekst10]]))</f>
        <v>-9.1923232174966049E-2</v>
      </c>
      <c r="O392" s="41">
        <f>IF(Tabell2[[#This Row],[Kvinneandel]]&lt;=F$433,F$433,IF(Tabell2[[#This Row],[Kvinneandel]]&gt;=F$434,F$434,Tabell2[[#This Row],[Kvinneandel]]))</f>
        <v>9.1717808671657367E-2</v>
      </c>
      <c r="P392" s="41">
        <f>IF(Tabell2[[#This Row],[Eldreandel]]&lt;=G$433,G$433,IF(Tabell2[[#This Row],[Eldreandel]]&gt;=G$434,G$434,Tabell2[[#This Row],[Eldreandel]]))</f>
        <v>0.1989437597342919</v>
      </c>
      <c r="Q392" s="41">
        <f>IF(Tabell2[[#This Row],[Sysselsettingsvekst10]]&lt;=H$433,H$433,IF(Tabell2[[#This Row],[Sysselsettingsvekst10]]&gt;=H$434,H$434,Tabell2[[#This Row],[Sysselsettingsvekst10]]))</f>
        <v>-9.2168803558721979E-2</v>
      </c>
      <c r="R392" s="41">
        <f>IF(Tabell2[[#This Row],[Yrkesaktivandel]]&lt;=I$433,I$433,IF(Tabell2[[#This Row],[Yrkesaktivandel]]&gt;=I$434,I$434,Tabell2[[#This Row],[Yrkesaktivandel]]))</f>
        <v>0.87414500683994523</v>
      </c>
      <c r="S392" s="41">
        <f>IF(Tabell2[[#This Row],[Inntekt]]&lt;=J$433,J$433,IF(Tabell2[[#This Row],[Inntekt]]&gt;=J$434,J$434,Tabell2[[#This Row],[Inntekt]]))</f>
        <v>292140</v>
      </c>
      <c r="T392" s="44">
        <f>IF(Tabell2[[#This Row],[NIBR11-T]]&lt;=K$436,100,IF(Tabell2[[#This Row],[NIBR11-T]]&gt;=K$435,0,100*(K$435-Tabell2[[#This Row],[NIBR11-T]])/K$438))</f>
        <v>0</v>
      </c>
      <c r="U392" s="44">
        <f>(L$435-Tabell2[[#This Row],[ReisetidOslo-T]])*100/L$438</f>
        <v>0</v>
      </c>
      <c r="V392" s="44">
        <f>100-(M$435-Tabell2[[#This Row],[Beftettotal-T]])*100/M$438</f>
        <v>3.7000895725209659</v>
      </c>
      <c r="W392" s="44">
        <f>100-(N$435-Tabell2[[#This Row],[Befvekst10-T]])*100/N$438</f>
        <v>0</v>
      </c>
      <c r="X392" s="44">
        <f>100-(O$435-Tabell2[[#This Row],[Kvinneandel-T]])*100/O$438</f>
        <v>0</v>
      </c>
      <c r="Y392" s="44">
        <f>(P$435-Tabell2[[#This Row],[Eldreandel-T]])*100/P$438</f>
        <v>0</v>
      </c>
      <c r="Z392" s="44">
        <f>100-(Q$435-Tabell2[[#This Row],[Sysselsettingsvekst10-T]])*100/Q$438</f>
        <v>0</v>
      </c>
      <c r="AA392" s="44">
        <f>100-(R$435-Tabell2[[#This Row],[Yrkesaktivandel-T]])*100/R$438</f>
        <v>35.632946520098145</v>
      </c>
      <c r="AB392" s="44">
        <f>100-(S$435-Tabell2[[#This Row],[Inntekt-T]])*100/S$438</f>
        <v>0</v>
      </c>
      <c r="AC392" s="44">
        <f>Tabell2[[#This Row],[NIBR11-I]]*Vekter!$B$3</f>
        <v>0</v>
      </c>
      <c r="AD392" s="44">
        <f>Tabell2[[#This Row],[ReisetidOslo-I]]*Vekter!$C$3</f>
        <v>0</v>
      </c>
      <c r="AE392" s="44">
        <f>Tabell2[[#This Row],[Beftettotal-I]]*Vekter!$E$4</f>
        <v>0.37000895725209659</v>
      </c>
      <c r="AF392" s="44">
        <f>Tabell2[[#This Row],[Befvekst10-I]]*Vekter!$F$3</f>
        <v>0</v>
      </c>
      <c r="AG392" s="44">
        <f>Tabell2[[#This Row],[Kvinneandel-I]]*Vekter!$G$3</f>
        <v>0</v>
      </c>
      <c r="AH392" s="44">
        <f>Tabell2[[#This Row],[Eldreandel-I]]*Vekter!$H$3</f>
        <v>0</v>
      </c>
      <c r="AI392" s="44">
        <f>Tabell2[[#This Row],[Sysselsettingsvekst10-I]]*Vekter!$I$3</f>
        <v>0</v>
      </c>
      <c r="AJ392" s="44">
        <f>Tabell2[[#This Row],[Yrkesaktivandel-I]]*Vekter!$K$3</f>
        <v>3.5632946520098145</v>
      </c>
      <c r="AK392" s="44">
        <f>Tabell2[[#This Row],[Inntekt-I]]*Vekter!$M$3</f>
        <v>0</v>
      </c>
      <c r="AL39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3.9333036092619111</v>
      </c>
    </row>
    <row r="393" spans="1:38" s="38" customFormat="1" ht="12.75">
      <c r="A393" s="42" t="s">
        <v>391</v>
      </c>
      <c r="B393" s="38">
        <f>'Rådata-K'!Q393</f>
        <v>5</v>
      </c>
      <c r="C393" s="44">
        <f>'Rådata-K'!P393</f>
        <v>251.9552515629</v>
      </c>
      <c r="D393" s="41">
        <f>'Rådata-K'!R393</f>
        <v>3.6320618985196784</v>
      </c>
      <c r="E393" s="41">
        <f>'Rådata-K'!S393</f>
        <v>-0.13677811550151975</v>
      </c>
      <c r="F393" s="41">
        <f>'Rådata-K'!T393</f>
        <v>8.8028169014084501E-2</v>
      </c>
      <c r="G393" s="41">
        <f>'Rådata-K'!U393</f>
        <v>0.2244718309859155</v>
      </c>
      <c r="H393" s="41">
        <f>'Rådata-K'!V393</f>
        <v>-5.0343249427917569E-2</v>
      </c>
      <c r="I393" s="41">
        <f>'Rådata-K'!W393</f>
        <v>0.83194675540765395</v>
      </c>
      <c r="J393" s="41">
        <f>'Rådata-K'!O393</f>
        <v>278800</v>
      </c>
      <c r="K393" s="41">
        <f>Tabell2[[#This Row],[NIBR11]]</f>
        <v>5</v>
      </c>
      <c r="L393" s="41">
        <f>IF(Tabell2[[#This Row],[ReisetidOslo]]&lt;=C$433,C$433,IF(Tabell2[[#This Row],[ReisetidOslo]]&gt;=C$434,C$434,Tabell2[[#This Row],[ReisetidOslo]]))</f>
        <v>251.9552515629</v>
      </c>
      <c r="M393" s="41">
        <f>IF(Tabell2[[#This Row],[Beftettotal]]&lt;=D$433,D$433,IF(Tabell2[[#This Row],[Beftettotal]]&gt;=D$434,D$434,Tabell2[[#This Row],[Beftettotal]]))</f>
        <v>3.6320618985196784</v>
      </c>
      <c r="N393" s="41">
        <f>IF(Tabell2[[#This Row],[Befvekst10]]&lt;=E$433,E$433,IF(Tabell2[[#This Row],[Befvekst10]]&gt;=E$434,E$434,Tabell2[[#This Row],[Befvekst10]]))</f>
        <v>-9.1923232174966049E-2</v>
      </c>
      <c r="O393" s="41">
        <f>IF(Tabell2[[#This Row],[Kvinneandel]]&lt;=F$433,F$433,IF(Tabell2[[#This Row],[Kvinneandel]]&gt;=F$434,F$434,Tabell2[[#This Row],[Kvinneandel]]))</f>
        <v>9.1717808671657367E-2</v>
      </c>
      <c r="P393" s="41">
        <f>IF(Tabell2[[#This Row],[Eldreandel]]&lt;=G$433,G$433,IF(Tabell2[[#This Row],[Eldreandel]]&gt;=G$434,G$434,Tabell2[[#This Row],[Eldreandel]]))</f>
        <v>0.1989437597342919</v>
      </c>
      <c r="Q393" s="41">
        <f>IF(Tabell2[[#This Row],[Sysselsettingsvekst10]]&lt;=H$433,H$433,IF(Tabell2[[#This Row],[Sysselsettingsvekst10]]&gt;=H$434,H$434,Tabell2[[#This Row],[Sysselsettingsvekst10]]))</f>
        <v>-5.0343249427917569E-2</v>
      </c>
      <c r="R393" s="41">
        <f>IF(Tabell2[[#This Row],[Yrkesaktivandel]]&lt;=I$433,I$433,IF(Tabell2[[#This Row],[Yrkesaktivandel]]&gt;=I$434,I$434,Tabell2[[#This Row],[Yrkesaktivandel]]))</f>
        <v>0.83194675540765395</v>
      </c>
      <c r="S393" s="41">
        <f>IF(Tabell2[[#This Row],[Inntekt]]&lt;=J$433,J$433,IF(Tabell2[[#This Row],[Inntekt]]&gt;=J$434,J$434,Tabell2[[#This Row],[Inntekt]]))</f>
        <v>292140</v>
      </c>
      <c r="T393" s="44">
        <f>IF(Tabell2[[#This Row],[NIBR11-T]]&lt;=K$436,100,IF(Tabell2[[#This Row],[NIBR11-T]]&gt;=K$435,0,100*(K$435-Tabell2[[#This Row],[NIBR11-T]])/K$438))</f>
        <v>60</v>
      </c>
      <c r="U393" s="44">
        <f>(L$435-Tabell2[[#This Row],[ReisetidOslo-T]])*100/L$438</f>
        <v>12.031204864735313</v>
      </c>
      <c r="V393" s="44">
        <f>100-(M$435-Tabell2[[#This Row],[Beftettotal-T]])*100/M$438</f>
        <v>1.8906477021645713</v>
      </c>
      <c r="W393" s="44">
        <f>100-(N$435-Tabell2[[#This Row],[Befvekst10-T]])*100/N$438</f>
        <v>0</v>
      </c>
      <c r="X393" s="44">
        <f>100-(O$435-Tabell2[[#This Row],[Kvinneandel-T]])*100/O$438</f>
        <v>0</v>
      </c>
      <c r="Y393" s="44">
        <f>(P$435-Tabell2[[#This Row],[Eldreandel-T]])*100/P$438</f>
        <v>0</v>
      </c>
      <c r="Z393" s="44">
        <f>100-(Q$435-Tabell2[[#This Row],[Sysselsettingsvekst10-T]])*100/Q$438</f>
        <v>12.297427261303</v>
      </c>
      <c r="AA393" s="44">
        <f>100-(R$435-Tabell2[[#This Row],[Yrkesaktivandel-T]])*100/R$438</f>
        <v>4.120068399123312</v>
      </c>
      <c r="AB393" s="44">
        <f>100-(S$435-Tabell2[[#This Row],[Inntekt-T]])*100/S$438</f>
        <v>0</v>
      </c>
      <c r="AC393" s="44">
        <f>Tabell2[[#This Row],[NIBR11-I]]*Vekter!$B$3</f>
        <v>12</v>
      </c>
      <c r="AD393" s="44">
        <f>Tabell2[[#This Row],[ReisetidOslo-I]]*Vekter!$C$3</f>
        <v>1.2031204864735314</v>
      </c>
      <c r="AE393" s="44">
        <f>Tabell2[[#This Row],[Beftettotal-I]]*Vekter!$E$4</f>
        <v>0.18906477021645715</v>
      </c>
      <c r="AF393" s="44">
        <f>Tabell2[[#This Row],[Befvekst10-I]]*Vekter!$F$3</f>
        <v>0</v>
      </c>
      <c r="AG393" s="44">
        <f>Tabell2[[#This Row],[Kvinneandel-I]]*Vekter!$G$3</f>
        <v>0</v>
      </c>
      <c r="AH393" s="44">
        <f>Tabell2[[#This Row],[Eldreandel-I]]*Vekter!$H$3</f>
        <v>0</v>
      </c>
      <c r="AI393" s="44">
        <f>Tabell2[[#This Row],[Sysselsettingsvekst10-I]]*Vekter!$I$3</f>
        <v>1.2297427261303</v>
      </c>
      <c r="AJ393" s="44">
        <f>Tabell2[[#This Row],[Yrkesaktivandel-I]]*Vekter!$K$3</f>
        <v>0.41200683991233122</v>
      </c>
      <c r="AK393" s="44">
        <f>Tabell2[[#This Row],[Inntekt-I]]*Vekter!$M$3</f>
        <v>0</v>
      </c>
      <c r="AL39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15.033934822732622</v>
      </c>
    </row>
    <row r="394" spans="1:38" s="38" customFormat="1" ht="12.75">
      <c r="A394" s="42" t="s">
        <v>392</v>
      </c>
      <c r="B394" s="38">
        <f>'Rådata-K'!Q394</f>
        <v>11</v>
      </c>
      <c r="C394" s="44">
        <f>'Rådata-K'!P394</f>
        <v>261.32889302299998</v>
      </c>
      <c r="D394" s="41">
        <f>'Rådata-K'!R394</f>
        <v>3.367360466657829</v>
      </c>
      <c r="E394" s="41">
        <f>'Rådata-K'!S394</f>
        <v>-3.2380952380952399E-2</v>
      </c>
      <c r="F394" s="41">
        <f>'Rådata-K'!T394</f>
        <v>0.10039370078740158</v>
      </c>
      <c r="G394" s="41">
        <f>'Rådata-K'!U394</f>
        <v>0.20570866141732283</v>
      </c>
      <c r="H394" s="41">
        <f>'Rådata-K'!V394</f>
        <v>-1.501501501501501E-2</v>
      </c>
      <c r="I394" s="41">
        <f>'Rådata-K'!W394</f>
        <v>0.84790874524714832</v>
      </c>
      <c r="J394" s="41">
        <f>'Rådata-K'!O394</f>
        <v>282400</v>
      </c>
      <c r="K394" s="41">
        <f>Tabell2[[#This Row],[NIBR11]]</f>
        <v>11</v>
      </c>
      <c r="L394" s="41">
        <f>IF(Tabell2[[#This Row],[ReisetidOslo]]&lt;=C$433,C$433,IF(Tabell2[[#This Row],[ReisetidOslo]]&gt;=C$434,C$434,Tabell2[[#This Row],[ReisetidOslo]]))</f>
        <v>261.32889302299998</v>
      </c>
      <c r="M394" s="41">
        <f>IF(Tabell2[[#This Row],[Beftettotal]]&lt;=D$433,D$433,IF(Tabell2[[#This Row],[Beftettotal]]&gt;=D$434,D$434,Tabell2[[#This Row],[Beftettotal]]))</f>
        <v>3.367360466657829</v>
      </c>
      <c r="N394" s="41">
        <f>IF(Tabell2[[#This Row],[Befvekst10]]&lt;=E$433,E$433,IF(Tabell2[[#This Row],[Befvekst10]]&gt;=E$434,E$434,Tabell2[[#This Row],[Befvekst10]]))</f>
        <v>-3.2380952380952399E-2</v>
      </c>
      <c r="O394" s="41">
        <f>IF(Tabell2[[#This Row],[Kvinneandel]]&lt;=F$433,F$433,IF(Tabell2[[#This Row],[Kvinneandel]]&gt;=F$434,F$434,Tabell2[[#This Row],[Kvinneandel]]))</f>
        <v>0.10039370078740158</v>
      </c>
      <c r="P394" s="41">
        <f>IF(Tabell2[[#This Row],[Eldreandel]]&lt;=G$433,G$433,IF(Tabell2[[#This Row],[Eldreandel]]&gt;=G$434,G$434,Tabell2[[#This Row],[Eldreandel]]))</f>
        <v>0.1989437597342919</v>
      </c>
      <c r="Q394" s="41">
        <f>IF(Tabell2[[#This Row],[Sysselsettingsvekst10]]&lt;=H$433,H$433,IF(Tabell2[[#This Row],[Sysselsettingsvekst10]]&gt;=H$434,H$434,Tabell2[[#This Row],[Sysselsettingsvekst10]]))</f>
        <v>-1.501501501501501E-2</v>
      </c>
      <c r="R394" s="41">
        <f>IF(Tabell2[[#This Row],[Yrkesaktivandel]]&lt;=I$433,I$433,IF(Tabell2[[#This Row],[Yrkesaktivandel]]&gt;=I$434,I$434,Tabell2[[#This Row],[Yrkesaktivandel]]))</f>
        <v>0.84790874524714832</v>
      </c>
      <c r="S394" s="41">
        <f>IF(Tabell2[[#This Row],[Inntekt]]&lt;=J$433,J$433,IF(Tabell2[[#This Row],[Inntekt]]&gt;=J$434,J$434,Tabell2[[#This Row],[Inntekt]]))</f>
        <v>292140</v>
      </c>
      <c r="T394" s="44">
        <f>IF(Tabell2[[#This Row],[NIBR11-T]]&lt;=K$436,100,IF(Tabell2[[#This Row],[NIBR11-T]]&gt;=K$435,0,100*(K$435-Tabell2[[#This Row],[NIBR11-T]])/K$438))</f>
        <v>0</v>
      </c>
      <c r="U394" s="44">
        <f>(L$435-Tabell2[[#This Row],[ReisetidOslo-T]])*100/L$438</f>
        <v>7.8697711907260608</v>
      </c>
      <c r="V394" s="44">
        <f>100-(M$435-Tabell2[[#This Row],[Beftettotal-T]])*100/M$438</f>
        <v>1.6741201276119</v>
      </c>
      <c r="W394" s="44">
        <f>100-(N$435-Tabell2[[#This Row],[Befvekst10-T]])*100/N$438</f>
        <v>24.633526986772196</v>
      </c>
      <c r="X394" s="44">
        <f>100-(O$435-Tabell2[[#This Row],[Kvinneandel-T]])*100/O$438</f>
        <v>23.741241436802909</v>
      </c>
      <c r="Y394" s="44">
        <f>(P$435-Tabell2[[#This Row],[Eldreandel-T]])*100/P$438</f>
        <v>0</v>
      </c>
      <c r="Z394" s="44">
        <f>100-(Q$435-Tabell2[[#This Row],[Sysselsettingsvekst10-T]])*100/Q$438</f>
        <v>22.684531556544428</v>
      </c>
      <c r="AA394" s="44">
        <f>100-(R$435-Tabell2[[#This Row],[Yrkesaktivandel-T]])*100/R$438</f>
        <v>16.040188861633965</v>
      </c>
      <c r="AB394" s="44">
        <f>100-(S$435-Tabell2[[#This Row],[Inntekt-T]])*100/S$438</f>
        <v>0</v>
      </c>
      <c r="AC394" s="44">
        <f>Tabell2[[#This Row],[NIBR11-I]]*Vekter!$B$3</f>
        <v>0</v>
      </c>
      <c r="AD394" s="44">
        <f>Tabell2[[#This Row],[ReisetidOslo-I]]*Vekter!$C$3</f>
        <v>0.78697711907260615</v>
      </c>
      <c r="AE394" s="44">
        <f>Tabell2[[#This Row],[Beftettotal-I]]*Vekter!$E$4</f>
        <v>0.16741201276119</v>
      </c>
      <c r="AF394" s="44">
        <f>Tabell2[[#This Row],[Befvekst10-I]]*Vekter!$F$3</f>
        <v>4.9267053973544392</v>
      </c>
      <c r="AG394" s="44">
        <f>Tabell2[[#This Row],[Kvinneandel-I]]*Vekter!$G$3</f>
        <v>1.1870620718401454</v>
      </c>
      <c r="AH394" s="44">
        <f>Tabell2[[#This Row],[Eldreandel-I]]*Vekter!$H$3</f>
        <v>0</v>
      </c>
      <c r="AI394" s="44">
        <f>Tabell2[[#This Row],[Sysselsettingsvekst10-I]]*Vekter!$I$3</f>
        <v>2.2684531556544427</v>
      </c>
      <c r="AJ394" s="44">
        <f>Tabell2[[#This Row],[Yrkesaktivandel-I]]*Vekter!$K$3</f>
        <v>1.6040188861633966</v>
      </c>
      <c r="AK394" s="44">
        <f>Tabell2[[#This Row],[Inntekt-I]]*Vekter!$M$3</f>
        <v>0</v>
      </c>
      <c r="AL39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10.940628642846221</v>
      </c>
    </row>
    <row r="395" spans="1:38" s="38" customFormat="1" ht="12.75">
      <c r="A395" s="42" t="s">
        <v>393</v>
      </c>
      <c r="B395" s="38">
        <f>'Rådata-K'!Q395</f>
        <v>9</v>
      </c>
      <c r="C395" s="44">
        <f>'Rådata-K'!P395</f>
        <v>228.4405748053</v>
      </c>
      <c r="D395" s="41">
        <f>'Rådata-K'!R395</f>
        <v>1.4331204301950153</v>
      </c>
      <c r="E395" s="41">
        <f>'Rådata-K'!S395</f>
        <v>2.0005264543300871E-2</v>
      </c>
      <c r="F395" s="41">
        <f>'Rådata-K'!T395</f>
        <v>0.12129032258064516</v>
      </c>
      <c r="G395" s="41">
        <f>'Rådata-K'!U395</f>
        <v>0.1489032258064516</v>
      </c>
      <c r="H395" s="41">
        <f>'Rådata-K'!V395</f>
        <v>7.1713147410358502E-2</v>
      </c>
      <c r="I395" s="41">
        <f>'Rådata-K'!W395</f>
        <v>0.92850678733031677</v>
      </c>
      <c r="J395" s="41">
        <f>'Rådata-K'!O395</f>
        <v>343500</v>
      </c>
      <c r="K395" s="41">
        <f>Tabell2[[#This Row],[NIBR11]]</f>
        <v>9</v>
      </c>
      <c r="L395" s="41">
        <f>IF(Tabell2[[#This Row],[ReisetidOslo]]&lt;=C$433,C$433,IF(Tabell2[[#This Row],[ReisetidOslo]]&gt;=C$434,C$434,Tabell2[[#This Row],[ReisetidOslo]]))</f>
        <v>228.4405748053</v>
      </c>
      <c r="M395" s="41">
        <f>IF(Tabell2[[#This Row],[Beftettotal]]&lt;=D$433,D$433,IF(Tabell2[[#This Row],[Beftettotal]]&gt;=D$434,D$434,Tabell2[[#This Row],[Beftettotal]]))</f>
        <v>1.4331204301950153</v>
      </c>
      <c r="N395" s="41">
        <f>IF(Tabell2[[#This Row],[Befvekst10]]&lt;=E$433,E$433,IF(Tabell2[[#This Row],[Befvekst10]]&gt;=E$434,E$434,Tabell2[[#This Row],[Befvekst10]]))</f>
        <v>2.0005264543300871E-2</v>
      </c>
      <c r="O395" s="41">
        <f>IF(Tabell2[[#This Row],[Kvinneandel]]&lt;=F$433,F$433,IF(Tabell2[[#This Row],[Kvinneandel]]&gt;=F$434,F$434,Tabell2[[#This Row],[Kvinneandel]]))</f>
        <v>0.12129032258064516</v>
      </c>
      <c r="P395" s="41">
        <f>IF(Tabell2[[#This Row],[Eldreandel]]&lt;=G$433,G$433,IF(Tabell2[[#This Row],[Eldreandel]]&gt;=G$434,G$434,Tabell2[[#This Row],[Eldreandel]]))</f>
        <v>0.1489032258064516</v>
      </c>
      <c r="Q395" s="41">
        <f>IF(Tabell2[[#This Row],[Sysselsettingsvekst10]]&lt;=H$433,H$433,IF(Tabell2[[#This Row],[Sysselsettingsvekst10]]&gt;=H$434,H$434,Tabell2[[#This Row],[Sysselsettingsvekst10]]))</f>
        <v>7.1713147410358502E-2</v>
      </c>
      <c r="R395" s="41">
        <f>IF(Tabell2[[#This Row],[Yrkesaktivandel]]&lt;=I$433,I$433,IF(Tabell2[[#This Row],[Yrkesaktivandel]]&gt;=I$434,I$434,Tabell2[[#This Row],[Yrkesaktivandel]]))</f>
        <v>0.92850678733031677</v>
      </c>
      <c r="S395" s="41">
        <f>IF(Tabell2[[#This Row],[Inntekt]]&lt;=J$433,J$433,IF(Tabell2[[#This Row],[Inntekt]]&gt;=J$434,J$434,Tabell2[[#This Row],[Inntekt]]))</f>
        <v>343500</v>
      </c>
      <c r="T395" s="44">
        <f>IF(Tabell2[[#This Row],[NIBR11-T]]&lt;=K$436,100,IF(Tabell2[[#This Row],[NIBR11-T]]&gt;=K$435,0,100*(K$435-Tabell2[[#This Row],[NIBR11-T]])/K$438))</f>
        <v>20</v>
      </c>
      <c r="U395" s="44">
        <f>(L$435-Tabell2[[#This Row],[ReisetidOslo-T]])*100/L$438</f>
        <v>22.470559528453766</v>
      </c>
      <c r="V395" s="44">
        <f>100-(M$435-Tabell2[[#This Row],[Beftettotal-T]])*100/M$438</f>
        <v>9.1898600693454568E-2</v>
      </c>
      <c r="W395" s="44">
        <f>100-(N$435-Tabell2[[#This Row],[Befvekst10-T]])*100/N$438</f>
        <v>46.306484300513446</v>
      </c>
      <c r="X395" s="44">
        <f>100-(O$435-Tabell2[[#This Row],[Kvinneandel-T]])*100/O$438</f>
        <v>80.92403446700385</v>
      </c>
      <c r="Y395" s="44">
        <f>(P$435-Tabell2[[#This Row],[Eldreandel-T]])*100/P$438</f>
        <v>58.917507058662231</v>
      </c>
      <c r="Z395" s="44">
        <f>100-(Q$435-Tabell2[[#This Row],[Sysselsettingsvekst10-T]])*100/Q$438</f>
        <v>48.184092556909185</v>
      </c>
      <c r="AA395" s="44">
        <f>100-(R$435-Tabell2[[#This Row],[Yrkesaktivandel-T]])*100/R$438</f>
        <v>76.229324447771177</v>
      </c>
      <c r="AB395" s="44">
        <f>100-(S$435-Tabell2[[#This Row],[Inntekt-T]])*100/S$438</f>
        <v>69.820554649265901</v>
      </c>
      <c r="AC395" s="44">
        <f>Tabell2[[#This Row],[NIBR11-I]]*Vekter!$B$3</f>
        <v>4</v>
      </c>
      <c r="AD395" s="44">
        <f>Tabell2[[#This Row],[ReisetidOslo-I]]*Vekter!$C$3</f>
        <v>2.2470559528453768</v>
      </c>
      <c r="AE395" s="44">
        <f>Tabell2[[#This Row],[Beftettotal-I]]*Vekter!$E$4</f>
        <v>9.1898600693454575E-3</v>
      </c>
      <c r="AF395" s="44">
        <f>Tabell2[[#This Row],[Befvekst10-I]]*Vekter!$F$3</f>
        <v>9.2612968601026893</v>
      </c>
      <c r="AG395" s="44">
        <f>Tabell2[[#This Row],[Kvinneandel-I]]*Vekter!$G$3</f>
        <v>4.046201723350193</v>
      </c>
      <c r="AH395" s="44">
        <f>Tabell2[[#This Row],[Eldreandel-I]]*Vekter!$H$3</f>
        <v>2.9458753529331116</v>
      </c>
      <c r="AI395" s="44">
        <f>Tabell2[[#This Row],[Sysselsettingsvekst10-I]]*Vekter!$I$3</f>
        <v>4.818409255690919</v>
      </c>
      <c r="AJ395" s="44">
        <f>Tabell2[[#This Row],[Yrkesaktivandel-I]]*Vekter!$K$3</f>
        <v>7.6229324447771178</v>
      </c>
      <c r="AK395" s="44">
        <f>Tabell2[[#This Row],[Inntekt-I]]*Vekter!$M$3</f>
        <v>6.9820554649265905</v>
      </c>
      <c r="AL39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41.933016914695344</v>
      </c>
    </row>
    <row r="396" spans="1:38" s="38" customFormat="1" ht="12.75">
      <c r="A396" s="42" t="s">
        <v>394</v>
      </c>
      <c r="B396" s="38">
        <f>'Rådata-K'!Q396</f>
        <v>11</v>
      </c>
      <c r="C396" s="44">
        <f>'Rådata-K'!P396</f>
        <v>252.56021968030001</v>
      </c>
      <c r="D396" s="41">
        <f>'Rådata-K'!R396</f>
        <v>4.8340611353711793</v>
      </c>
      <c r="E396" s="41">
        <f>'Rådata-K'!S396</f>
        <v>-3.8645245332175393E-2</v>
      </c>
      <c r="F396" s="41">
        <f>'Rådata-K'!T396</f>
        <v>9.66576332429991E-2</v>
      </c>
      <c r="G396" s="41">
        <f>'Rådata-K'!U396</f>
        <v>0.15853658536585366</v>
      </c>
      <c r="H396" s="41">
        <f>'Rådata-K'!V396</f>
        <v>2.2151898734177111E-2</v>
      </c>
      <c r="I396" s="41">
        <f>'Rådata-K'!W396</f>
        <v>0.90916736753574434</v>
      </c>
      <c r="J396" s="41">
        <f>'Rådata-K'!O396</f>
        <v>299900</v>
      </c>
      <c r="K396" s="41">
        <f>Tabell2[[#This Row],[NIBR11]]</f>
        <v>11</v>
      </c>
      <c r="L396" s="41">
        <f>IF(Tabell2[[#This Row],[ReisetidOslo]]&lt;=C$433,C$433,IF(Tabell2[[#This Row],[ReisetidOslo]]&gt;=C$434,C$434,Tabell2[[#This Row],[ReisetidOslo]]))</f>
        <v>252.56021968030001</v>
      </c>
      <c r="M396" s="41">
        <f>IF(Tabell2[[#This Row],[Beftettotal]]&lt;=D$433,D$433,IF(Tabell2[[#This Row],[Beftettotal]]&gt;=D$434,D$434,Tabell2[[#This Row],[Beftettotal]]))</f>
        <v>4.8340611353711793</v>
      </c>
      <c r="N396" s="41">
        <f>IF(Tabell2[[#This Row],[Befvekst10]]&lt;=E$433,E$433,IF(Tabell2[[#This Row],[Befvekst10]]&gt;=E$434,E$434,Tabell2[[#This Row],[Befvekst10]]))</f>
        <v>-3.8645245332175393E-2</v>
      </c>
      <c r="O396" s="41">
        <f>IF(Tabell2[[#This Row],[Kvinneandel]]&lt;=F$433,F$433,IF(Tabell2[[#This Row],[Kvinneandel]]&gt;=F$434,F$434,Tabell2[[#This Row],[Kvinneandel]]))</f>
        <v>9.66576332429991E-2</v>
      </c>
      <c r="P396" s="41">
        <f>IF(Tabell2[[#This Row],[Eldreandel]]&lt;=G$433,G$433,IF(Tabell2[[#This Row],[Eldreandel]]&gt;=G$434,G$434,Tabell2[[#This Row],[Eldreandel]]))</f>
        <v>0.15853658536585366</v>
      </c>
      <c r="Q396" s="41">
        <f>IF(Tabell2[[#This Row],[Sysselsettingsvekst10]]&lt;=H$433,H$433,IF(Tabell2[[#This Row],[Sysselsettingsvekst10]]&gt;=H$434,H$434,Tabell2[[#This Row],[Sysselsettingsvekst10]]))</f>
        <v>2.2151898734177111E-2</v>
      </c>
      <c r="R396" s="41">
        <f>IF(Tabell2[[#This Row],[Yrkesaktivandel]]&lt;=I$433,I$433,IF(Tabell2[[#This Row],[Yrkesaktivandel]]&gt;=I$434,I$434,Tabell2[[#This Row],[Yrkesaktivandel]]))</f>
        <v>0.90916736753574434</v>
      </c>
      <c r="S396" s="41">
        <f>IF(Tabell2[[#This Row],[Inntekt]]&lt;=J$433,J$433,IF(Tabell2[[#This Row],[Inntekt]]&gt;=J$434,J$434,Tabell2[[#This Row],[Inntekt]]))</f>
        <v>299900</v>
      </c>
      <c r="T396" s="44">
        <f>IF(Tabell2[[#This Row],[NIBR11-T]]&lt;=K$436,100,IF(Tabell2[[#This Row],[NIBR11-T]]&gt;=K$435,0,100*(K$435-Tabell2[[#This Row],[NIBR11-T]])/K$438))</f>
        <v>0</v>
      </c>
      <c r="U396" s="44">
        <f>(L$435-Tabell2[[#This Row],[ReisetidOslo-T]])*100/L$438</f>
        <v>11.762628910964672</v>
      </c>
      <c r="V396" s="44">
        <f>100-(M$435-Tabell2[[#This Row],[Beftettotal-T]])*100/M$438</f>
        <v>2.8738912665795908</v>
      </c>
      <c r="W396" s="44">
        <f>100-(N$435-Tabell2[[#This Row],[Befvekst10-T]])*100/N$438</f>
        <v>22.041895796283043</v>
      </c>
      <c r="X396" s="44">
        <f>100-(O$435-Tabell2[[#This Row],[Kvinneandel-T]])*100/O$438</f>
        <v>13.517637868139346</v>
      </c>
      <c r="Y396" s="44">
        <f>(P$435-Tabell2[[#This Row],[Eldreandel-T]])*100/P$438</f>
        <v>47.575231401528811</v>
      </c>
      <c r="Z396" s="44">
        <f>100-(Q$435-Tabell2[[#This Row],[Sysselsettingsvekst10-T]])*100/Q$438</f>
        <v>33.612238979820191</v>
      </c>
      <c r="AA396" s="44">
        <f>100-(R$435-Tabell2[[#This Row],[Yrkesaktivandel-T]])*100/R$438</f>
        <v>61.78700140757126</v>
      </c>
      <c r="AB396" s="44">
        <f>100-(S$435-Tabell2[[#This Row],[Inntekt-T]])*100/S$438</f>
        <v>10.549211528004349</v>
      </c>
      <c r="AC396" s="44">
        <f>Tabell2[[#This Row],[NIBR11-I]]*Vekter!$B$3</f>
        <v>0</v>
      </c>
      <c r="AD396" s="44">
        <f>Tabell2[[#This Row],[ReisetidOslo-I]]*Vekter!$C$3</f>
        <v>1.1762628910964672</v>
      </c>
      <c r="AE396" s="44">
        <f>Tabell2[[#This Row],[Beftettotal-I]]*Vekter!$E$4</f>
        <v>0.28738912665795907</v>
      </c>
      <c r="AF396" s="44">
        <f>Tabell2[[#This Row],[Befvekst10-I]]*Vekter!$F$3</f>
        <v>4.4083791592566088</v>
      </c>
      <c r="AG396" s="44">
        <f>Tabell2[[#This Row],[Kvinneandel-I]]*Vekter!$G$3</f>
        <v>0.67588189340696736</v>
      </c>
      <c r="AH396" s="44">
        <f>Tabell2[[#This Row],[Eldreandel-I]]*Vekter!$H$3</f>
        <v>2.3787615700764406</v>
      </c>
      <c r="AI396" s="44">
        <f>Tabell2[[#This Row],[Sysselsettingsvekst10-I]]*Vekter!$I$3</f>
        <v>3.3612238979820193</v>
      </c>
      <c r="AJ396" s="44">
        <f>Tabell2[[#This Row],[Yrkesaktivandel-I]]*Vekter!$K$3</f>
        <v>6.178700140757126</v>
      </c>
      <c r="AK396" s="44">
        <f>Tabell2[[#This Row],[Inntekt-I]]*Vekter!$M$3</f>
        <v>1.054921152800435</v>
      </c>
      <c r="AL39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19.521519832034024</v>
      </c>
    </row>
    <row r="397" spans="1:38" s="38" customFormat="1" ht="12.75">
      <c r="A397" s="42" t="s">
        <v>395</v>
      </c>
      <c r="B397" s="38">
        <f>'Rådata-K'!Q397</f>
        <v>9</v>
      </c>
      <c r="C397" s="44">
        <f>'Rådata-K'!P397</f>
        <v>216.8616996666</v>
      </c>
      <c r="D397" s="41">
        <f>'Rådata-K'!R397</f>
        <v>1.9866213889189939</v>
      </c>
      <c r="E397" s="41">
        <f>'Rådata-K'!S397</f>
        <v>-3.7485414235705949E-2</v>
      </c>
      <c r="F397" s="41">
        <f>'Rådata-K'!T397</f>
        <v>0.10925897863312622</v>
      </c>
      <c r="G397" s="41">
        <f>'Rådata-K'!U397</f>
        <v>0.14941657826943477</v>
      </c>
      <c r="H397" s="41">
        <f>'Rådata-K'!V397</f>
        <v>3.0882754851052185E-2</v>
      </c>
      <c r="I397" s="41">
        <f>'Rådata-K'!W397</f>
        <v>0.93059936908517349</v>
      </c>
      <c r="J397" s="41">
        <f>'Rådata-K'!O397</f>
        <v>335700</v>
      </c>
      <c r="K397" s="41">
        <f>Tabell2[[#This Row],[NIBR11]]</f>
        <v>9</v>
      </c>
      <c r="L397" s="41">
        <f>IF(Tabell2[[#This Row],[ReisetidOslo]]&lt;=C$433,C$433,IF(Tabell2[[#This Row],[ReisetidOslo]]&gt;=C$434,C$434,Tabell2[[#This Row],[ReisetidOslo]]))</f>
        <v>216.8616996666</v>
      </c>
      <c r="M397" s="41">
        <f>IF(Tabell2[[#This Row],[Beftettotal]]&lt;=D$433,D$433,IF(Tabell2[[#This Row],[Beftettotal]]&gt;=D$434,D$434,Tabell2[[#This Row],[Beftettotal]]))</f>
        <v>1.9866213889189939</v>
      </c>
      <c r="N397" s="41">
        <f>IF(Tabell2[[#This Row],[Befvekst10]]&lt;=E$433,E$433,IF(Tabell2[[#This Row],[Befvekst10]]&gt;=E$434,E$434,Tabell2[[#This Row],[Befvekst10]]))</f>
        <v>-3.7485414235705949E-2</v>
      </c>
      <c r="O397" s="41">
        <f>IF(Tabell2[[#This Row],[Kvinneandel]]&lt;=F$433,F$433,IF(Tabell2[[#This Row],[Kvinneandel]]&gt;=F$434,F$434,Tabell2[[#This Row],[Kvinneandel]]))</f>
        <v>0.10925897863312622</v>
      </c>
      <c r="P397" s="41">
        <f>IF(Tabell2[[#This Row],[Eldreandel]]&lt;=G$433,G$433,IF(Tabell2[[#This Row],[Eldreandel]]&gt;=G$434,G$434,Tabell2[[#This Row],[Eldreandel]]))</f>
        <v>0.14941657826943477</v>
      </c>
      <c r="Q397" s="41">
        <f>IF(Tabell2[[#This Row],[Sysselsettingsvekst10]]&lt;=H$433,H$433,IF(Tabell2[[#This Row],[Sysselsettingsvekst10]]&gt;=H$434,H$434,Tabell2[[#This Row],[Sysselsettingsvekst10]]))</f>
        <v>3.0882754851052185E-2</v>
      </c>
      <c r="R397" s="41">
        <f>IF(Tabell2[[#This Row],[Yrkesaktivandel]]&lt;=I$433,I$433,IF(Tabell2[[#This Row],[Yrkesaktivandel]]&gt;=I$434,I$434,Tabell2[[#This Row],[Yrkesaktivandel]]))</f>
        <v>0.93059936908517349</v>
      </c>
      <c r="S397" s="41">
        <f>IF(Tabell2[[#This Row],[Inntekt]]&lt;=J$433,J$433,IF(Tabell2[[#This Row],[Inntekt]]&gt;=J$434,J$434,Tabell2[[#This Row],[Inntekt]]))</f>
        <v>335700</v>
      </c>
      <c r="T397" s="44">
        <f>IF(Tabell2[[#This Row],[NIBR11-T]]&lt;=K$436,100,IF(Tabell2[[#This Row],[NIBR11-T]]&gt;=K$435,0,100*(K$435-Tabell2[[#This Row],[NIBR11-T]])/K$438))</f>
        <v>20</v>
      </c>
      <c r="U397" s="44">
        <f>(L$435-Tabell2[[#This Row],[ReisetidOslo-T]])*100/L$438</f>
        <v>27.611007999246976</v>
      </c>
      <c r="V397" s="44">
        <f>100-(M$435-Tabell2[[#This Row],[Beftettotal-T]])*100/M$438</f>
        <v>0.5446661556782999</v>
      </c>
      <c r="W397" s="44">
        <f>100-(N$435-Tabell2[[#This Row],[Befvekst10-T]])*100/N$438</f>
        <v>22.521735176196231</v>
      </c>
      <c r="X397" s="44">
        <f>100-(O$435-Tabell2[[#This Row],[Kvinneandel-T]])*100/O$438</f>
        <v>48.000729559959986</v>
      </c>
      <c r="Y397" s="44">
        <f>(P$435-Tabell2[[#This Row],[Eldreandel-T]])*100/P$438</f>
        <v>58.313088100922748</v>
      </c>
      <c r="Z397" s="44">
        <f>100-(Q$435-Tabell2[[#This Row],[Sysselsettingsvekst10-T]])*100/Q$438</f>
        <v>36.179259794186365</v>
      </c>
      <c r="AA397" s="44">
        <f>100-(R$435-Tabell2[[#This Row],[Yrkesaktivandel-T]])*100/R$438</f>
        <v>77.792026018588246</v>
      </c>
      <c r="AB397" s="44">
        <f>100-(S$435-Tabell2[[#This Row],[Inntekt-T]])*100/S$438</f>
        <v>59.216965742251226</v>
      </c>
      <c r="AC397" s="44">
        <f>Tabell2[[#This Row],[NIBR11-I]]*Vekter!$B$3</f>
        <v>4</v>
      </c>
      <c r="AD397" s="44">
        <f>Tabell2[[#This Row],[ReisetidOslo-I]]*Vekter!$C$3</f>
        <v>2.7611007999246979</v>
      </c>
      <c r="AE397" s="44">
        <f>Tabell2[[#This Row],[Beftettotal-I]]*Vekter!$E$4</f>
        <v>5.4466615567829994E-2</v>
      </c>
      <c r="AF397" s="44">
        <f>Tabell2[[#This Row],[Befvekst10-I]]*Vekter!$F$3</f>
        <v>4.5043470352392463</v>
      </c>
      <c r="AG397" s="44">
        <f>Tabell2[[#This Row],[Kvinneandel-I]]*Vekter!$G$3</f>
        <v>2.4000364779979995</v>
      </c>
      <c r="AH397" s="44">
        <f>Tabell2[[#This Row],[Eldreandel-I]]*Vekter!$H$3</f>
        <v>2.9156544050461375</v>
      </c>
      <c r="AI397" s="44">
        <f>Tabell2[[#This Row],[Sysselsettingsvekst10-I]]*Vekter!$I$3</f>
        <v>3.6179259794186365</v>
      </c>
      <c r="AJ397" s="44">
        <f>Tabell2[[#This Row],[Yrkesaktivandel-I]]*Vekter!$K$3</f>
        <v>7.7792026018588247</v>
      </c>
      <c r="AK397" s="44">
        <f>Tabell2[[#This Row],[Inntekt-I]]*Vekter!$M$3</f>
        <v>5.9216965742251233</v>
      </c>
      <c r="AL39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33.954430489278494</v>
      </c>
    </row>
    <row r="398" spans="1:38" s="38" customFormat="1" ht="12.75">
      <c r="A398" s="42" t="s">
        <v>396</v>
      </c>
      <c r="B398" s="38">
        <f>'Rådata-K'!Q398</f>
        <v>8</v>
      </c>
      <c r="C398" s="44">
        <f>'Rådata-K'!P398</f>
        <v>226.4939345464</v>
      </c>
      <c r="D398" s="41">
        <f>'Rådata-K'!R398</f>
        <v>9.3153326904532303</v>
      </c>
      <c r="E398" s="41">
        <f>'Rådata-K'!S398</f>
        <v>2.5166767738022955E-2</v>
      </c>
      <c r="F398" s="41">
        <f>'Rådata-K'!T398</f>
        <v>0.10499852114758947</v>
      </c>
      <c r="G398" s="41">
        <f>'Rådata-K'!U398</f>
        <v>0.14581484767820171</v>
      </c>
      <c r="H398" s="41">
        <f>'Rådata-K'!V398</f>
        <v>-0.12820512820512819</v>
      </c>
      <c r="I398" s="41">
        <f>'Rådata-K'!W398</f>
        <v>0.87691494981510831</v>
      </c>
      <c r="J398" s="41">
        <f>'Rådata-K'!O398</f>
        <v>319200</v>
      </c>
      <c r="K398" s="41">
        <f>Tabell2[[#This Row],[NIBR11]]</f>
        <v>8</v>
      </c>
      <c r="L398" s="41">
        <f>IF(Tabell2[[#This Row],[ReisetidOslo]]&lt;=C$433,C$433,IF(Tabell2[[#This Row],[ReisetidOslo]]&gt;=C$434,C$434,Tabell2[[#This Row],[ReisetidOslo]]))</f>
        <v>226.4939345464</v>
      </c>
      <c r="M398" s="41">
        <f>IF(Tabell2[[#This Row],[Beftettotal]]&lt;=D$433,D$433,IF(Tabell2[[#This Row],[Beftettotal]]&gt;=D$434,D$434,Tabell2[[#This Row],[Beftettotal]]))</f>
        <v>9.3153326904532303</v>
      </c>
      <c r="N398" s="41">
        <f>IF(Tabell2[[#This Row],[Befvekst10]]&lt;=E$433,E$433,IF(Tabell2[[#This Row],[Befvekst10]]&gt;=E$434,E$434,Tabell2[[#This Row],[Befvekst10]]))</f>
        <v>2.5166767738022955E-2</v>
      </c>
      <c r="O398" s="41">
        <f>IF(Tabell2[[#This Row],[Kvinneandel]]&lt;=F$433,F$433,IF(Tabell2[[#This Row],[Kvinneandel]]&gt;=F$434,F$434,Tabell2[[#This Row],[Kvinneandel]]))</f>
        <v>0.10499852114758947</v>
      </c>
      <c r="P398" s="41">
        <f>IF(Tabell2[[#This Row],[Eldreandel]]&lt;=G$433,G$433,IF(Tabell2[[#This Row],[Eldreandel]]&gt;=G$434,G$434,Tabell2[[#This Row],[Eldreandel]]))</f>
        <v>0.14581484767820171</v>
      </c>
      <c r="Q398" s="41">
        <f>IF(Tabell2[[#This Row],[Sysselsettingsvekst10]]&lt;=H$433,H$433,IF(Tabell2[[#This Row],[Sysselsettingsvekst10]]&gt;=H$434,H$434,Tabell2[[#This Row],[Sysselsettingsvekst10]]))</f>
        <v>-9.2168803558721979E-2</v>
      </c>
      <c r="R398" s="41">
        <f>IF(Tabell2[[#This Row],[Yrkesaktivandel]]&lt;=I$433,I$433,IF(Tabell2[[#This Row],[Yrkesaktivandel]]&gt;=I$434,I$434,Tabell2[[#This Row],[Yrkesaktivandel]]))</f>
        <v>0.87691494981510831</v>
      </c>
      <c r="S398" s="41">
        <f>IF(Tabell2[[#This Row],[Inntekt]]&lt;=J$433,J$433,IF(Tabell2[[#This Row],[Inntekt]]&gt;=J$434,J$434,Tabell2[[#This Row],[Inntekt]]))</f>
        <v>319200</v>
      </c>
      <c r="T398" s="44">
        <f>IF(Tabell2[[#This Row],[NIBR11-T]]&lt;=K$436,100,IF(Tabell2[[#This Row],[NIBR11-T]]&gt;=K$435,0,100*(K$435-Tabell2[[#This Row],[NIBR11-T]])/K$438))</f>
        <v>30</v>
      </c>
      <c r="U398" s="44">
        <f>(L$435-Tabell2[[#This Row],[ReisetidOslo-T]])*100/L$438</f>
        <v>23.334771623513159</v>
      </c>
      <c r="V398" s="44">
        <f>100-(M$435-Tabell2[[#This Row],[Beftettotal-T]])*100/M$438</f>
        <v>6.5396019274882917</v>
      </c>
      <c r="W398" s="44">
        <f>100-(N$435-Tabell2[[#This Row],[Befvekst10-T]])*100/N$438</f>
        <v>48.441874962062826</v>
      </c>
      <c r="X398" s="44">
        <f>100-(O$435-Tabell2[[#This Row],[Kvinneandel-T]])*100/O$438</f>
        <v>36.342153306826617</v>
      </c>
      <c r="Y398" s="44">
        <f>(P$435-Tabell2[[#This Row],[Eldreandel-T]])*100/P$438</f>
        <v>62.553750037871268</v>
      </c>
      <c r="Z398" s="44">
        <f>100-(Q$435-Tabell2[[#This Row],[Sysselsettingsvekst10-T]])*100/Q$438</f>
        <v>0</v>
      </c>
      <c r="AA398" s="44">
        <f>100-(R$435-Tabell2[[#This Row],[Yrkesaktivandel-T]])*100/R$438</f>
        <v>37.701488993200918</v>
      </c>
      <c r="AB398" s="44">
        <f>100-(S$435-Tabell2[[#This Row],[Inntekt-T]])*100/S$438</f>
        <v>36.786296900489397</v>
      </c>
      <c r="AC398" s="44">
        <f>Tabell2[[#This Row],[NIBR11-I]]*Vekter!$B$3</f>
        <v>6</v>
      </c>
      <c r="AD398" s="44">
        <f>Tabell2[[#This Row],[ReisetidOslo-I]]*Vekter!$C$3</f>
        <v>2.3334771623513162</v>
      </c>
      <c r="AE398" s="44">
        <f>Tabell2[[#This Row],[Beftettotal-I]]*Vekter!$E$4</f>
        <v>0.65396019274882922</v>
      </c>
      <c r="AF398" s="44">
        <f>Tabell2[[#This Row],[Befvekst10-I]]*Vekter!$F$3</f>
        <v>9.6883749924125659</v>
      </c>
      <c r="AG398" s="44">
        <f>Tabell2[[#This Row],[Kvinneandel-I]]*Vekter!$G$3</f>
        <v>1.8171076653413309</v>
      </c>
      <c r="AH398" s="44">
        <f>Tabell2[[#This Row],[Eldreandel-I]]*Vekter!$H$3</f>
        <v>3.1276875018935635</v>
      </c>
      <c r="AI398" s="44">
        <f>Tabell2[[#This Row],[Sysselsettingsvekst10-I]]*Vekter!$I$3</f>
        <v>0</v>
      </c>
      <c r="AJ398" s="44">
        <f>Tabell2[[#This Row],[Yrkesaktivandel-I]]*Vekter!$K$3</f>
        <v>3.770148899320092</v>
      </c>
      <c r="AK398" s="44">
        <f>Tabell2[[#This Row],[Inntekt-I]]*Vekter!$M$3</f>
        <v>3.6786296900489397</v>
      </c>
      <c r="AL39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31.069386104116639</v>
      </c>
    </row>
    <row r="399" spans="1:38" s="38" customFormat="1" ht="12.75">
      <c r="A399" s="42" t="s">
        <v>397</v>
      </c>
      <c r="B399" s="38">
        <f>'Rådata-K'!Q399</f>
        <v>8</v>
      </c>
      <c r="C399" s="44">
        <f>'Rådata-K'!P399</f>
        <v>251.21005640039999</v>
      </c>
      <c r="D399" s="41">
        <f>'Rådata-K'!R399</f>
        <v>4.1182791971435506</v>
      </c>
      <c r="E399" s="41">
        <f>'Rådata-K'!S399</f>
        <v>-9.2436974789915971E-2</v>
      </c>
      <c r="F399" s="41">
        <f>'Rådata-K'!T399</f>
        <v>8.3333333333333329E-2</v>
      </c>
      <c r="G399" s="41">
        <f>'Rådata-K'!U399</f>
        <v>0.21548821548821548</v>
      </c>
      <c r="H399" s="41">
        <f>'Rådata-K'!V399</f>
        <v>-7.8534031413612926E-3</v>
      </c>
      <c r="I399" s="41">
        <f>'Rådata-K'!W399</f>
        <v>0.86435331230283907</v>
      </c>
      <c r="J399" s="41">
        <f>'Rådata-K'!O399</f>
        <v>293400</v>
      </c>
      <c r="K399" s="41">
        <f>Tabell2[[#This Row],[NIBR11]]</f>
        <v>8</v>
      </c>
      <c r="L399" s="41">
        <f>IF(Tabell2[[#This Row],[ReisetidOslo]]&lt;=C$433,C$433,IF(Tabell2[[#This Row],[ReisetidOslo]]&gt;=C$434,C$434,Tabell2[[#This Row],[ReisetidOslo]]))</f>
        <v>251.21005640039999</v>
      </c>
      <c r="M399" s="41">
        <f>IF(Tabell2[[#This Row],[Beftettotal]]&lt;=D$433,D$433,IF(Tabell2[[#This Row],[Beftettotal]]&gt;=D$434,D$434,Tabell2[[#This Row],[Beftettotal]]))</f>
        <v>4.1182791971435506</v>
      </c>
      <c r="N399" s="41">
        <f>IF(Tabell2[[#This Row],[Befvekst10]]&lt;=E$433,E$433,IF(Tabell2[[#This Row],[Befvekst10]]&gt;=E$434,E$434,Tabell2[[#This Row],[Befvekst10]]))</f>
        <v>-9.1923232174966049E-2</v>
      </c>
      <c r="O399" s="41">
        <f>IF(Tabell2[[#This Row],[Kvinneandel]]&lt;=F$433,F$433,IF(Tabell2[[#This Row],[Kvinneandel]]&gt;=F$434,F$434,Tabell2[[#This Row],[Kvinneandel]]))</f>
        <v>9.1717808671657367E-2</v>
      </c>
      <c r="P399" s="41">
        <f>IF(Tabell2[[#This Row],[Eldreandel]]&lt;=G$433,G$433,IF(Tabell2[[#This Row],[Eldreandel]]&gt;=G$434,G$434,Tabell2[[#This Row],[Eldreandel]]))</f>
        <v>0.1989437597342919</v>
      </c>
      <c r="Q399" s="41">
        <f>IF(Tabell2[[#This Row],[Sysselsettingsvekst10]]&lt;=H$433,H$433,IF(Tabell2[[#This Row],[Sysselsettingsvekst10]]&gt;=H$434,H$434,Tabell2[[#This Row],[Sysselsettingsvekst10]]))</f>
        <v>-7.8534031413612926E-3</v>
      </c>
      <c r="R399" s="41">
        <f>IF(Tabell2[[#This Row],[Yrkesaktivandel]]&lt;=I$433,I$433,IF(Tabell2[[#This Row],[Yrkesaktivandel]]&gt;=I$434,I$434,Tabell2[[#This Row],[Yrkesaktivandel]]))</f>
        <v>0.86435331230283907</v>
      </c>
      <c r="S399" s="41">
        <f>IF(Tabell2[[#This Row],[Inntekt]]&lt;=J$433,J$433,IF(Tabell2[[#This Row],[Inntekt]]&gt;=J$434,J$434,Tabell2[[#This Row],[Inntekt]]))</f>
        <v>293400</v>
      </c>
      <c r="T399" s="44">
        <f>IF(Tabell2[[#This Row],[NIBR11-T]]&lt;=K$436,100,IF(Tabell2[[#This Row],[NIBR11-T]]&gt;=K$435,0,100*(K$435-Tabell2[[#This Row],[NIBR11-T]])/K$438))</f>
        <v>30</v>
      </c>
      <c r="U399" s="44">
        <f>(L$435-Tabell2[[#This Row],[ReisetidOslo-T]])*100/L$438</f>
        <v>12.362034698171598</v>
      </c>
      <c r="V399" s="44">
        <f>100-(M$435-Tabell2[[#This Row],[Beftettotal-T]])*100/M$438</f>
        <v>2.2883767648147568</v>
      </c>
      <c r="W399" s="44">
        <f>100-(N$435-Tabell2[[#This Row],[Befvekst10-T]])*100/N$438</f>
        <v>0</v>
      </c>
      <c r="X399" s="44">
        <f>100-(O$435-Tabell2[[#This Row],[Kvinneandel-T]])*100/O$438</f>
        <v>0</v>
      </c>
      <c r="Y399" s="44">
        <f>(P$435-Tabell2[[#This Row],[Eldreandel-T]])*100/P$438</f>
        <v>0</v>
      </c>
      <c r="Z399" s="44">
        <f>100-(Q$435-Tabell2[[#This Row],[Sysselsettingsvekst10-T]])*100/Q$438</f>
        <v>24.790167761973166</v>
      </c>
      <c r="AA399" s="44">
        <f>100-(R$435-Tabell2[[#This Row],[Yrkesaktivandel-T]])*100/R$438</f>
        <v>28.320689114344134</v>
      </c>
      <c r="AB399" s="44">
        <f>100-(S$435-Tabell2[[#This Row],[Inntekt-T]])*100/S$438</f>
        <v>1.7128874388254474</v>
      </c>
      <c r="AC399" s="44">
        <f>Tabell2[[#This Row],[NIBR11-I]]*Vekter!$B$3</f>
        <v>6</v>
      </c>
      <c r="AD399" s="44">
        <f>Tabell2[[#This Row],[ReisetidOslo-I]]*Vekter!$C$3</f>
        <v>1.23620346981716</v>
      </c>
      <c r="AE399" s="44">
        <f>Tabell2[[#This Row],[Beftettotal-I]]*Vekter!$E$4</f>
        <v>0.22883767648147568</v>
      </c>
      <c r="AF399" s="44">
        <f>Tabell2[[#This Row],[Befvekst10-I]]*Vekter!$F$3</f>
        <v>0</v>
      </c>
      <c r="AG399" s="44">
        <f>Tabell2[[#This Row],[Kvinneandel-I]]*Vekter!$G$3</f>
        <v>0</v>
      </c>
      <c r="AH399" s="44">
        <f>Tabell2[[#This Row],[Eldreandel-I]]*Vekter!$H$3</f>
        <v>0</v>
      </c>
      <c r="AI399" s="44">
        <f>Tabell2[[#This Row],[Sysselsettingsvekst10-I]]*Vekter!$I$3</f>
        <v>2.4790167761973168</v>
      </c>
      <c r="AJ399" s="44">
        <f>Tabell2[[#This Row],[Yrkesaktivandel-I]]*Vekter!$K$3</f>
        <v>2.8320689114344137</v>
      </c>
      <c r="AK399" s="44">
        <f>Tabell2[[#This Row],[Inntekt-I]]*Vekter!$M$3</f>
        <v>0.17128874388254475</v>
      </c>
      <c r="AL39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12.947415577812912</v>
      </c>
    </row>
    <row r="400" spans="1:38" s="38" customFormat="1" ht="12.75">
      <c r="A400" s="42" t="s">
        <v>398</v>
      </c>
      <c r="B400" s="38">
        <f>'Rådata-K'!Q400</f>
        <v>8</v>
      </c>
      <c r="C400" s="44">
        <f>'Rådata-K'!P400</f>
        <v>262.17896690919997</v>
      </c>
      <c r="D400" s="41">
        <f>'Rådata-K'!R400</f>
        <v>2.9095629928024591</v>
      </c>
      <c r="E400" s="41">
        <f>'Rådata-K'!S400</f>
        <v>-9.5011876484560553E-2</v>
      </c>
      <c r="F400" s="41">
        <f>'Rådata-K'!T400</f>
        <v>9.711286089238845E-2</v>
      </c>
      <c r="G400" s="41">
        <f>'Rådata-K'!U400</f>
        <v>0.20866141732283464</v>
      </c>
      <c r="H400" s="41">
        <f>'Rådata-K'!V400</f>
        <v>-0.19366197183098588</v>
      </c>
      <c r="I400" s="41">
        <f>'Rådata-K'!W400</f>
        <v>0.81226993865030672</v>
      </c>
      <c r="J400" s="41">
        <f>'Rådata-K'!O400</f>
        <v>284800</v>
      </c>
      <c r="K400" s="41">
        <f>Tabell2[[#This Row],[NIBR11]]</f>
        <v>8</v>
      </c>
      <c r="L400" s="41">
        <f>IF(Tabell2[[#This Row],[ReisetidOslo]]&lt;=C$433,C$433,IF(Tabell2[[#This Row],[ReisetidOslo]]&gt;=C$434,C$434,Tabell2[[#This Row],[ReisetidOslo]]))</f>
        <v>262.17896690919997</v>
      </c>
      <c r="M400" s="41">
        <f>IF(Tabell2[[#This Row],[Beftettotal]]&lt;=D$433,D$433,IF(Tabell2[[#This Row],[Beftettotal]]&gt;=D$434,D$434,Tabell2[[#This Row],[Beftettotal]]))</f>
        <v>2.9095629928024591</v>
      </c>
      <c r="N400" s="41">
        <f>IF(Tabell2[[#This Row],[Befvekst10]]&lt;=E$433,E$433,IF(Tabell2[[#This Row],[Befvekst10]]&gt;=E$434,E$434,Tabell2[[#This Row],[Befvekst10]]))</f>
        <v>-9.1923232174966049E-2</v>
      </c>
      <c r="O400" s="41">
        <f>IF(Tabell2[[#This Row],[Kvinneandel]]&lt;=F$433,F$433,IF(Tabell2[[#This Row],[Kvinneandel]]&gt;=F$434,F$434,Tabell2[[#This Row],[Kvinneandel]]))</f>
        <v>9.711286089238845E-2</v>
      </c>
      <c r="P400" s="41">
        <f>IF(Tabell2[[#This Row],[Eldreandel]]&lt;=G$433,G$433,IF(Tabell2[[#This Row],[Eldreandel]]&gt;=G$434,G$434,Tabell2[[#This Row],[Eldreandel]]))</f>
        <v>0.1989437597342919</v>
      </c>
      <c r="Q400" s="41">
        <f>IF(Tabell2[[#This Row],[Sysselsettingsvekst10]]&lt;=H$433,H$433,IF(Tabell2[[#This Row],[Sysselsettingsvekst10]]&gt;=H$434,H$434,Tabell2[[#This Row],[Sysselsettingsvekst10]]))</f>
        <v>-9.2168803558721979E-2</v>
      </c>
      <c r="R400" s="41">
        <f>IF(Tabell2[[#This Row],[Yrkesaktivandel]]&lt;=I$433,I$433,IF(Tabell2[[#This Row],[Yrkesaktivandel]]&gt;=I$434,I$434,Tabell2[[#This Row],[Yrkesaktivandel]]))</f>
        <v>0.82642965596795781</v>
      </c>
      <c r="S400" s="41">
        <f>IF(Tabell2[[#This Row],[Inntekt]]&lt;=J$433,J$433,IF(Tabell2[[#This Row],[Inntekt]]&gt;=J$434,J$434,Tabell2[[#This Row],[Inntekt]]))</f>
        <v>292140</v>
      </c>
      <c r="T400" s="44">
        <f>IF(Tabell2[[#This Row],[NIBR11-T]]&lt;=K$436,100,IF(Tabell2[[#This Row],[NIBR11-T]]&gt;=K$435,0,100*(K$435-Tabell2[[#This Row],[NIBR11-T]])/K$438))</f>
        <v>30</v>
      </c>
      <c r="U400" s="44">
        <f>(L$435-Tabell2[[#This Row],[ReisetidOslo-T]])*100/L$438</f>
        <v>7.4923803858306028</v>
      </c>
      <c r="V400" s="44">
        <f>100-(M$435-Tabell2[[#This Row],[Beftettotal-T]])*100/M$438</f>
        <v>1.2996386752335951</v>
      </c>
      <c r="W400" s="44">
        <f>100-(N$435-Tabell2[[#This Row],[Befvekst10-T]])*100/N$438</f>
        <v>0</v>
      </c>
      <c r="X400" s="44">
        <f>100-(O$435-Tabell2[[#This Row],[Kvinneandel-T]])*100/O$438</f>
        <v>14.76335063043247</v>
      </c>
      <c r="Y400" s="44">
        <f>(P$435-Tabell2[[#This Row],[Eldreandel-T]])*100/P$438</f>
        <v>0</v>
      </c>
      <c r="Z400" s="44">
        <f>100-(Q$435-Tabell2[[#This Row],[Sysselsettingsvekst10-T]])*100/Q$438</f>
        <v>0</v>
      </c>
      <c r="AA400" s="44">
        <f>100-(R$435-Tabell2[[#This Row],[Yrkesaktivandel-T]])*100/R$438</f>
        <v>0</v>
      </c>
      <c r="AB400" s="44">
        <f>100-(S$435-Tabell2[[#This Row],[Inntekt-T]])*100/S$438</f>
        <v>0</v>
      </c>
      <c r="AC400" s="44">
        <f>Tabell2[[#This Row],[NIBR11-I]]*Vekter!$B$3</f>
        <v>6</v>
      </c>
      <c r="AD400" s="44">
        <f>Tabell2[[#This Row],[ReisetidOslo-I]]*Vekter!$C$3</f>
        <v>0.74923803858306037</v>
      </c>
      <c r="AE400" s="44">
        <f>Tabell2[[#This Row],[Beftettotal-I]]*Vekter!$E$4</f>
        <v>0.12996386752335951</v>
      </c>
      <c r="AF400" s="44">
        <f>Tabell2[[#This Row],[Befvekst10-I]]*Vekter!$F$3</f>
        <v>0</v>
      </c>
      <c r="AG400" s="44">
        <f>Tabell2[[#This Row],[Kvinneandel-I]]*Vekter!$G$3</f>
        <v>0.73816753152162351</v>
      </c>
      <c r="AH400" s="44">
        <f>Tabell2[[#This Row],[Eldreandel-I]]*Vekter!$H$3</f>
        <v>0</v>
      </c>
      <c r="AI400" s="44">
        <f>Tabell2[[#This Row],[Sysselsettingsvekst10-I]]*Vekter!$I$3</f>
        <v>0</v>
      </c>
      <c r="AJ400" s="44">
        <f>Tabell2[[#This Row],[Yrkesaktivandel-I]]*Vekter!$K$3</f>
        <v>0</v>
      </c>
      <c r="AK400" s="44">
        <f>Tabell2[[#This Row],[Inntekt-I]]*Vekter!$M$3</f>
        <v>0</v>
      </c>
      <c r="AL40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7.6173694376280441</v>
      </c>
    </row>
    <row r="401" spans="1:38" s="38" customFormat="1" ht="12.75">
      <c r="A401" s="42" t="s">
        <v>399</v>
      </c>
      <c r="B401" s="38">
        <f>'Rådata-K'!Q401</f>
        <v>11</v>
      </c>
      <c r="C401" s="44">
        <f>'Rådata-K'!P401</f>
        <v>302.26115858259999</v>
      </c>
      <c r="D401" s="41">
        <f>'Rådata-K'!R401</f>
        <v>3.6677631578947367</v>
      </c>
      <c r="E401" s="41">
        <f>'Rådata-K'!S401</f>
        <v>-0.20992028343666957</v>
      </c>
      <c r="F401" s="41">
        <f>'Rådata-K'!T401</f>
        <v>8.0717488789237665E-2</v>
      </c>
      <c r="G401" s="41">
        <f>'Rådata-K'!U401</f>
        <v>0.22982062780269058</v>
      </c>
      <c r="H401" s="41">
        <f>'Rådata-K'!V401</f>
        <v>-0.22803347280334729</v>
      </c>
      <c r="I401" s="41">
        <f>'Rådata-K'!W401</f>
        <v>0.86749482401656319</v>
      </c>
      <c r="J401" s="41">
        <f>'Rådata-K'!O401</f>
        <v>297700</v>
      </c>
      <c r="K401" s="41">
        <f>Tabell2[[#This Row],[NIBR11]]</f>
        <v>11</v>
      </c>
      <c r="L401" s="41">
        <f>IF(Tabell2[[#This Row],[ReisetidOslo]]&lt;=C$433,C$433,IF(Tabell2[[#This Row],[ReisetidOslo]]&gt;=C$434,C$434,Tabell2[[#This Row],[ReisetidOslo]]))</f>
        <v>279.05557553043002</v>
      </c>
      <c r="M401" s="41">
        <f>IF(Tabell2[[#This Row],[Beftettotal]]&lt;=D$433,D$433,IF(Tabell2[[#This Row],[Beftettotal]]&gt;=D$434,D$434,Tabell2[[#This Row],[Beftettotal]]))</f>
        <v>3.6677631578947367</v>
      </c>
      <c r="N401" s="41">
        <f>IF(Tabell2[[#This Row],[Befvekst10]]&lt;=E$433,E$433,IF(Tabell2[[#This Row],[Befvekst10]]&gt;=E$434,E$434,Tabell2[[#This Row],[Befvekst10]]))</f>
        <v>-9.1923232174966049E-2</v>
      </c>
      <c r="O401" s="41">
        <f>IF(Tabell2[[#This Row],[Kvinneandel]]&lt;=F$433,F$433,IF(Tabell2[[#This Row],[Kvinneandel]]&gt;=F$434,F$434,Tabell2[[#This Row],[Kvinneandel]]))</f>
        <v>9.1717808671657367E-2</v>
      </c>
      <c r="P401" s="41">
        <f>IF(Tabell2[[#This Row],[Eldreandel]]&lt;=G$433,G$433,IF(Tabell2[[#This Row],[Eldreandel]]&gt;=G$434,G$434,Tabell2[[#This Row],[Eldreandel]]))</f>
        <v>0.1989437597342919</v>
      </c>
      <c r="Q401" s="41">
        <f>IF(Tabell2[[#This Row],[Sysselsettingsvekst10]]&lt;=H$433,H$433,IF(Tabell2[[#This Row],[Sysselsettingsvekst10]]&gt;=H$434,H$434,Tabell2[[#This Row],[Sysselsettingsvekst10]]))</f>
        <v>-9.2168803558721979E-2</v>
      </c>
      <c r="R401" s="41">
        <f>IF(Tabell2[[#This Row],[Yrkesaktivandel]]&lt;=I$433,I$433,IF(Tabell2[[#This Row],[Yrkesaktivandel]]&gt;=I$434,I$434,Tabell2[[#This Row],[Yrkesaktivandel]]))</f>
        <v>0.86749482401656319</v>
      </c>
      <c r="S401" s="41">
        <f>IF(Tabell2[[#This Row],[Inntekt]]&lt;=J$433,J$433,IF(Tabell2[[#This Row],[Inntekt]]&gt;=J$434,J$434,Tabell2[[#This Row],[Inntekt]]))</f>
        <v>297700</v>
      </c>
      <c r="T401" s="44">
        <f>IF(Tabell2[[#This Row],[NIBR11-T]]&lt;=K$436,100,IF(Tabell2[[#This Row],[NIBR11-T]]&gt;=K$435,0,100*(K$435-Tabell2[[#This Row],[NIBR11-T]])/K$438))</f>
        <v>0</v>
      </c>
      <c r="U401" s="44">
        <f>(L$435-Tabell2[[#This Row],[ReisetidOslo-T]])*100/L$438</f>
        <v>0</v>
      </c>
      <c r="V401" s="44">
        <f>100-(M$435-Tabell2[[#This Row],[Beftettotal-T]])*100/M$438</f>
        <v>1.9198515755496999</v>
      </c>
      <c r="W401" s="44">
        <f>100-(N$435-Tabell2[[#This Row],[Befvekst10-T]])*100/N$438</f>
        <v>0</v>
      </c>
      <c r="X401" s="44">
        <f>100-(O$435-Tabell2[[#This Row],[Kvinneandel-T]])*100/O$438</f>
        <v>0</v>
      </c>
      <c r="Y401" s="44">
        <f>(P$435-Tabell2[[#This Row],[Eldreandel-T]])*100/P$438</f>
        <v>0</v>
      </c>
      <c r="Z401" s="44">
        <f>100-(Q$435-Tabell2[[#This Row],[Sysselsettingsvekst10-T]])*100/Q$438</f>
        <v>0</v>
      </c>
      <c r="AA401" s="44">
        <f>100-(R$435-Tabell2[[#This Row],[Yrkesaktivandel-T]])*100/R$438</f>
        <v>30.666712288054299</v>
      </c>
      <c r="AB401" s="44">
        <f>100-(S$435-Tabell2[[#This Row],[Inntekt-T]])*100/S$438</f>
        <v>7.5584556824361044</v>
      </c>
      <c r="AC401" s="44">
        <f>Tabell2[[#This Row],[NIBR11-I]]*Vekter!$B$3</f>
        <v>0</v>
      </c>
      <c r="AD401" s="44">
        <f>Tabell2[[#This Row],[ReisetidOslo-I]]*Vekter!$C$3</f>
        <v>0</v>
      </c>
      <c r="AE401" s="44">
        <f>Tabell2[[#This Row],[Beftettotal-I]]*Vekter!$E$4</f>
        <v>0.19198515755497</v>
      </c>
      <c r="AF401" s="44">
        <f>Tabell2[[#This Row],[Befvekst10-I]]*Vekter!$F$3</f>
        <v>0</v>
      </c>
      <c r="AG401" s="44">
        <f>Tabell2[[#This Row],[Kvinneandel-I]]*Vekter!$G$3</f>
        <v>0</v>
      </c>
      <c r="AH401" s="44">
        <f>Tabell2[[#This Row],[Eldreandel-I]]*Vekter!$H$3</f>
        <v>0</v>
      </c>
      <c r="AI401" s="44">
        <f>Tabell2[[#This Row],[Sysselsettingsvekst10-I]]*Vekter!$I$3</f>
        <v>0</v>
      </c>
      <c r="AJ401" s="44">
        <f>Tabell2[[#This Row],[Yrkesaktivandel-I]]*Vekter!$K$3</f>
        <v>3.0666712288054301</v>
      </c>
      <c r="AK401" s="44">
        <f>Tabell2[[#This Row],[Inntekt-I]]*Vekter!$M$3</f>
        <v>0.75584556824361049</v>
      </c>
      <c r="AL40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4.0145019546040102</v>
      </c>
    </row>
    <row r="402" spans="1:38" s="38" customFormat="1" ht="12.75">
      <c r="A402" s="42" t="s">
        <v>400</v>
      </c>
      <c r="B402" s="38">
        <f>'Rådata-K'!Q402</f>
        <v>11</v>
      </c>
      <c r="C402" s="44">
        <f>'Rådata-K'!P402</f>
        <v>295.20740193410001</v>
      </c>
      <c r="D402" s="41">
        <f>'Rådata-K'!R402</f>
        <v>3.0160835118501135</v>
      </c>
      <c r="E402" s="41">
        <f>'Rådata-K'!S402</f>
        <v>-0.16399622997172481</v>
      </c>
      <c r="F402" s="41">
        <f>'Rådata-K'!T402</f>
        <v>0.10935738444193913</v>
      </c>
      <c r="G402" s="41">
        <f>'Rådata-K'!U402</f>
        <v>0.20293122886133033</v>
      </c>
      <c r="H402" s="41">
        <f>'Rådata-K'!V402</f>
        <v>2.6548672566371723E-2</v>
      </c>
      <c r="I402" s="41">
        <f>'Rådata-K'!W402</f>
        <v>0.9191321499013807</v>
      </c>
      <c r="J402" s="41">
        <f>'Rådata-K'!O402</f>
        <v>315200</v>
      </c>
      <c r="K402" s="41">
        <f>Tabell2[[#This Row],[NIBR11]]</f>
        <v>11</v>
      </c>
      <c r="L402" s="41">
        <f>IF(Tabell2[[#This Row],[ReisetidOslo]]&lt;=C$433,C$433,IF(Tabell2[[#This Row],[ReisetidOslo]]&gt;=C$434,C$434,Tabell2[[#This Row],[ReisetidOslo]]))</f>
        <v>279.05557553043002</v>
      </c>
      <c r="M402" s="41">
        <f>IF(Tabell2[[#This Row],[Beftettotal]]&lt;=D$433,D$433,IF(Tabell2[[#This Row],[Beftettotal]]&gt;=D$434,D$434,Tabell2[[#This Row],[Beftettotal]]))</f>
        <v>3.0160835118501135</v>
      </c>
      <c r="N402" s="41">
        <f>IF(Tabell2[[#This Row],[Befvekst10]]&lt;=E$433,E$433,IF(Tabell2[[#This Row],[Befvekst10]]&gt;=E$434,E$434,Tabell2[[#This Row],[Befvekst10]]))</f>
        <v>-9.1923232174966049E-2</v>
      </c>
      <c r="O402" s="41">
        <f>IF(Tabell2[[#This Row],[Kvinneandel]]&lt;=F$433,F$433,IF(Tabell2[[#This Row],[Kvinneandel]]&gt;=F$434,F$434,Tabell2[[#This Row],[Kvinneandel]]))</f>
        <v>0.10935738444193913</v>
      </c>
      <c r="P402" s="41">
        <f>IF(Tabell2[[#This Row],[Eldreandel]]&lt;=G$433,G$433,IF(Tabell2[[#This Row],[Eldreandel]]&gt;=G$434,G$434,Tabell2[[#This Row],[Eldreandel]]))</f>
        <v>0.1989437597342919</v>
      </c>
      <c r="Q402" s="41">
        <f>IF(Tabell2[[#This Row],[Sysselsettingsvekst10]]&lt;=H$433,H$433,IF(Tabell2[[#This Row],[Sysselsettingsvekst10]]&gt;=H$434,H$434,Tabell2[[#This Row],[Sysselsettingsvekst10]]))</f>
        <v>2.6548672566371723E-2</v>
      </c>
      <c r="R402" s="41">
        <f>IF(Tabell2[[#This Row],[Yrkesaktivandel]]&lt;=I$433,I$433,IF(Tabell2[[#This Row],[Yrkesaktivandel]]&gt;=I$434,I$434,Tabell2[[#This Row],[Yrkesaktivandel]]))</f>
        <v>0.9191321499013807</v>
      </c>
      <c r="S402" s="41">
        <f>IF(Tabell2[[#This Row],[Inntekt]]&lt;=J$433,J$433,IF(Tabell2[[#This Row],[Inntekt]]&gt;=J$434,J$434,Tabell2[[#This Row],[Inntekt]]))</f>
        <v>315200</v>
      </c>
      <c r="T402" s="44">
        <f>IF(Tabell2[[#This Row],[NIBR11-T]]&lt;=K$436,100,IF(Tabell2[[#This Row],[NIBR11-T]]&gt;=K$435,0,100*(K$435-Tabell2[[#This Row],[NIBR11-T]])/K$438))</f>
        <v>0</v>
      </c>
      <c r="U402" s="44">
        <f>(L$435-Tabell2[[#This Row],[ReisetidOslo-T]])*100/L$438</f>
        <v>0</v>
      </c>
      <c r="V402" s="44">
        <f>100-(M$435-Tabell2[[#This Row],[Beftettotal-T]])*100/M$438</f>
        <v>1.3867731854900995</v>
      </c>
      <c r="W402" s="44">
        <f>100-(N$435-Tabell2[[#This Row],[Befvekst10-T]])*100/N$438</f>
        <v>0</v>
      </c>
      <c r="X402" s="44">
        <f>100-(O$435-Tabell2[[#This Row],[Kvinneandel-T]])*100/O$438</f>
        <v>48.270013229540346</v>
      </c>
      <c r="Y402" s="44">
        <f>(P$435-Tabell2[[#This Row],[Eldreandel-T]])*100/P$438</f>
        <v>0</v>
      </c>
      <c r="Z402" s="44">
        <f>100-(Q$435-Tabell2[[#This Row],[Sysselsettingsvekst10-T]])*100/Q$438</f>
        <v>34.904965579848479</v>
      </c>
      <c r="AA402" s="44">
        <f>100-(R$435-Tabell2[[#This Row],[Yrkesaktivandel-T]])*100/R$438</f>
        <v>69.228517620492866</v>
      </c>
      <c r="AB402" s="44">
        <f>100-(S$435-Tabell2[[#This Row],[Inntekt-T]])*100/S$438</f>
        <v>31.34855899945623</v>
      </c>
      <c r="AC402" s="44">
        <f>Tabell2[[#This Row],[NIBR11-I]]*Vekter!$B$3</f>
        <v>0</v>
      </c>
      <c r="AD402" s="44">
        <f>Tabell2[[#This Row],[ReisetidOslo-I]]*Vekter!$C$3</f>
        <v>0</v>
      </c>
      <c r="AE402" s="44">
        <f>Tabell2[[#This Row],[Beftettotal-I]]*Vekter!$E$4</f>
        <v>0.13867731854900997</v>
      </c>
      <c r="AF402" s="44">
        <f>Tabell2[[#This Row],[Befvekst10-I]]*Vekter!$F$3</f>
        <v>0</v>
      </c>
      <c r="AG402" s="44">
        <f>Tabell2[[#This Row],[Kvinneandel-I]]*Vekter!$G$3</f>
        <v>2.4135006614770176</v>
      </c>
      <c r="AH402" s="44">
        <f>Tabell2[[#This Row],[Eldreandel-I]]*Vekter!$H$3</f>
        <v>0</v>
      </c>
      <c r="AI402" s="44">
        <f>Tabell2[[#This Row],[Sysselsettingsvekst10-I]]*Vekter!$I$3</f>
        <v>3.4904965579848479</v>
      </c>
      <c r="AJ402" s="44">
        <f>Tabell2[[#This Row],[Yrkesaktivandel-I]]*Vekter!$K$3</f>
        <v>6.9228517620492873</v>
      </c>
      <c r="AK402" s="44">
        <f>Tabell2[[#This Row],[Inntekt-I]]*Vekter!$M$3</f>
        <v>3.1348558999456233</v>
      </c>
      <c r="AL40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16.100382200005786</v>
      </c>
    </row>
    <row r="403" spans="1:38" s="38" customFormat="1" ht="12.75">
      <c r="A403" s="42" t="s">
        <v>401</v>
      </c>
      <c r="B403" s="38">
        <f>'Rådata-K'!Q403</f>
        <v>8</v>
      </c>
      <c r="C403" s="44">
        <f>'Rådata-K'!P403</f>
        <v>244.79775534800001</v>
      </c>
      <c r="D403" s="41">
        <f>'Rådata-K'!R403</f>
        <v>12.713193930836638</v>
      </c>
      <c r="E403" s="41">
        <f>'Rådata-K'!S403</f>
        <v>2.3916967509025167E-2</v>
      </c>
      <c r="F403" s="41">
        <f>'Rådata-K'!T403</f>
        <v>0.11097399735566328</v>
      </c>
      <c r="G403" s="41">
        <f>'Rådata-K'!U403</f>
        <v>0.14244160423093874</v>
      </c>
      <c r="H403" s="41">
        <f>'Rådata-K'!V403</f>
        <v>7.9621380846325085E-2</v>
      </c>
      <c r="I403" s="41">
        <f>'Rådata-K'!W403</f>
        <v>0.86381444914590189</v>
      </c>
      <c r="J403" s="41">
        <f>'Rådata-K'!O403</f>
        <v>324600</v>
      </c>
      <c r="K403" s="41">
        <f>Tabell2[[#This Row],[NIBR11]]</f>
        <v>8</v>
      </c>
      <c r="L403" s="41">
        <f>IF(Tabell2[[#This Row],[ReisetidOslo]]&lt;=C$433,C$433,IF(Tabell2[[#This Row],[ReisetidOslo]]&gt;=C$434,C$434,Tabell2[[#This Row],[ReisetidOslo]]))</f>
        <v>244.79775534800001</v>
      </c>
      <c r="M403" s="41">
        <f>IF(Tabell2[[#This Row],[Beftettotal]]&lt;=D$433,D$433,IF(Tabell2[[#This Row],[Beftettotal]]&gt;=D$434,D$434,Tabell2[[#This Row],[Beftettotal]]))</f>
        <v>12.713193930836638</v>
      </c>
      <c r="N403" s="41">
        <f>IF(Tabell2[[#This Row],[Befvekst10]]&lt;=E$433,E$433,IF(Tabell2[[#This Row],[Befvekst10]]&gt;=E$434,E$434,Tabell2[[#This Row],[Befvekst10]]))</f>
        <v>2.3916967509025167E-2</v>
      </c>
      <c r="O403" s="41">
        <f>IF(Tabell2[[#This Row],[Kvinneandel]]&lt;=F$433,F$433,IF(Tabell2[[#This Row],[Kvinneandel]]&gt;=F$434,F$434,Tabell2[[#This Row],[Kvinneandel]]))</f>
        <v>0.11097399735566328</v>
      </c>
      <c r="P403" s="41">
        <f>IF(Tabell2[[#This Row],[Eldreandel]]&lt;=G$433,G$433,IF(Tabell2[[#This Row],[Eldreandel]]&gt;=G$434,G$434,Tabell2[[#This Row],[Eldreandel]]))</f>
        <v>0.14244160423093874</v>
      </c>
      <c r="Q403" s="41">
        <f>IF(Tabell2[[#This Row],[Sysselsettingsvekst10]]&lt;=H$433,H$433,IF(Tabell2[[#This Row],[Sysselsettingsvekst10]]&gt;=H$434,H$434,Tabell2[[#This Row],[Sysselsettingsvekst10]]))</f>
        <v>7.9621380846325085E-2</v>
      </c>
      <c r="R403" s="41">
        <f>IF(Tabell2[[#This Row],[Yrkesaktivandel]]&lt;=I$433,I$433,IF(Tabell2[[#This Row],[Yrkesaktivandel]]&gt;=I$434,I$434,Tabell2[[#This Row],[Yrkesaktivandel]]))</f>
        <v>0.86381444914590189</v>
      </c>
      <c r="S403" s="41">
        <f>IF(Tabell2[[#This Row],[Inntekt]]&lt;=J$433,J$433,IF(Tabell2[[#This Row],[Inntekt]]&gt;=J$434,J$434,Tabell2[[#This Row],[Inntekt]]))</f>
        <v>324600</v>
      </c>
      <c r="T403" s="44">
        <f>IF(Tabell2[[#This Row],[NIBR11-T]]&lt;=K$436,100,IF(Tabell2[[#This Row],[NIBR11-T]]&gt;=K$435,0,100*(K$435-Tabell2[[#This Row],[NIBR11-T]])/K$438))</f>
        <v>30</v>
      </c>
      <c r="U403" s="44">
        <f>(L$435-Tabell2[[#This Row],[ReisetidOslo-T]])*100/L$438</f>
        <v>15.208779545510538</v>
      </c>
      <c r="V403" s="44">
        <f>100-(M$435-Tabell2[[#This Row],[Beftettotal-T]])*100/M$438</f>
        <v>9.3190755701949826</v>
      </c>
      <c r="W403" s="44">
        <f>100-(N$435-Tabell2[[#This Row],[Befvekst10-T]])*100/N$438</f>
        <v>47.924814013513348</v>
      </c>
      <c r="X403" s="44">
        <f>100-(O$435-Tabell2[[#This Row],[Kvinneandel-T]])*100/O$438</f>
        <v>52.693811610450297</v>
      </c>
      <c r="Y403" s="44">
        <f>(P$435-Tabell2[[#This Row],[Eldreandel-T]])*100/P$438</f>
        <v>66.525392205025085</v>
      </c>
      <c r="Z403" s="44">
        <f>100-(Q$435-Tabell2[[#This Row],[Sysselsettingsvekst10-T]])*100/Q$438</f>
        <v>50.509248253354059</v>
      </c>
      <c r="AA403" s="44">
        <f>100-(R$435-Tabell2[[#This Row],[Yrkesaktivandel-T]])*100/R$438</f>
        <v>27.918276018728264</v>
      </c>
      <c r="AB403" s="44">
        <f>100-(S$435-Tabell2[[#This Row],[Inntekt-T]])*100/S$438</f>
        <v>44.127243066884176</v>
      </c>
      <c r="AC403" s="44">
        <f>Tabell2[[#This Row],[NIBR11-I]]*Vekter!$B$3</f>
        <v>6</v>
      </c>
      <c r="AD403" s="44">
        <f>Tabell2[[#This Row],[ReisetidOslo-I]]*Vekter!$C$3</f>
        <v>1.5208779545510538</v>
      </c>
      <c r="AE403" s="44">
        <f>Tabell2[[#This Row],[Beftettotal-I]]*Vekter!$E$4</f>
        <v>0.93190755701949834</v>
      </c>
      <c r="AF403" s="44">
        <f>Tabell2[[#This Row],[Befvekst10-I]]*Vekter!$F$3</f>
        <v>9.5849628027026696</v>
      </c>
      <c r="AG403" s="44">
        <f>Tabell2[[#This Row],[Kvinneandel-I]]*Vekter!$G$3</f>
        <v>2.6346905805225149</v>
      </c>
      <c r="AH403" s="44">
        <f>Tabell2[[#This Row],[Eldreandel-I]]*Vekter!$H$3</f>
        <v>3.3262696102512543</v>
      </c>
      <c r="AI403" s="44">
        <f>Tabell2[[#This Row],[Sysselsettingsvekst10-I]]*Vekter!$I$3</f>
        <v>5.0509248253354064</v>
      </c>
      <c r="AJ403" s="44">
        <f>Tabell2[[#This Row],[Yrkesaktivandel-I]]*Vekter!$K$3</f>
        <v>2.7918276018728267</v>
      </c>
      <c r="AK403" s="44">
        <f>Tabell2[[#This Row],[Inntekt-I]]*Vekter!$M$3</f>
        <v>4.4127243066884176</v>
      </c>
      <c r="AL40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36.254185238943649</v>
      </c>
    </row>
    <row r="404" spans="1:38" s="38" customFormat="1" ht="12.75">
      <c r="A404" s="42" t="s">
        <v>402</v>
      </c>
      <c r="B404" s="38">
        <f>'Rådata-K'!Q404</f>
        <v>5</v>
      </c>
      <c r="C404" s="44">
        <f>'Rådata-K'!P404</f>
        <v>245.63374009559999</v>
      </c>
      <c r="D404" s="41">
        <f>'Rådata-K'!R404</f>
        <v>3.6755225695256288</v>
      </c>
      <c r="E404" s="41">
        <f>'Rådata-K'!S404</f>
        <v>-2.4813895781637729E-2</v>
      </c>
      <c r="F404" s="41">
        <f>'Rådata-K'!T404</f>
        <v>9.2148309705561621E-2</v>
      </c>
      <c r="G404" s="41">
        <f>'Rådata-K'!U404</f>
        <v>0.19392948018902217</v>
      </c>
      <c r="H404" s="41">
        <f>'Rådata-K'!V404</f>
        <v>5.4091539528432708E-2</v>
      </c>
      <c r="I404" s="41">
        <f>'Rådata-K'!W404</f>
        <v>0.87950185122854263</v>
      </c>
      <c r="J404" s="41">
        <f>'Rådata-K'!O404</f>
        <v>296600</v>
      </c>
      <c r="K404" s="41">
        <f>Tabell2[[#This Row],[NIBR11]]</f>
        <v>5</v>
      </c>
      <c r="L404" s="41">
        <f>IF(Tabell2[[#This Row],[ReisetidOslo]]&lt;=C$433,C$433,IF(Tabell2[[#This Row],[ReisetidOslo]]&gt;=C$434,C$434,Tabell2[[#This Row],[ReisetidOslo]]))</f>
        <v>245.63374009559999</v>
      </c>
      <c r="M404" s="41">
        <f>IF(Tabell2[[#This Row],[Beftettotal]]&lt;=D$433,D$433,IF(Tabell2[[#This Row],[Beftettotal]]&gt;=D$434,D$434,Tabell2[[#This Row],[Beftettotal]]))</f>
        <v>3.6755225695256288</v>
      </c>
      <c r="N404" s="41">
        <f>IF(Tabell2[[#This Row],[Befvekst10]]&lt;=E$433,E$433,IF(Tabell2[[#This Row],[Befvekst10]]&gt;=E$434,E$434,Tabell2[[#This Row],[Befvekst10]]))</f>
        <v>-2.4813895781637729E-2</v>
      </c>
      <c r="O404" s="41">
        <f>IF(Tabell2[[#This Row],[Kvinneandel]]&lt;=F$433,F$433,IF(Tabell2[[#This Row],[Kvinneandel]]&gt;=F$434,F$434,Tabell2[[#This Row],[Kvinneandel]]))</f>
        <v>9.2148309705561621E-2</v>
      </c>
      <c r="P404" s="41">
        <f>IF(Tabell2[[#This Row],[Eldreandel]]&lt;=G$433,G$433,IF(Tabell2[[#This Row],[Eldreandel]]&gt;=G$434,G$434,Tabell2[[#This Row],[Eldreandel]]))</f>
        <v>0.19392948018902217</v>
      </c>
      <c r="Q404" s="41">
        <f>IF(Tabell2[[#This Row],[Sysselsettingsvekst10]]&lt;=H$433,H$433,IF(Tabell2[[#This Row],[Sysselsettingsvekst10]]&gt;=H$434,H$434,Tabell2[[#This Row],[Sysselsettingsvekst10]]))</f>
        <v>5.4091539528432708E-2</v>
      </c>
      <c r="R404" s="41">
        <f>IF(Tabell2[[#This Row],[Yrkesaktivandel]]&lt;=I$433,I$433,IF(Tabell2[[#This Row],[Yrkesaktivandel]]&gt;=I$434,I$434,Tabell2[[#This Row],[Yrkesaktivandel]]))</f>
        <v>0.87950185122854263</v>
      </c>
      <c r="S404" s="41">
        <f>IF(Tabell2[[#This Row],[Inntekt]]&lt;=J$433,J$433,IF(Tabell2[[#This Row],[Inntekt]]&gt;=J$434,J$434,Tabell2[[#This Row],[Inntekt]]))</f>
        <v>296600</v>
      </c>
      <c r="T404" s="44">
        <f>IF(Tabell2[[#This Row],[NIBR11-T]]&lt;=K$436,100,IF(Tabell2[[#This Row],[NIBR11-T]]&gt;=K$435,0,100*(K$435-Tabell2[[#This Row],[NIBR11-T]])/K$438))</f>
        <v>60</v>
      </c>
      <c r="U404" s="44">
        <f>(L$435-Tabell2[[#This Row],[ReisetidOslo-T]])*100/L$438</f>
        <v>14.837643622035225</v>
      </c>
      <c r="V404" s="44">
        <f>100-(M$435-Tabell2[[#This Row],[Beftettotal-T]])*100/M$438</f>
        <v>1.9261988271250772</v>
      </c>
      <c r="W404" s="44">
        <f>100-(N$435-Tabell2[[#This Row],[Befvekst10-T]])*100/N$438</f>
        <v>27.764130880249439</v>
      </c>
      <c r="X404" s="44">
        <f>100-(O$435-Tabell2[[#This Row],[Kvinneandel-T]])*100/O$438</f>
        <v>1.1780493404438204</v>
      </c>
      <c r="Y404" s="44">
        <f>(P$435-Tabell2[[#This Row],[Eldreandel-T]])*100/P$438</f>
        <v>5.9037909333371754</v>
      </c>
      <c r="Z404" s="44">
        <f>100-(Q$435-Tabell2[[#This Row],[Sysselsettingsvekst10-T]])*100/Q$438</f>
        <v>43.003038876724055</v>
      </c>
      <c r="AA404" s="44">
        <f>100-(R$435-Tabell2[[#This Row],[Yrkesaktivandel-T]])*100/R$438</f>
        <v>39.63333939423795</v>
      </c>
      <c r="AB404" s="44">
        <f>100-(S$435-Tabell2[[#This Row],[Inntekt-T]])*100/S$438</f>
        <v>6.0630777596519891</v>
      </c>
      <c r="AC404" s="44">
        <f>Tabell2[[#This Row],[NIBR11-I]]*Vekter!$B$3</f>
        <v>12</v>
      </c>
      <c r="AD404" s="44">
        <f>Tabell2[[#This Row],[ReisetidOslo-I]]*Vekter!$C$3</f>
        <v>1.4837643622035226</v>
      </c>
      <c r="AE404" s="44">
        <f>Tabell2[[#This Row],[Beftettotal-I]]*Vekter!$E$4</f>
        <v>0.19261988271250774</v>
      </c>
      <c r="AF404" s="44">
        <f>Tabell2[[#This Row],[Befvekst10-I]]*Vekter!$F$3</f>
        <v>5.552826176049888</v>
      </c>
      <c r="AG404" s="44">
        <f>Tabell2[[#This Row],[Kvinneandel-I]]*Vekter!$G$3</f>
        <v>5.890246702219102E-2</v>
      </c>
      <c r="AH404" s="44">
        <f>Tabell2[[#This Row],[Eldreandel-I]]*Vekter!$H$3</f>
        <v>0.29518954666685876</v>
      </c>
      <c r="AI404" s="44">
        <f>Tabell2[[#This Row],[Sysselsettingsvekst10-I]]*Vekter!$I$3</f>
        <v>4.3003038876724053</v>
      </c>
      <c r="AJ404" s="44">
        <f>Tabell2[[#This Row],[Yrkesaktivandel-I]]*Vekter!$K$3</f>
        <v>3.9633339394237952</v>
      </c>
      <c r="AK404" s="44">
        <f>Tabell2[[#This Row],[Inntekt-I]]*Vekter!$M$3</f>
        <v>0.60630777596519891</v>
      </c>
      <c r="AL40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28.453248037716367</v>
      </c>
    </row>
    <row r="405" spans="1:38" s="38" customFormat="1" ht="12.75">
      <c r="A405" s="42" t="s">
        <v>403</v>
      </c>
      <c r="B405" s="38">
        <f>'Rådata-K'!Q405</f>
        <v>4</v>
      </c>
      <c r="C405" s="44">
        <f>'Rådata-K'!P405</f>
        <v>260.99889813959999</v>
      </c>
      <c r="D405" s="41">
        <f>'Rådata-K'!R405</f>
        <v>2.1604711753697114</v>
      </c>
      <c r="E405" s="41">
        <f>'Rådata-K'!S405</f>
        <v>-4.4237012987012991E-2</v>
      </c>
      <c r="F405" s="41">
        <f>'Rådata-K'!T405</f>
        <v>9.2993630573248401E-2</v>
      </c>
      <c r="G405" s="41">
        <f>'Rådata-K'!U405</f>
        <v>0.1961783439490446</v>
      </c>
      <c r="H405" s="41">
        <f>'Rådata-K'!V405</f>
        <v>-9.0909090909090939E-2</v>
      </c>
      <c r="I405" s="41">
        <f>'Rådata-K'!W405</f>
        <v>0.87518796992481207</v>
      </c>
      <c r="J405" s="41">
        <f>'Rådata-K'!O405</f>
        <v>299000</v>
      </c>
      <c r="K405" s="41">
        <f>Tabell2[[#This Row],[NIBR11]]</f>
        <v>4</v>
      </c>
      <c r="L405" s="41">
        <f>IF(Tabell2[[#This Row],[ReisetidOslo]]&lt;=C$433,C$433,IF(Tabell2[[#This Row],[ReisetidOslo]]&gt;=C$434,C$434,Tabell2[[#This Row],[ReisetidOslo]]))</f>
        <v>260.99889813959999</v>
      </c>
      <c r="M405" s="41">
        <f>IF(Tabell2[[#This Row],[Beftettotal]]&lt;=D$433,D$433,IF(Tabell2[[#This Row],[Beftettotal]]&gt;=D$434,D$434,Tabell2[[#This Row],[Beftettotal]]))</f>
        <v>2.1604711753697114</v>
      </c>
      <c r="N405" s="41">
        <f>IF(Tabell2[[#This Row],[Befvekst10]]&lt;=E$433,E$433,IF(Tabell2[[#This Row],[Befvekst10]]&gt;=E$434,E$434,Tabell2[[#This Row],[Befvekst10]]))</f>
        <v>-4.4237012987012991E-2</v>
      </c>
      <c r="O405" s="41">
        <f>IF(Tabell2[[#This Row],[Kvinneandel]]&lt;=F$433,F$433,IF(Tabell2[[#This Row],[Kvinneandel]]&gt;=F$434,F$434,Tabell2[[#This Row],[Kvinneandel]]))</f>
        <v>9.2993630573248401E-2</v>
      </c>
      <c r="P405" s="41">
        <f>IF(Tabell2[[#This Row],[Eldreandel]]&lt;=G$433,G$433,IF(Tabell2[[#This Row],[Eldreandel]]&gt;=G$434,G$434,Tabell2[[#This Row],[Eldreandel]]))</f>
        <v>0.1961783439490446</v>
      </c>
      <c r="Q405" s="41">
        <f>IF(Tabell2[[#This Row],[Sysselsettingsvekst10]]&lt;=H$433,H$433,IF(Tabell2[[#This Row],[Sysselsettingsvekst10]]&gt;=H$434,H$434,Tabell2[[#This Row],[Sysselsettingsvekst10]]))</f>
        <v>-9.0909090909090939E-2</v>
      </c>
      <c r="R405" s="41">
        <f>IF(Tabell2[[#This Row],[Yrkesaktivandel]]&lt;=I$433,I$433,IF(Tabell2[[#This Row],[Yrkesaktivandel]]&gt;=I$434,I$434,Tabell2[[#This Row],[Yrkesaktivandel]]))</f>
        <v>0.87518796992481207</v>
      </c>
      <c r="S405" s="41">
        <f>IF(Tabell2[[#This Row],[Inntekt]]&lt;=J$433,J$433,IF(Tabell2[[#This Row],[Inntekt]]&gt;=J$434,J$434,Tabell2[[#This Row],[Inntekt]]))</f>
        <v>299000</v>
      </c>
      <c r="T405" s="44">
        <f>IF(Tabell2[[#This Row],[NIBR11-T]]&lt;=K$436,100,IF(Tabell2[[#This Row],[NIBR11-T]]&gt;=K$435,0,100*(K$435-Tabell2[[#This Row],[NIBR11-T]])/K$438))</f>
        <v>70</v>
      </c>
      <c r="U405" s="44">
        <f>(L$435-Tabell2[[#This Row],[ReisetidOslo-T]])*100/L$438</f>
        <v>8.0162726145192451</v>
      </c>
      <c r="V405" s="44">
        <f>100-(M$435-Tabell2[[#This Row],[Beftettotal-T]])*100/M$438</f>
        <v>0.68687646535398983</v>
      </c>
      <c r="W405" s="44">
        <f>100-(N$435-Tabell2[[#This Row],[Befvekst10-T]])*100/N$438</f>
        <v>19.728498326355279</v>
      </c>
      <c r="X405" s="44">
        <f>100-(O$435-Tabell2[[#This Row],[Kvinneandel-T]])*100/O$438</f>
        <v>3.4912370269181849</v>
      </c>
      <c r="Y405" s="44">
        <f>(P$435-Tabell2[[#This Row],[Eldreandel-T]])*100/P$438</f>
        <v>3.2559885208738018</v>
      </c>
      <c r="Z405" s="44">
        <f>100-(Q$435-Tabell2[[#This Row],[Sysselsettingsvekst10-T]])*100/Q$438</f>
        <v>0.37037703387103704</v>
      </c>
      <c r="AA405" s="44">
        <f>100-(R$435-Tabell2[[#This Row],[Yrkesaktivandel-T]])*100/R$438</f>
        <v>36.411812171221641</v>
      </c>
      <c r="AB405" s="44">
        <f>100-(S$435-Tabell2[[#This Row],[Inntekt-T]])*100/S$438</f>
        <v>9.3257205002718848</v>
      </c>
      <c r="AC405" s="44">
        <f>Tabell2[[#This Row],[NIBR11-I]]*Vekter!$B$3</f>
        <v>14</v>
      </c>
      <c r="AD405" s="44">
        <f>Tabell2[[#This Row],[ReisetidOslo-I]]*Vekter!$C$3</f>
        <v>0.80162726145192453</v>
      </c>
      <c r="AE405" s="44">
        <f>Tabell2[[#This Row],[Beftettotal-I]]*Vekter!$E$4</f>
        <v>6.868764653539898E-2</v>
      </c>
      <c r="AF405" s="44">
        <f>Tabell2[[#This Row],[Befvekst10-I]]*Vekter!$F$3</f>
        <v>3.9456996652710559</v>
      </c>
      <c r="AG405" s="44">
        <f>Tabell2[[#This Row],[Kvinneandel-I]]*Vekter!$G$3</f>
        <v>0.17456185134590926</v>
      </c>
      <c r="AH405" s="44">
        <f>Tabell2[[#This Row],[Eldreandel-I]]*Vekter!$H$3</f>
        <v>0.1627994260436901</v>
      </c>
      <c r="AI405" s="44">
        <f>Tabell2[[#This Row],[Sysselsettingsvekst10-I]]*Vekter!$I$3</f>
        <v>3.7037703387103708E-2</v>
      </c>
      <c r="AJ405" s="44">
        <f>Tabell2[[#This Row],[Yrkesaktivandel-I]]*Vekter!$K$3</f>
        <v>3.6411812171221642</v>
      </c>
      <c r="AK405" s="44">
        <f>Tabell2[[#This Row],[Inntekt-I]]*Vekter!$M$3</f>
        <v>0.93257205002718857</v>
      </c>
      <c r="AL40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23.764166821184435</v>
      </c>
    </row>
    <row r="406" spans="1:38" s="38" customFormat="1" ht="12.75">
      <c r="A406" s="42" t="s">
        <v>404</v>
      </c>
      <c r="B406" s="38">
        <f>'Rådata-K'!Q406</f>
        <v>11</v>
      </c>
      <c r="C406" s="44">
        <f>'Rådata-K'!P406</f>
        <v>297.40674266389999</v>
      </c>
      <c r="D406" s="41">
        <f>'Rådata-K'!R406</f>
        <v>3.7255770461144744</v>
      </c>
      <c r="E406" s="41">
        <f>'Rådata-K'!S406</f>
        <v>-4.8696198554822545E-2</v>
      </c>
      <c r="F406" s="41">
        <f>'Rådata-K'!T406</f>
        <v>9.2800528401585203E-2</v>
      </c>
      <c r="G406" s="41">
        <f>'Rådata-K'!U406</f>
        <v>0.19088507265521795</v>
      </c>
      <c r="H406" s="41">
        <f>'Rådata-K'!V406</f>
        <v>7.8478964401294427E-2</v>
      </c>
      <c r="I406" s="41">
        <f>'Rådata-K'!W406</f>
        <v>0.87822435512897423</v>
      </c>
      <c r="J406" s="41">
        <f>'Rådata-K'!O406</f>
        <v>297600</v>
      </c>
      <c r="K406" s="41">
        <f>Tabell2[[#This Row],[NIBR11]]</f>
        <v>11</v>
      </c>
      <c r="L406" s="41">
        <f>IF(Tabell2[[#This Row],[ReisetidOslo]]&lt;=C$433,C$433,IF(Tabell2[[#This Row],[ReisetidOslo]]&gt;=C$434,C$434,Tabell2[[#This Row],[ReisetidOslo]]))</f>
        <v>279.05557553043002</v>
      </c>
      <c r="M406" s="41">
        <f>IF(Tabell2[[#This Row],[Beftettotal]]&lt;=D$433,D$433,IF(Tabell2[[#This Row],[Beftettotal]]&gt;=D$434,D$434,Tabell2[[#This Row],[Beftettotal]]))</f>
        <v>3.7255770461144744</v>
      </c>
      <c r="N406" s="41">
        <f>IF(Tabell2[[#This Row],[Befvekst10]]&lt;=E$433,E$433,IF(Tabell2[[#This Row],[Befvekst10]]&gt;=E$434,E$434,Tabell2[[#This Row],[Befvekst10]]))</f>
        <v>-4.8696198554822545E-2</v>
      </c>
      <c r="O406" s="41">
        <f>IF(Tabell2[[#This Row],[Kvinneandel]]&lt;=F$433,F$433,IF(Tabell2[[#This Row],[Kvinneandel]]&gt;=F$434,F$434,Tabell2[[#This Row],[Kvinneandel]]))</f>
        <v>9.2800528401585203E-2</v>
      </c>
      <c r="P406" s="41">
        <f>IF(Tabell2[[#This Row],[Eldreandel]]&lt;=G$433,G$433,IF(Tabell2[[#This Row],[Eldreandel]]&gt;=G$434,G$434,Tabell2[[#This Row],[Eldreandel]]))</f>
        <v>0.19088507265521795</v>
      </c>
      <c r="Q406" s="41">
        <f>IF(Tabell2[[#This Row],[Sysselsettingsvekst10]]&lt;=H$433,H$433,IF(Tabell2[[#This Row],[Sysselsettingsvekst10]]&gt;=H$434,H$434,Tabell2[[#This Row],[Sysselsettingsvekst10]]))</f>
        <v>7.8478964401294427E-2</v>
      </c>
      <c r="R406" s="41">
        <f>IF(Tabell2[[#This Row],[Yrkesaktivandel]]&lt;=I$433,I$433,IF(Tabell2[[#This Row],[Yrkesaktivandel]]&gt;=I$434,I$434,Tabell2[[#This Row],[Yrkesaktivandel]]))</f>
        <v>0.87822435512897423</v>
      </c>
      <c r="S406" s="41">
        <f>IF(Tabell2[[#This Row],[Inntekt]]&lt;=J$433,J$433,IF(Tabell2[[#This Row],[Inntekt]]&gt;=J$434,J$434,Tabell2[[#This Row],[Inntekt]]))</f>
        <v>297600</v>
      </c>
      <c r="T406" s="44">
        <f>IF(Tabell2[[#This Row],[NIBR11-T]]&lt;=K$436,100,IF(Tabell2[[#This Row],[NIBR11-T]]&gt;=K$435,0,100*(K$435-Tabell2[[#This Row],[NIBR11-T]])/K$438))</f>
        <v>0</v>
      </c>
      <c r="U406" s="44">
        <f>(L$435-Tabell2[[#This Row],[ReisetidOslo-T]])*100/L$438</f>
        <v>0</v>
      </c>
      <c r="V406" s="44">
        <f>100-(M$435-Tabell2[[#This Row],[Beftettotal-T]])*100/M$438</f>
        <v>1.9671437299729888</v>
      </c>
      <c r="W406" s="44">
        <f>100-(N$435-Tabell2[[#This Row],[Befvekst10-T]])*100/N$438</f>
        <v>17.883666915739624</v>
      </c>
      <c r="X406" s="44">
        <f>100-(O$435-Tabell2[[#This Row],[Kvinneandel-T]])*100/O$438</f>
        <v>2.962820442402645</v>
      </c>
      <c r="Y406" s="44">
        <f>(P$435-Tabell2[[#This Row],[Eldreandel-T]])*100/P$438</f>
        <v>9.4882631258403389</v>
      </c>
      <c r="Z406" s="44">
        <f>100-(Q$435-Tabell2[[#This Row],[Sysselsettingsvekst10-T]])*100/Q$438</f>
        <v>50.173358306960409</v>
      </c>
      <c r="AA406" s="44">
        <f>100-(R$435-Tabell2[[#This Row],[Yrkesaktivandel-T]])*100/R$438</f>
        <v>38.679328800924274</v>
      </c>
      <c r="AB406" s="44">
        <f>100-(S$435-Tabell2[[#This Row],[Inntekt-T]])*100/S$438</f>
        <v>7.4225122349102719</v>
      </c>
      <c r="AC406" s="44">
        <f>Tabell2[[#This Row],[NIBR11-I]]*Vekter!$B$3</f>
        <v>0</v>
      </c>
      <c r="AD406" s="44">
        <f>Tabell2[[#This Row],[ReisetidOslo-I]]*Vekter!$C$3</f>
        <v>0</v>
      </c>
      <c r="AE406" s="44">
        <f>Tabell2[[#This Row],[Beftettotal-I]]*Vekter!$E$4</f>
        <v>0.19671437299729888</v>
      </c>
      <c r="AF406" s="44">
        <f>Tabell2[[#This Row],[Befvekst10-I]]*Vekter!$F$3</f>
        <v>3.5767333831479249</v>
      </c>
      <c r="AG406" s="44">
        <f>Tabell2[[#This Row],[Kvinneandel-I]]*Vekter!$G$3</f>
        <v>0.14814102212013225</v>
      </c>
      <c r="AH406" s="44">
        <f>Tabell2[[#This Row],[Eldreandel-I]]*Vekter!$H$3</f>
        <v>0.47441315629201697</v>
      </c>
      <c r="AI406" s="44">
        <f>Tabell2[[#This Row],[Sysselsettingsvekst10-I]]*Vekter!$I$3</f>
        <v>5.0173358306960409</v>
      </c>
      <c r="AJ406" s="44">
        <f>Tabell2[[#This Row],[Yrkesaktivandel-I]]*Vekter!$K$3</f>
        <v>3.8679328800924275</v>
      </c>
      <c r="AK406" s="44">
        <f>Tabell2[[#This Row],[Inntekt-I]]*Vekter!$M$3</f>
        <v>0.74225122349102723</v>
      </c>
      <c r="AL40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14.023521868836868</v>
      </c>
    </row>
    <row r="407" spans="1:38" s="38" customFormat="1" ht="12.75">
      <c r="A407" s="42" t="s">
        <v>405</v>
      </c>
      <c r="B407" s="38">
        <f>'Rådata-K'!Q407</f>
        <v>10</v>
      </c>
      <c r="C407" s="44">
        <f>'Rådata-K'!P407</f>
        <v>271.22734960870002</v>
      </c>
      <c r="D407" s="41">
        <f>'Rådata-K'!R407</f>
        <v>1.2373686632659013</v>
      </c>
      <c r="E407" s="41">
        <f>'Rådata-K'!S407</f>
        <v>2.6344086021505397E-2</v>
      </c>
      <c r="F407" s="41">
        <f>'Rådata-K'!T407</f>
        <v>0.1000523834468308</v>
      </c>
      <c r="G407" s="41">
        <f>'Rådata-K'!U407</f>
        <v>0.13410162388685176</v>
      </c>
      <c r="H407" s="41">
        <f>'Rådata-K'!V407</f>
        <v>0.20408163265306123</v>
      </c>
      <c r="I407" s="41">
        <f>'Rådata-K'!W407</f>
        <v>0.84567350579839429</v>
      </c>
      <c r="J407" s="41">
        <f>'Rådata-K'!O407</f>
        <v>292500</v>
      </c>
      <c r="K407" s="41">
        <f>Tabell2[[#This Row],[NIBR11]]</f>
        <v>10</v>
      </c>
      <c r="L407" s="41">
        <f>IF(Tabell2[[#This Row],[ReisetidOslo]]&lt;=C$433,C$433,IF(Tabell2[[#This Row],[ReisetidOslo]]&gt;=C$434,C$434,Tabell2[[#This Row],[ReisetidOslo]]))</f>
        <v>271.22734960870002</v>
      </c>
      <c r="M407" s="41">
        <f>IF(Tabell2[[#This Row],[Beftettotal]]&lt;=D$433,D$433,IF(Tabell2[[#This Row],[Beftettotal]]&gt;=D$434,D$434,Tabell2[[#This Row],[Beftettotal]]))</f>
        <v>1.3207758882127238</v>
      </c>
      <c r="N407" s="41">
        <f>IF(Tabell2[[#This Row],[Befvekst10]]&lt;=E$433,E$433,IF(Tabell2[[#This Row],[Befvekst10]]&gt;=E$434,E$434,Tabell2[[#This Row],[Befvekst10]]))</f>
        <v>2.6344086021505397E-2</v>
      </c>
      <c r="O407" s="41">
        <f>IF(Tabell2[[#This Row],[Kvinneandel]]&lt;=F$433,F$433,IF(Tabell2[[#This Row],[Kvinneandel]]&gt;=F$434,F$434,Tabell2[[#This Row],[Kvinneandel]]))</f>
        <v>0.1000523834468308</v>
      </c>
      <c r="P407" s="41">
        <f>IF(Tabell2[[#This Row],[Eldreandel]]&lt;=G$433,G$433,IF(Tabell2[[#This Row],[Eldreandel]]&gt;=G$434,G$434,Tabell2[[#This Row],[Eldreandel]]))</f>
        <v>0.13410162388685176</v>
      </c>
      <c r="Q407" s="41">
        <f>IF(Tabell2[[#This Row],[Sysselsettingsvekst10]]&lt;=H$433,H$433,IF(Tabell2[[#This Row],[Sysselsettingsvekst10]]&gt;=H$434,H$434,Tabell2[[#This Row],[Sysselsettingsvekst10]]))</f>
        <v>0.20408163265306123</v>
      </c>
      <c r="R407" s="41">
        <f>IF(Tabell2[[#This Row],[Yrkesaktivandel]]&lt;=I$433,I$433,IF(Tabell2[[#This Row],[Yrkesaktivandel]]&gt;=I$434,I$434,Tabell2[[#This Row],[Yrkesaktivandel]]))</f>
        <v>0.84567350579839429</v>
      </c>
      <c r="S407" s="41">
        <f>IF(Tabell2[[#This Row],[Inntekt]]&lt;=J$433,J$433,IF(Tabell2[[#This Row],[Inntekt]]&gt;=J$434,J$434,Tabell2[[#This Row],[Inntekt]]))</f>
        <v>292500</v>
      </c>
      <c r="T407" s="44">
        <f>IF(Tabell2[[#This Row],[NIBR11-T]]&lt;=K$436,100,IF(Tabell2[[#This Row],[NIBR11-T]]&gt;=K$435,0,100*(K$435-Tabell2[[#This Row],[NIBR11-T]])/K$438))</f>
        <v>10</v>
      </c>
      <c r="U407" s="44">
        <f>(L$435-Tabell2[[#This Row],[ReisetidOslo-T]])*100/L$438</f>
        <v>3.4753455310943666</v>
      </c>
      <c r="V407" s="44">
        <f>100-(M$435-Tabell2[[#This Row],[Beftettotal-T]])*100/M$438</f>
        <v>0</v>
      </c>
      <c r="W407" s="44">
        <f>100-(N$435-Tabell2[[#This Row],[Befvekst10-T]])*100/N$438</f>
        <v>48.92894905140767</v>
      </c>
      <c r="X407" s="44">
        <f>100-(O$435-Tabell2[[#This Row],[Kvinneandel-T]])*100/O$438</f>
        <v>22.807239805506327</v>
      </c>
      <c r="Y407" s="44">
        <f>(P$435-Tabell2[[#This Row],[Eldreandel-T]])*100/P$438</f>
        <v>76.344848797962683</v>
      </c>
      <c r="Z407" s="44">
        <f>100-(Q$435-Tabell2[[#This Row],[Sysselsettingsvekst10-T]])*100/Q$438</f>
        <v>87.102687965598207</v>
      </c>
      <c r="AA407" s="44">
        <f>100-(R$435-Tabell2[[#This Row],[Yrkesaktivandel-T]])*100/R$438</f>
        <v>14.3709531485665</v>
      </c>
      <c r="AB407" s="44">
        <f>100-(S$435-Tabell2[[#This Row],[Inntekt-T]])*100/S$438</f>
        <v>0.48939641109298293</v>
      </c>
      <c r="AC407" s="44">
        <f>Tabell2[[#This Row],[NIBR11-I]]*Vekter!$B$3</f>
        <v>2</v>
      </c>
      <c r="AD407" s="44">
        <f>Tabell2[[#This Row],[ReisetidOslo-I]]*Vekter!$C$3</f>
        <v>0.34753455310943671</v>
      </c>
      <c r="AE407" s="44">
        <f>Tabell2[[#This Row],[Beftettotal-I]]*Vekter!$E$4</f>
        <v>0</v>
      </c>
      <c r="AF407" s="44">
        <f>Tabell2[[#This Row],[Befvekst10-I]]*Vekter!$F$3</f>
        <v>9.7857898102815355</v>
      </c>
      <c r="AG407" s="44">
        <f>Tabell2[[#This Row],[Kvinneandel-I]]*Vekter!$G$3</f>
        <v>1.1403619902753164</v>
      </c>
      <c r="AH407" s="44">
        <f>Tabell2[[#This Row],[Eldreandel-I]]*Vekter!$H$3</f>
        <v>3.8172424398981342</v>
      </c>
      <c r="AI407" s="44">
        <f>Tabell2[[#This Row],[Sysselsettingsvekst10-I]]*Vekter!$I$3</f>
        <v>8.7102687965598218</v>
      </c>
      <c r="AJ407" s="44">
        <f>Tabell2[[#This Row],[Yrkesaktivandel-I]]*Vekter!$K$3</f>
        <v>1.4370953148566501</v>
      </c>
      <c r="AK407" s="44">
        <f>Tabell2[[#This Row],[Inntekt-I]]*Vekter!$M$3</f>
        <v>4.8939641109298299E-2</v>
      </c>
      <c r="AL40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27.287232546090195</v>
      </c>
    </row>
    <row r="408" spans="1:38" s="38" customFormat="1" ht="12.75">
      <c r="A408" s="42" t="s">
        <v>406</v>
      </c>
      <c r="B408" s="38">
        <f>'Rådata-K'!Q408</f>
        <v>11</v>
      </c>
      <c r="C408" s="44">
        <f>'Rådata-K'!P408</f>
        <v>297.9257134513</v>
      </c>
      <c r="D408" s="41">
        <f>'Rådata-K'!R408</f>
        <v>2.229845626072041</v>
      </c>
      <c r="E408" s="41">
        <f>'Rådata-K'!S408</f>
        <v>-5.7167235494880564E-2</v>
      </c>
      <c r="F408" s="41">
        <f>'Rådata-K'!T408</f>
        <v>0.10226244343891402</v>
      </c>
      <c r="G408" s="41">
        <f>'Rådata-K'!U408</f>
        <v>0.18914027149321266</v>
      </c>
      <c r="H408" s="41">
        <f>'Rådata-K'!V408</f>
        <v>-4.3478260869565188E-2</v>
      </c>
      <c r="I408" s="41">
        <f>'Rådata-K'!W408</f>
        <v>0.8287781350482315</v>
      </c>
      <c r="J408" s="41">
        <f>'Rådata-K'!O408</f>
        <v>276000</v>
      </c>
      <c r="K408" s="41">
        <f>Tabell2[[#This Row],[NIBR11]]</f>
        <v>11</v>
      </c>
      <c r="L408" s="41">
        <f>IF(Tabell2[[#This Row],[ReisetidOslo]]&lt;=C$433,C$433,IF(Tabell2[[#This Row],[ReisetidOslo]]&gt;=C$434,C$434,Tabell2[[#This Row],[ReisetidOslo]]))</f>
        <v>279.05557553043002</v>
      </c>
      <c r="M408" s="41">
        <f>IF(Tabell2[[#This Row],[Beftettotal]]&lt;=D$433,D$433,IF(Tabell2[[#This Row],[Beftettotal]]&gt;=D$434,D$434,Tabell2[[#This Row],[Beftettotal]]))</f>
        <v>2.229845626072041</v>
      </c>
      <c r="N408" s="41">
        <f>IF(Tabell2[[#This Row],[Befvekst10]]&lt;=E$433,E$433,IF(Tabell2[[#This Row],[Befvekst10]]&gt;=E$434,E$434,Tabell2[[#This Row],[Befvekst10]]))</f>
        <v>-5.7167235494880564E-2</v>
      </c>
      <c r="O408" s="41">
        <f>IF(Tabell2[[#This Row],[Kvinneandel]]&lt;=F$433,F$433,IF(Tabell2[[#This Row],[Kvinneandel]]&gt;=F$434,F$434,Tabell2[[#This Row],[Kvinneandel]]))</f>
        <v>0.10226244343891402</v>
      </c>
      <c r="P408" s="41">
        <f>IF(Tabell2[[#This Row],[Eldreandel]]&lt;=G$433,G$433,IF(Tabell2[[#This Row],[Eldreandel]]&gt;=G$434,G$434,Tabell2[[#This Row],[Eldreandel]]))</f>
        <v>0.18914027149321266</v>
      </c>
      <c r="Q408" s="41">
        <f>IF(Tabell2[[#This Row],[Sysselsettingsvekst10]]&lt;=H$433,H$433,IF(Tabell2[[#This Row],[Sysselsettingsvekst10]]&gt;=H$434,H$434,Tabell2[[#This Row],[Sysselsettingsvekst10]]))</f>
        <v>-4.3478260869565188E-2</v>
      </c>
      <c r="R408" s="41">
        <f>IF(Tabell2[[#This Row],[Yrkesaktivandel]]&lt;=I$433,I$433,IF(Tabell2[[#This Row],[Yrkesaktivandel]]&gt;=I$434,I$434,Tabell2[[#This Row],[Yrkesaktivandel]]))</f>
        <v>0.8287781350482315</v>
      </c>
      <c r="S408" s="41">
        <f>IF(Tabell2[[#This Row],[Inntekt]]&lt;=J$433,J$433,IF(Tabell2[[#This Row],[Inntekt]]&gt;=J$434,J$434,Tabell2[[#This Row],[Inntekt]]))</f>
        <v>292140</v>
      </c>
      <c r="T408" s="44">
        <f>IF(Tabell2[[#This Row],[NIBR11-T]]&lt;=K$436,100,IF(Tabell2[[#This Row],[NIBR11-T]]&gt;=K$435,0,100*(K$435-Tabell2[[#This Row],[NIBR11-T]])/K$438))</f>
        <v>0</v>
      </c>
      <c r="U408" s="44">
        <f>(L$435-Tabell2[[#This Row],[ReisetidOslo-T]])*100/L$438</f>
        <v>0</v>
      </c>
      <c r="V408" s="44">
        <f>100-(M$435-Tabell2[[#This Row],[Beftettotal-T]])*100/M$438</f>
        <v>0.74362523864485297</v>
      </c>
      <c r="W408" s="44">
        <f>100-(N$435-Tabell2[[#This Row],[Befvekst10-T]])*100/N$438</f>
        <v>14.379072906394299</v>
      </c>
      <c r="X408" s="44">
        <f>100-(O$435-Tabell2[[#This Row],[Kvinneandel-T]])*100/O$438</f>
        <v>28.854983041807017</v>
      </c>
      <c r="Y408" s="44">
        <f>(P$435-Tabell2[[#This Row],[Eldreandel-T]])*100/P$438</f>
        <v>11.542584427180726</v>
      </c>
      <c r="Z408" s="44">
        <f>100-(Q$435-Tabell2[[#This Row],[Sysselsettingsvekst10-T]])*100/Q$438</f>
        <v>14.315851145945317</v>
      </c>
      <c r="AA408" s="44">
        <f>100-(R$435-Tabell2[[#This Row],[Yrkesaktivandel-T]])*100/R$438</f>
        <v>1.7538009873482849</v>
      </c>
      <c r="AB408" s="44">
        <f>100-(S$435-Tabell2[[#This Row],[Inntekt-T]])*100/S$438</f>
        <v>0</v>
      </c>
      <c r="AC408" s="44">
        <f>Tabell2[[#This Row],[NIBR11-I]]*Vekter!$B$3</f>
        <v>0</v>
      </c>
      <c r="AD408" s="44">
        <f>Tabell2[[#This Row],[ReisetidOslo-I]]*Vekter!$C$3</f>
        <v>0</v>
      </c>
      <c r="AE408" s="44">
        <f>Tabell2[[#This Row],[Beftettotal-I]]*Vekter!$E$4</f>
        <v>7.4362523864485303E-2</v>
      </c>
      <c r="AF408" s="44">
        <f>Tabell2[[#This Row],[Befvekst10-I]]*Vekter!$F$3</f>
        <v>2.8758145812788598</v>
      </c>
      <c r="AG408" s="44">
        <f>Tabell2[[#This Row],[Kvinneandel-I]]*Vekter!$G$3</f>
        <v>1.442749152090351</v>
      </c>
      <c r="AH408" s="44">
        <f>Tabell2[[#This Row],[Eldreandel-I]]*Vekter!$H$3</f>
        <v>0.57712922135903633</v>
      </c>
      <c r="AI408" s="44">
        <f>Tabell2[[#This Row],[Sysselsettingsvekst10-I]]*Vekter!$I$3</f>
        <v>1.4315851145945317</v>
      </c>
      <c r="AJ408" s="44">
        <f>Tabell2[[#This Row],[Yrkesaktivandel-I]]*Vekter!$K$3</f>
        <v>0.17538009873482852</v>
      </c>
      <c r="AK408" s="44">
        <f>Tabell2[[#This Row],[Inntekt-I]]*Vekter!$M$3</f>
        <v>0</v>
      </c>
      <c r="AL40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6.5770206919220939</v>
      </c>
    </row>
    <row r="409" spans="1:38" s="38" customFormat="1" ht="12.75">
      <c r="A409" s="42" t="s">
        <v>407</v>
      </c>
      <c r="B409" s="38">
        <f>'Rådata-K'!Q409</f>
        <v>9</v>
      </c>
      <c r="C409" s="44">
        <f>'Rådata-K'!P409</f>
        <v>295.1057286651</v>
      </c>
      <c r="D409" s="41">
        <f>'Rådata-K'!R409</f>
        <v>6.088794926004228</v>
      </c>
      <c r="E409" s="41">
        <f>'Rådata-K'!S409</f>
        <v>-4.4459190444591901E-2</v>
      </c>
      <c r="F409" s="41">
        <f>'Rådata-K'!T409</f>
        <v>0.11041666666666666</v>
      </c>
      <c r="G409" s="41">
        <f>'Rådata-K'!U409</f>
        <v>0.16145833333333334</v>
      </c>
      <c r="H409" s="41">
        <f>'Rådata-K'!V409</f>
        <v>-2.2939068100358395E-2</v>
      </c>
      <c r="I409" s="41">
        <f>'Rådata-K'!W409</f>
        <v>0.86820737039350404</v>
      </c>
      <c r="J409" s="41">
        <f>'Rådata-K'!O409</f>
        <v>304100</v>
      </c>
      <c r="K409" s="41">
        <f>Tabell2[[#This Row],[NIBR11]]</f>
        <v>9</v>
      </c>
      <c r="L409" s="41">
        <f>IF(Tabell2[[#This Row],[ReisetidOslo]]&lt;=C$433,C$433,IF(Tabell2[[#This Row],[ReisetidOslo]]&gt;=C$434,C$434,Tabell2[[#This Row],[ReisetidOslo]]))</f>
        <v>279.05557553043002</v>
      </c>
      <c r="M409" s="41">
        <f>IF(Tabell2[[#This Row],[Beftettotal]]&lt;=D$433,D$433,IF(Tabell2[[#This Row],[Beftettotal]]&gt;=D$434,D$434,Tabell2[[#This Row],[Beftettotal]]))</f>
        <v>6.088794926004228</v>
      </c>
      <c r="N409" s="41">
        <f>IF(Tabell2[[#This Row],[Befvekst10]]&lt;=E$433,E$433,IF(Tabell2[[#This Row],[Befvekst10]]&gt;=E$434,E$434,Tabell2[[#This Row],[Befvekst10]]))</f>
        <v>-4.4459190444591901E-2</v>
      </c>
      <c r="O409" s="41">
        <f>IF(Tabell2[[#This Row],[Kvinneandel]]&lt;=F$433,F$433,IF(Tabell2[[#This Row],[Kvinneandel]]&gt;=F$434,F$434,Tabell2[[#This Row],[Kvinneandel]]))</f>
        <v>0.11041666666666666</v>
      </c>
      <c r="P409" s="41">
        <f>IF(Tabell2[[#This Row],[Eldreandel]]&lt;=G$433,G$433,IF(Tabell2[[#This Row],[Eldreandel]]&gt;=G$434,G$434,Tabell2[[#This Row],[Eldreandel]]))</f>
        <v>0.16145833333333334</v>
      </c>
      <c r="Q409" s="41">
        <f>IF(Tabell2[[#This Row],[Sysselsettingsvekst10]]&lt;=H$433,H$433,IF(Tabell2[[#This Row],[Sysselsettingsvekst10]]&gt;=H$434,H$434,Tabell2[[#This Row],[Sysselsettingsvekst10]]))</f>
        <v>-2.2939068100358395E-2</v>
      </c>
      <c r="R409" s="41">
        <f>IF(Tabell2[[#This Row],[Yrkesaktivandel]]&lt;=I$433,I$433,IF(Tabell2[[#This Row],[Yrkesaktivandel]]&gt;=I$434,I$434,Tabell2[[#This Row],[Yrkesaktivandel]]))</f>
        <v>0.86820737039350404</v>
      </c>
      <c r="S409" s="41">
        <f>IF(Tabell2[[#This Row],[Inntekt]]&lt;=J$433,J$433,IF(Tabell2[[#This Row],[Inntekt]]&gt;=J$434,J$434,Tabell2[[#This Row],[Inntekt]]))</f>
        <v>304100</v>
      </c>
      <c r="T409" s="44">
        <f>IF(Tabell2[[#This Row],[NIBR11-T]]&lt;=K$436,100,IF(Tabell2[[#This Row],[NIBR11-T]]&gt;=K$435,0,100*(K$435-Tabell2[[#This Row],[NIBR11-T]])/K$438))</f>
        <v>20</v>
      </c>
      <c r="U409" s="44">
        <f>(L$435-Tabell2[[#This Row],[ReisetidOslo-T]])*100/L$438</f>
        <v>0</v>
      </c>
      <c r="V409" s="44">
        <f>100-(M$435-Tabell2[[#This Row],[Beftettotal-T]])*100/M$438</f>
        <v>3.9002720552443293</v>
      </c>
      <c r="W409" s="44">
        <f>100-(N$435-Tabell2[[#This Row],[Befvekst10-T]])*100/N$438</f>
        <v>19.636580206725725</v>
      </c>
      <c r="X409" s="44">
        <f>100-(O$435-Tabell2[[#This Row],[Kvinneandel-T]])*100/O$438</f>
        <v>51.168697850264564</v>
      </c>
      <c r="Y409" s="44">
        <f>(P$435-Tabell2[[#This Row],[Eldreandel-T]])*100/P$438</f>
        <v>44.135178049063597</v>
      </c>
      <c r="Z409" s="44">
        <f>100-(Q$435-Tabell2[[#This Row],[Sysselsettingsvekst10-T]])*100/Q$438</f>
        <v>20.354724612995881</v>
      </c>
      <c r="AA409" s="44">
        <f>100-(R$435-Tabell2[[#This Row],[Yrkesaktivandel-T]])*100/R$438</f>
        <v>31.198828818240571</v>
      </c>
      <c r="AB409" s="44">
        <f>100-(S$435-Tabell2[[#This Row],[Inntekt-T]])*100/S$438</f>
        <v>16.258836324089174</v>
      </c>
      <c r="AC409" s="44">
        <f>Tabell2[[#This Row],[NIBR11-I]]*Vekter!$B$3</f>
        <v>4</v>
      </c>
      <c r="AD409" s="44">
        <f>Tabell2[[#This Row],[ReisetidOslo-I]]*Vekter!$C$3</f>
        <v>0</v>
      </c>
      <c r="AE409" s="44">
        <f>Tabell2[[#This Row],[Beftettotal-I]]*Vekter!$E$4</f>
        <v>0.39002720552443293</v>
      </c>
      <c r="AF409" s="44">
        <f>Tabell2[[#This Row],[Befvekst10-I]]*Vekter!$F$3</f>
        <v>3.9273160413451453</v>
      </c>
      <c r="AG409" s="44">
        <f>Tabell2[[#This Row],[Kvinneandel-I]]*Vekter!$G$3</f>
        <v>2.5584348925132283</v>
      </c>
      <c r="AH409" s="44">
        <f>Tabell2[[#This Row],[Eldreandel-I]]*Vekter!$H$3</f>
        <v>2.20675890245318</v>
      </c>
      <c r="AI409" s="44">
        <f>Tabell2[[#This Row],[Sysselsettingsvekst10-I]]*Vekter!$I$3</f>
        <v>2.0354724612995883</v>
      </c>
      <c r="AJ409" s="44">
        <f>Tabell2[[#This Row],[Yrkesaktivandel-I]]*Vekter!$K$3</f>
        <v>3.1198828818240574</v>
      </c>
      <c r="AK409" s="44">
        <f>Tabell2[[#This Row],[Inntekt-I]]*Vekter!$M$3</f>
        <v>1.6258836324089174</v>
      </c>
      <c r="AL40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19.863776017368551</v>
      </c>
    </row>
    <row r="410" spans="1:38" s="38" customFormat="1" ht="12.75">
      <c r="A410" s="42" t="s">
        <v>408</v>
      </c>
      <c r="B410" s="38">
        <f>'Rådata-K'!Q410</f>
        <v>9</v>
      </c>
      <c r="C410" s="44">
        <f>'Rådata-K'!P410</f>
        <v>263.52970868245001</v>
      </c>
      <c r="D410" s="41">
        <f>'Rådata-K'!R410</f>
        <v>1.3987499418036222</v>
      </c>
      <c r="E410" s="41">
        <f>'Rådata-K'!S410</f>
        <v>1.4349018780333456E-2</v>
      </c>
      <c r="F410" s="41">
        <f>'Rådata-K'!T410</f>
        <v>0.11150405658414812</v>
      </c>
      <c r="G410" s="41">
        <f>'Rådata-K'!U410</f>
        <v>0.15560640732265446</v>
      </c>
      <c r="H410" s="41">
        <f>'Rådata-K'!V410</f>
        <v>6.5359477124182996E-2</v>
      </c>
      <c r="I410" s="41">
        <f>'Rådata-K'!W410</f>
        <v>0.86847905951506243</v>
      </c>
      <c r="J410" s="41">
        <f>'Rådata-K'!O410</f>
        <v>307200</v>
      </c>
      <c r="K410" s="41">
        <f>Tabell2[[#This Row],[NIBR11]]</f>
        <v>9</v>
      </c>
      <c r="L410" s="41">
        <f>IF(Tabell2[[#This Row],[ReisetidOslo]]&lt;=C$433,C$433,IF(Tabell2[[#This Row],[ReisetidOslo]]&gt;=C$434,C$434,Tabell2[[#This Row],[ReisetidOslo]]))</f>
        <v>263.52970868245001</v>
      </c>
      <c r="M410" s="41">
        <f>IF(Tabell2[[#This Row],[Beftettotal]]&lt;=D$433,D$433,IF(Tabell2[[#This Row],[Beftettotal]]&gt;=D$434,D$434,Tabell2[[#This Row],[Beftettotal]]))</f>
        <v>1.3987499418036222</v>
      </c>
      <c r="N410" s="41">
        <f>IF(Tabell2[[#This Row],[Befvekst10]]&lt;=E$433,E$433,IF(Tabell2[[#This Row],[Befvekst10]]&gt;=E$434,E$434,Tabell2[[#This Row],[Befvekst10]]))</f>
        <v>1.4349018780333456E-2</v>
      </c>
      <c r="O410" s="41">
        <f>IF(Tabell2[[#This Row],[Kvinneandel]]&lt;=F$433,F$433,IF(Tabell2[[#This Row],[Kvinneandel]]&gt;=F$434,F$434,Tabell2[[#This Row],[Kvinneandel]]))</f>
        <v>0.11150405658414812</v>
      </c>
      <c r="P410" s="41">
        <f>IF(Tabell2[[#This Row],[Eldreandel]]&lt;=G$433,G$433,IF(Tabell2[[#This Row],[Eldreandel]]&gt;=G$434,G$434,Tabell2[[#This Row],[Eldreandel]]))</f>
        <v>0.15560640732265446</v>
      </c>
      <c r="Q410" s="41">
        <f>IF(Tabell2[[#This Row],[Sysselsettingsvekst10]]&lt;=H$433,H$433,IF(Tabell2[[#This Row],[Sysselsettingsvekst10]]&gt;=H$434,H$434,Tabell2[[#This Row],[Sysselsettingsvekst10]]))</f>
        <v>6.5359477124182996E-2</v>
      </c>
      <c r="R410" s="41">
        <f>IF(Tabell2[[#This Row],[Yrkesaktivandel]]&lt;=I$433,I$433,IF(Tabell2[[#This Row],[Yrkesaktivandel]]&gt;=I$434,I$434,Tabell2[[#This Row],[Yrkesaktivandel]]))</f>
        <v>0.86847905951506243</v>
      </c>
      <c r="S410" s="41">
        <f>IF(Tabell2[[#This Row],[Inntekt]]&lt;=J$433,J$433,IF(Tabell2[[#This Row],[Inntekt]]&gt;=J$434,J$434,Tabell2[[#This Row],[Inntekt]]))</f>
        <v>307200</v>
      </c>
      <c r="T410" s="44">
        <f>IF(Tabell2[[#This Row],[NIBR11-T]]&lt;=K$436,100,IF(Tabell2[[#This Row],[NIBR11-T]]&gt;=K$435,0,100*(K$435-Tabell2[[#This Row],[NIBR11-T]])/K$438))</f>
        <v>20</v>
      </c>
      <c r="U410" s="44">
        <f>(L$435-Tabell2[[#This Row],[ReisetidOslo-T]])*100/L$438</f>
        <v>6.8927177761585536</v>
      </c>
      <c r="V410" s="44">
        <f>100-(M$435-Tabell2[[#This Row],[Beftettotal-T]])*100/M$438</f>
        <v>6.3783307038889347E-2</v>
      </c>
      <c r="W410" s="44">
        <f>100-(N$435-Tabell2[[#This Row],[Befvekst10-T]])*100/N$438</f>
        <v>43.966411277983958</v>
      </c>
      <c r="X410" s="44">
        <f>100-(O$435-Tabell2[[#This Row],[Kvinneandel-T]])*100/O$438</f>
        <v>54.144298079320436</v>
      </c>
      <c r="Y410" s="44">
        <f>(P$435-Tabell2[[#This Row],[Eldreandel-T]])*100/P$438</f>
        <v>51.025210288490229</v>
      </c>
      <c r="Z410" s="44">
        <f>100-(Q$435-Tabell2[[#This Row],[Sysselsettingsvekst10-T]])*100/Q$438</f>
        <v>46.316004977191973</v>
      </c>
      <c r="AA410" s="44">
        <f>100-(R$435-Tabell2[[#This Row],[Yrkesaktivandel-T]])*100/R$438</f>
        <v>31.401721257710534</v>
      </c>
      <c r="AB410" s="44">
        <f>100-(S$435-Tabell2[[#This Row],[Inntekt-T]])*100/S$438</f>
        <v>20.473083197389883</v>
      </c>
      <c r="AC410" s="44">
        <f>Tabell2[[#This Row],[NIBR11-I]]*Vekter!$B$3</f>
        <v>4</v>
      </c>
      <c r="AD410" s="44">
        <f>Tabell2[[#This Row],[ReisetidOslo-I]]*Vekter!$C$3</f>
        <v>0.68927177761585545</v>
      </c>
      <c r="AE410" s="44">
        <f>Tabell2[[#This Row],[Beftettotal-I]]*Vekter!$E$4</f>
        <v>6.3783307038889347E-3</v>
      </c>
      <c r="AF410" s="44">
        <f>Tabell2[[#This Row],[Befvekst10-I]]*Vekter!$F$3</f>
        <v>8.7932822555967913</v>
      </c>
      <c r="AG410" s="44">
        <f>Tabell2[[#This Row],[Kvinneandel-I]]*Vekter!$G$3</f>
        <v>2.707214903966022</v>
      </c>
      <c r="AH410" s="44">
        <f>Tabell2[[#This Row],[Eldreandel-I]]*Vekter!$H$3</f>
        <v>2.5512605144245115</v>
      </c>
      <c r="AI410" s="44">
        <f>Tabell2[[#This Row],[Sysselsettingsvekst10-I]]*Vekter!$I$3</f>
        <v>4.6316004977191971</v>
      </c>
      <c r="AJ410" s="44">
        <f>Tabell2[[#This Row],[Yrkesaktivandel-I]]*Vekter!$K$3</f>
        <v>3.1401721257710538</v>
      </c>
      <c r="AK410" s="44">
        <f>Tabell2[[#This Row],[Inntekt-I]]*Vekter!$M$3</f>
        <v>2.0473083197389883</v>
      </c>
      <c r="AL41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28.56648872553631</v>
      </c>
    </row>
    <row r="411" spans="1:38" s="38" customFormat="1" ht="12.75">
      <c r="A411" s="42" t="s">
        <v>409</v>
      </c>
      <c r="B411" s="38">
        <f>'Rådata-K'!Q411</f>
        <v>11</v>
      </c>
      <c r="C411" s="44">
        <f>'Rådata-K'!P411</f>
        <v>305.6538932638</v>
      </c>
      <c r="D411" s="41">
        <f>'Rådata-K'!R411</f>
        <v>0.60903881910977875</v>
      </c>
      <c r="E411" s="41">
        <f>'Rådata-K'!S411</f>
        <v>-0.10957004160887651</v>
      </c>
      <c r="F411" s="41">
        <f>'Rådata-K'!T411</f>
        <v>8.2554517133956382E-2</v>
      </c>
      <c r="G411" s="41">
        <f>'Rådata-K'!U411</f>
        <v>0.21261682242990654</v>
      </c>
      <c r="H411" s="41">
        <f>'Rådata-K'!V411</f>
        <v>-6.0000000000000053E-3</v>
      </c>
      <c r="I411" s="41">
        <f>'Rådata-K'!W411</f>
        <v>0.84570596797671038</v>
      </c>
      <c r="J411" s="41">
        <f>'Rådata-K'!O411</f>
        <v>301100</v>
      </c>
      <c r="K411" s="41">
        <f>Tabell2[[#This Row],[NIBR11]]</f>
        <v>11</v>
      </c>
      <c r="L411" s="41">
        <f>IF(Tabell2[[#This Row],[ReisetidOslo]]&lt;=C$433,C$433,IF(Tabell2[[#This Row],[ReisetidOslo]]&gt;=C$434,C$434,Tabell2[[#This Row],[ReisetidOslo]]))</f>
        <v>279.05557553043002</v>
      </c>
      <c r="M411" s="41">
        <f>IF(Tabell2[[#This Row],[Beftettotal]]&lt;=D$433,D$433,IF(Tabell2[[#This Row],[Beftettotal]]&gt;=D$434,D$434,Tabell2[[#This Row],[Beftettotal]]))</f>
        <v>1.3207758882127238</v>
      </c>
      <c r="N411" s="41">
        <f>IF(Tabell2[[#This Row],[Befvekst10]]&lt;=E$433,E$433,IF(Tabell2[[#This Row],[Befvekst10]]&gt;=E$434,E$434,Tabell2[[#This Row],[Befvekst10]]))</f>
        <v>-9.1923232174966049E-2</v>
      </c>
      <c r="O411" s="41">
        <f>IF(Tabell2[[#This Row],[Kvinneandel]]&lt;=F$433,F$433,IF(Tabell2[[#This Row],[Kvinneandel]]&gt;=F$434,F$434,Tabell2[[#This Row],[Kvinneandel]]))</f>
        <v>9.1717808671657367E-2</v>
      </c>
      <c r="P411" s="41">
        <f>IF(Tabell2[[#This Row],[Eldreandel]]&lt;=G$433,G$433,IF(Tabell2[[#This Row],[Eldreandel]]&gt;=G$434,G$434,Tabell2[[#This Row],[Eldreandel]]))</f>
        <v>0.1989437597342919</v>
      </c>
      <c r="Q411" s="41">
        <f>IF(Tabell2[[#This Row],[Sysselsettingsvekst10]]&lt;=H$433,H$433,IF(Tabell2[[#This Row],[Sysselsettingsvekst10]]&gt;=H$434,H$434,Tabell2[[#This Row],[Sysselsettingsvekst10]]))</f>
        <v>-6.0000000000000053E-3</v>
      </c>
      <c r="R411" s="41">
        <f>IF(Tabell2[[#This Row],[Yrkesaktivandel]]&lt;=I$433,I$433,IF(Tabell2[[#This Row],[Yrkesaktivandel]]&gt;=I$434,I$434,Tabell2[[#This Row],[Yrkesaktivandel]]))</f>
        <v>0.84570596797671038</v>
      </c>
      <c r="S411" s="41">
        <f>IF(Tabell2[[#This Row],[Inntekt]]&lt;=J$433,J$433,IF(Tabell2[[#This Row],[Inntekt]]&gt;=J$434,J$434,Tabell2[[#This Row],[Inntekt]]))</f>
        <v>301100</v>
      </c>
      <c r="T411" s="44">
        <f>IF(Tabell2[[#This Row],[NIBR11-T]]&lt;=K$436,100,IF(Tabell2[[#This Row],[NIBR11-T]]&gt;=K$435,0,100*(K$435-Tabell2[[#This Row],[NIBR11-T]])/K$438))</f>
        <v>0</v>
      </c>
      <c r="U411" s="44">
        <f>(L$435-Tabell2[[#This Row],[ReisetidOslo-T]])*100/L$438</f>
        <v>0</v>
      </c>
      <c r="V411" s="44">
        <f>100-(M$435-Tabell2[[#This Row],[Beftettotal-T]])*100/M$438</f>
        <v>0</v>
      </c>
      <c r="W411" s="44">
        <f>100-(N$435-Tabell2[[#This Row],[Befvekst10-T]])*100/N$438</f>
        <v>0</v>
      </c>
      <c r="X411" s="44">
        <f>100-(O$435-Tabell2[[#This Row],[Kvinneandel-T]])*100/O$438</f>
        <v>0</v>
      </c>
      <c r="Y411" s="44">
        <f>(P$435-Tabell2[[#This Row],[Eldreandel-T]])*100/P$438</f>
        <v>0</v>
      </c>
      <c r="Z411" s="44">
        <f>100-(Q$435-Tabell2[[#This Row],[Sysselsettingsvekst10-T]])*100/Q$438</f>
        <v>25.335099940169329</v>
      </c>
      <c r="AA411" s="44">
        <f>100-(R$435-Tabell2[[#This Row],[Yrkesaktivandel-T]])*100/R$438</f>
        <v>14.39519530633595</v>
      </c>
      <c r="AB411" s="44">
        <f>100-(S$435-Tabell2[[#This Row],[Inntekt-T]])*100/S$438</f>
        <v>12.180532898314297</v>
      </c>
      <c r="AC411" s="44">
        <f>Tabell2[[#This Row],[NIBR11-I]]*Vekter!$B$3</f>
        <v>0</v>
      </c>
      <c r="AD411" s="44">
        <f>Tabell2[[#This Row],[ReisetidOslo-I]]*Vekter!$C$3</f>
        <v>0</v>
      </c>
      <c r="AE411" s="44">
        <f>Tabell2[[#This Row],[Beftettotal-I]]*Vekter!$E$4</f>
        <v>0</v>
      </c>
      <c r="AF411" s="44">
        <f>Tabell2[[#This Row],[Befvekst10-I]]*Vekter!$F$3</f>
        <v>0</v>
      </c>
      <c r="AG411" s="44">
        <f>Tabell2[[#This Row],[Kvinneandel-I]]*Vekter!$G$3</f>
        <v>0</v>
      </c>
      <c r="AH411" s="44">
        <f>Tabell2[[#This Row],[Eldreandel-I]]*Vekter!$H$3</f>
        <v>0</v>
      </c>
      <c r="AI411" s="44">
        <f>Tabell2[[#This Row],[Sysselsettingsvekst10-I]]*Vekter!$I$3</f>
        <v>2.5335099940169332</v>
      </c>
      <c r="AJ411" s="44">
        <f>Tabell2[[#This Row],[Yrkesaktivandel-I]]*Vekter!$K$3</f>
        <v>1.4395195306335951</v>
      </c>
      <c r="AK411" s="44">
        <f>Tabell2[[#This Row],[Inntekt-I]]*Vekter!$M$3</f>
        <v>1.2180532898314298</v>
      </c>
      <c r="AL41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5.1910828144819581</v>
      </c>
    </row>
    <row r="412" spans="1:38" s="38" customFormat="1" ht="12.75">
      <c r="A412" s="42" t="s">
        <v>410</v>
      </c>
      <c r="B412" s="38">
        <f>'Rådata-K'!Q412</f>
        <v>11</v>
      </c>
      <c r="C412" s="44">
        <f>'Rådata-K'!P412</f>
        <v>281.11028675544003</v>
      </c>
      <c r="D412" s="41">
        <f>'Rådata-K'!R412</f>
        <v>3.533839594990674</v>
      </c>
      <c r="E412" s="41">
        <f>'Rådata-K'!S412</f>
        <v>-0.17942768754833716</v>
      </c>
      <c r="F412" s="41">
        <f>'Rådata-K'!T412</f>
        <v>0.1055607917059378</v>
      </c>
      <c r="G412" s="41">
        <f>'Rådata-K'!U412</f>
        <v>0.17295004712535345</v>
      </c>
      <c r="H412" s="41">
        <f>'Rådata-K'!V412</f>
        <v>-0.22357019064124783</v>
      </c>
      <c r="I412" s="41">
        <f>'Rådata-K'!W412</f>
        <v>0.77158555729984302</v>
      </c>
      <c r="J412" s="41">
        <f>'Rådata-K'!O412</f>
        <v>299000</v>
      </c>
      <c r="K412" s="41">
        <f>Tabell2[[#This Row],[NIBR11]]</f>
        <v>11</v>
      </c>
      <c r="L412" s="41">
        <f>IF(Tabell2[[#This Row],[ReisetidOslo]]&lt;=C$433,C$433,IF(Tabell2[[#This Row],[ReisetidOslo]]&gt;=C$434,C$434,Tabell2[[#This Row],[ReisetidOslo]]))</f>
        <v>279.05557553043002</v>
      </c>
      <c r="M412" s="41">
        <f>IF(Tabell2[[#This Row],[Beftettotal]]&lt;=D$433,D$433,IF(Tabell2[[#This Row],[Beftettotal]]&gt;=D$434,D$434,Tabell2[[#This Row],[Beftettotal]]))</f>
        <v>3.533839594990674</v>
      </c>
      <c r="N412" s="41">
        <f>IF(Tabell2[[#This Row],[Befvekst10]]&lt;=E$433,E$433,IF(Tabell2[[#This Row],[Befvekst10]]&gt;=E$434,E$434,Tabell2[[#This Row],[Befvekst10]]))</f>
        <v>-9.1923232174966049E-2</v>
      </c>
      <c r="O412" s="41">
        <f>IF(Tabell2[[#This Row],[Kvinneandel]]&lt;=F$433,F$433,IF(Tabell2[[#This Row],[Kvinneandel]]&gt;=F$434,F$434,Tabell2[[#This Row],[Kvinneandel]]))</f>
        <v>0.1055607917059378</v>
      </c>
      <c r="P412" s="41">
        <f>IF(Tabell2[[#This Row],[Eldreandel]]&lt;=G$433,G$433,IF(Tabell2[[#This Row],[Eldreandel]]&gt;=G$434,G$434,Tabell2[[#This Row],[Eldreandel]]))</f>
        <v>0.17295004712535345</v>
      </c>
      <c r="Q412" s="41">
        <f>IF(Tabell2[[#This Row],[Sysselsettingsvekst10]]&lt;=H$433,H$433,IF(Tabell2[[#This Row],[Sysselsettingsvekst10]]&gt;=H$434,H$434,Tabell2[[#This Row],[Sysselsettingsvekst10]]))</f>
        <v>-9.2168803558721979E-2</v>
      </c>
      <c r="R412" s="41">
        <f>IF(Tabell2[[#This Row],[Yrkesaktivandel]]&lt;=I$433,I$433,IF(Tabell2[[#This Row],[Yrkesaktivandel]]&gt;=I$434,I$434,Tabell2[[#This Row],[Yrkesaktivandel]]))</f>
        <v>0.82642965596795781</v>
      </c>
      <c r="S412" s="41">
        <f>IF(Tabell2[[#This Row],[Inntekt]]&lt;=J$433,J$433,IF(Tabell2[[#This Row],[Inntekt]]&gt;=J$434,J$434,Tabell2[[#This Row],[Inntekt]]))</f>
        <v>299000</v>
      </c>
      <c r="T412" s="44">
        <f>IF(Tabell2[[#This Row],[NIBR11-T]]&lt;=K$436,100,IF(Tabell2[[#This Row],[NIBR11-T]]&gt;=K$435,0,100*(K$435-Tabell2[[#This Row],[NIBR11-T]])/K$438))</f>
        <v>0</v>
      </c>
      <c r="U412" s="44">
        <f>(L$435-Tabell2[[#This Row],[ReisetidOslo-T]])*100/L$438</f>
        <v>0</v>
      </c>
      <c r="V412" s="44">
        <f>100-(M$435-Tabell2[[#This Row],[Beftettotal-T]])*100/M$438</f>
        <v>1.8103011887342433</v>
      </c>
      <c r="W412" s="44">
        <f>100-(N$435-Tabell2[[#This Row],[Befvekst10-T]])*100/N$438</f>
        <v>0</v>
      </c>
      <c r="X412" s="44">
        <f>100-(O$435-Tabell2[[#This Row],[Kvinneandel-T]])*100/O$438</f>
        <v>37.880784827420236</v>
      </c>
      <c r="Y412" s="44">
        <f>(P$435-Tabell2[[#This Row],[Eldreandel-T]])*100/P$438</f>
        <v>30.604884199005713</v>
      </c>
      <c r="Z412" s="44">
        <f>100-(Q$435-Tabell2[[#This Row],[Sysselsettingsvekst10-T]])*100/Q$438</f>
        <v>0</v>
      </c>
      <c r="AA412" s="44">
        <f>100-(R$435-Tabell2[[#This Row],[Yrkesaktivandel-T]])*100/R$438</f>
        <v>0</v>
      </c>
      <c r="AB412" s="44">
        <f>100-(S$435-Tabell2[[#This Row],[Inntekt-T]])*100/S$438</f>
        <v>9.3257205002718848</v>
      </c>
      <c r="AC412" s="44">
        <f>Tabell2[[#This Row],[NIBR11-I]]*Vekter!$B$3</f>
        <v>0</v>
      </c>
      <c r="AD412" s="44">
        <f>Tabell2[[#This Row],[ReisetidOslo-I]]*Vekter!$C$3</f>
        <v>0</v>
      </c>
      <c r="AE412" s="44">
        <f>Tabell2[[#This Row],[Beftettotal-I]]*Vekter!$E$4</f>
        <v>0.18103011887342435</v>
      </c>
      <c r="AF412" s="44">
        <f>Tabell2[[#This Row],[Befvekst10-I]]*Vekter!$F$3</f>
        <v>0</v>
      </c>
      <c r="AG412" s="44">
        <f>Tabell2[[#This Row],[Kvinneandel-I]]*Vekter!$G$3</f>
        <v>1.8940392413710119</v>
      </c>
      <c r="AH412" s="44">
        <f>Tabell2[[#This Row],[Eldreandel-I]]*Vekter!$H$3</f>
        <v>1.5302442099502858</v>
      </c>
      <c r="AI412" s="44">
        <f>Tabell2[[#This Row],[Sysselsettingsvekst10-I]]*Vekter!$I$3</f>
        <v>0</v>
      </c>
      <c r="AJ412" s="44">
        <f>Tabell2[[#This Row],[Yrkesaktivandel-I]]*Vekter!$K$3</f>
        <v>0</v>
      </c>
      <c r="AK412" s="44">
        <f>Tabell2[[#This Row],[Inntekt-I]]*Vekter!$M$3</f>
        <v>0.93257205002718857</v>
      </c>
      <c r="AL41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4.5378856202219104</v>
      </c>
    </row>
    <row r="413" spans="1:38" s="38" customFormat="1" ht="12.75">
      <c r="A413" s="42" t="s">
        <v>411</v>
      </c>
      <c r="B413" s="38">
        <f>'Rådata-K'!Q413</f>
        <v>7</v>
      </c>
      <c r="C413" s="44">
        <f>'Rådata-K'!P413</f>
        <v>273.86776009536999</v>
      </c>
      <c r="D413" s="41">
        <f>'Rådata-K'!R413</f>
        <v>4.8688007249544913</v>
      </c>
      <c r="E413" s="41">
        <f>'Rådata-K'!S413</f>
        <v>8.1699346405228468E-4</v>
      </c>
      <c r="F413" s="41">
        <f>'Rådata-K'!T413</f>
        <v>0.11379591836734694</v>
      </c>
      <c r="G413" s="41">
        <f>'Rådata-K'!U413</f>
        <v>0.12538775510204081</v>
      </c>
      <c r="H413" s="41">
        <f>'Rådata-K'!V413</f>
        <v>5.7216329154612611E-2</v>
      </c>
      <c r="I413" s="41">
        <f>'Rådata-K'!W413</f>
        <v>0.90704858185902837</v>
      </c>
      <c r="J413" s="41">
        <f>'Rådata-K'!O413</f>
        <v>335800</v>
      </c>
      <c r="K413" s="41">
        <f>Tabell2[[#This Row],[NIBR11]]</f>
        <v>7</v>
      </c>
      <c r="L413" s="41">
        <f>IF(Tabell2[[#This Row],[ReisetidOslo]]&lt;=C$433,C$433,IF(Tabell2[[#This Row],[ReisetidOslo]]&gt;=C$434,C$434,Tabell2[[#This Row],[ReisetidOslo]]))</f>
        <v>273.86776009536999</v>
      </c>
      <c r="M413" s="41">
        <f>IF(Tabell2[[#This Row],[Beftettotal]]&lt;=D$433,D$433,IF(Tabell2[[#This Row],[Beftettotal]]&gt;=D$434,D$434,Tabell2[[#This Row],[Beftettotal]]))</f>
        <v>4.8688007249544913</v>
      </c>
      <c r="N413" s="41">
        <f>IF(Tabell2[[#This Row],[Befvekst10]]&lt;=E$433,E$433,IF(Tabell2[[#This Row],[Befvekst10]]&gt;=E$434,E$434,Tabell2[[#This Row],[Befvekst10]]))</f>
        <v>8.1699346405228468E-4</v>
      </c>
      <c r="O413" s="41">
        <f>IF(Tabell2[[#This Row],[Kvinneandel]]&lt;=F$433,F$433,IF(Tabell2[[#This Row],[Kvinneandel]]&gt;=F$434,F$434,Tabell2[[#This Row],[Kvinneandel]]))</f>
        <v>0.11379591836734694</v>
      </c>
      <c r="P413" s="41">
        <f>IF(Tabell2[[#This Row],[Eldreandel]]&lt;=G$433,G$433,IF(Tabell2[[#This Row],[Eldreandel]]&gt;=G$434,G$434,Tabell2[[#This Row],[Eldreandel]]))</f>
        <v>0.12538775510204081</v>
      </c>
      <c r="Q413" s="41">
        <f>IF(Tabell2[[#This Row],[Sysselsettingsvekst10]]&lt;=H$433,H$433,IF(Tabell2[[#This Row],[Sysselsettingsvekst10]]&gt;=H$434,H$434,Tabell2[[#This Row],[Sysselsettingsvekst10]]))</f>
        <v>5.7216329154612611E-2</v>
      </c>
      <c r="R413" s="41">
        <f>IF(Tabell2[[#This Row],[Yrkesaktivandel]]&lt;=I$433,I$433,IF(Tabell2[[#This Row],[Yrkesaktivandel]]&gt;=I$434,I$434,Tabell2[[#This Row],[Yrkesaktivandel]]))</f>
        <v>0.90704858185902837</v>
      </c>
      <c r="S413" s="41">
        <f>IF(Tabell2[[#This Row],[Inntekt]]&lt;=J$433,J$433,IF(Tabell2[[#This Row],[Inntekt]]&gt;=J$434,J$434,Tabell2[[#This Row],[Inntekt]]))</f>
        <v>335800</v>
      </c>
      <c r="T413" s="44">
        <f>IF(Tabell2[[#This Row],[NIBR11-T]]&lt;=K$436,100,IF(Tabell2[[#This Row],[NIBR11-T]]&gt;=K$435,0,100*(K$435-Tabell2[[#This Row],[NIBR11-T]])/K$438))</f>
        <v>40</v>
      </c>
      <c r="U413" s="44">
        <f>(L$435-Tabell2[[#This Row],[ReisetidOslo-T]])*100/L$438</f>
        <v>2.3031337328079879</v>
      </c>
      <c r="V413" s="44">
        <f>100-(M$435-Tabell2[[#This Row],[Beftettotal-T]])*100/M$438</f>
        <v>2.9023084875236833</v>
      </c>
      <c r="W413" s="44">
        <f>100-(N$435-Tabell2[[#This Row],[Befvekst10-T]])*100/N$438</f>
        <v>38.368011082904246</v>
      </c>
      <c r="X413" s="44">
        <f>100-(O$435-Tabell2[[#This Row],[Kvinneandel-T]])*100/O$438</f>
        <v>60.415888736373851</v>
      </c>
      <c r="Y413" s="44">
        <f>(P$435-Tabell2[[#This Row],[Eldreandel-T]])*100/P$438</f>
        <v>86.604520015254053</v>
      </c>
      <c r="Z413" s="44">
        <f>100-(Q$435-Tabell2[[#This Row],[Sysselsettingsvekst10-T]])*100/Q$438</f>
        <v>43.921780395716155</v>
      </c>
      <c r="AA413" s="44">
        <f>100-(R$435-Tabell2[[#This Row],[Yrkesaktivandel-T]])*100/R$438</f>
        <v>60.204731229813987</v>
      </c>
      <c r="AB413" s="44">
        <f>100-(S$435-Tabell2[[#This Row],[Inntekt-T]])*100/S$438</f>
        <v>59.352909189777051</v>
      </c>
      <c r="AC413" s="44">
        <f>Tabell2[[#This Row],[NIBR11-I]]*Vekter!$B$3</f>
        <v>8</v>
      </c>
      <c r="AD413" s="44">
        <f>Tabell2[[#This Row],[ReisetidOslo-I]]*Vekter!$C$3</f>
        <v>0.23031337328079882</v>
      </c>
      <c r="AE413" s="44">
        <f>Tabell2[[#This Row],[Beftettotal-I]]*Vekter!$E$4</f>
        <v>0.29023084875236832</v>
      </c>
      <c r="AF413" s="44">
        <f>Tabell2[[#This Row],[Befvekst10-I]]*Vekter!$F$3</f>
        <v>7.67360221658085</v>
      </c>
      <c r="AG413" s="44">
        <f>Tabell2[[#This Row],[Kvinneandel-I]]*Vekter!$G$3</f>
        <v>3.0207944368186928</v>
      </c>
      <c r="AH413" s="44">
        <f>Tabell2[[#This Row],[Eldreandel-I]]*Vekter!$H$3</f>
        <v>4.3302260007627025</v>
      </c>
      <c r="AI413" s="44">
        <f>Tabell2[[#This Row],[Sysselsettingsvekst10-I]]*Vekter!$I$3</f>
        <v>4.3921780395716157</v>
      </c>
      <c r="AJ413" s="44">
        <f>Tabell2[[#This Row],[Yrkesaktivandel-I]]*Vekter!$K$3</f>
        <v>6.0204731229813992</v>
      </c>
      <c r="AK413" s="44">
        <f>Tabell2[[#This Row],[Inntekt-I]]*Vekter!$M$3</f>
        <v>5.9352909189777057</v>
      </c>
      <c r="AL41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39.893108957726135</v>
      </c>
    </row>
    <row r="414" spans="1:38" s="38" customFormat="1" ht="12.75">
      <c r="A414" s="42" t="s">
        <v>412</v>
      </c>
      <c r="B414" s="38">
        <f>'Rådata-K'!Q414</f>
        <v>6</v>
      </c>
      <c r="C414" s="44">
        <f>'Rådata-K'!P414</f>
        <v>272.23804677576999</v>
      </c>
      <c r="D414" s="41">
        <f>'Rådata-K'!R414</f>
        <v>11.701100143701856</v>
      </c>
      <c r="E414" s="41">
        <f>'Rådata-K'!S414</f>
        <v>0.10133037694013303</v>
      </c>
      <c r="F414" s="41">
        <f>'Rådata-K'!T414</f>
        <v>0.13388363197100867</v>
      </c>
      <c r="G414" s="41">
        <f>'Rådata-K'!U414</f>
        <v>0.1156633782967586</v>
      </c>
      <c r="H414" s="41">
        <f>'Rådata-K'!V414</f>
        <v>0.23420479302832242</v>
      </c>
      <c r="I414" s="41">
        <f>'Rådata-K'!W414</f>
        <v>0.88849038148027393</v>
      </c>
      <c r="J414" s="41">
        <f>'Rådata-K'!O414</f>
        <v>357500</v>
      </c>
      <c r="K414" s="41">
        <f>Tabell2[[#This Row],[NIBR11]]</f>
        <v>6</v>
      </c>
      <c r="L414" s="41">
        <f>IF(Tabell2[[#This Row],[ReisetidOslo]]&lt;=C$433,C$433,IF(Tabell2[[#This Row],[ReisetidOslo]]&gt;=C$434,C$434,Tabell2[[#This Row],[ReisetidOslo]]))</f>
        <v>272.23804677576999</v>
      </c>
      <c r="M414" s="41">
        <f>IF(Tabell2[[#This Row],[Beftettotal]]&lt;=D$433,D$433,IF(Tabell2[[#This Row],[Beftettotal]]&gt;=D$434,D$434,Tabell2[[#This Row],[Beftettotal]]))</f>
        <v>11.701100143701856</v>
      </c>
      <c r="N414" s="41">
        <f>IF(Tabell2[[#This Row],[Befvekst10]]&lt;=E$433,E$433,IF(Tabell2[[#This Row],[Befvekst10]]&gt;=E$434,E$434,Tabell2[[#This Row],[Befvekst10]]))</f>
        <v>0.10133037694013303</v>
      </c>
      <c r="O414" s="41">
        <f>IF(Tabell2[[#This Row],[Kvinneandel]]&lt;=F$433,F$433,IF(Tabell2[[#This Row],[Kvinneandel]]&gt;=F$434,F$434,Tabell2[[#This Row],[Kvinneandel]]))</f>
        <v>0.12826135732659469</v>
      </c>
      <c r="P414" s="41">
        <f>IF(Tabell2[[#This Row],[Eldreandel]]&lt;=G$433,G$433,IF(Tabell2[[#This Row],[Eldreandel]]&gt;=G$434,G$434,Tabell2[[#This Row],[Eldreandel]]))</f>
        <v>0.1156633782967586</v>
      </c>
      <c r="Q414" s="41">
        <f>IF(Tabell2[[#This Row],[Sysselsettingsvekst10]]&lt;=H$433,H$433,IF(Tabell2[[#This Row],[Sysselsettingsvekst10]]&gt;=H$434,H$434,Tabell2[[#This Row],[Sysselsettingsvekst10]]))</f>
        <v>0.23420479302832242</v>
      </c>
      <c r="R414" s="41">
        <f>IF(Tabell2[[#This Row],[Yrkesaktivandel]]&lt;=I$433,I$433,IF(Tabell2[[#This Row],[Yrkesaktivandel]]&gt;=I$434,I$434,Tabell2[[#This Row],[Yrkesaktivandel]]))</f>
        <v>0.88849038148027393</v>
      </c>
      <c r="S414" s="41">
        <f>IF(Tabell2[[#This Row],[Inntekt]]&lt;=J$433,J$433,IF(Tabell2[[#This Row],[Inntekt]]&gt;=J$434,J$434,Tabell2[[#This Row],[Inntekt]]))</f>
        <v>357500</v>
      </c>
      <c r="T414" s="44">
        <f>IF(Tabell2[[#This Row],[NIBR11-T]]&lt;=K$436,100,IF(Tabell2[[#This Row],[NIBR11-T]]&gt;=K$435,0,100*(K$435-Tabell2[[#This Row],[NIBR11-T]])/K$438))</f>
        <v>50</v>
      </c>
      <c r="U414" s="44">
        <f>(L$435-Tabell2[[#This Row],[ReisetidOslo-T]])*100/L$438</f>
        <v>3.0266459255916569</v>
      </c>
      <c r="V414" s="44">
        <f>100-(M$435-Tabell2[[#This Row],[Beftettotal-T]])*100/M$438</f>
        <v>8.4911759573870995</v>
      </c>
      <c r="W414" s="44">
        <f>100-(N$435-Tabell2[[#This Row],[Befvekst10-T]])*100/N$438</f>
        <v>79.951893207598332</v>
      </c>
      <c r="X414" s="44">
        <f>100-(O$435-Tabell2[[#This Row],[Kvinneandel-T]])*100/O$438</f>
        <v>100</v>
      </c>
      <c r="Y414" s="44">
        <f>(P$435-Tabell2[[#This Row],[Eldreandel-T]])*100/P$438</f>
        <v>98.053958981922449</v>
      </c>
      <c r="Z414" s="44">
        <f>100-(Q$435-Tabell2[[#This Row],[Sysselsettingsvekst10-T]])*100/Q$438</f>
        <v>95.959411595292181</v>
      </c>
      <c r="AA414" s="44">
        <f>100-(R$435-Tabell2[[#This Row],[Yrkesaktivandel-T]])*100/R$438</f>
        <v>46.345808482299489</v>
      </c>
      <c r="AB414" s="44">
        <f>100-(S$435-Tabell2[[#This Row],[Inntekt-T]])*100/S$438</f>
        <v>88.852637302882002</v>
      </c>
      <c r="AC414" s="44">
        <f>Tabell2[[#This Row],[NIBR11-I]]*Vekter!$B$3</f>
        <v>10</v>
      </c>
      <c r="AD414" s="44">
        <f>Tabell2[[#This Row],[ReisetidOslo-I]]*Vekter!$C$3</f>
        <v>0.30266459255916572</v>
      </c>
      <c r="AE414" s="44">
        <f>Tabell2[[#This Row],[Beftettotal-I]]*Vekter!$E$4</f>
        <v>0.84911759573871004</v>
      </c>
      <c r="AF414" s="44">
        <f>Tabell2[[#This Row],[Befvekst10-I]]*Vekter!$F$3</f>
        <v>15.990378641519667</v>
      </c>
      <c r="AG414" s="44">
        <f>Tabell2[[#This Row],[Kvinneandel-I]]*Vekter!$G$3</f>
        <v>5</v>
      </c>
      <c r="AH414" s="44">
        <f>Tabell2[[#This Row],[Eldreandel-I]]*Vekter!$H$3</f>
        <v>4.9026979490961224</v>
      </c>
      <c r="AI414" s="44">
        <f>Tabell2[[#This Row],[Sysselsettingsvekst10-I]]*Vekter!$I$3</f>
        <v>9.5959411595292181</v>
      </c>
      <c r="AJ414" s="44">
        <f>Tabell2[[#This Row],[Yrkesaktivandel-I]]*Vekter!$K$3</f>
        <v>4.6345808482299491</v>
      </c>
      <c r="AK414" s="44">
        <f>Tabell2[[#This Row],[Inntekt-I]]*Vekter!$M$3</f>
        <v>8.8852637302881998</v>
      </c>
      <c r="AL41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60.160644516961035</v>
      </c>
    </row>
    <row r="415" spans="1:38" s="38" customFormat="1" ht="12.75">
      <c r="A415" s="42" t="s">
        <v>413</v>
      </c>
      <c r="B415" s="38">
        <f>'Rådata-K'!Q415</f>
        <v>11</v>
      </c>
      <c r="C415" s="44">
        <f>'Rådata-K'!P415</f>
        <v>321.33023933200002</v>
      </c>
      <c r="D415" s="41">
        <f>'Rådata-K'!R415</f>
        <v>0.30152410287050535</v>
      </c>
      <c r="E415" s="41">
        <f>'Rådata-K'!S415</f>
        <v>-4.0956749672345971E-2</v>
      </c>
      <c r="F415" s="41">
        <f>'Rådata-K'!T415</f>
        <v>0.12880081995216947</v>
      </c>
      <c r="G415" s="41">
        <f>'Rådata-K'!U415</f>
        <v>0.1093269559275709</v>
      </c>
      <c r="H415" s="41">
        <f>'Rådata-K'!V415</f>
        <v>0.18307426597582044</v>
      </c>
      <c r="I415" s="41">
        <f>'Rådata-K'!W415</f>
        <v>0.81578947368421051</v>
      </c>
      <c r="J415" s="41">
        <f>'Rådata-K'!O415</f>
        <v>263900</v>
      </c>
      <c r="K415" s="41">
        <f>Tabell2[[#This Row],[NIBR11]]</f>
        <v>11</v>
      </c>
      <c r="L415" s="41">
        <f>IF(Tabell2[[#This Row],[ReisetidOslo]]&lt;=C$433,C$433,IF(Tabell2[[#This Row],[ReisetidOslo]]&gt;=C$434,C$434,Tabell2[[#This Row],[ReisetidOslo]]))</f>
        <v>279.05557553043002</v>
      </c>
      <c r="M415" s="41">
        <f>IF(Tabell2[[#This Row],[Beftettotal]]&lt;=D$433,D$433,IF(Tabell2[[#This Row],[Beftettotal]]&gt;=D$434,D$434,Tabell2[[#This Row],[Beftettotal]]))</f>
        <v>1.3207758882127238</v>
      </c>
      <c r="N415" s="41">
        <f>IF(Tabell2[[#This Row],[Befvekst10]]&lt;=E$433,E$433,IF(Tabell2[[#This Row],[Befvekst10]]&gt;=E$434,E$434,Tabell2[[#This Row],[Befvekst10]]))</f>
        <v>-4.0956749672345971E-2</v>
      </c>
      <c r="O415" s="41">
        <f>IF(Tabell2[[#This Row],[Kvinneandel]]&lt;=F$433,F$433,IF(Tabell2[[#This Row],[Kvinneandel]]&gt;=F$434,F$434,Tabell2[[#This Row],[Kvinneandel]]))</f>
        <v>0.12826135732659469</v>
      </c>
      <c r="P415" s="41">
        <f>IF(Tabell2[[#This Row],[Eldreandel]]&lt;=G$433,G$433,IF(Tabell2[[#This Row],[Eldreandel]]&gt;=G$434,G$434,Tabell2[[#This Row],[Eldreandel]]))</f>
        <v>0.11401054306234992</v>
      </c>
      <c r="Q415" s="41">
        <f>IF(Tabell2[[#This Row],[Sysselsettingsvekst10]]&lt;=H$433,H$433,IF(Tabell2[[#This Row],[Sysselsettingsvekst10]]&gt;=H$434,H$434,Tabell2[[#This Row],[Sysselsettingsvekst10]]))</f>
        <v>0.18307426597582044</v>
      </c>
      <c r="R415" s="41">
        <f>IF(Tabell2[[#This Row],[Yrkesaktivandel]]&lt;=I$433,I$433,IF(Tabell2[[#This Row],[Yrkesaktivandel]]&gt;=I$434,I$434,Tabell2[[#This Row],[Yrkesaktivandel]]))</f>
        <v>0.82642965596795781</v>
      </c>
      <c r="S415" s="41">
        <f>IF(Tabell2[[#This Row],[Inntekt]]&lt;=J$433,J$433,IF(Tabell2[[#This Row],[Inntekt]]&gt;=J$434,J$434,Tabell2[[#This Row],[Inntekt]]))</f>
        <v>292140</v>
      </c>
      <c r="T415" s="44">
        <f>IF(Tabell2[[#This Row],[NIBR11-T]]&lt;=K$436,100,IF(Tabell2[[#This Row],[NIBR11-T]]&gt;=K$435,0,100*(K$435-Tabell2[[#This Row],[NIBR11-T]])/K$438))</f>
        <v>0</v>
      </c>
      <c r="U415" s="44">
        <f>(L$435-Tabell2[[#This Row],[ReisetidOslo-T]])*100/L$438</f>
        <v>0</v>
      </c>
      <c r="V415" s="44">
        <f>100-(M$435-Tabell2[[#This Row],[Beftettotal-T]])*100/M$438</f>
        <v>0</v>
      </c>
      <c r="W415" s="44">
        <f>100-(N$435-Tabell2[[#This Row],[Befvekst10-T]])*100/N$438</f>
        <v>21.085592061514745</v>
      </c>
      <c r="X415" s="44">
        <f>100-(O$435-Tabell2[[#This Row],[Kvinneandel-T]])*100/O$438</f>
        <v>100</v>
      </c>
      <c r="Y415" s="44">
        <f>(P$435-Tabell2[[#This Row],[Eldreandel-T]])*100/P$438</f>
        <v>100</v>
      </c>
      <c r="Z415" s="44">
        <f>100-(Q$435-Tabell2[[#This Row],[Sysselsettingsvekst10-T]])*100/Q$438</f>
        <v>80.926163373551617</v>
      </c>
      <c r="AA415" s="44">
        <f>100-(R$435-Tabell2[[#This Row],[Yrkesaktivandel-T]])*100/R$438</f>
        <v>0</v>
      </c>
      <c r="AB415" s="44">
        <f>100-(S$435-Tabell2[[#This Row],[Inntekt-T]])*100/S$438</f>
        <v>0</v>
      </c>
      <c r="AC415" s="44">
        <f>Tabell2[[#This Row],[NIBR11-I]]*Vekter!$B$3</f>
        <v>0</v>
      </c>
      <c r="AD415" s="44">
        <f>Tabell2[[#This Row],[ReisetidOslo-I]]*Vekter!$C$3</f>
        <v>0</v>
      </c>
      <c r="AE415" s="44">
        <f>Tabell2[[#This Row],[Beftettotal-I]]*Vekter!$E$4</f>
        <v>0</v>
      </c>
      <c r="AF415" s="44">
        <f>Tabell2[[#This Row],[Befvekst10-I]]*Vekter!$F$3</f>
        <v>4.2171184123029493</v>
      </c>
      <c r="AG415" s="44">
        <f>Tabell2[[#This Row],[Kvinneandel-I]]*Vekter!$G$3</f>
        <v>5</v>
      </c>
      <c r="AH415" s="44">
        <f>Tabell2[[#This Row],[Eldreandel-I]]*Vekter!$H$3</f>
        <v>5</v>
      </c>
      <c r="AI415" s="44">
        <f>Tabell2[[#This Row],[Sysselsettingsvekst10-I]]*Vekter!$I$3</f>
        <v>8.0926163373551621</v>
      </c>
      <c r="AJ415" s="44">
        <f>Tabell2[[#This Row],[Yrkesaktivandel-I]]*Vekter!$K$3</f>
        <v>0</v>
      </c>
      <c r="AK415" s="44">
        <f>Tabell2[[#This Row],[Inntekt-I]]*Vekter!$M$3</f>
        <v>0</v>
      </c>
      <c r="AL41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22.309734749658112</v>
      </c>
    </row>
    <row r="416" spans="1:38" s="38" customFormat="1" ht="12.75">
      <c r="A416" s="42" t="s">
        <v>414</v>
      </c>
      <c r="B416" s="38">
        <f>'Rådata-K'!Q416</f>
        <v>6</v>
      </c>
      <c r="C416" s="44">
        <f>'Rådata-K'!P416</f>
        <v>224.65280796330001</v>
      </c>
      <c r="D416" s="41">
        <f>'Rådata-K'!R416</f>
        <v>5.0088450977896342</v>
      </c>
      <c r="E416" s="41">
        <f>'Rådata-K'!S416</f>
        <v>0.12372515880878843</v>
      </c>
      <c r="F416" s="41">
        <f>'Rådata-K'!T416</f>
        <v>0.13048438958614253</v>
      </c>
      <c r="G416" s="41">
        <f>'Rådata-K'!U416</f>
        <v>9.7085364588735609E-2</v>
      </c>
      <c r="H416" s="41">
        <f>'Rådata-K'!V416</f>
        <v>0.25295300326715253</v>
      </c>
      <c r="I416" s="41">
        <f>'Rådata-K'!W416</f>
        <v>0.85606855543896465</v>
      </c>
      <c r="J416" s="41">
        <f>'Rådata-K'!O416</f>
        <v>334300</v>
      </c>
      <c r="K416" s="41">
        <f>Tabell2[[#This Row],[NIBR11]]</f>
        <v>6</v>
      </c>
      <c r="L416" s="41">
        <f>IF(Tabell2[[#This Row],[ReisetidOslo]]&lt;=C$433,C$433,IF(Tabell2[[#This Row],[ReisetidOslo]]&gt;=C$434,C$434,Tabell2[[#This Row],[ReisetidOslo]]))</f>
        <v>224.65280796330001</v>
      </c>
      <c r="M416" s="41">
        <f>IF(Tabell2[[#This Row],[Beftettotal]]&lt;=D$433,D$433,IF(Tabell2[[#This Row],[Beftettotal]]&gt;=D$434,D$434,Tabell2[[#This Row],[Beftettotal]]))</f>
        <v>5.0088450977896342</v>
      </c>
      <c r="N416" s="41">
        <f>IF(Tabell2[[#This Row],[Befvekst10]]&lt;=E$433,E$433,IF(Tabell2[[#This Row],[Befvekst10]]&gt;=E$434,E$434,Tabell2[[#This Row],[Befvekst10]]))</f>
        <v>0.12372515880878843</v>
      </c>
      <c r="O416" s="41">
        <f>IF(Tabell2[[#This Row],[Kvinneandel]]&lt;=F$433,F$433,IF(Tabell2[[#This Row],[Kvinneandel]]&gt;=F$434,F$434,Tabell2[[#This Row],[Kvinneandel]]))</f>
        <v>0.12826135732659469</v>
      </c>
      <c r="P416" s="41">
        <f>IF(Tabell2[[#This Row],[Eldreandel]]&lt;=G$433,G$433,IF(Tabell2[[#This Row],[Eldreandel]]&gt;=G$434,G$434,Tabell2[[#This Row],[Eldreandel]]))</f>
        <v>0.11401054306234992</v>
      </c>
      <c r="Q416" s="41">
        <f>IF(Tabell2[[#This Row],[Sysselsettingsvekst10]]&lt;=H$433,H$433,IF(Tabell2[[#This Row],[Sysselsettingsvekst10]]&gt;=H$434,H$434,Tabell2[[#This Row],[Sysselsettingsvekst10]]))</f>
        <v>0.24794749265568336</v>
      </c>
      <c r="R416" s="41">
        <f>IF(Tabell2[[#This Row],[Yrkesaktivandel]]&lt;=I$433,I$433,IF(Tabell2[[#This Row],[Yrkesaktivandel]]&gt;=I$434,I$434,Tabell2[[#This Row],[Yrkesaktivandel]]))</f>
        <v>0.85606855543896465</v>
      </c>
      <c r="S416" s="41">
        <f>IF(Tabell2[[#This Row],[Inntekt]]&lt;=J$433,J$433,IF(Tabell2[[#This Row],[Inntekt]]&gt;=J$434,J$434,Tabell2[[#This Row],[Inntekt]]))</f>
        <v>334300</v>
      </c>
      <c r="T416" s="44">
        <f>IF(Tabell2[[#This Row],[NIBR11-T]]&lt;=K$436,100,IF(Tabell2[[#This Row],[NIBR11-T]]&gt;=K$435,0,100*(K$435-Tabell2[[#This Row],[NIBR11-T]])/K$438))</f>
        <v>50</v>
      </c>
      <c r="U416" s="44">
        <f>(L$435-Tabell2[[#This Row],[ReisetidOslo-T]])*100/L$438</f>
        <v>24.152140859752773</v>
      </c>
      <c r="V416" s="44">
        <f>100-(M$435-Tabell2[[#This Row],[Beftettotal-T]])*100/M$438</f>
        <v>3.0168657385610231</v>
      </c>
      <c r="W416" s="44">
        <f>100-(N$435-Tabell2[[#This Row],[Befvekst10-T]])*100/N$438</f>
        <v>89.216947643418962</v>
      </c>
      <c r="X416" s="44">
        <f>100-(O$435-Tabell2[[#This Row],[Kvinneandel-T]])*100/O$438</f>
        <v>100</v>
      </c>
      <c r="Y416" s="44">
        <f>(P$435-Tabell2[[#This Row],[Eldreandel-T]])*100/P$438</f>
        <v>100</v>
      </c>
      <c r="Z416" s="44">
        <f>100-(Q$435-Tabell2[[#This Row],[Sysselsettingsvekst10-T]])*100/Q$438</f>
        <v>100</v>
      </c>
      <c r="AA416" s="44">
        <f>100-(R$435-Tabell2[[#This Row],[Yrkesaktivandel-T]])*100/R$438</f>
        <v>22.133785049560984</v>
      </c>
      <c r="AB416" s="44">
        <f>100-(S$435-Tabell2[[#This Row],[Inntekt-T]])*100/S$438</f>
        <v>57.313757476889613</v>
      </c>
      <c r="AC416" s="44">
        <f>Tabell2[[#This Row],[NIBR11-I]]*Vekter!$B$3</f>
        <v>10</v>
      </c>
      <c r="AD416" s="44">
        <f>Tabell2[[#This Row],[ReisetidOslo-I]]*Vekter!$C$3</f>
        <v>2.4152140859752773</v>
      </c>
      <c r="AE416" s="44">
        <f>Tabell2[[#This Row],[Beftettotal-I]]*Vekter!$E$4</f>
        <v>0.30168657385610231</v>
      </c>
      <c r="AF416" s="44">
        <f>Tabell2[[#This Row],[Befvekst10-I]]*Vekter!$F$3</f>
        <v>17.843389528683794</v>
      </c>
      <c r="AG416" s="44">
        <f>Tabell2[[#This Row],[Kvinneandel-I]]*Vekter!$G$3</f>
        <v>5</v>
      </c>
      <c r="AH416" s="44">
        <f>Tabell2[[#This Row],[Eldreandel-I]]*Vekter!$H$3</f>
        <v>5</v>
      </c>
      <c r="AI416" s="44">
        <f>Tabell2[[#This Row],[Sysselsettingsvekst10-I]]*Vekter!$I$3</f>
        <v>10</v>
      </c>
      <c r="AJ416" s="44">
        <f>Tabell2[[#This Row],[Yrkesaktivandel-I]]*Vekter!$K$3</f>
        <v>2.2133785049560983</v>
      </c>
      <c r="AK416" s="44">
        <f>Tabell2[[#This Row],[Inntekt-I]]*Vekter!$M$3</f>
        <v>5.7313757476889613</v>
      </c>
      <c r="AL41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58.505044441160237</v>
      </c>
    </row>
    <row r="417" spans="1:38" s="38" customFormat="1" ht="12.75">
      <c r="A417" s="42" t="s">
        <v>415</v>
      </c>
      <c r="B417" s="38">
        <f>'Rådata-K'!Q417</f>
        <v>11</v>
      </c>
      <c r="C417" s="44">
        <f>'Rådata-K'!P417</f>
        <v>325.56230259400002</v>
      </c>
      <c r="D417" s="41">
        <f>'Rådata-K'!R417</f>
        <v>1.5815509966535717</v>
      </c>
      <c r="E417" s="41">
        <f>'Rådata-K'!S417</f>
        <v>-0.22246065808297566</v>
      </c>
      <c r="F417" s="41">
        <f>'Rådata-K'!T417</f>
        <v>9.3836246550137989E-2</v>
      </c>
      <c r="G417" s="41">
        <f>'Rådata-K'!U417</f>
        <v>0.21895124195032198</v>
      </c>
      <c r="H417" s="41">
        <f>'Rådata-K'!V417</f>
        <v>-0.26444833625218911</v>
      </c>
      <c r="I417" s="41">
        <f>'Rådata-K'!W417</f>
        <v>0.85690235690235694</v>
      </c>
      <c r="J417" s="41">
        <f>'Rådata-K'!O417</f>
        <v>298700</v>
      </c>
      <c r="K417" s="41">
        <f>Tabell2[[#This Row],[NIBR11]]</f>
        <v>11</v>
      </c>
      <c r="L417" s="41">
        <f>IF(Tabell2[[#This Row],[ReisetidOslo]]&lt;=C$433,C$433,IF(Tabell2[[#This Row],[ReisetidOslo]]&gt;=C$434,C$434,Tabell2[[#This Row],[ReisetidOslo]]))</f>
        <v>279.05557553043002</v>
      </c>
      <c r="M417" s="41">
        <f>IF(Tabell2[[#This Row],[Beftettotal]]&lt;=D$433,D$433,IF(Tabell2[[#This Row],[Beftettotal]]&gt;=D$434,D$434,Tabell2[[#This Row],[Beftettotal]]))</f>
        <v>1.5815509966535717</v>
      </c>
      <c r="N417" s="41">
        <f>IF(Tabell2[[#This Row],[Befvekst10]]&lt;=E$433,E$433,IF(Tabell2[[#This Row],[Befvekst10]]&gt;=E$434,E$434,Tabell2[[#This Row],[Befvekst10]]))</f>
        <v>-9.1923232174966049E-2</v>
      </c>
      <c r="O417" s="41">
        <f>IF(Tabell2[[#This Row],[Kvinneandel]]&lt;=F$433,F$433,IF(Tabell2[[#This Row],[Kvinneandel]]&gt;=F$434,F$434,Tabell2[[#This Row],[Kvinneandel]]))</f>
        <v>9.3836246550137989E-2</v>
      </c>
      <c r="P417" s="41">
        <f>IF(Tabell2[[#This Row],[Eldreandel]]&lt;=G$433,G$433,IF(Tabell2[[#This Row],[Eldreandel]]&gt;=G$434,G$434,Tabell2[[#This Row],[Eldreandel]]))</f>
        <v>0.1989437597342919</v>
      </c>
      <c r="Q417" s="41">
        <f>IF(Tabell2[[#This Row],[Sysselsettingsvekst10]]&lt;=H$433,H$433,IF(Tabell2[[#This Row],[Sysselsettingsvekst10]]&gt;=H$434,H$434,Tabell2[[#This Row],[Sysselsettingsvekst10]]))</f>
        <v>-9.2168803558721979E-2</v>
      </c>
      <c r="R417" s="41">
        <f>IF(Tabell2[[#This Row],[Yrkesaktivandel]]&lt;=I$433,I$433,IF(Tabell2[[#This Row],[Yrkesaktivandel]]&gt;=I$434,I$434,Tabell2[[#This Row],[Yrkesaktivandel]]))</f>
        <v>0.85690235690235694</v>
      </c>
      <c r="S417" s="41">
        <f>IF(Tabell2[[#This Row],[Inntekt]]&lt;=J$433,J$433,IF(Tabell2[[#This Row],[Inntekt]]&gt;=J$434,J$434,Tabell2[[#This Row],[Inntekt]]))</f>
        <v>298700</v>
      </c>
      <c r="T417" s="44">
        <f>IF(Tabell2[[#This Row],[NIBR11-T]]&lt;=K$436,100,IF(Tabell2[[#This Row],[NIBR11-T]]&gt;=K$435,0,100*(K$435-Tabell2[[#This Row],[NIBR11-T]])/K$438))</f>
        <v>0</v>
      </c>
      <c r="U417" s="44">
        <f>(L$435-Tabell2[[#This Row],[ReisetidOslo-T]])*100/L$438</f>
        <v>0</v>
      </c>
      <c r="V417" s="44">
        <f>100-(M$435-Tabell2[[#This Row],[Beftettotal-T]])*100/M$438</f>
        <v>0.21331581524604815</v>
      </c>
      <c r="W417" s="44">
        <f>100-(N$435-Tabell2[[#This Row],[Befvekst10-T]])*100/N$438</f>
        <v>0</v>
      </c>
      <c r="X417" s="44">
        <f>100-(O$435-Tabell2[[#This Row],[Kvinneandel-T]])*100/O$438</f>
        <v>5.7970228848981975</v>
      </c>
      <c r="Y417" s="44">
        <f>(P$435-Tabell2[[#This Row],[Eldreandel-T]])*100/P$438</f>
        <v>0</v>
      </c>
      <c r="Z417" s="44">
        <f>100-(Q$435-Tabell2[[#This Row],[Sysselsettingsvekst10-T]])*100/Q$438</f>
        <v>0</v>
      </c>
      <c r="AA417" s="44">
        <f>100-(R$435-Tabell2[[#This Row],[Yrkesaktivandel-T]])*100/R$438</f>
        <v>22.756452648362597</v>
      </c>
      <c r="AB417" s="44">
        <f>100-(S$435-Tabell2[[#This Row],[Inntekt-T]])*100/S$438</f>
        <v>8.9178901576944014</v>
      </c>
      <c r="AC417" s="44">
        <f>Tabell2[[#This Row],[NIBR11-I]]*Vekter!$B$3</f>
        <v>0</v>
      </c>
      <c r="AD417" s="44">
        <f>Tabell2[[#This Row],[ReisetidOslo-I]]*Vekter!$C$3</f>
        <v>0</v>
      </c>
      <c r="AE417" s="44">
        <f>Tabell2[[#This Row],[Beftettotal-I]]*Vekter!$E$4</f>
        <v>2.1331581524604817E-2</v>
      </c>
      <c r="AF417" s="44">
        <f>Tabell2[[#This Row],[Befvekst10-I]]*Vekter!$F$3</f>
        <v>0</v>
      </c>
      <c r="AG417" s="44">
        <f>Tabell2[[#This Row],[Kvinneandel-I]]*Vekter!$G$3</f>
        <v>0.28985114424490988</v>
      </c>
      <c r="AH417" s="44">
        <f>Tabell2[[#This Row],[Eldreandel-I]]*Vekter!$H$3</f>
        <v>0</v>
      </c>
      <c r="AI417" s="44">
        <f>Tabell2[[#This Row],[Sysselsettingsvekst10-I]]*Vekter!$I$3</f>
        <v>0</v>
      </c>
      <c r="AJ417" s="44">
        <f>Tabell2[[#This Row],[Yrkesaktivandel-I]]*Vekter!$K$3</f>
        <v>2.27564526483626</v>
      </c>
      <c r="AK417" s="44">
        <f>Tabell2[[#This Row],[Inntekt-I]]*Vekter!$M$3</f>
        <v>0.89178901576944014</v>
      </c>
      <c r="AL41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3.4786170063752149</v>
      </c>
    </row>
    <row r="418" spans="1:38" s="38" customFormat="1" ht="12.75">
      <c r="A418" s="42" t="s">
        <v>416</v>
      </c>
      <c r="B418" s="38">
        <f>'Rådata-K'!Q418</f>
        <v>11</v>
      </c>
      <c r="C418" s="44">
        <f>'Rådata-K'!P418</f>
        <v>280.61164024070001</v>
      </c>
      <c r="D418" s="41">
        <f>'Rådata-K'!R418</f>
        <v>1.789697100510828</v>
      </c>
      <c r="E418" s="41">
        <f>'Rådata-K'!S418</f>
        <v>-0.1596283783783784</v>
      </c>
      <c r="F418" s="41">
        <f>'Rådata-K'!T418</f>
        <v>9.8492462311557782E-2</v>
      </c>
      <c r="G418" s="41">
        <f>'Rådata-K'!U418</f>
        <v>0.16281407035175879</v>
      </c>
      <c r="H418" s="41">
        <f>'Rådata-K'!V418</f>
        <v>-0.1556420233463035</v>
      </c>
      <c r="I418" s="41">
        <f>'Rådata-K'!W418</f>
        <v>0.81112984822934231</v>
      </c>
      <c r="J418" s="41">
        <f>'Rådata-K'!O418</f>
        <v>311300</v>
      </c>
      <c r="K418" s="41">
        <f>Tabell2[[#This Row],[NIBR11]]</f>
        <v>11</v>
      </c>
      <c r="L418" s="41">
        <f>IF(Tabell2[[#This Row],[ReisetidOslo]]&lt;=C$433,C$433,IF(Tabell2[[#This Row],[ReisetidOslo]]&gt;=C$434,C$434,Tabell2[[#This Row],[ReisetidOslo]]))</f>
        <v>279.05557553043002</v>
      </c>
      <c r="M418" s="41">
        <f>IF(Tabell2[[#This Row],[Beftettotal]]&lt;=D$433,D$433,IF(Tabell2[[#This Row],[Beftettotal]]&gt;=D$434,D$434,Tabell2[[#This Row],[Beftettotal]]))</f>
        <v>1.789697100510828</v>
      </c>
      <c r="N418" s="41">
        <f>IF(Tabell2[[#This Row],[Befvekst10]]&lt;=E$433,E$433,IF(Tabell2[[#This Row],[Befvekst10]]&gt;=E$434,E$434,Tabell2[[#This Row],[Befvekst10]]))</f>
        <v>-9.1923232174966049E-2</v>
      </c>
      <c r="O418" s="41">
        <f>IF(Tabell2[[#This Row],[Kvinneandel]]&lt;=F$433,F$433,IF(Tabell2[[#This Row],[Kvinneandel]]&gt;=F$434,F$434,Tabell2[[#This Row],[Kvinneandel]]))</f>
        <v>9.8492462311557782E-2</v>
      </c>
      <c r="P418" s="41">
        <f>IF(Tabell2[[#This Row],[Eldreandel]]&lt;=G$433,G$433,IF(Tabell2[[#This Row],[Eldreandel]]&gt;=G$434,G$434,Tabell2[[#This Row],[Eldreandel]]))</f>
        <v>0.16281407035175879</v>
      </c>
      <c r="Q418" s="41">
        <f>IF(Tabell2[[#This Row],[Sysselsettingsvekst10]]&lt;=H$433,H$433,IF(Tabell2[[#This Row],[Sysselsettingsvekst10]]&gt;=H$434,H$434,Tabell2[[#This Row],[Sysselsettingsvekst10]]))</f>
        <v>-9.2168803558721979E-2</v>
      </c>
      <c r="R418" s="41">
        <f>IF(Tabell2[[#This Row],[Yrkesaktivandel]]&lt;=I$433,I$433,IF(Tabell2[[#This Row],[Yrkesaktivandel]]&gt;=I$434,I$434,Tabell2[[#This Row],[Yrkesaktivandel]]))</f>
        <v>0.82642965596795781</v>
      </c>
      <c r="S418" s="41">
        <f>IF(Tabell2[[#This Row],[Inntekt]]&lt;=J$433,J$433,IF(Tabell2[[#This Row],[Inntekt]]&gt;=J$434,J$434,Tabell2[[#This Row],[Inntekt]]))</f>
        <v>311300</v>
      </c>
      <c r="T418" s="44">
        <f>IF(Tabell2[[#This Row],[NIBR11-T]]&lt;=K$436,100,IF(Tabell2[[#This Row],[NIBR11-T]]&gt;=K$435,0,100*(K$435-Tabell2[[#This Row],[NIBR11-T]])/K$438))</f>
        <v>0</v>
      </c>
      <c r="U418" s="44">
        <f>(L$435-Tabell2[[#This Row],[ReisetidOslo-T]])*100/L$438</f>
        <v>0</v>
      </c>
      <c r="V418" s="44">
        <f>100-(M$435-Tabell2[[#This Row],[Beftettotal-T]])*100/M$438</f>
        <v>0.38358074620539639</v>
      </c>
      <c r="W418" s="44">
        <f>100-(N$435-Tabell2[[#This Row],[Befvekst10-T]])*100/N$438</f>
        <v>0</v>
      </c>
      <c r="X418" s="44">
        <f>100-(O$435-Tabell2[[#This Row],[Kvinneandel-T]])*100/O$438</f>
        <v>18.538576272025807</v>
      </c>
      <c r="Y418" s="44">
        <f>(P$435-Tabell2[[#This Row],[Eldreandel-T]])*100/P$438</f>
        <v>42.538939178631971</v>
      </c>
      <c r="Z418" s="44">
        <f>100-(Q$435-Tabell2[[#This Row],[Sysselsettingsvekst10-T]])*100/Q$438</f>
        <v>0</v>
      </c>
      <c r="AA418" s="44">
        <f>100-(R$435-Tabell2[[#This Row],[Yrkesaktivandel-T]])*100/R$438</f>
        <v>0</v>
      </c>
      <c r="AB418" s="44">
        <f>100-(S$435-Tabell2[[#This Row],[Inntekt-T]])*100/S$438</f>
        <v>26.046764545948889</v>
      </c>
      <c r="AC418" s="44">
        <f>Tabell2[[#This Row],[NIBR11-I]]*Vekter!$B$3</f>
        <v>0</v>
      </c>
      <c r="AD418" s="44">
        <f>Tabell2[[#This Row],[ReisetidOslo-I]]*Vekter!$C$3</f>
        <v>0</v>
      </c>
      <c r="AE418" s="44">
        <f>Tabell2[[#This Row],[Beftettotal-I]]*Vekter!$E$4</f>
        <v>3.8358074620539639E-2</v>
      </c>
      <c r="AF418" s="44">
        <f>Tabell2[[#This Row],[Befvekst10-I]]*Vekter!$F$3</f>
        <v>0</v>
      </c>
      <c r="AG418" s="44">
        <f>Tabell2[[#This Row],[Kvinneandel-I]]*Vekter!$G$3</f>
        <v>0.92692881360129042</v>
      </c>
      <c r="AH418" s="44">
        <f>Tabell2[[#This Row],[Eldreandel-I]]*Vekter!$H$3</f>
        <v>2.1269469589315988</v>
      </c>
      <c r="AI418" s="44">
        <f>Tabell2[[#This Row],[Sysselsettingsvekst10-I]]*Vekter!$I$3</f>
        <v>0</v>
      </c>
      <c r="AJ418" s="44">
        <f>Tabell2[[#This Row],[Yrkesaktivandel-I]]*Vekter!$K$3</f>
        <v>0</v>
      </c>
      <c r="AK418" s="44">
        <f>Tabell2[[#This Row],[Inntekt-I]]*Vekter!$M$3</f>
        <v>2.6046764545948893</v>
      </c>
      <c r="AL41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5.6969103017483178</v>
      </c>
    </row>
    <row r="419" spans="1:38" s="38" customFormat="1" ht="12.75">
      <c r="A419" s="42" t="s">
        <v>417</v>
      </c>
      <c r="B419" s="38">
        <f>'Rådata-K'!Q419</f>
        <v>6</v>
      </c>
      <c r="C419" s="44">
        <f>'Rådata-K'!P419</f>
        <v>298.32842743369997</v>
      </c>
      <c r="D419" s="41">
        <f>'Rådata-K'!R419</f>
        <v>0.54769561138556144</v>
      </c>
      <c r="E419" s="41">
        <f>'Rådata-K'!S419</f>
        <v>-7.4243813015582028E-2</v>
      </c>
      <c r="F419" s="41">
        <f>'Rådata-K'!T419</f>
        <v>8.4158415841584164E-2</v>
      </c>
      <c r="G419" s="41">
        <f>'Rådata-K'!U419</f>
        <v>0.22079207920792079</v>
      </c>
      <c r="H419" s="41">
        <f>'Rådata-K'!V419</f>
        <v>-0.15550755939524841</v>
      </c>
      <c r="I419" s="41">
        <f>'Rådata-K'!W419</f>
        <v>0.87385740402193779</v>
      </c>
      <c r="J419" s="41">
        <f>'Rådata-K'!O419</f>
        <v>299700</v>
      </c>
      <c r="K419" s="41">
        <f>Tabell2[[#This Row],[NIBR11]]</f>
        <v>6</v>
      </c>
      <c r="L419" s="41">
        <f>IF(Tabell2[[#This Row],[ReisetidOslo]]&lt;=C$433,C$433,IF(Tabell2[[#This Row],[ReisetidOslo]]&gt;=C$434,C$434,Tabell2[[#This Row],[ReisetidOslo]]))</f>
        <v>279.05557553043002</v>
      </c>
      <c r="M419" s="41">
        <f>IF(Tabell2[[#This Row],[Beftettotal]]&lt;=D$433,D$433,IF(Tabell2[[#This Row],[Beftettotal]]&gt;=D$434,D$434,Tabell2[[#This Row],[Beftettotal]]))</f>
        <v>1.3207758882127238</v>
      </c>
      <c r="N419" s="41">
        <f>IF(Tabell2[[#This Row],[Befvekst10]]&lt;=E$433,E$433,IF(Tabell2[[#This Row],[Befvekst10]]&gt;=E$434,E$434,Tabell2[[#This Row],[Befvekst10]]))</f>
        <v>-7.4243813015582028E-2</v>
      </c>
      <c r="O419" s="41">
        <f>IF(Tabell2[[#This Row],[Kvinneandel]]&lt;=F$433,F$433,IF(Tabell2[[#This Row],[Kvinneandel]]&gt;=F$434,F$434,Tabell2[[#This Row],[Kvinneandel]]))</f>
        <v>9.1717808671657367E-2</v>
      </c>
      <c r="P419" s="41">
        <f>IF(Tabell2[[#This Row],[Eldreandel]]&lt;=G$433,G$433,IF(Tabell2[[#This Row],[Eldreandel]]&gt;=G$434,G$434,Tabell2[[#This Row],[Eldreandel]]))</f>
        <v>0.1989437597342919</v>
      </c>
      <c r="Q419" s="41">
        <f>IF(Tabell2[[#This Row],[Sysselsettingsvekst10]]&lt;=H$433,H$433,IF(Tabell2[[#This Row],[Sysselsettingsvekst10]]&gt;=H$434,H$434,Tabell2[[#This Row],[Sysselsettingsvekst10]]))</f>
        <v>-9.2168803558721979E-2</v>
      </c>
      <c r="R419" s="41">
        <f>IF(Tabell2[[#This Row],[Yrkesaktivandel]]&lt;=I$433,I$433,IF(Tabell2[[#This Row],[Yrkesaktivandel]]&gt;=I$434,I$434,Tabell2[[#This Row],[Yrkesaktivandel]]))</f>
        <v>0.87385740402193779</v>
      </c>
      <c r="S419" s="41">
        <f>IF(Tabell2[[#This Row],[Inntekt]]&lt;=J$433,J$433,IF(Tabell2[[#This Row],[Inntekt]]&gt;=J$434,J$434,Tabell2[[#This Row],[Inntekt]]))</f>
        <v>299700</v>
      </c>
      <c r="T419" s="44">
        <f>IF(Tabell2[[#This Row],[NIBR11-T]]&lt;=K$436,100,IF(Tabell2[[#This Row],[NIBR11-T]]&gt;=K$435,0,100*(K$435-Tabell2[[#This Row],[NIBR11-T]])/K$438))</f>
        <v>50</v>
      </c>
      <c r="U419" s="44">
        <f>(L$435-Tabell2[[#This Row],[ReisetidOslo-T]])*100/L$438</f>
        <v>0</v>
      </c>
      <c r="V419" s="44">
        <f>100-(M$435-Tabell2[[#This Row],[Beftettotal-T]])*100/M$438</f>
        <v>0</v>
      </c>
      <c r="W419" s="44">
        <f>100-(N$435-Tabell2[[#This Row],[Befvekst10-T]])*100/N$438</f>
        <v>7.3142387305252043</v>
      </c>
      <c r="X419" s="44">
        <f>100-(O$435-Tabell2[[#This Row],[Kvinneandel-T]])*100/O$438</f>
        <v>0</v>
      </c>
      <c r="Y419" s="44">
        <f>(P$435-Tabell2[[#This Row],[Eldreandel-T]])*100/P$438</f>
        <v>0</v>
      </c>
      <c r="Z419" s="44">
        <f>100-(Q$435-Tabell2[[#This Row],[Sysselsettingsvekst10-T]])*100/Q$438</f>
        <v>0</v>
      </c>
      <c r="AA419" s="44">
        <f>100-(R$435-Tabell2[[#This Row],[Yrkesaktivandel-T]])*100/R$438</f>
        <v>35.418170024781517</v>
      </c>
      <c r="AB419" s="44">
        <f>100-(S$435-Tabell2[[#This Row],[Inntekt-T]])*100/S$438</f>
        <v>10.277324632952698</v>
      </c>
      <c r="AC419" s="44">
        <f>Tabell2[[#This Row],[NIBR11-I]]*Vekter!$B$3</f>
        <v>10</v>
      </c>
      <c r="AD419" s="44">
        <f>Tabell2[[#This Row],[ReisetidOslo-I]]*Vekter!$C$3</f>
        <v>0</v>
      </c>
      <c r="AE419" s="44">
        <f>Tabell2[[#This Row],[Beftettotal-I]]*Vekter!$E$4</f>
        <v>0</v>
      </c>
      <c r="AF419" s="44">
        <f>Tabell2[[#This Row],[Befvekst10-I]]*Vekter!$F$3</f>
        <v>1.4628477461050409</v>
      </c>
      <c r="AG419" s="44">
        <f>Tabell2[[#This Row],[Kvinneandel-I]]*Vekter!$G$3</f>
        <v>0</v>
      </c>
      <c r="AH419" s="44">
        <f>Tabell2[[#This Row],[Eldreandel-I]]*Vekter!$H$3</f>
        <v>0</v>
      </c>
      <c r="AI419" s="44">
        <f>Tabell2[[#This Row],[Sysselsettingsvekst10-I]]*Vekter!$I$3</f>
        <v>0</v>
      </c>
      <c r="AJ419" s="44">
        <f>Tabell2[[#This Row],[Yrkesaktivandel-I]]*Vekter!$K$3</f>
        <v>3.5418170024781519</v>
      </c>
      <c r="AK419" s="44">
        <f>Tabell2[[#This Row],[Inntekt-I]]*Vekter!$M$3</f>
        <v>1.0277324632952698</v>
      </c>
      <c r="AL41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16.032397211878461</v>
      </c>
    </row>
    <row r="420" spans="1:38" s="38" customFormat="1" ht="12.75">
      <c r="A420" s="42" t="s">
        <v>418</v>
      </c>
      <c r="B420" s="38">
        <f>'Rådata-K'!Q420</f>
        <v>11</v>
      </c>
      <c r="C420" s="44">
        <f>'Rådata-K'!P420</f>
        <v>368.15059061099998</v>
      </c>
      <c r="D420" s="41">
        <f>'Rådata-K'!R420</f>
        <v>1.0957141094127396</v>
      </c>
      <c r="E420" s="41">
        <f>'Rådata-K'!S420</f>
        <v>-0.1325889741800419</v>
      </c>
      <c r="F420" s="41">
        <f>'Rådata-K'!T420</f>
        <v>9.4931617055510856E-2</v>
      </c>
      <c r="G420" s="41">
        <f>'Rådata-K'!U420</f>
        <v>0.20193081255028159</v>
      </c>
      <c r="H420" s="41">
        <f>'Rådata-K'!V420</f>
        <v>-0.23165467625899283</v>
      </c>
      <c r="I420" s="41">
        <f>'Rådata-K'!W420</f>
        <v>0.83500717360114773</v>
      </c>
      <c r="J420" s="41">
        <f>'Rådata-K'!O420</f>
        <v>301200</v>
      </c>
      <c r="K420" s="41">
        <f>Tabell2[[#This Row],[NIBR11]]</f>
        <v>11</v>
      </c>
      <c r="L420" s="41">
        <f>IF(Tabell2[[#This Row],[ReisetidOslo]]&lt;=C$433,C$433,IF(Tabell2[[#This Row],[ReisetidOslo]]&gt;=C$434,C$434,Tabell2[[#This Row],[ReisetidOslo]]))</f>
        <v>279.05557553043002</v>
      </c>
      <c r="M420" s="41">
        <f>IF(Tabell2[[#This Row],[Beftettotal]]&lt;=D$433,D$433,IF(Tabell2[[#This Row],[Beftettotal]]&gt;=D$434,D$434,Tabell2[[#This Row],[Beftettotal]]))</f>
        <v>1.3207758882127238</v>
      </c>
      <c r="N420" s="41">
        <f>IF(Tabell2[[#This Row],[Befvekst10]]&lt;=E$433,E$433,IF(Tabell2[[#This Row],[Befvekst10]]&gt;=E$434,E$434,Tabell2[[#This Row],[Befvekst10]]))</f>
        <v>-9.1923232174966049E-2</v>
      </c>
      <c r="O420" s="41">
        <f>IF(Tabell2[[#This Row],[Kvinneandel]]&lt;=F$433,F$433,IF(Tabell2[[#This Row],[Kvinneandel]]&gt;=F$434,F$434,Tabell2[[#This Row],[Kvinneandel]]))</f>
        <v>9.4931617055510856E-2</v>
      </c>
      <c r="P420" s="41">
        <f>IF(Tabell2[[#This Row],[Eldreandel]]&lt;=G$433,G$433,IF(Tabell2[[#This Row],[Eldreandel]]&gt;=G$434,G$434,Tabell2[[#This Row],[Eldreandel]]))</f>
        <v>0.1989437597342919</v>
      </c>
      <c r="Q420" s="41">
        <f>IF(Tabell2[[#This Row],[Sysselsettingsvekst10]]&lt;=H$433,H$433,IF(Tabell2[[#This Row],[Sysselsettingsvekst10]]&gt;=H$434,H$434,Tabell2[[#This Row],[Sysselsettingsvekst10]]))</f>
        <v>-9.2168803558721979E-2</v>
      </c>
      <c r="R420" s="41">
        <f>IF(Tabell2[[#This Row],[Yrkesaktivandel]]&lt;=I$433,I$433,IF(Tabell2[[#This Row],[Yrkesaktivandel]]&gt;=I$434,I$434,Tabell2[[#This Row],[Yrkesaktivandel]]))</f>
        <v>0.83500717360114773</v>
      </c>
      <c r="S420" s="41">
        <f>IF(Tabell2[[#This Row],[Inntekt]]&lt;=J$433,J$433,IF(Tabell2[[#This Row],[Inntekt]]&gt;=J$434,J$434,Tabell2[[#This Row],[Inntekt]]))</f>
        <v>301200</v>
      </c>
      <c r="T420" s="44">
        <f>IF(Tabell2[[#This Row],[NIBR11-T]]&lt;=K$436,100,IF(Tabell2[[#This Row],[NIBR11-T]]&gt;=K$435,0,100*(K$435-Tabell2[[#This Row],[NIBR11-T]])/K$438))</f>
        <v>0</v>
      </c>
      <c r="U420" s="44">
        <f>(L$435-Tabell2[[#This Row],[ReisetidOslo-T]])*100/L$438</f>
        <v>0</v>
      </c>
      <c r="V420" s="44">
        <f>100-(M$435-Tabell2[[#This Row],[Beftettotal-T]])*100/M$438</f>
        <v>0</v>
      </c>
      <c r="W420" s="44">
        <f>100-(N$435-Tabell2[[#This Row],[Befvekst10-T]])*100/N$438</f>
        <v>0</v>
      </c>
      <c r="X420" s="44">
        <f>100-(O$435-Tabell2[[#This Row],[Kvinneandel-T]])*100/O$438</f>
        <v>8.7944616824159425</v>
      </c>
      <c r="Y420" s="44">
        <f>(P$435-Tabell2[[#This Row],[Eldreandel-T]])*100/P$438</f>
        <v>0</v>
      </c>
      <c r="Z420" s="44">
        <f>100-(Q$435-Tabell2[[#This Row],[Sysselsettingsvekst10-T]])*100/Q$438</f>
        <v>0</v>
      </c>
      <c r="AA420" s="44">
        <f>100-(R$435-Tabell2[[#This Row],[Yrkesaktivandel-T]])*100/R$438</f>
        <v>6.4055324232791264</v>
      </c>
      <c r="AB420" s="44">
        <f>100-(S$435-Tabell2[[#This Row],[Inntekt-T]])*100/S$438</f>
        <v>12.31647634584013</v>
      </c>
      <c r="AC420" s="44">
        <f>Tabell2[[#This Row],[NIBR11-I]]*Vekter!$B$3</f>
        <v>0</v>
      </c>
      <c r="AD420" s="44">
        <f>Tabell2[[#This Row],[ReisetidOslo-I]]*Vekter!$C$3</f>
        <v>0</v>
      </c>
      <c r="AE420" s="44">
        <f>Tabell2[[#This Row],[Beftettotal-I]]*Vekter!$E$4</f>
        <v>0</v>
      </c>
      <c r="AF420" s="44">
        <f>Tabell2[[#This Row],[Befvekst10-I]]*Vekter!$F$3</f>
        <v>0</v>
      </c>
      <c r="AG420" s="44">
        <f>Tabell2[[#This Row],[Kvinneandel-I]]*Vekter!$G$3</f>
        <v>0.43972308412079714</v>
      </c>
      <c r="AH420" s="44">
        <f>Tabell2[[#This Row],[Eldreandel-I]]*Vekter!$H$3</f>
        <v>0</v>
      </c>
      <c r="AI420" s="44">
        <f>Tabell2[[#This Row],[Sysselsettingsvekst10-I]]*Vekter!$I$3</f>
        <v>0</v>
      </c>
      <c r="AJ420" s="44">
        <f>Tabell2[[#This Row],[Yrkesaktivandel-I]]*Vekter!$K$3</f>
        <v>0.64055324232791266</v>
      </c>
      <c r="AK420" s="44">
        <f>Tabell2[[#This Row],[Inntekt-I]]*Vekter!$M$3</f>
        <v>1.2316476345840131</v>
      </c>
      <c r="AL42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2.3119239610327229</v>
      </c>
    </row>
    <row r="421" spans="1:38" s="38" customFormat="1" ht="12.75">
      <c r="A421" s="42" t="s">
        <v>419</v>
      </c>
      <c r="B421" s="38">
        <f>'Rådata-K'!Q421</f>
        <v>9</v>
      </c>
      <c r="C421" s="44">
        <f>'Rådata-K'!P421</f>
        <v>322.34145639234998</v>
      </c>
      <c r="D421" s="41">
        <f>'Rådata-K'!R421</f>
        <v>3.4903334630855065</v>
      </c>
      <c r="E421" s="41">
        <f>'Rådata-K'!S421</f>
        <v>-8.1127241673783046E-2</v>
      </c>
      <c r="F421" s="41">
        <f>'Rådata-K'!T421</f>
        <v>9.7273853779429986E-2</v>
      </c>
      <c r="G421" s="41">
        <f>'Rådata-K'!U421</f>
        <v>0.1449814126394052</v>
      </c>
      <c r="H421" s="41">
        <f>'Rådata-K'!V421</f>
        <v>-0.10139049826187718</v>
      </c>
      <c r="I421" s="41">
        <f>'Rådata-K'!W421</f>
        <v>0.85403726708074534</v>
      </c>
      <c r="J421" s="41">
        <f>'Rådata-K'!O421</f>
        <v>318700</v>
      </c>
      <c r="K421" s="41">
        <f>Tabell2[[#This Row],[NIBR11]]</f>
        <v>9</v>
      </c>
      <c r="L421" s="41">
        <f>IF(Tabell2[[#This Row],[ReisetidOslo]]&lt;=C$433,C$433,IF(Tabell2[[#This Row],[ReisetidOslo]]&gt;=C$434,C$434,Tabell2[[#This Row],[ReisetidOslo]]))</f>
        <v>279.05557553043002</v>
      </c>
      <c r="M421" s="41">
        <f>IF(Tabell2[[#This Row],[Beftettotal]]&lt;=D$433,D$433,IF(Tabell2[[#This Row],[Beftettotal]]&gt;=D$434,D$434,Tabell2[[#This Row],[Beftettotal]]))</f>
        <v>3.4903334630855065</v>
      </c>
      <c r="N421" s="41">
        <f>IF(Tabell2[[#This Row],[Befvekst10]]&lt;=E$433,E$433,IF(Tabell2[[#This Row],[Befvekst10]]&gt;=E$434,E$434,Tabell2[[#This Row],[Befvekst10]]))</f>
        <v>-8.1127241673783046E-2</v>
      </c>
      <c r="O421" s="41">
        <f>IF(Tabell2[[#This Row],[Kvinneandel]]&lt;=F$433,F$433,IF(Tabell2[[#This Row],[Kvinneandel]]&gt;=F$434,F$434,Tabell2[[#This Row],[Kvinneandel]]))</f>
        <v>9.7273853779429986E-2</v>
      </c>
      <c r="P421" s="41">
        <f>IF(Tabell2[[#This Row],[Eldreandel]]&lt;=G$433,G$433,IF(Tabell2[[#This Row],[Eldreandel]]&gt;=G$434,G$434,Tabell2[[#This Row],[Eldreandel]]))</f>
        <v>0.1449814126394052</v>
      </c>
      <c r="Q421" s="41">
        <f>IF(Tabell2[[#This Row],[Sysselsettingsvekst10]]&lt;=H$433,H$433,IF(Tabell2[[#This Row],[Sysselsettingsvekst10]]&gt;=H$434,H$434,Tabell2[[#This Row],[Sysselsettingsvekst10]]))</f>
        <v>-9.2168803558721979E-2</v>
      </c>
      <c r="R421" s="41">
        <f>IF(Tabell2[[#This Row],[Yrkesaktivandel]]&lt;=I$433,I$433,IF(Tabell2[[#This Row],[Yrkesaktivandel]]&gt;=I$434,I$434,Tabell2[[#This Row],[Yrkesaktivandel]]))</f>
        <v>0.85403726708074534</v>
      </c>
      <c r="S421" s="41">
        <f>IF(Tabell2[[#This Row],[Inntekt]]&lt;=J$433,J$433,IF(Tabell2[[#This Row],[Inntekt]]&gt;=J$434,J$434,Tabell2[[#This Row],[Inntekt]]))</f>
        <v>318700</v>
      </c>
      <c r="T421" s="44">
        <f>IF(Tabell2[[#This Row],[NIBR11-T]]&lt;=K$436,100,IF(Tabell2[[#This Row],[NIBR11-T]]&gt;=K$435,0,100*(K$435-Tabell2[[#This Row],[NIBR11-T]])/K$438))</f>
        <v>20</v>
      </c>
      <c r="U421" s="44">
        <f>(L$435-Tabell2[[#This Row],[ReisetidOslo-T]])*100/L$438</f>
        <v>0</v>
      </c>
      <c r="V421" s="44">
        <f>100-(M$435-Tabell2[[#This Row],[Beftettotal-T]])*100/M$438</f>
        <v>1.7747128764484614</v>
      </c>
      <c r="W421" s="44">
        <f>100-(N$435-Tabell2[[#This Row],[Befvekst10-T]])*100/N$438</f>
        <v>4.4664618869122563</v>
      </c>
      <c r="X421" s="44">
        <f>100-(O$435-Tabell2[[#This Row],[Kvinneandel-T]])*100/O$438</f>
        <v>15.20390140606105</v>
      </c>
      <c r="Y421" s="44">
        <f>(P$435-Tabell2[[#This Row],[Eldreandel-T]])*100/P$438</f>
        <v>63.535032828579276</v>
      </c>
      <c r="Z421" s="44">
        <f>100-(Q$435-Tabell2[[#This Row],[Sysselsettingsvekst10-T]])*100/Q$438</f>
        <v>0</v>
      </c>
      <c r="AA421" s="44">
        <f>100-(R$435-Tabell2[[#This Row],[Yrkesaktivandel-T]])*100/R$438</f>
        <v>20.616856260134028</v>
      </c>
      <c r="AB421" s="44">
        <f>100-(S$435-Tabell2[[#This Row],[Inntekt-T]])*100/S$438</f>
        <v>36.106579662860248</v>
      </c>
      <c r="AC421" s="44">
        <f>Tabell2[[#This Row],[NIBR11-I]]*Vekter!$B$3</f>
        <v>4</v>
      </c>
      <c r="AD421" s="44">
        <f>Tabell2[[#This Row],[ReisetidOslo-I]]*Vekter!$C$3</f>
        <v>0</v>
      </c>
      <c r="AE421" s="44">
        <f>Tabell2[[#This Row],[Beftettotal-I]]*Vekter!$E$4</f>
        <v>0.17747128764484615</v>
      </c>
      <c r="AF421" s="44">
        <f>Tabell2[[#This Row],[Befvekst10-I]]*Vekter!$F$3</f>
        <v>0.89329237738245126</v>
      </c>
      <c r="AG421" s="44">
        <f>Tabell2[[#This Row],[Kvinneandel-I]]*Vekter!$G$3</f>
        <v>0.76019507030305256</v>
      </c>
      <c r="AH421" s="44">
        <f>Tabell2[[#This Row],[Eldreandel-I]]*Vekter!$H$3</f>
        <v>3.176751641428964</v>
      </c>
      <c r="AI421" s="44">
        <f>Tabell2[[#This Row],[Sysselsettingsvekst10-I]]*Vekter!$I$3</f>
        <v>0</v>
      </c>
      <c r="AJ421" s="44">
        <f>Tabell2[[#This Row],[Yrkesaktivandel-I]]*Vekter!$K$3</f>
        <v>2.0616856260134031</v>
      </c>
      <c r="AK421" s="44">
        <f>Tabell2[[#This Row],[Inntekt-I]]*Vekter!$M$3</f>
        <v>3.6106579662860252</v>
      </c>
      <c r="AL421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14.680053969058743</v>
      </c>
    </row>
    <row r="422" spans="1:38" s="38" customFormat="1" ht="12.75">
      <c r="A422" s="42" t="s">
        <v>420</v>
      </c>
      <c r="B422" s="38">
        <f>'Rådata-K'!Q422</f>
        <v>9</v>
      </c>
      <c r="C422" s="44">
        <f>'Rådata-K'!P422</f>
        <v>268.82159737985</v>
      </c>
      <c r="D422" s="41">
        <f>'Rådata-K'!R422</f>
        <v>0.80982295127722581</v>
      </c>
      <c r="E422" s="41">
        <f>'Rådata-K'!S422</f>
        <v>-9.2664980455277046E-2</v>
      </c>
      <c r="F422" s="41">
        <f>'Rådata-K'!T422</f>
        <v>0.10314242270653827</v>
      </c>
      <c r="G422" s="41">
        <f>'Rådata-K'!U422</f>
        <v>0.14140902179422199</v>
      </c>
      <c r="H422" s="41">
        <f>'Rådata-K'!V422</f>
        <v>1.9280875455966573E-2</v>
      </c>
      <c r="I422" s="41">
        <f>'Rådata-K'!W422</f>
        <v>0.8627780109106169</v>
      </c>
      <c r="J422" s="41">
        <f>'Rådata-K'!O422</f>
        <v>320100</v>
      </c>
      <c r="K422" s="41">
        <f>Tabell2[[#This Row],[NIBR11]]</f>
        <v>9</v>
      </c>
      <c r="L422" s="41">
        <f>IF(Tabell2[[#This Row],[ReisetidOslo]]&lt;=C$433,C$433,IF(Tabell2[[#This Row],[ReisetidOslo]]&gt;=C$434,C$434,Tabell2[[#This Row],[ReisetidOslo]]))</f>
        <v>268.82159737985</v>
      </c>
      <c r="M422" s="41">
        <f>IF(Tabell2[[#This Row],[Beftettotal]]&lt;=D$433,D$433,IF(Tabell2[[#This Row],[Beftettotal]]&gt;=D$434,D$434,Tabell2[[#This Row],[Beftettotal]]))</f>
        <v>1.3207758882127238</v>
      </c>
      <c r="N422" s="41">
        <f>IF(Tabell2[[#This Row],[Befvekst10]]&lt;=E$433,E$433,IF(Tabell2[[#This Row],[Befvekst10]]&gt;=E$434,E$434,Tabell2[[#This Row],[Befvekst10]]))</f>
        <v>-9.1923232174966049E-2</v>
      </c>
      <c r="O422" s="41">
        <f>IF(Tabell2[[#This Row],[Kvinneandel]]&lt;=F$433,F$433,IF(Tabell2[[#This Row],[Kvinneandel]]&gt;=F$434,F$434,Tabell2[[#This Row],[Kvinneandel]]))</f>
        <v>0.10314242270653827</v>
      </c>
      <c r="P422" s="41">
        <f>IF(Tabell2[[#This Row],[Eldreandel]]&lt;=G$433,G$433,IF(Tabell2[[#This Row],[Eldreandel]]&gt;=G$434,G$434,Tabell2[[#This Row],[Eldreandel]]))</f>
        <v>0.14140902179422199</v>
      </c>
      <c r="Q422" s="41">
        <f>IF(Tabell2[[#This Row],[Sysselsettingsvekst10]]&lt;=H$433,H$433,IF(Tabell2[[#This Row],[Sysselsettingsvekst10]]&gt;=H$434,H$434,Tabell2[[#This Row],[Sysselsettingsvekst10]]))</f>
        <v>1.9280875455966573E-2</v>
      </c>
      <c r="R422" s="41">
        <f>IF(Tabell2[[#This Row],[Yrkesaktivandel]]&lt;=I$433,I$433,IF(Tabell2[[#This Row],[Yrkesaktivandel]]&gt;=I$434,I$434,Tabell2[[#This Row],[Yrkesaktivandel]]))</f>
        <v>0.8627780109106169</v>
      </c>
      <c r="S422" s="41">
        <f>IF(Tabell2[[#This Row],[Inntekt]]&lt;=J$433,J$433,IF(Tabell2[[#This Row],[Inntekt]]&gt;=J$434,J$434,Tabell2[[#This Row],[Inntekt]]))</f>
        <v>320100</v>
      </c>
      <c r="T422" s="44">
        <f>IF(Tabell2[[#This Row],[NIBR11-T]]&lt;=K$436,100,IF(Tabell2[[#This Row],[NIBR11-T]]&gt;=K$435,0,100*(K$435-Tabell2[[#This Row],[NIBR11-T]])/K$438))</f>
        <v>20</v>
      </c>
      <c r="U422" s="44">
        <f>(L$435-Tabell2[[#This Row],[ReisetidOslo-T]])*100/L$438</f>
        <v>4.5433806569388864</v>
      </c>
      <c r="V422" s="44">
        <f>100-(M$435-Tabell2[[#This Row],[Beftettotal-T]])*100/M$438</f>
        <v>0</v>
      </c>
      <c r="W422" s="44">
        <f>100-(N$435-Tabell2[[#This Row],[Befvekst10-T]])*100/N$438</f>
        <v>0</v>
      </c>
      <c r="X422" s="44">
        <f>100-(O$435-Tabell2[[#This Row],[Kvinneandel-T]])*100/O$438</f>
        <v>31.263012092114778</v>
      </c>
      <c r="Y422" s="44">
        <f>(P$435-Tabell2[[#This Row],[Eldreandel-T]])*100/P$438</f>
        <v>67.741150276104804</v>
      </c>
      <c r="Z422" s="44">
        <f>100-(Q$435-Tabell2[[#This Row],[Sysselsettingsvekst10-T]])*100/Q$438</f>
        <v>32.768109101256343</v>
      </c>
      <c r="AA422" s="44">
        <f>100-(R$435-Tabell2[[#This Row],[Yrkesaktivandel-T]])*100/R$438</f>
        <v>27.144283005276989</v>
      </c>
      <c r="AB422" s="44">
        <f>100-(S$435-Tabell2[[#This Row],[Inntekt-T]])*100/S$438</f>
        <v>38.009787928221861</v>
      </c>
      <c r="AC422" s="44">
        <f>Tabell2[[#This Row],[NIBR11-I]]*Vekter!$B$3</f>
        <v>4</v>
      </c>
      <c r="AD422" s="44">
        <f>Tabell2[[#This Row],[ReisetidOslo-I]]*Vekter!$C$3</f>
        <v>0.45433806569388868</v>
      </c>
      <c r="AE422" s="44">
        <f>Tabell2[[#This Row],[Beftettotal-I]]*Vekter!$E$4</f>
        <v>0</v>
      </c>
      <c r="AF422" s="44">
        <f>Tabell2[[#This Row],[Befvekst10-I]]*Vekter!$F$3</f>
        <v>0</v>
      </c>
      <c r="AG422" s="44">
        <f>Tabell2[[#This Row],[Kvinneandel-I]]*Vekter!$G$3</f>
        <v>1.5631506046057391</v>
      </c>
      <c r="AH422" s="44">
        <f>Tabell2[[#This Row],[Eldreandel-I]]*Vekter!$H$3</f>
        <v>3.3870575138052406</v>
      </c>
      <c r="AI422" s="44">
        <f>Tabell2[[#This Row],[Sysselsettingsvekst10-I]]*Vekter!$I$3</f>
        <v>3.2768109101256346</v>
      </c>
      <c r="AJ422" s="44">
        <f>Tabell2[[#This Row],[Yrkesaktivandel-I]]*Vekter!$K$3</f>
        <v>2.714428300527699</v>
      </c>
      <c r="AK422" s="44">
        <f>Tabell2[[#This Row],[Inntekt-I]]*Vekter!$M$3</f>
        <v>3.8009787928221863</v>
      </c>
      <c r="AL422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19.196764187580388</v>
      </c>
    </row>
    <row r="423" spans="1:38" s="38" customFormat="1" ht="12.75">
      <c r="A423" s="42" t="s">
        <v>421</v>
      </c>
      <c r="B423" s="38">
        <f>'Rådata-K'!Q423</f>
        <v>11</v>
      </c>
      <c r="C423" s="44">
        <f>'Rådata-K'!P423</f>
        <v>323.42360064299999</v>
      </c>
      <c r="D423" s="41">
        <f>'Rådata-K'!R423</f>
        <v>0.50669913844641612</v>
      </c>
      <c r="E423" s="41">
        <f>'Rådata-K'!S423</f>
        <v>-3.1206171107994396E-2</v>
      </c>
      <c r="F423" s="41">
        <f>'Rådata-K'!T423</f>
        <v>0.10966340933767643</v>
      </c>
      <c r="G423" s="41">
        <f>'Rådata-K'!U423</f>
        <v>0.12522620340209917</v>
      </c>
      <c r="H423" s="41">
        <f>'Rådata-K'!V423</f>
        <v>0.16059602649006632</v>
      </c>
      <c r="I423" s="41">
        <f>'Rådata-K'!W423</f>
        <v>0.87148102815177475</v>
      </c>
      <c r="J423" s="41">
        <f>'Rådata-K'!O423</f>
        <v>294400</v>
      </c>
      <c r="K423" s="41">
        <f>Tabell2[[#This Row],[NIBR11]]</f>
        <v>11</v>
      </c>
      <c r="L423" s="41">
        <f>IF(Tabell2[[#This Row],[ReisetidOslo]]&lt;=C$433,C$433,IF(Tabell2[[#This Row],[ReisetidOslo]]&gt;=C$434,C$434,Tabell2[[#This Row],[ReisetidOslo]]))</f>
        <v>279.05557553043002</v>
      </c>
      <c r="M423" s="41">
        <f>IF(Tabell2[[#This Row],[Beftettotal]]&lt;=D$433,D$433,IF(Tabell2[[#This Row],[Beftettotal]]&gt;=D$434,D$434,Tabell2[[#This Row],[Beftettotal]]))</f>
        <v>1.3207758882127238</v>
      </c>
      <c r="N423" s="41">
        <f>IF(Tabell2[[#This Row],[Befvekst10]]&lt;=E$433,E$433,IF(Tabell2[[#This Row],[Befvekst10]]&gt;=E$434,E$434,Tabell2[[#This Row],[Befvekst10]]))</f>
        <v>-3.1206171107994396E-2</v>
      </c>
      <c r="O423" s="41">
        <f>IF(Tabell2[[#This Row],[Kvinneandel]]&lt;=F$433,F$433,IF(Tabell2[[#This Row],[Kvinneandel]]&gt;=F$434,F$434,Tabell2[[#This Row],[Kvinneandel]]))</f>
        <v>0.10966340933767643</v>
      </c>
      <c r="P423" s="41">
        <f>IF(Tabell2[[#This Row],[Eldreandel]]&lt;=G$433,G$433,IF(Tabell2[[#This Row],[Eldreandel]]&gt;=G$434,G$434,Tabell2[[#This Row],[Eldreandel]]))</f>
        <v>0.12522620340209917</v>
      </c>
      <c r="Q423" s="41">
        <f>IF(Tabell2[[#This Row],[Sysselsettingsvekst10]]&lt;=H$433,H$433,IF(Tabell2[[#This Row],[Sysselsettingsvekst10]]&gt;=H$434,H$434,Tabell2[[#This Row],[Sysselsettingsvekst10]]))</f>
        <v>0.16059602649006632</v>
      </c>
      <c r="R423" s="41">
        <f>IF(Tabell2[[#This Row],[Yrkesaktivandel]]&lt;=I$433,I$433,IF(Tabell2[[#This Row],[Yrkesaktivandel]]&gt;=I$434,I$434,Tabell2[[#This Row],[Yrkesaktivandel]]))</f>
        <v>0.87148102815177475</v>
      </c>
      <c r="S423" s="41">
        <f>IF(Tabell2[[#This Row],[Inntekt]]&lt;=J$433,J$433,IF(Tabell2[[#This Row],[Inntekt]]&gt;=J$434,J$434,Tabell2[[#This Row],[Inntekt]]))</f>
        <v>294400</v>
      </c>
      <c r="T423" s="44">
        <f>IF(Tabell2[[#This Row],[NIBR11-T]]&lt;=K$436,100,IF(Tabell2[[#This Row],[NIBR11-T]]&gt;=K$435,0,100*(K$435-Tabell2[[#This Row],[NIBR11-T]])/K$438))</f>
        <v>0</v>
      </c>
      <c r="U423" s="44">
        <f>(L$435-Tabell2[[#This Row],[ReisetidOslo-T]])*100/L$438</f>
        <v>0</v>
      </c>
      <c r="V423" s="44">
        <f>100-(M$435-Tabell2[[#This Row],[Beftettotal-T]])*100/M$438</f>
        <v>0</v>
      </c>
      <c r="W423" s="44">
        <f>100-(N$435-Tabell2[[#This Row],[Befvekst10-T]])*100/N$438</f>
        <v>25.11955147711889</v>
      </c>
      <c r="X423" s="44">
        <f>100-(O$435-Tabell2[[#This Row],[Kvinneandel-T]])*100/O$438</f>
        <v>49.107438457798693</v>
      </c>
      <c r="Y423" s="44">
        <f>(P$435-Tabell2[[#This Row],[Eldreandel-T]])*100/P$438</f>
        <v>86.794730284300684</v>
      </c>
      <c r="Z423" s="44">
        <f>100-(Q$435-Tabell2[[#This Row],[Sysselsettingsvekst10-T]])*100/Q$438</f>
        <v>74.317177054476772</v>
      </c>
      <c r="AA423" s="44">
        <f>100-(R$435-Tabell2[[#This Row],[Yrkesaktivandel-T]])*100/R$438</f>
        <v>33.643536227780913</v>
      </c>
      <c r="AB423" s="44">
        <f>100-(S$435-Tabell2[[#This Row],[Inntekt-T]])*100/S$438</f>
        <v>3.0723219140837443</v>
      </c>
      <c r="AC423" s="44">
        <f>Tabell2[[#This Row],[NIBR11-I]]*Vekter!$B$3</f>
        <v>0</v>
      </c>
      <c r="AD423" s="44">
        <f>Tabell2[[#This Row],[ReisetidOslo-I]]*Vekter!$C$3</f>
        <v>0</v>
      </c>
      <c r="AE423" s="44">
        <f>Tabell2[[#This Row],[Beftettotal-I]]*Vekter!$E$4</f>
        <v>0</v>
      </c>
      <c r="AF423" s="44">
        <f>Tabell2[[#This Row],[Befvekst10-I]]*Vekter!$F$3</f>
        <v>5.0239102954237786</v>
      </c>
      <c r="AG423" s="44">
        <f>Tabell2[[#This Row],[Kvinneandel-I]]*Vekter!$G$3</f>
        <v>2.4553719228899347</v>
      </c>
      <c r="AH423" s="44">
        <f>Tabell2[[#This Row],[Eldreandel-I]]*Vekter!$H$3</f>
        <v>4.3397365142150344</v>
      </c>
      <c r="AI423" s="44">
        <f>Tabell2[[#This Row],[Sysselsettingsvekst10-I]]*Vekter!$I$3</f>
        <v>7.431717705447678</v>
      </c>
      <c r="AJ423" s="44">
        <f>Tabell2[[#This Row],[Yrkesaktivandel-I]]*Vekter!$K$3</f>
        <v>3.3643536227780917</v>
      </c>
      <c r="AK423" s="44">
        <f>Tabell2[[#This Row],[Inntekt-I]]*Vekter!$M$3</f>
        <v>0.30723219140837443</v>
      </c>
      <c r="AL423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22.922322252162893</v>
      </c>
    </row>
    <row r="424" spans="1:38" s="38" customFormat="1" ht="12.75">
      <c r="A424" s="42" t="s">
        <v>422</v>
      </c>
      <c r="B424" s="38">
        <f>'Rådata-K'!Q424</f>
        <v>11</v>
      </c>
      <c r="C424" s="44">
        <f>'Rådata-K'!P424</f>
        <v>443.67728289000001</v>
      </c>
      <c r="D424" s="41">
        <f>'Rådata-K'!R424</f>
        <v>0.3921613992873999</v>
      </c>
      <c r="E424" s="41">
        <f>'Rådata-K'!S424</f>
        <v>-0.10258107213765721</v>
      </c>
      <c r="F424" s="41">
        <f>'Rådata-K'!T424</f>
        <v>0.10324483775811209</v>
      </c>
      <c r="G424" s="41">
        <f>'Rådata-K'!U424</f>
        <v>0.16224188790560473</v>
      </c>
      <c r="H424" s="41">
        <f>'Rådata-K'!V424</f>
        <v>-0.12631578947368416</v>
      </c>
      <c r="I424" s="41">
        <f>'Rådata-K'!W424</f>
        <v>0.79641485275288093</v>
      </c>
      <c r="J424" s="41">
        <f>'Rådata-K'!O424</f>
        <v>290600</v>
      </c>
      <c r="K424" s="41">
        <f>Tabell2[[#This Row],[NIBR11]]</f>
        <v>11</v>
      </c>
      <c r="L424" s="41">
        <f>IF(Tabell2[[#This Row],[ReisetidOslo]]&lt;=C$433,C$433,IF(Tabell2[[#This Row],[ReisetidOslo]]&gt;=C$434,C$434,Tabell2[[#This Row],[ReisetidOslo]]))</f>
        <v>279.05557553043002</v>
      </c>
      <c r="M424" s="41">
        <f>IF(Tabell2[[#This Row],[Beftettotal]]&lt;=D$433,D$433,IF(Tabell2[[#This Row],[Beftettotal]]&gt;=D$434,D$434,Tabell2[[#This Row],[Beftettotal]]))</f>
        <v>1.3207758882127238</v>
      </c>
      <c r="N424" s="41">
        <f>IF(Tabell2[[#This Row],[Befvekst10]]&lt;=E$433,E$433,IF(Tabell2[[#This Row],[Befvekst10]]&gt;=E$434,E$434,Tabell2[[#This Row],[Befvekst10]]))</f>
        <v>-9.1923232174966049E-2</v>
      </c>
      <c r="O424" s="41">
        <f>IF(Tabell2[[#This Row],[Kvinneandel]]&lt;=F$433,F$433,IF(Tabell2[[#This Row],[Kvinneandel]]&gt;=F$434,F$434,Tabell2[[#This Row],[Kvinneandel]]))</f>
        <v>0.10324483775811209</v>
      </c>
      <c r="P424" s="41">
        <f>IF(Tabell2[[#This Row],[Eldreandel]]&lt;=G$433,G$433,IF(Tabell2[[#This Row],[Eldreandel]]&gt;=G$434,G$434,Tabell2[[#This Row],[Eldreandel]]))</f>
        <v>0.16224188790560473</v>
      </c>
      <c r="Q424" s="41">
        <f>IF(Tabell2[[#This Row],[Sysselsettingsvekst10]]&lt;=H$433,H$433,IF(Tabell2[[#This Row],[Sysselsettingsvekst10]]&gt;=H$434,H$434,Tabell2[[#This Row],[Sysselsettingsvekst10]]))</f>
        <v>-9.2168803558721979E-2</v>
      </c>
      <c r="R424" s="41">
        <f>IF(Tabell2[[#This Row],[Yrkesaktivandel]]&lt;=I$433,I$433,IF(Tabell2[[#This Row],[Yrkesaktivandel]]&gt;=I$434,I$434,Tabell2[[#This Row],[Yrkesaktivandel]]))</f>
        <v>0.82642965596795781</v>
      </c>
      <c r="S424" s="41">
        <f>IF(Tabell2[[#This Row],[Inntekt]]&lt;=J$433,J$433,IF(Tabell2[[#This Row],[Inntekt]]&gt;=J$434,J$434,Tabell2[[#This Row],[Inntekt]]))</f>
        <v>292140</v>
      </c>
      <c r="T424" s="44">
        <f>IF(Tabell2[[#This Row],[NIBR11-T]]&lt;=K$436,100,IF(Tabell2[[#This Row],[NIBR11-T]]&gt;=K$435,0,100*(K$435-Tabell2[[#This Row],[NIBR11-T]])/K$438))</f>
        <v>0</v>
      </c>
      <c r="U424" s="44">
        <f>(L$435-Tabell2[[#This Row],[ReisetidOslo-T]])*100/L$438</f>
        <v>0</v>
      </c>
      <c r="V424" s="44">
        <f>100-(M$435-Tabell2[[#This Row],[Beftettotal-T]])*100/M$438</f>
        <v>0</v>
      </c>
      <c r="W424" s="44">
        <f>100-(N$435-Tabell2[[#This Row],[Befvekst10-T]])*100/N$438</f>
        <v>0</v>
      </c>
      <c r="X424" s="44">
        <f>100-(O$435-Tabell2[[#This Row],[Kvinneandel-T]])*100/O$438</f>
        <v>31.54326689862215</v>
      </c>
      <c r="Y424" s="44">
        <f>(P$435-Tabell2[[#This Row],[Eldreandel-T]])*100/P$438</f>
        <v>43.212624302750299</v>
      </c>
      <c r="Z424" s="44">
        <f>100-(Q$435-Tabell2[[#This Row],[Sysselsettingsvekst10-T]])*100/Q$438</f>
        <v>0</v>
      </c>
      <c r="AA424" s="44">
        <f>100-(R$435-Tabell2[[#This Row],[Yrkesaktivandel-T]])*100/R$438</f>
        <v>0</v>
      </c>
      <c r="AB424" s="44">
        <f>100-(S$435-Tabell2[[#This Row],[Inntekt-T]])*100/S$438</f>
        <v>0</v>
      </c>
      <c r="AC424" s="44">
        <f>Tabell2[[#This Row],[NIBR11-I]]*Vekter!$B$3</f>
        <v>0</v>
      </c>
      <c r="AD424" s="44">
        <f>Tabell2[[#This Row],[ReisetidOslo-I]]*Vekter!$C$3</f>
        <v>0</v>
      </c>
      <c r="AE424" s="44">
        <f>Tabell2[[#This Row],[Beftettotal-I]]*Vekter!$E$4</f>
        <v>0</v>
      </c>
      <c r="AF424" s="44">
        <f>Tabell2[[#This Row],[Befvekst10-I]]*Vekter!$F$3</f>
        <v>0</v>
      </c>
      <c r="AG424" s="44">
        <f>Tabell2[[#This Row],[Kvinneandel-I]]*Vekter!$G$3</f>
        <v>1.5771633449311075</v>
      </c>
      <c r="AH424" s="44">
        <f>Tabell2[[#This Row],[Eldreandel-I]]*Vekter!$H$3</f>
        <v>2.1606312151375149</v>
      </c>
      <c r="AI424" s="44">
        <f>Tabell2[[#This Row],[Sysselsettingsvekst10-I]]*Vekter!$I$3</f>
        <v>0</v>
      </c>
      <c r="AJ424" s="44">
        <f>Tabell2[[#This Row],[Yrkesaktivandel-I]]*Vekter!$K$3</f>
        <v>0</v>
      </c>
      <c r="AK424" s="44">
        <f>Tabell2[[#This Row],[Inntekt-I]]*Vekter!$M$3</f>
        <v>0</v>
      </c>
      <c r="AL424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3.7377945600686227</v>
      </c>
    </row>
    <row r="425" spans="1:38" s="38" customFormat="1" ht="12.75">
      <c r="A425" s="42" t="s">
        <v>423</v>
      </c>
      <c r="B425" s="38">
        <f>'Rådata-K'!Q425</f>
        <v>11</v>
      </c>
      <c r="C425" s="44">
        <f>'Rådata-K'!P425</f>
        <v>434.60745669599999</v>
      </c>
      <c r="D425" s="41">
        <f>'Rådata-K'!R425</f>
        <v>0.71215107776435427</v>
      </c>
      <c r="E425" s="41">
        <f>'Rådata-K'!S425</f>
        <v>-0.18314424635332249</v>
      </c>
      <c r="F425" s="41">
        <f>'Rådata-K'!T425</f>
        <v>0.11408730158730158</v>
      </c>
      <c r="G425" s="41">
        <f>'Rådata-K'!U425</f>
        <v>0.16666666666666666</v>
      </c>
      <c r="H425" s="41">
        <f>'Rådata-K'!V425</f>
        <v>-0.17575757575757578</v>
      </c>
      <c r="I425" s="41">
        <f>'Rådata-K'!W425</f>
        <v>0.81463414634146336</v>
      </c>
      <c r="J425" s="41">
        <f>'Rådata-K'!O425</f>
        <v>300400</v>
      </c>
      <c r="K425" s="41">
        <f>Tabell2[[#This Row],[NIBR11]]</f>
        <v>11</v>
      </c>
      <c r="L425" s="41">
        <f>IF(Tabell2[[#This Row],[ReisetidOslo]]&lt;=C$433,C$433,IF(Tabell2[[#This Row],[ReisetidOslo]]&gt;=C$434,C$434,Tabell2[[#This Row],[ReisetidOslo]]))</f>
        <v>279.05557553043002</v>
      </c>
      <c r="M425" s="41">
        <f>IF(Tabell2[[#This Row],[Beftettotal]]&lt;=D$433,D$433,IF(Tabell2[[#This Row],[Beftettotal]]&gt;=D$434,D$434,Tabell2[[#This Row],[Beftettotal]]))</f>
        <v>1.3207758882127238</v>
      </c>
      <c r="N425" s="41">
        <f>IF(Tabell2[[#This Row],[Befvekst10]]&lt;=E$433,E$433,IF(Tabell2[[#This Row],[Befvekst10]]&gt;=E$434,E$434,Tabell2[[#This Row],[Befvekst10]]))</f>
        <v>-9.1923232174966049E-2</v>
      </c>
      <c r="O425" s="41">
        <f>IF(Tabell2[[#This Row],[Kvinneandel]]&lt;=F$433,F$433,IF(Tabell2[[#This Row],[Kvinneandel]]&gt;=F$434,F$434,Tabell2[[#This Row],[Kvinneandel]]))</f>
        <v>0.11408730158730158</v>
      </c>
      <c r="P425" s="41">
        <f>IF(Tabell2[[#This Row],[Eldreandel]]&lt;=G$433,G$433,IF(Tabell2[[#This Row],[Eldreandel]]&gt;=G$434,G$434,Tabell2[[#This Row],[Eldreandel]]))</f>
        <v>0.16666666666666666</v>
      </c>
      <c r="Q425" s="41">
        <f>IF(Tabell2[[#This Row],[Sysselsettingsvekst10]]&lt;=H$433,H$433,IF(Tabell2[[#This Row],[Sysselsettingsvekst10]]&gt;=H$434,H$434,Tabell2[[#This Row],[Sysselsettingsvekst10]]))</f>
        <v>-9.2168803558721979E-2</v>
      </c>
      <c r="R425" s="41">
        <f>IF(Tabell2[[#This Row],[Yrkesaktivandel]]&lt;=I$433,I$433,IF(Tabell2[[#This Row],[Yrkesaktivandel]]&gt;=I$434,I$434,Tabell2[[#This Row],[Yrkesaktivandel]]))</f>
        <v>0.82642965596795781</v>
      </c>
      <c r="S425" s="41">
        <f>IF(Tabell2[[#This Row],[Inntekt]]&lt;=J$433,J$433,IF(Tabell2[[#This Row],[Inntekt]]&gt;=J$434,J$434,Tabell2[[#This Row],[Inntekt]]))</f>
        <v>300400</v>
      </c>
      <c r="T425" s="44">
        <f>IF(Tabell2[[#This Row],[NIBR11-T]]&lt;=K$436,100,IF(Tabell2[[#This Row],[NIBR11-T]]&gt;=K$435,0,100*(K$435-Tabell2[[#This Row],[NIBR11-T]])/K$438))</f>
        <v>0</v>
      </c>
      <c r="U425" s="44">
        <f>(L$435-Tabell2[[#This Row],[ReisetidOslo-T]])*100/L$438</f>
        <v>0</v>
      </c>
      <c r="V425" s="44">
        <f>100-(M$435-Tabell2[[#This Row],[Beftettotal-T]])*100/M$438</f>
        <v>0</v>
      </c>
      <c r="W425" s="44">
        <f>100-(N$435-Tabell2[[#This Row],[Befvekst10-T]])*100/N$438</f>
        <v>0</v>
      </c>
      <c r="X425" s="44">
        <f>100-(O$435-Tabell2[[#This Row],[Kvinneandel-T]])*100/O$438</f>
        <v>61.21324758815377</v>
      </c>
      <c r="Y425" s="44">
        <f>(P$435-Tabell2[[#This Row],[Eldreandel-T]])*100/P$438</f>
        <v>38.002909029451736</v>
      </c>
      <c r="Z425" s="44">
        <f>100-(Q$435-Tabell2[[#This Row],[Sysselsettingsvekst10-T]])*100/Q$438</f>
        <v>0</v>
      </c>
      <c r="AA425" s="44">
        <f>100-(R$435-Tabell2[[#This Row],[Yrkesaktivandel-T]])*100/R$438</f>
        <v>0</v>
      </c>
      <c r="AB425" s="44">
        <f>100-(S$435-Tabell2[[#This Row],[Inntekt-T]])*100/S$438</f>
        <v>11.228928765633498</v>
      </c>
      <c r="AC425" s="44">
        <f>Tabell2[[#This Row],[NIBR11-I]]*Vekter!$B$3</f>
        <v>0</v>
      </c>
      <c r="AD425" s="44">
        <f>Tabell2[[#This Row],[ReisetidOslo-I]]*Vekter!$C$3</f>
        <v>0</v>
      </c>
      <c r="AE425" s="44">
        <f>Tabell2[[#This Row],[Beftettotal-I]]*Vekter!$E$4</f>
        <v>0</v>
      </c>
      <c r="AF425" s="44">
        <f>Tabell2[[#This Row],[Befvekst10-I]]*Vekter!$F$3</f>
        <v>0</v>
      </c>
      <c r="AG425" s="44">
        <f>Tabell2[[#This Row],[Kvinneandel-I]]*Vekter!$G$3</f>
        <v>3.0606623794076886</v>
      </c>
      <c r="AH425" s="44">
        <f>Tabell2[[#This Row],[Eldreandel-I]]*Vekter!$H$3</f>
        <v>1.9001454514725868</v>
      </c>
      <c r="AI425" s="44">
        <f>Tabell2[[#This Row],[Sysselsettingsvekst10-I]]*Vekter!$I$3</f>
        <v>0</v>
      </c>
      <c r="AJ425" s="44">
        <f>Tabell2[[#This Row],[Yrkesaktivandel-I]]*Vekter!$K$3</f>
        <v>0</v>
      </c>
      <c r="AK425" s="44">
        <f>Tabell2[[#This Row],[Inntekt-I]]*Vekter!$M$3</f>
        <v>1.1228928765633499</v>
      </c>
      <c r="AL425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6.0837007074436258</v>
      </c>
    </row>
    <row r="426" spans="1:38" s="38" customFormat="1" ht="12.75">
      <c r="A426" s="42" t="s">
        <v>424</v>
      </c>
      <c r="B426" s="38">
        <f>'Rådata-K'!Q426</f>
        <v>11</v>
      </c>
      <c r="C426" s="44">
        <f>'Rådata-K'!P426</f>
        <v>333.68457024922998</v>
      </c>
      <c r="D426" s="41">
        <f>'Rådata-K'!R426</f>
        <v>0.90586177352563191</v>
      </c>
      <c r="E426" s="41">
        <f>'Rådata-K'!S426</f>
        <v>-0.16115702479338845</v>
      </c>
      <c r="F426" s="41">
        <f>'Rådata-K'!T426</f>
        <v>8.2758620689655171E-2</v>
      </c>
      <c r="G426" s="41">
        <f>'Rådata-K'!U426</f>
        <v>0.18817733990147784</v>
      </c>
      <c r="H426" s="41">
        <f>'Rådata-K'!V426</f>
        <v>-0.13226452905811625</v>
      </c>
      <c r="I426" s="41">
        <f>'Rådata-K'!W426</f>
        <v>0.8586387434554974</v>
      </c>
      <c r="J426" s="41">
        <f>'Rådata-K'!O426</f>
        <v>300700</v>
      </c>
      <c r="K426" s="41">
        <f>Tabell2[[#This Row],[NIBR11]]</f>
        <v>11</v>
      </c>
      <c r="L426" s="41">
        <f>IF(Tabell2[[#This Row],[ReisetidOslo]]&lt;=C$433,C$433,IF(Tabell2[[#This Row],[ReisetidOslo]]&gt;=C$434,C$434,Tabell2[[#This Row],[ReisetidOslo]]))</f>
        <v>279.05557553043002</v>
      </c>
      <c r="M426" s="41">
        <f>IF(Tabell2[[#This Row],[Beftettotal]]&lt;=D$433,D$433,IF(Tabell2[[#This Row],[Beftettotal]]&gt;=D$434,D$434,Tabell2[[#This Row],[Beftettotal]]))</f>
        <v>1.3207758882127238</v>
      </c>
      <c r="N426" s="41">
        <f>IF(Tabell2[[#This Row],[Befvekst10]]&lt;=E$433,E$433,IF(Tabell2[[#This Row],[Befvekst10]]&gt;=E$434,E$434,Tabell2[[#This Row],[Befvekst10]]))</f>
        <v>-9.1923232174966049E-2</v>
      </c>
      <c r="O426" s="41">
        <f>IF(Tabell2[[#This Row],[Kvinneandel]]&lt;=F$433,F$433,IF(Tabell2[[#This Row],[Kvinneandel]]&gt;=F$434,F$434,Tabell2[[#This Row],[Kvinneandel]]))</f>
        <v>9.1717808671657367E-2</v>
      </c>
      <c r="P426" s="41">
        <f>IF(Tabell2[[#This Row],[Eldreandel]]&lt;=G$433,G$433,IF(Tabell2[[#This Row],[Eldreandel]]&gt;=G$434,G$434,Tabell2[[#This Row],[Eldreandel]]))</f>
        <v>0.18817733990147784</v>
      </c>
      <c r="Q426" s="41">
        <f>IF(Tabell2[[#This Row],[Sysselsettingsvekst10]]&lt;=H$433,H$433,IF(Tabell2[[#This Row],[Sysselsettingsvekst10]]&gt;=H$434,H$434,Tabell2[[#This Row],[Sysselsettingsvekst10]]))</f>
        <v>-9.2168803558721979E-2</v>
      </c>
      <c r="R426" s="41">
        <f>IF(Tabell2[[#This Row],[Yrkesaktivandel]]&lt;=I$433,I$433,IF(Tabell2[[#This Row],[Yrkesaktivandel]]&gt;=I$434,I$434,Tabell2[[#This Row],[Yrkesaktivandel]]))</f>
        <v>0.8586387434554974</v>
      </c>
      <c r="S426" s="41">
        <f>IF(Tabell2[[#This Row],[Inntekt]]&lt;=J$433,J$433,IF(Tabell2[[#This Row],[Inntekt]]&gt;=J$434,J$434,Tabell2[[#This Row],[Inntekt]]))</f>
        <v>300700</v>
      </c>
      <c r="T426" s="44">
        <f>IF(Tabell2[[#This Row],[NIBR11-T]]&lt;=K$436,100,IF(Tabell2[[#This Row],[NIBR11-T]]&gt;=K$435,0,100*(K$435-Tabell2[[#This Row],[NIBR11-T]])/K$438))</f>
        <v>0</v>
      </c>
      <c r="U426" s="44">
        <f>(L$435-Tabell2[[#This Row],[ReisetidOslo-T]])*100/L$438</f>
        <v>0</v>
      </c>
      <c r="V426" s="44">
        <f>100-(M$435-Tabell2[[#This Row],[Beftettotal-T]])*100/M$438</f>
        <v>0</v>
      </c>
      <c r="W426" s="44">
        <f>100-(N$435-Tabell2[[#This Row],[Befvekst10-T]])*100/N$438</f>
        <v>0</v>
      </c>
      <c r="X426" s="44">
        <f>100-(O$435-Tabell2[[#This Row],[Kvinneandel-T]])*100/O$438</f>
        <v>0</v>
      </c>
      <c r="Y426" s="44">
        <f>(P$435-Tabell2[[#This Row],[Eldreandel-T]])*100/P$438</f>
        <v>12.676335896236926</v>
      </c>
      <c r="Z426" s="44">
        <f>100-(Q$435-Tabell2[[#This Row],[Sysselsettingsvekst10-T]])*100/Q$438</f>
        <v>0</v>
      </c>
      <c r="AA426" s="44">
        <f>100-(R$435-Tabell2[[#This Row],[Yrkesaktivandel-T]])*100/R$438</f>
        <v>24.053154193160339</v>
      </c>
      <c r="AB426" s="44">
        <f>100-(S$435-Tabell2[[#This Row],[Inntekt-T]])*100/S$438</f>
        <v>11.636759108210981</v>
      </c>
      <c r="AC426" s="44">
        <f>Tabell2[[#This Row],[NIBR11-I]]*Vekter!$B$3</f>
        <v>0</v>
      </c>
      <c r="AD426" s="44">
        <f>Tabell2[[#This Row],[ReisetidOslo-I]]*Vekter!$C$3</f>
        <v>0</v>
      </c>
      <c r="AE426" s="44">
        <f>Tabell2[[#This Row],[Beftettotal-I]]*Vekter!$E$4</f>
        <v>0</v>
      </c>
      <c r="AF426" s="44">
        <f>Tabell2[[#This Row],[Befvekst10-I]]*Vekter!$F$3</f>
        <v>0</v>
      </c>
      <c r="AG426" s="44">
        <f>Tabell2[[#This Row],[Kvinneandel-I]]*Vekter!$G$3</f>
        <v>0</v>
      </c>
      <c r="AH426" s="44">
        <f>Tabell2[[#This Row],[Eldreandel-I]]*Vekter!$H$3</f>
        <v>0.63381679481184638</v>
      </c>
      <c r="AI426" s="44">
        <f>Tabell2[[#This Row],[Sysselsettingsvekst10-I]]*Vekter!$I$3</f>
        <v>0</v>
      </c>
      <c r="AJ426" s="44">
        <f>Tabell2[[#This Row],[Yrkesaktivandel-I]]*Vekter!$K$3</f>
        <v>2.4053154193160342</v>
      </c>
      <c r="AK426" s="44">
        <f>Tabell2[[#This Row],[Inntekt-I]]*Vekter!$M$3</f>
        <v>1.1636759108210981</v>
      </c>
      <c r="AL426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4.2028081249489784</v>
      </c>
    </row>
    <row r="427" spans="1:38" s="38" customFormat="1" ht="12.75">
      <c r="A427" s="42" t="s">
        <v>425</v>
      </c>
      <c r="B427" s="38">
        <f>'Rådata-K'!Q427</f>
        <v>11</v>
      </c>
      <c r="C427" s="44">
        <f>'Rådata-K'!P427</f>
        <v>328.30938772490003</v>
      </c>
      <c r="D427" s="41">
        <f>'Rådata-K'!R427</f>
        <v>0.71511293401255893</v>
      </c>
      <c r="E427" s="41">
        <f>'Rådata-K'!S427</f>
        <v>-4.7054952286936458E-2</v>
      </c>
      <c r="F427" s="41">
        <f>'Rådata-K'!T427</f>
        <v>0.10566298342541436</v>
      </c>
      <c r="G427" s="41">
        <f>'Rådata-K'!U427</f>
        <v>0.16160220994475138</v>
      </c>
      <c r="H427" s="41">
        <f>'Rådata-K'!V427</f>
        <v>1.4224751066855834E-3</v>
      </c>
      <c r="I427" s="41">
        <f>'Rådata-K'!W427</f>
        <v>0.89963942307692313</v>
      </c>
      <c r="J427" s="41">
        <f>'Rådata-K'!O427</f>
        <v>309400</v>
      </c>
      <c r="K427" s="41">
        <f>Tabell2[[#This Row],[NIBR11]]</f>
        <v>11</v>
      </c>
      <c r="L427" s="41">
        <f>IF(Tabell2[[#This Row],[ReisetidOslo]]&lt;=C$433,C$433,IF(Tabell2[[#This Row],[ReisetidOslo]]&gt;=C$434,C$434,Tabell2[[#This Row],[ReisetidOslo]]))</f>
        <v>279.05557553043002</v>
      </c>
      <c r="M427" s="41">
        <f>IF(Tabell2[[#This Row],[Beftettotal]]&lt;=D$433,D$433,IF(Tabell2[[#This Row],[Beftettotal]]&gt;=D$434,D$434,Tabell2[[#This Row],[Beftettotal]]))</f>
        <v>1.3207758882127238</v>
      </c>
      <c r="N427" s="41">
        <f>IF(Tabell2[[#This Row],[Befvekst10]]&lt;=E$433,E$433,IF(Tabell2[[#This Row],[Befvekst10]]&gt;=E$434,E$434,Tabell2[[#This Row],[Befvekst10]]))</f>
        <v>-4.7054952286936458E-2</v>
      </c>
      <c r="O427" s="41">
        <f>IF(Tabell2[[#This Row],[Kvinneandel]]&lt;=F$433,F$433,IF(Tabell2[[#This Row],[Kvinneandel]]&gt;=F$434,F$434,Tabell2[[#This Row],[Kvinneandel]]))</f>
        <v>0.10566298342541436</v>
      </c>
      <c r="P427" s="41">
        <f>IF(Tabell2[[#This Row],[Eldreandel]]&lt;=G$433,G$433,IF(Tabell2[[#This Row],[Eldreandel]]&gt;=G$434,G$434,Tabell2[[#This Row],[Eldreandel]]))</f>
        <v>0.16160220994475138</v>
      </c>
      <c r="Q427" s="41">
        <f>IF(Tabell2[[#This Row],[Sysselsettingsvekst10]]&lt;=H$433,H$433,IF(Tabell2[[#This Row],[Sysselsettingsvekst10]]&gt;=H$434,H$434,Tabell2[[#This Row],[Sysselsettingsvekst10]]))</f>
        <v>1.4224751066855834E-3</v>
      </c>
      <c r="R427" s="41">
        <f>IF(Tabell2[[#This Row],[Yrkesaktivandel]]&lt;=I$433,I$433,IF(Tabell2[[#This Row],[Yrkesaktivandel]]&gt;=I$434,I$434,Tabell2[[#This Row],[Yrkesaktivandel]]))</f>
        <v>0.89963942307692313</v>
      </c>
      <c r="S427" s="41">
        <f>IF(Tabell2[[#This Row],[Inntekt]]&lt;=J$433,J$433,IF(Tabell2[[#This Row],[Inntekt]]&gt;=J$434,J$434,Tabell2[[#This Row],[Inntekt]]))</f>
        <v>309400</v>
      </c>
      <c r="T427" s="44">
        <f>IF(Tabell2[[#This Row],[NIBR11-T]]&lt;=K$436,100,IF(Tabell2[[#This Row],[NIBR11-T]]&gt;=K$435,0,100*(K$435-Tabell2[[#This Row],[NIBR11-T]])/K$438))</f>
        <v>0</v>
      </c>
      <c r="U427" s="44">
        <f>(L$435-Tabell2[[#This Row],[ReisetidOslo-T]])*100/L$438</f>
        <v>0</v>
      </c>
      <c r="V427" s="44">
        <f>100-(M$435-Tabell2[[#This Row],[Beftettotal-T]])*100/M$438</f>
        <v>0</v>
      </c>
      <c r="W427" s="44">
        <f>100-(N$435-Tabell2[[#This Row],[Befvekst10-T]])*100/N$438</f>
        <v>18.562674914287513</v>
      </c>
      <c r="X427" s="44">
        <f>100-(O$435-Tabell2[[#This Row],[Kvinneandel-T]])*100/O$438</f>
        <v>38.160428494327107</v>
      </c>
      <c r="Y427" s="44">
        <f>(P$435-Tabell2[[#This Row],[Eldreandel-T]])*100/P$438</f>
        <v>43.965778352389243</v>
      </c>
      <c r="Z427" s="44">
        <f>100-(Q$435-Tabell2[[#This Row],[Sysselsettingsvekst10-T]])*100/Q$438</f>
        <v>27.517434391443771</v>
      </c>
      <c r="AA427" s="44">
        <f>100-(R$435-Tabell2[[#This Row],[Yrkesaktivandel-T]])*100/R$438</f>
        <v>54.671707709773898</v>
      </c>
      <c r="AB427" s="44">
        <f>100-(S$435-Tabell2[[#This Row],[Inntekt-T]])*100/S$438</f>
        <v>23.463839042958128</v>
      </c>
      <c r="AC427" s="44">
        <f>Tabell2[[#This Row],[NIBR11-I]]*Vekter!$B$3</f>
        <v>0</v>
      </c>
      <c r="AD427" s="44">
        <f>Tabell2[[#This Row],[ReisetidOslo-I]]*Vekter!$C$3</f>
        <v>0</v>
      </c>
      <c r="AE427" s="44">
        <f>Tabell2[[#This Row],[Beftettotal-I]]*Vekter!$E$4</f>
        <v>0</v>
      </c>
      <c r="AF427" s="44">
        <f>Tabell2[[#This Row],[Befvekst10-I]]*Vekter!$F$3</f>
        <v>3.7125349828575027</v>
      </c>
      <c r="AG427" s="44">
        <f>Tabell2[[#This Row],[Kvinneandel-I]]*Vekter!$G$3</f>
        <v>1.9080214247163554</v>
      </c>
      <c r="AH427" s="44">
        <f>Tabell2[[#This Row],[Eldreandel-I]]*Vekter!$H$3</f>
        <v>2.1982889176194624</v>
      </c>
      <c r="AI427" s="44">
        <f>Tabell2[[#This Row],[Sysselsettingsvekst10-I]]*Vekter!$I$3</f>
        <v>2.7517434391443771</v>
      </c>
      <c r="AJ427" s="44">
        <f>Tabell2[[#This Row],[Yrkesaktivandel-I]]*Vekter!$K$3</f>
        <v>5.4671707709773898</v>
      </c>
      <c r="AK427" s="44">
        <f>Tabell2[[#This Row],[Inntekt-I]]*Vekter!$M$3</f>
        <v>2.3463839042958128</v>
      </c>
      <c r="AL427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18.384143439610902</v>
      </c>
    </row>
    <row r="428" spans="1:38" s="38" customFormat="1" ht="12.75">
      <c r="A428" s="42" t="s">
        <v>426</v>
      </c>
      <c r="B428" s="38">
        <f>'Rådata-K'!Q428</f>
        <v>7</v>
      </c>
      <c r="C428" s="44">
        <f>'Rådata-K'!P428</f>
        <v>314.00916310809998</v>
      </c>
      <c r="D428" s="41">
        <f>'Rådata-K'!R428</f>
        <v>0.62727570194309257</v>
      </c>
      <c r="E428" s="41">
        <f>'Rådata-K'!S428</f>
        <v>-6.7287784679089024E-2</v>
      </c>
      <c r="F428" s="41">
        <f>'Rådata-K'!T428</f>
        <v>9.8779134295227528E-2</v>
      </c>
      <c r="G428" s="41">
        <f>'Rådata-K'!U428</f>
        <v>0.19755826859045506</v>
      </c>
      <c r="H428" s="41">
        <f>'Rådata-K'!V428</f>
        <v>-9.5505617977528101E-2</v>
      </c>
      <c r="I428" s="41">
        <f>'Rådata-K'!W428</f>
        <v>0.86078431372549025</v>
      </c>
      <c r="J428" s="41">
        <f>'Rådata-K'!O428</f>
        <v>294400</v>
      </c>
      <c r="K428" s="41">
        <f>Tabell2[[#This Row],[NIBR11]]</f>
        <v>7</v>
      </c>
      <c r="L428" s="41">
        <f>IF(Tabell2[[#This Row],[ReisetidOslo]]&lt;=C$433,C$433,IF(Tabell2[[#This Row],[ReisetidOslo]]&gt;=C$434,C$434,Tabell2[[#This Row],[ReisetidOslo]]))</f>
        <v>279.05557553043002</v>
      </c>
      <c r="M428" s="41">
        <f>IF(Tabell2[[#This Row],[Beftettotal]]&lt;=D$433,D$433,IF(Tabell2[[#This Row],[Beftettotal]]&gt;=D$434,D$434,Tabell2[[#This Row],[Beftettotal]]))</f>
        <v>1.3207758882127238</v>
      </c>
      <c r="N428" s="41">
        <f>IF(Tabell2[[#This Row],[Befvekst10]]&lt;=E$433,E$433,IF(Tabell2[[#This Row],[Befvekst10]]&gt;=E$434,E$434,Tabell2[[#This Row],[Befvekst10]]))</f>
        <v>-6.7287784679089024E-2</v>
      </c>
      <c r="O428" s="41">
        <f>IF(Tabell2[[#This Row],[Kvinneandel]]&lt;=F$433,F$433,IF(Tabell2[[#This Row],[Kvinneandel]]&gt;=F$434,F$434,Tabell2[[#This Row],[Kvinneandel]]))</f>
        <v>9.8779134295227528E-2</v>
      </c>
      <c r="P428" s="41">
        <f>IF(Tabell2[[#This Row],[Eldreandel]]&lt;=G$433,G$433,IF(Tabell2[[#This Row],[Eldreandel]]&gt;=G$434,G$434,Tabell2[[#This Row],[Eldreandel]]))</f>
        <v>0.19755826859045506</v>
      </c>
      <c r="Q428" s="41">
        <f>IF(Tabell2[[#This Row],[Sysselsettingsvekst10]]&lt;=H$433,H$433,IF(Tabell2[[#This Row],[Sysselsettingsvekst10]]&gt;=H$434,H$434,Tabell2[[#This Row],[Sysselsettingsvekst10]]))</f>
        <v>-9.2168803558721979E-2</v>
      </c>
      <c r="R428" s="41">
        <f>IF(Tabell2[[#This Row],[Yrkesaktivandel]]&lt;=I$433,I$433,IF(Tabell2[[#This Row],[Yrkesaktivandel]]&gt;=I$434,I$434,Tabell2[[#This Row],[Yrkesaktivandel]]))</f>
        <v>0.86078431372549025</v>
      </c>
      <c r="S428" s="41">
        <f>IF(Tabell2[[#This Row],[Inntekt]]&lt;=J$433,J$433,IF(Tabell2[[#This Row],[Inntekt]]&gt;=J$434,J$434,Tabell2[[#This Row],[Inntekt]]))</f>
        <v>294400</v>
      </c>
      <c r="T428" s="44">
        <f>IF(Tabell2[[#This Row],[NIBR11-T]]&lt;=K$436,100,IF(Tabell2[[#This Row],[NIBR11-T]]&gt;=K$435,0,100*(K$435-Tabell2[[#This Row],[NIBR11-T]])/K$438))</f>
        <v>40</v>
      </c>
      <c r="U428" s="44">
        <f>(L$435-Tabell2[[#This Row],[ReisetidOslo-T]])*100/L$438</f>
        <v>0</v>
      </c>
      <c r="V428" s="44">
        <f>100-(M$435-Tabell2[[#This Row],[Beftettotal-T]])*100/M$438</f>
        <v>0</v>
      </c>
      <c r="W428" s="44">
        <f>100-(N$435-Tabell2[[#This Row],[Befvekst10-T]])*100/N$438</f>
        <v>10.192051141144077</v>
      </c>
      <c r="X428" s="44">
        <f>100-(O$435-Tabell2[[#This Row],[Kvinneandel-T]])*100/O$438</f>
        <v>19.323043008895411</v>
      </c>
      <c r="Y428" s="44">
        <f>(P$435-Tabell2[[#This Row],[Eldreandel-T]])*100/P$438</f>
        <v>1.631271248313088</v>
      </c>
      <c r="Z428" s="44">
        <f>100-(Q$435-Tabell2[[#This Row],[Sysselsettingsvekst10-T]])*100/Q$438</f>
        <v>0</v>
      </c>
      <c r="AA428" s="44">
        <f>100-(R$435-Tabell2[[#This Row],[Yrkesaktivandel-T]])*100/R$438</f>
        <v>25.655426612593615</v>
      </c>
      <c r="AB428" s="44">
        <f>100-(S$435-Tabell2[[#This Row],[Inntekt-T]])*100/S$438</f>
        <v>3.0723219140837443</v>
      </c>
      <c r="AC428" s="44">
        <f>Tabell2[[#This Row],[NIBR11-I]]*Vekter!$B$3</f>
        <v>8</v>
      </c>
      <c r="AD428" s="44">
        <f>Tabell2[[#This Row],[ReisetidOslo-I]]*Vekter!$C$3</f>
        <v>0</v>
      </c>
      <c r="AE428" s="44">
        <f>Tabell2[[#This Row],[Beftettotal-I]]*Vekter!$E$4</f>
        <v>0</v>
      </c>
      <c r="AF428" s="44">
        <f>Tabell2[[#This Row],[Befvekst10-I]]*Vekter!$F$3</f>
        <v>2.0384102282288157</v>
      </c>
      <c r="AG428" s="44">
        <f>Tabell2[[#This Row],[Kvinneandel-I]]*Vekter!$G$3</f>
        <v>0.96615215044477054</v>
      </c>
      <c r="AH428" s="44">
        <f>Tabell2[[#This Row],[Eldreandel-I]]*Vekter!$H$3</f>
        <v>8.1563562415654406E-2</v>
      </c>
      <c r="AI428" s="44">
        <f>Tabell2[[#This Row],[Sysselsettingsvekst10-I]]*Vekter!$I$3</f>
        <v>0</v>
      </c>
      <c r="AJ428" s="44">
        <f>Tabell2[[#This Row],[Yrkesaktivandel-I]]*Vekter!$K$3</f>
        <v>2.5655426612593617</v>
      </c>
      <c r="AK428" s="44">
        <f>Tabell2[[#This Row],[Inntekt-I]]*Vekter!$M$3</f>
        <v>0.30723219140837443</v>
      </c>
      <c r="AL428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13.958900793756978</v>
      </c>
    </row>
    <row r="429" spans="1:38" s="38" customFormat="1" ht="12.75">
      <c r="A429" s="42" t="s">
        <v>427</v>
      </c>
      <c r="B429" s="38">
        <f>'Rådata-K'!Q429</f>
        <v>9</v>
      </c>
      <c r="C429" s="44">
        <f>'Rådata-K'!P429</f>
        <v>323.55824695064001</v>
      </c>
      <c r="D429" s="41">
        <f>'Rådata-K'!R429</f>
        <v>1.4575164310732176</v>
      </c>
      <c r="E429" s="41">
        <f>'Rådata-K'!S429</f>
        <v>-0.13211466555878693</v>
      </c>
      <c r="F429" s="41">
        <f>'Rådata-K'!T429</f>
        <v>0.11584490186692198</v>
      </c>
      <c r="G429" s="41">
        <f>'Rådata-K'!U429</f>
        <v>0.11871708951651508</v>
      </c>
      <c r="H429" s="41">
        <f>'Rådata-K'!V429</f>
        <v>-0.18316445830085737</v>
      </c>
      <c r="I429" s="41">
        <f>'Rådata-K'!W429</f>
        <v>0.84829721362229105</v>
      </c>
      <c r="J429" s="41">
        <f>'Rådata-K'!O429</f>
        <v>311900</v>
      </c>
      <c r="K429" s="41">
        <f>Tabell2[[#This Row],[NIBR11]]</f>
        <v>9</v>
      </c>
      <c r="L429" s="41">
        <f>IF(Tabell2[[#This Row],[ReisetidOslo]]&lt;=C$433,C$433,IF(Tabell2[[#This Row],[ReisetidOslo]]&gt;=C$434,C$434,Tabell2[[#This Row],[ReisetidOslo]]))</f>
        <v>279.05557553043002</v>
      </c>
      <c r="M429" s="41">
        <f>IF(Tabell2[[#This Row],[Beftettotal]]&lt;=D$433,D$433,IF(Tabell2[[#This Row],[Beftettotal]]&gt;=D$434,D$434,Tabell2[[#This Row],[Beftettotal]]))</f>
        <v>1.4575164310732176</v>
      </c>
      <c r="N429" s="41">
        <f>IF(Tabell2[[#This Row],[Befvekst10]]&lt;=E$433,E$433,IF(Tabell2[[#This Row],[Befvekst10]]&gt;=E$434,E$434,Tabell2[[#This Row],[Befvekst10]]))</f>
        <v>-9.1923232174966049E-2</v>
      </c>
      <c r="O429" s="41">
        <f>IF(Tabell2[[#This Row],[Kvinneandel]]&lt;=F$433,F$433,IF(Tabell2[[#This Row],[Kvinneandel]]&gt;=F$434,F$434,Tabell2[[#This Row],[Kvinneandel]]))</f>
        <v>0.11584490186692198</v>
      </c>
      <c r="P429" s="41">
        <f>IF(Tabell2[[#This Row],[Eldreandel]]&lt;=G$433,G$433,IF(Tabell2[[#This Row],[Eldreandel]]&gt;=G$434,G$434,Tabell2[[#This Row],[Eldreandel]]))</f>
        <v>0.11871708951651508</v>
      </c>
      <c r="Q429" s="41">
        <f>IF(Tabell2[[#This Row],[Sysselsettingsvekst10]]&lt;=H$433,H$433,IF(Tabell2[[#This Row],[Sysselsettingsvekst10]]&gt;=H$434,H$434,Tabell2[[#This Row],[Sysselsettingsvekst10]]))</f>
        <v>-9.2168803558721979E-2</v>
      </c>
      <c r="R429" s="41">
        <f>IF(Tabell2[[#This Row],[Yrkesaktivandel]]&lt;=I$433,I$433,IF(Tabell2[[#This Row],[Yrkesaktivandel]]&gt;=I$434,I$434,Tabell2[[#This Row],[Yrkesaktivandel]]))</f>
        <v>0.84829721362229105</v>
      </c>
      <c r="S429" s="41">
        <f>IF(Tabell2[[#This Row],[Inntekt]]&lt;=J$433,J$433,IF(Tabell2[[#This Row],[Inntekt]]&gt;=J$434,J$434,Tabell2[[#This Row],[Inntekt]]))</f>
        <v>311900</v>
      </c>
      <c r="T429" s="44">
        <f>IF(Tabell2[[#This Row],[NIBR11-T]]&lt;=K$436,100,IF(Tabell2[[#This Row],[NIBR11-T]]&gt;=K$435,0,100*(K$435-Tabell2[[#This Row],[NIBR11-T]])/K$438))</f>
        <v>20</v>
      </c>
      <c r="U429" s="44">
        <f>(L$435-Tabell2[[#This Row],[ReisetidOslo-T]])*100/L$438</f>
        <v>0</v>
      </c>
      <c r="V429" s="44">
        <f>100-(M$435-Tabell2[[#This Row],[Beftettotal-T]])*100/M$438</f>
        <v>0.11185469561060302</v>
      </c>
      <c r="W429" s="44">
        <f>100-(N$435-Tabell2[[#This Row],[Befvekst10-T]])*100/N$438</f>
        <v>0</v>
      </c>
      <c r="X429" s="44">
        <f>100-(O$435-Tabell2[[#This Row],[Kvinneandel-T]])*100/O$438</f>
        <v>66.02285241393723</v>
      </c>
      <c r="Y429" s="44">
        <f>(P$435-Tabell2[[#This Row],[Eldreandel-T]])*100/P$438</f>
        <v>94.458532670033691</v>
      </c>
      <c r="Z429" s="44">
        <f>100-(Q$435-Tabell2[[#This Row],[Sysselsettingsvekst10-T]])*100/Q$438</f>
        <v>0</v>
      </c>
      <c r="AA429" s="44">
        <f>100-(R$435-Tabell2[[#This Row],[Yrkesaktivandel-T]])*100/R$438</f>
        <v>16.330289900047092</v>
      </c>
      <c r="AB429" s="44">
        <f>100-(S$435-Tabell2[[#This Row],[Inntekt-T]])*100/S$438</f>
        <v>26.862425231103856</v>
      </c>
      <c r="AC429" s="44">
        <f>Tabell2[[#This Row],[NIBR11-I]]*Vekter!$B$3</f>
        <v>4</v>
      </c>
      <c r="AD429" s="44">
        <f>Tabell2[[#This Row],[ReisetidOslo-I]]*Vekter!$C$3</f>
        <v>0</v>
      </c>
      <c r="AE429" s="44">
        <f>Tabell2[[#This Row],[Beftettotal-I]]*Vekter!$E$4</f>
        <v>1.1185469561060302E-2</v>
      </c>
      <c r="AF429" s="44">
        <f>Tabell2[[#This Row],[Befvekst10-I]]*Vekter!$F$3</f>
        <v>0</v>
      </c>
      <c r="AG429" s="44">
        <f>Tabell2[[#This Row],[Kvinneandel-I]]*Vekter!$G$3</f>
        <v>3.3011426206968615</v>
      </c>
      <c r="AH429" s="44">
        <f>Tabell2[[#This Row],[Eldreandel-I]]*Vekter!$H$3</f>
        <v>4.7229266335016851</v>
      </c>
      <c r="AI429" s="44">
        <f>Tabell2[[#This Row],[Sysselsettingsvekst10-I]]*Vekter!$I$3</f>
        <v>0</v>
      </c>
      <c r="AJ429" s="44">
        <f>Tabell2[[#This Row],[Yrkesaktivandel-I]]*Vekter!$K$3</f>
        <v>1.6330289900047092</v>
      </c>
      <c r="AK429" s="44">
        <f>Tabell2[[#This Row],[Inntekt-I]]*Vekter!$M$3</f>
        <v>2.6862425231103857</v>
      </c>
      <c r="AL429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16.354526236874701</v>
      </c>
    </row>
    <row r="430" spans="1:38" s="38" customFormat="1" ht="12.75">
      <c r="A430" s="42" t="s">
        <v>428</v>
      </c>
      <c r="B430" s="38">
        <f>'Rådata-K'!Q430</f>
        <v>9</v>
      </c>
      <c r="C430" s="44">
        <f>'Rådata-K'!P430</f>
        <v>241.72333793760001</v>
      </c>
      <c r="D430" s="41">
        <f>'Rådata-K'!R430</f>
        <v>2.485254826838736</v>
      </c>
      <c r="E430" s="41">
        <f>'Rådata-K'!S430</f>
        <v>2.6228143213988364E-2</v>
      </c>
      <c r="F430" s="41">
        <f>'Rådata-K'!T430</f>
        <v>0.1286004056795132</v>
      </c>
      <c r="G430" s="41">
        <f>'Rådata-K'!U430</f>
        <v>0.12900608519269777</v>
      </c>
      <c r="H430" s="41">
        <f>'Rådata-K'!V430</f>
        <v>0.24936209696126199</v>
      </c>
      <c r="I430" s="41">
        <f>'Rådata-K'!W430</f>
        <v>0.89398280802292263</v>
      </c>
      <c r="J430" s="41">
        <f>'Rådata-K'!O430</f>
        <v>340200</v>
      </c>
      <c r="K430" s="41">
        <f>Tabell2[[#This Row],[NIBR11]]</f>
        <v>9</v>
      </c>
      <c r="L430" s="41">
        <f>IF(Tabell2[[#This Row],[ReisetidOslo]]&lt;=C$433,C$433,IF(Tabell2[[#This Row],[ReisetidOslo]]&gt;=C$434,C$434,Tabell2[[#This Row],[ReisetidOslo]]))</f>
        <v>241.72333793760001</v>
      </c>
      <c r="M430" s="41">
        <f>IF(Tabell2[[#This Row],[Beftettotal]]&lt;=D$433,D$433,IF(Tabell2[[#This Row],[Beftettotal]]&gt;=D$434,D$434,Tabell2[[#This Row],[Beftettotal]]))</f>
        <v>2.485254826838736</v>
      </c>
      <c r="N430" s="41">
        <f>IF(Tabell2[[#This Row],[Befvekst10]]&lt;=E$433,E$433,IF(Tabell2[[#This Row],[Befvekst10]]&gt;=E$434,E$434,Tabell2[[#This Row],[Befvekst10]]))</f>
        <v>2.6228143213988364E-2</v>
      </c>
      <c r="O430" s="41">
        <f>IF(Tabell2[[#This Row],[Kvinneandel]]&lt;=F$433,F$433,IF(Tabell2[[#This Row],[Kvinneandel]]&gt;=F$434,F$434,Tabell2[[#This Row],[Kvinneandel]]))</f>
        <v>0.12826135732659469</v>
      </c>
      <c r="P430" s="41">
        <f>IF(Tabell2[[#This Row],[Eldreandel]]&lt;=G$433,G$433,IF(Tabell2[[#This Row],[Eldreandel]]&gt;=G$434,G$434,Tabell2[[#This Row],[Eldreandel]]))</f>
        <v>0.12900608519269777</v>
      </c>
      <c r="Q430" s="41">
        <f>IF(Tabell2[[#This Row],[Sysselsettingsvekst10]]&lt;=H$433,H$433,IF(Tabell2[[#This Row],[Sysselsettingsvekst10]]&gt;=H$434,H$434,Tabell2[[#This Row],[Sysselsettingsvekst10]]))</f>
        <v>0.24794749265568336</v>
      </c>
      <c r="R430" s="41">
        <f>IF(Tabell2[[#This Row],[Yrkesaktivandel]]&lt;=I$433,I$433,IF(Tabell2[[#This Row],[Yrkesaktivandel]]&gt;=I$434,I$434,Tabell2[[#This Row],[Yrkesaktivandel]]))</f>
        <v>0.89398280802292263</v>
      </c>
      <c r="S430" s="41">
        <f>IF(Tabell2[[#This Row],[Inntekt]]&lt;=J$433,J$433,IF(Tabell2[[#This Row],[Inntekt]]&gt;=J$434,J$434,Tabell2[[#This Row],[Inntekt]]))</f>
        <v>340200</v>
      </c>
      <c r="T430" s="44">
        <f>IF(Tabell2[[#This Row],[NIBR11-T]]&lt;=K$436,100,IF(Tabell2[[#This Row],[NIBR11-T]]&gt;=K$435,0,100*(K$435-Tabell2[[#This Row],[NIBR11-T]])/K$438))</f>
        <v>20</v>
      </c>
      <c r="U430" s="44">
        <f>(L$435-Tabell2[[#This Row],[ReisetidOslo-T]])*100/L$438</f>
        <v>16.573668974454243</v>
      </c>
      <c r="V430" s="44">
        <f>100-(M$435-Tabell2[[#This Row],[Beftettotal-T]])*100/M$438</f>
        <v>0.95255170485799567</v>
      </c>
      <c r="W430" s="44">
        <f>100-(N$435-Tabell2[[#This Row],[Befvekst10-T]])*100/N$438</f>
        <v>48.880981787007087</v>
      </c>
      <c r="X430" s="44">
        <f>100-(O$435-Tabell2[[#This Row],[Kvinneandel-T]])*100/O$438</f>
        <v>100</v>
      </c>
      <c r="Y430" s="44">
        <f>(P$435-Tabell2[[#This Row],[Eldreandel-T]])*100/P$438</f>
        <v>82.344313899862357</v>
      </c>
      <c r="Z430" s="44">
        <f>100-(Q$435-Tabell2[[#This Row],[Sysselsettingsvekst10-T]])*100/Q$438</f>
        <v>100</v>
      </c>
      <c r="AA430" s="44">
        <f>100-(R$435-Tabell2[[#This Row],[Yrkesaktivandel-T]])*100/R$438</f>
        <v>50.44745161565568</v>
      </c>
      <c r="AB430" s="44">
        <f>100-(S$435-Tabell2[[#This Row],[Inntekt-T]])*100/S$438</f>
        <v>65.334420880913541</v>
      </c>
      <c r="AC430" s="44">
        <f>Tabell2[[#This Row],[NIBR11-I]]*Vekter!$B$3</f>
        <v>4</v>
      </c>
      <c r="AD430" s="44">
        <f>Tabell2[[#This Row],[ReisetidOslo-I]]*Vekter!$C$3</f>
        <v>1.6573668974454243</v>
      </c>
      <c r="AE430" s="44">
        <f>Tabell2[[#This Row],[Beftettotal-I]]*Vekter!$E$4</f>
        <v>9.5255170485799567E-2</v>
      </c>
      <c r="AF430" s="44">
        <f>Tabell2[[#This Row],[Befvekst10-I]]*Vekter!$F$3</f>
        <v>9.7761963574014175</v>
      </c>
      <c r="AG430" s="44">
        <f>Tabell2[[#This Row],[Kvinneandel-I]]*Vekter!$G$3</f>
        <v>5</v>
      </c>
      <c r="AH430" s="44">
        <f>Tabell2[[#This Row],[Eldreandel-I]]*Vekter!$H$3</f>
        <v>4.117215694993118</v>
      </c>
      <c r="AI430" s="44">
        <f>Tabell2[[#This Row],[Sysselsettingsvekst10-I]]*Vekter!$I$3</f>
        <v>10</v>
      </c>
      <c r="AJ430" s="44">
        <f>Tabell2[[#This Row],[Yrkesaktivandel-I]]*Vekter!$K$3</f>
        <v>5.0447451615655687</v>
      </c>
      <c r="AK430" s="44">
        <f>Tabell2[[#This Row],[Inntekt-I]]*Vekter!$M$3</f>
        <v>6.5334420880913546</v>
      </c>
      <c r="AL430" s="45">
        <f>Tabell2[[#This Row],[NIBR11-I]]*Vekter!$B$3+Tabell2[[#This Row],[ReisetidOslo-I]]*Vekter!$C$3+Tabell2[[#This Row],[Beftettotal-I]]*Vekter!$E$4+Tabell2[[#This Row],[Befvekst10-I]]*Vekter!$F$3+Tabell2[[#This Row],[Kvinneandel-I]]*Vekter!$G$3+Tabell2[[#This Row],[Eldreandel-I]]*Vekter!$H$3+Tabell2[[#This Row],[Sysselsettingsvekst10-I]]*Vekter!$I$3+Tabell2[[#This Row],[Yrkesaktivandel-I]]*Vekter!$K$3+Tabell2[[#This Row],[Inntekt-I]]*Vekter!$M$3</f>
        <v>46.224221369982679</v>
      </c>
    </row>
    <row r="433" spans="1:21">
      <c r="A433" s="7" t="s">
        <v>475</v>
      </c>
      <c r="B433" s="7">
        <f>PERCENTILE(Tabell2[NIBR11],0.1)</f>
        <v>1</v>
      </c>
      <c r="C433" s="23">
        <f>PERCENTILE(Tabell2[ReisetidOslo],0.1)</f>
        <v>53.805284539509998</v>
      </c>
      <c r="D433" s="23">
        <f>PERCENTILE(Tabell2[Beftettotal],0.1)</f>
        <v>1.3207758882127238</v>
      </c>
      <c r="E433" s="24">
        <f>PERCENTILE(Tabell2[Befvekst10],0.1)</f>
        <v>-9.1923232174966049E-2</v>
      </c>
      <c r="F433" s="24">
        <f>PERCENTILE(Tabell2[Kvinneandel],0.1)</f>
        <v>9.1717808671657367E-2</v>
      </c>
      <c r="G433" s="24">
        <f>PERCENTILE(Tabell2[Eldreandel],0.1)</f>
        <v>0.11401054306234992</v>
      </c>
      <c r="H433" s="24">
        <f>PERCENTILE(Tabell2[Sysselsettingsvekst10],0.1)</f>
        <v>-9.2168803558721979E-2</v>
      </c>
      <c r="I433" s="24">
        <f>PERCENTILE(Tabell2[Yrkesaktivandel],0.1)</f>
        <v>0.82642965596795781</v>
      </c>
      <c r="J433" s="25">
        <f>PERCENTILE(Tabell2[Inntekt],0.1)</f>
        <v>292140</v>
      </c>
      <c r="K433" s="25">
        <f>PERCENTILE(Tabell2[NIBR11-T],0.1)</f>
        <v>1</v>
      </c>
      <c r="L433" s="25">
        <f>PERCENTILE(Tabell2[ReisetidOslo-T],0.1)</f>
        <v>53.909870081892997</v>
      </c>
      <c r="M433" s="25">
        <f>PERCENTILE(Tabell2[Beftettotal-T],0.1)</f>
        <v>1.3314595036208425</v>
      </c>
      <c r="N433" s="28">
        <f>PERCENTILE(Tabell2[Befvekst10-T],0.1)</f>
        <v>-9.176910939048108E-2</v>
      </c>
      <c r="O433" s="28">
        <f>PERCENTILE(Tabell2[Kvinneandel-T],0.1)</f>
        <v>9.1764998406912546E-2</v>
      </c>
      <c r="P433" s="28">
        <f>PERCENTILE(Tabell2[Eldreandel-T],0.1)</f>
        <v>0.11403734071695464</v>
      </c>
      <c r="Q433" s="28">
        <f>PERCENTILE(Tabell2[Sysselsettingsvekst10-T],0.1)</f>
        <v>-9.2018457159570619E-2</v>
      </c>
      <c r="R433" s="28">
        <f>PERCENTILE(Tabell2[Yrkesaktivandel-T],0.1)</f>
        <v>0.82678573722436466</v>
      </c>
      <c r="S433" s="25">
        <f>PERCENTILE(Tabell2[Inntekt-T],0.1)</f>
        <v>292182</v>
      </c>
      <c r="T433" s="30"/>
      <c r="U433" s="30"/>
    </row>
    <row r="434" spans="1:21">
      <c r="A434" s="7" t="s">
        <v>476</v>
      </c>
      <c r="B434" s="7">
        <f>PERCENTILE(Tabell2[NIBR11],0.9)</f>
        <v>11</v>
      </c>
      <c r="C434" s="23">
        <f>PERCENTILE(Tabell2[ReisetidOslo],0.9)</f>
        <v>279.05557553043002</v>
      </c>
      <c r="D434" s="23">
        <f>PERCENTILE(Tabell2[Beftettotal],0.9)</f>
        <v>123.5691465212405</v>
      </c>
      <c r="E434" s="24">
        <f>PERCENTILE(Tabell2[Befvekst10],0.9)</f>
        <v>0.149789129298837</v>
      </c>
      <c r="F434" s="24">
        <f>PERCENTILE(Tabell2[Kvinneandel],0.9)</f>
        <v>0.12826135732659469</v>
      </c>
      <c r="G434" s="24">
        <f>PERCENTILE(Tabell2[Eldreandel],0.9)</f>
        <v>0.1989437597342919</v>
      </c>
      <c r="H434" s="24">
        <f>PERCENTILE(Tabell2[Sysselsettingsvekst10],0.9)</f>
        <v>0.24794749265568336</v>
      </c>
      <c r="I434" s="24">
        <f>PERCENTILE(Tabell2[Yrkesaktivandel],0.9)</f>
        <v>0.96033761343949164</v>
      </c>
      <c r="J434" s="25">
        <f>PERCENTILE(Tabell2[Inntekt],0.9)</f>
        <v>365700</v>
      </c>
      <c r="K434" s="25">
        <f>PERCENTILE(Tabell2[NIBR11-T],0.9)</f>
        <v>11</v>
      </c>
      <c r="L434" s="25">
        <f>PERCENTILE(Tabell2[ReisetidOslo-T],0.9)</f>
        <v>278.58875611734902</v>
      </c>
      <c r="M434" s="25">
        <f>PERCENTILE(Tabell2[Beftettotal-T],0.9)</f>
        <v>123.14354468517162</v>
      </c>
      <c r="N434" s="28">
        <f>PERCENTILE(Tabell2[Befvekst10-T],0.9)</f>
        <v>0.14928341776861034</v>
      </c>
      <c r="O434" s="28">
        <f>PERCENTILE(Tabell2[Kvinneandel-T],0.9)</f>
        <v>0.12815964282071912</v>
      </c>
      <c r="P434" s="28">
        <f>PERCENTILE(Tabell2[Eldreandel-T],0.9)</f>
        <v>0.19887329422542135</v>
      </c>
      <c r="Q434" s="28">
        <f>PERCENTILE(Tabell2[Sysselsettingsvekst10-T],0.9)</f>
        <v>0.24752311136400976</v>
      </c>
      <c r="R434" s="28">
        <f>PERCENTILE(Tabell2[Yrkesaktivandel-T],0.9)</f>
        <v>0.96021283781670808</v>
      </c>
      <c r="S434" s="25">
        <f>PERCENTILE(Tabell2[Inntekt-T],0.9)</f>
        <v>365700</v>
      </c>
      <c r="T434" s="30"/>
      <c r="U434" s="30"/>
    </row>
    <row r="435" spans="1:21">
      <c r="A435" s="7" t="s">
        <v>477</v>
      </c>
      <c r="B435" s="7">
        <f>MAXA(Tabell2[NIBR11])</f>
        <v>11</v>
      </c>
      <c r="C435" s="23">
        <f>MAXA(Tabell2[ReisetidOslo])</f>
        <v>443.67728289000001</v>
      </c>
      <c r="D435" s="23">
        <f>MAXA(Tabell2[Beftettotal])</f>
        <v>1784.5486354093771</v>
      </c>
      <c r="E435" s="24">
        <f>MAXA(Tabell2[Befvekst10])</f>
        <v>0.41482089144107182</v>
      </c>
      <c r="F435" s="24">
        <f>MAXA(Tabell2[Kvinneandel])</f>
        <v>0.18335031836748006</v>
      </c>
      <c r="G435" s="24">
        <f>MAXA(Tabell2[Eldreandel])</f>
        <v>0.25673758865248225</v>
      </c>
      <c r="H435" s="24">
        <f>MAXA(Tabell2[Sysselsettingsvekst10])</f>
        <v>0.6341785525620709</v>
      </c>
      <c r="I435" s="24">
        <f>MAXA(Tabell2[Yrkesaktivandel])</f>
        <v>1.0485893416927901</v>
      </c>
      <c r="J435" s="25">
        <f>MAXA(Tabell2[Inntekt])</f>
        <v>489000</v>
      </c>
      <c r="K435" s="25">
        <f>MAXA(Tabell2[NIBR11-T])</f>
        <v>11</v>
      </c>
      <c r="L435" s="25">
        <f>MAXA(Tabell2[ReisetidOslo-T])</f>
        <v>279.05557553043002</v>
      </c>
      <c r="M435" s="25">
        <f>MAXA(Tabell2[Beftettotal-T])</f>
        <v>123.5691465212405</v>
      </c>
      <c r="N435" s="28">
        <f>MAXA(Tabell2[Befvekst10-T])</f>
        <v>0.149789129298837</v>
      </c>
      <c r="O435" s="28">
        <f>MAXA(Tabell2[Kvinneandel-T])</f>
        <v>0.12826135732659469</v>
      </c>
      <c r="P435" s="28">
        <f>MAXA(Tabell2[Eldreandel-T])</f>
        <v>0.1989437597342919</v>
      </c>
      <c r="Q435" s="28">
        <f>MAXA(Tabell2[Sysselsettingsvekst10-T])</f>
        <v>0.24794749265568336</v>
      </c>
      <c r="R435" s="28">
        <f>MAXA(Tabell2[Yrkesaktivandel-T])</f>
        <v>0.96033761343949164</v>
      </c>
      <c r="S435" s="25">
        <f>MAXA(Tabell2[Inntekt-T])</f>
        <v>365700</v>
      </c>
      <c r="T435" s="30"/>
      <c r="U435" s="30"/>
    </row>
    <row r="436" spans="1:21">
      <c r="A436" s="7" t="s">
        <v>478</v>
      </c>
      <c r="B436" s="7">
        <f>MINA(Tabell2[NIBR11])</f>
        <v>1</v>
      </c>
      <c r="C436" s="23">
        <f>MINA(Tabell2[ReisetidOslo])</f>
        <v>1.4215456179399999</v>
      </c>
      <c r="D436" s="23">
        <f>MINA(Tabell2[Beftettotal])</f>
        <v>0.30152410287050535</v>
      </c>
      <c r="E436" s="24">
        <f>MINA(Tabell2[Befvekst10])</f>
        <v>-0.22246065808297566</v>
      </c>
      <c r="F436" s="24">
        <f>MINA(Tabell2[Kvinneandel])</f>
        <v>7.2340425531914887E-2</v>
      </c>
      <c r="G436" s="24">
        <f>MINA(Tabell2[Eldreandel])</f>
        <v>7.2462423455186498E-2</v>
      </c>
      <c r="H436" s="24">
        <f>MINA(Tabell2[Sysselsettingsvekst10])</f>
        <v>-0.30728476821192052</v>
      </c>
      <c r="I436" s="24">
        <f>MINA(Tabell2[Yrkesaktivandel])</f>
        <v>0.76537729866835769</v>
      </c>
      <c r="J436" s="25">
        <f>MINA(Tabell2[Inntekt])</f>
        <v>263900</v>
      </c>
      <c r="K436" s="25">
        <f>MINA(Tabell2[NIBR11-T])</f>
        <v>1</v>
      </c>
      <c r="L436" s="25">
        <f>MINA(Tabell2[ReisetidOslo-T])</f>
        <v>53.805284539509998</v>
      </c>
      <c r="M436" s="25">
        <f>MINA(Tabell2[Beftettotal-T])</f>
        <v>1.3207758882127238</v>
      </c>
      <c r="N436" s="28">
        <f>MINA(Tabell2[Befvekst10-T])</f>
        <v>-9.1923232174966049E-2</v>
      </c>
      <c r="O436" s="28">
        <f>MINA(Tabell2[Kvinneandel-T])</f>
        <v>9.1717808671657367E-2</v>
      </c>
      <c r="P436" s="28">
        <f>MINA(Tabell2[Eldreandel-T])</f>
        <v>0.11401054306234992</v>
      </c>
      <c r="Q436" s="28">
        <f>MINA(Tabell2[Sysselsettingsvekst10-T])</f>
        <v>-9.2168803558721979E-2</v>
      </c>
      <c r="R436" s="28">
        <f>MINA(Tabell2[Yrkesaktivandel-T])</f>
        <v>0.82642965596795781</v>
      </c>
      <c r="S436" s="25">
        <f>MINA(Tabell2[Inntekt-T])</f>
        <v>292140</v>
      </c>
      <c r="T436" s="30"/>
      <c r="U436" s="30"/>
    </row>
    <row r="437" spans="1:21">
      <c r="A437" s="7" t="s">
        <v>479</v>
      </c>
      <c r="B437" s="26">
        <f>AVERAGE(Tabell2[NIBR11])</f>
        <v>5.8901869158878508</v>
      </c>
      <c r="C437" s="23">
        <f>AVERAGE(Tabell2[ReisetidOslo])</f>
        <v>185.55495593277917</v>
      </c>
      <c r="D437" s="23">
        <f>AVERAGE(Tabell2[Beftettotal])</f>
        <v>53.600235733624743</v>
      </c>
      <c r="E437" s="24">
        <f>AVERAGE(Tabell2[Befvekst10])</f>
        <v>2.3412341753865345E-2</v>
      </c>
      <c r="F437" s="24">
        <f>AVERAGE(Tabell2[Kvinneandel])</f>
        <v>0.10969431257449452</v>
      </c>
      <c r="G437" s="24">
        <f>AVERAGE(Tabell2[Eldreandel])</f>
        <v>0.15740832776929573</v>
      </c>
      <c r="H437" s="24">
        <f>AVERAGE(Tabell2[Sysselsettingsvekst10])</f>
        <v>6.9912305132414115E-2</v>
      </c>
      <c r="I437" s="24">
        <f>AVERAGE(Tabell2[Yrkesaktivandel])</f>
        <v>0.89169080751551688</v>
      </c>
      <c r="J437" s="25">
        <f>AVERAGE(Tabell2[Inntekt])</f>
        <v>326382.71028037381</v>
      </c>
      <c r="K437" s="25">
        <f>AVERAGE(Tabell2[NIBR11-T])</f>
        <v>5.8901869158878508</v>
      </c>
      <c r="L437" s="25">
        <f>AVERAGE(Tabell2[ReisetidOslo-T])</f>
        <v>183.42051220039747</v>
      </c>
      <c r="M437" s="25">
        <f>AVERAGE(Tabell2[Beftettotal-T])</f>
        <v>28.686195897283699</v>
      </c>
      <c r="N437" s="28">
        <f>AVERAGE(Tabell2[Befvekst10-T])</f>
        <v>2.1432652634519649E-2</v>
      </c>
      <c r="O437" s="28">
        <f>AVERAGE(Tabell2[Kvinneandel-T])</f>
        <v>0.10947912926477767</v>
      </c>
      <c r="P437" s="28">
        <f>AVERAGE(Tabell2[Eldreandel-T])</f>
        <v>0.15702945825822245</v>
      </c>
      <c r="Q437" s="28">
        <f>AVERAGE(Tabell2[Sysselsettingsvekst10-T])</f>
        <v>6.5454063002535368E-2</v>
      </c>
      <c r="R437" s="28">
        <f>AVERAGE(Tabell2[Yrkesaktivandel-T])</f>
        <v>0.89159444174271929</v>
      </c>
      <c r="S437" s="25">
        <f>AVERAGE(Tabell2[Inntekt-T])</f>
        <v>324407.75700934581</v>
      </c>
      <c r="T437" s="30"/>
      <c r="U437" s="30"/>
    </row>
    <row r="438" spans="1:21">
      <c r="A438" s="7" t="s">
        <v>496</v>
      </c>
      <c r="B438" s="7">
        <f>B435-B436</f>
        <v>10</v>
      </c>
      <c r="C438" s="7">
        <f t="shared" ref="C438:S438" si="0">C435-C436</f>
        <v>442.25573727206</v>
      </c>
      <c r="D438" s="7">
        <f t="shared" ref="D438" si="1">D435-D436</f>
        <v>1784.2471113065067</v>
      </c>
      <c r="E438" s="7">
        <f t="shared" si="0"/>
        <v>0.63728154952404747</v>
      </c>
      <c r="F438" s="7">
        <f t="shared" si="0"/>
        <v>0.11100989283556517</v>
      </c>
      <c r="G438" s="7">
        <f t="shared" si="0"/>
        <v>0.18427516519729575</v>
      </c>
      <c r="H438" s="7">
        <f t="shared" si="0"/>
        <v>0.94146332077399142</v>
      </c>
      <c r="I438" s="7">
        <f t="shared" si="0"/>
        <v>0.28321204302443237</v>
      </c>
      <c r="J438" s="7">
        <f t="shared" si="0"/>
        <v>225100</v>
      </c>
      <c r="K438" s="7">
        <f t="shared" si="0"/>
        <v>10</v>
      </c>
      <c r="L438" s="7">
        <f t="shared" si="0"/>
        <v>225.25029099092001</v>
      </c>
      <c r="M438" s="7">
        <f t="shared" ref="M438" si="2">M435-M436</f>
        <v>122.24837063302778</v>
      </c>
      <c r="N438" s="7">
        <f t="shared" si="0"/>
        <v>0.24171236147380304</v>
      </c>
      <c r="O438" s="7">
        <f t="shared" si="0"/>
        <v>3.6543548654937322E-2</v>
      </c>
      <c r="P438" s="7">
        <f t="shared" si="0"/>
        <v>8.493321667194198E-2</v>
      </c>
      <c r="Q438" s="7">
        <f t="shared" si="0"/>
        <v>0.34011629621440531</v>
      </c>
      <c r="R438" s="7">
        <f t="shared" si="0"/>
        <v>0.13390795747153383</v>
      </c>
      <c r="S438" s="7">
        <f t="shared" si="0"/>
        <v>73560</v>
      </c>
    </row>
  </sheetData>
  <mergeCells count="4">
    <mergeCell ref="AC1:AK1"/>
    <mergeCell ref="T1:AB1"/>
    <mergeCell ref="K1:S1"/>
    <mergeCell ref="B1:J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O4" sqref="O4"/>
    </sheetView>
  </sheetViews>
  <sheetFormatPr baseColWidth="10" defaultRowHeight="15"/>
  <cols>
    <col min="1" max="1" width="17.140625" bestFit="1" customWidth="1"/>
    <col min="2" max="2" width="7.7109375" bestFit="1" customWidth="1"/>
    <col min="3" max="3" width="8.28515625" bestFit="1" customWidth="1"/>
    <col min="4" max="4" width="14.140625" bestFit="1" customWidth="1"/>
    <col min="5" max="5" width="14.42578125" bestFit="1" customWidth="1"/>
    <col min="6" max="6" width="10.7109375" bestFit="1" customWidth="1"/>
    <col min="7" max="7" width="12.140625" bestFit="1" customWidth="1"/>
    <col min="8" max="8" width="10.5703125" bestFit="1" customWidth="1"/>
    <col min="9" max="9" width="20.28515625" bestFit="1" customWidth="1"/>
    <col min="10" max="10" width="20.28515625" customWidth="1"/>
    <col min="11" max="11" width="15" bestFit="1" customWidth="1"/>
    <col min="12" max="12" width="15" customWidth="1"/>
    <col min="13" max="13" width="7.85546875" bestFit="1" customWidth="1"/>
    <col min="14" max="14" width="9.140625" bestFit="1" customWidth="1"/>
  </cols>
  <sheetData>
    <row r="1" spans="1:15">
      <c r="A1" s="9" t="s">
        <v>470</v>
      </c>
      <c r="B1" s="61" t="s">
        <v>455</v>
      </c>
      <c r="C1" s="61"/>
      <c r="D1" s="61"/>
      <c r="E1" s="61"/>
      <c r="F1" s="62" t="s">
        <v>467</v>
      </c>
      <c r="G1" s="62"/>
      <c r="H1" s="62"/>
      <c r="I1" s="63" t="s">
        <v>468</v>
      </c>
      <c r="J1" s="63"/>
      <c r="K1" s="63"/>
      <c r="L1" s="63"/>
      <c r="M1" s="18" t="s">
        <v>469</v>
      </c>
      <c r="N1" s="8"/>
      <c r="O1" t="s">
        <v>497</v>
      </c>
    </row>
    <row r="2" spans="1:15">
      <c r="A2" s="9" t="s">
        <v>451</v>
      </c>
      <c r="B2" s="11" t="s">
        <v>449</v>
      </c>
      <c r="C2" s="11" t="s">
        <v>452</v>
      </c>
      <c r="D2" s="11" t="s">
        <v>457</v>
      </c>
      <c r="E2" s="11" t="s">
        <v>458</v>
      </c>
      <c r="F2" s="13" t="s">
        <v>459</v>
      </c>
      <c r="G2" s="13" t="s">
        <v>460</v>
      </c>
      <c r="H2" s="13" t="s">
        <v>461</v>
      </c>
      <c r="I2" s="15" t="s">
        <v>462</v>
      </c>
      <c r="J2" s="15" t="s">
        <v>465</v>
      </c>
      <c r="K2" s="15" t="s">
        <v>463</v>
      </c>
      <c r="L2" s="15" t="s">
        <v>466</v>
      </c>
      <c r="M2" s="17" t="s">
        <v>453</v>
      </c>
      <c r="N2" s="9" t="s">
        <v>454</v>
      </c>
    </row>
    <row r="3" spans="1:15">
      <c r="A3" s="9" t="s">
        <v>502</v>
      </c>
      <c r="B3" s="10">
        <v>0.2</v>
      </c>
      <c r="C3" s="10">
        <v>0.1</v>
      </c>
      <c r="D3" s="10">
        <v>0.1</v>
      </c>
      <c r="E3" s="10"/>
      <c r="F3" s="12">
        <v>0.2</v>
      </c>
      <c r="G3" s="12">
        <v>0.05</v>
      </c>
      <c r="H3" s="12">
        <v>0.05</v>
      </c>
      <c r="I3" s="14">
        <v>0.1</v>
      </c>
      <c r="J3" s="14"/>
      <c r="K3" s="14">
        <v>0.1</v>
      </c>
      <c r="L3" s="14"/>
      <c r="M3" s="16">
        <v>0.1</v>
      </c>
      <c r="N3" s="8">
        <f>SUM(B3:M3)</f>
        <v>1.0000000000000002</v>
      </c>
      <c r="O3" t="s">
        <v>505</v>
      </c>
    </row>
    <row r="4" spans="1:15">
      <c r="A4" s="9" t="s">
        <v>503</v>
      </c>
      <c r="B4" s="10">
        <v>0.2</v>
      </c>
      <c r="C4" s="10">
        <v>0.1</v>
      </c>
      <c r="D4" s="34"/>
      <c r="E4" s="10">
        <v>0.1</v>
      </c>
      <c r="F4" s="12">
        <v>0.2</v>
      </c>
      <c r="G4" s="12">
        <v>0.05</v>
      </c>
      <c r="H4" s="12">
        <v>0.05</v>
      </c>
      <c r="I4" s="14">
        <v>0.1</v>
      </c>
      <c r="J4" s="14"/>
      <c r="K4" s="14">
        <v>0.1</v>
      </c>
      <c r="L4" s="14"/>
      <c r="M4" s="16">
        <v>0.1</v>
      </c>
      <c r="N4" s="8">
        <f>SUM(B4:M4)</f>
        <v>1.0000000000000002</v>
      </c>
      <c r="O4" t="s">
        <v>504</v>
      </c>
    </row>
    <row r="5" spans="1:15">
      <c r="A5" s="9" t="s">
        <v>450</v>
      </c>
      <c r="B5" s="10">
        <v>0.2</v>
      </c>
      <c r="C5" s="10">
        <v>0.1</v>
      </c>
      <c r="D5" s="10"/>
      <c r="E5" s="10">
        <v>0.1</v>
      </c>
      <c r="F5" s="12">
        <v>0.2</v>
      </c>
      <c r="G5" s="12">
        <v>0.05</v>
      </c>
      <c r="H5" s="12">
        <v>0.05</v>
      </c>
      <c r="I5" s="14">
        <v>0.1</v>
      </c>
      <c r="J5" s="14"/>
      <c r="K5" s="14">
        <v>0.1</v>
      </c>
      <c r="L5" s="14"/>
      <c r="M5" s="16">
        <v>0.1</v>
      </c>
      <c r="N5" s="8">
        <f>SUM(B5:M5)</f>
        <v>1.0000000000000002</v>
      </c>
    </row>
    <row r="6" spans="1:15">
      <c r="A6" s="9" t="s">
        <v>464</v>
      </c>
      <c r="B6" s="10">
        <v>0.2</v>
      </c>
      <c r="C6" s="10">
        <v>0.1</v>
      </c>
      <c r="D6" s="10">
        <v>0.1</v>
      </c>
      <c r="E6" s="10"/>
      <c r="F6" s="12">
        <v>0.2</v>
      </c>
      <c r="G6" s="12">
        <v>0.05</v>
      </c>
      <c r="H6" s="12">
        <v>0.05</v>
      </c>
      <c r="I6" s="14"/>
      <c r="J6" s="14">
        <v>0.1</v>
      </c>
      <c r="K6" s="14"/>
      <c r="L6" s="14">
        <v>0.1</v>
      </c>
      <c r="M6" s="16">
        <v>0.1</v>
      </c>
      <c r="N6" s="8">
        <f>SUM(B6:M6)</f>
        <v>1.0000000000000002</v>
      </c>
    </row>
  </sheetData>
  <mergeCells count="3">
    <mergeCell ref="B1:E1"/>
    <mergeCell ref="F1:H1"/>
    <mergeCell ref="I1:L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Rådata-K</vt:lpstr>
      <vt:lpstr>Arbeidsark-K</vt:lpstr>
      <vt:lpstr>Vekter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Mads Munkejord</cp:lastModifiedBy>
  <cp:lastPrinted>2013-05-10T12:05:29Z</cp:lastPrinted>
  <dcterms:created xsi:type="dcterms:W3CDTF">2012-11-12T08:19:16Z</dcterms:created>
  <dcterms:modified xsi:type="dcterms:W3CDTF">2013-06-27T11:14:36Z</dcterms:modified>
</cp:coreProperties>
</file>