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DD1557\Desktop\"/>
    </mc:Choice>
  </mc:AlternateContent>
  <xr:revisionPtr revIDLastSave="0" documentId="8_{BE63F83B-9031-4172-9BAB-6C889E02B755}" xr6:coauthVersionLast="47" xr6:coauthVersionMax="47" xr10:uidLastSave="{00000000-0000-0000-0000-000000000000}"/>
  <bookViews>
    <workbookView xWindow="-120" yWindow="-120" windowWidth="29040" windowHeight="15840" xr2:uid="{F1C8F8E9-1466-41A4-AAC9-C61F1F12FAEE}"/>
  </bookViews>
  <sheets>
    <sheet name="Tabeller i høringsnotatet" sheetId="11" r:id="rId1"/>
  </sheets>
  <definedNames>
    <definedName name="_Hlk157094926" localSheetId="0">'Tabeller i høringsnotatet'!$AF$58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1" l="1"/>
  <c r="AH56" i="11"/>
  <c r="AI57" i="11"/>
  <c r="AJ57" i="11"/>
  <c r="AH57" i="11"/>
  <c r="AG56" i="11"/>
  <c r="AG54" i="11"/>
  <c r="AG53" i="11"/>
  <c r="AK32" i="11"/>
  <c r="AK7" i="11"/>
  <c r="AK31" i="11" s="1"/>
  <c r="AK8" i="11"/>
  <c r="AG9" i="11"/>
  <c r="Z49" i="11"/>
  <c r="AB35" i="11"/>
  <c r="AA31" i="11"/>
  <c r="AC36" i="11" s="1"/>
  <c r="Z7" i="11"/>
  <c r="Z19" i="11" s="1"/>
  <c r="AA7" i="11"/>
  <c r="AA15" i="11" s="1"/>
  <c r="Y7" i="11"/>
  <c r="Y19" i="11" s="1"/>
  <c r="U71" i="11"/>
  <c r="U74" i="11" s="1"/>
  <c r="U78" i="11" s="1"/>
  <c r="T71" i="11"/>
  <c r="T74" i="11" s="1"/>
  <c r="T78" i="11" s="1"/>
  <c r="S77" i="11"/>
  <c r="V77" i="11" s="1"/>
  <c r="S76" i="11"/>
  <c r="V76" i="11" s="1"/>
  <c r="S75" i="11"/>
  <c r="V75" i="11" s="1"/>
  <c r="S73" i="11"/>
  <c r="V73" i="11" s="1"/>
  <c r="S72" i="11"/>
  <c r="V72" i="11" s="1"/>
  <c r="V70" i="11"/>
  <c r="T51" i="11"/>
  <c r="T52" i="11"/>
  <c r="U52" i="11"/>
  <c r="S52" i="11"/>
  <c r="S51" i="11"/>
  <c r="U51" i="11"/>
  <c r="V31" i="11"/>
  <c r="T33" i="11"/>
  <c r="U33" i="11"/>
  <c r="S33" i="11"/>
  <c r="T5" i="11"/>
  <c r="T29" i="11" s="1"/>
  <c r="T49" i="11" s="1"/>
  <c r="U5" i="11"/>
  <c r="U29" i="11" s="1"/>
  <c r="AJ5" i="11" s="1"/>
  <c r="AJ29" i="11" s="1"/>
  <c r="S5" i="11"/>
  <c r="Y5" i="11" s="1"/>
  <c r="C7" i="11"/>
  <c r="T7" i="11" s="1"/>
  <c r="D7" i="11"/>
  <c r="U7" i="11" s="1"/>
  <c r="B7" i="11"/>
  <c r="K33" i="11" s="1"/>
  <c r="K37" i="11"/>
  <c r="K31" i="11"/>
  <c r="D6" i="11"/>
  <c r="U6" i="11" s="1"/>
  <c r="U30" i="11" s="1"/>
  <c r="U50" i="11" s="1"/>
  <c r="C6" i="11"/>
  <c r="T6" i="11" s="1"/>
  <c r="T30" i="11" s="1"/>
  <c r="T50" i="11" s="1"/>
  <c r="B6" i="11"/>
  <c r="K32" i="11" s="1"/>
  <c r="AI5" i="11" l="1"/>
  <c r="AJ6" i="11"/>
  <c r="AJ20" i="11" s="1"/>
  <c r="AI6" i="11"/>
  <c r="T53" i="11"/>
  <c r="AI9" i="11" s="1"/>
  <c r="Y15" i="11"/>
  <c r="Z15" i="11"/>
  <c r="AA19" i="11"/>
  <c r="AB19" i="11" s="1"/>
  <c r="AA5" i="11"/>
  <c r="AA6" i="11"/>
  <c r="Z5" i="11"/>
  <c r="Z6" i="11"/>
  <c r="AB7" i="11"/>
  <c r="Y31" i="11" s="1"/>
  <c r="S74" i="11"/>
  <c r="S78" i="11" s="1"/>
  <c r="V78" i="11" s="1"/>
  <c r="V51" i="11"/>
  <c r="V71" i="11"/>
  <c r="S53" i="11"/>
  <c r="AH9" i="11" s="1"/>
  <c r="U34" i="11"/>
  <c r="U49" i="11"/>
  <c r="T34" i="11"/>
  <c r="S29" i="11"/>
  <c r="AH5" i="11" s="1"/>
  <c r="B11" i="11"/>
  <c r="U53" i="11"/>
  <c r="V33" i="11"/>
  <c r="U8" i="11"/>
  <c r="AA49" i="11" s="1"/>
  <c r="AA50" i="11" s="1"/>
  <c r="T8" i="11"/>
  <c r="S6" i="11"/>
  <c r="Y6" i="11" s="1"/>
  <c r="V5" i="11"/>
  <c r="S7" i="11"/>
  <c r="V7" i="11" s="1"/>
  <c r="K38" i="11"/>
  <c r="K34" i="11"/>
  <c r="K39" i="11" s="1"/>
  <c r="F6" i="11"/>
  <c r="N32" i="11"/>
  <c r="N33" i="11"/>
  <c r="M33" i="11"/>
  <c r="D33" i="11"/>
  <c r="C33" i="11"/>
  <c r="B33" i="11"/>
  <c r="C32" i="11"/>
  <c r="B32" i="11"/>
  <c r="F31" i="11"/>
  <c r="B38" i="11" s="1"/>
  <c r="F30" i="11"/>
  <c r="F29" i="11"/>
  <c r="F63" i="11"/>
  <c r="F61" i="11"/>
  <c r="F62" i="11"/>
  <c r="F59" i="11"/>
  <c r="F60" i="11"/>
  <c r="F58" i="11"/>
  <c r="E50" i="11"/>
  <c r="T54" i="11" l="1"/>
  <c r="Z68" i="11" s="1"/>
  <c r="AB15" i="11"/>
  <c r="AJ30" i="11"/>
  <c r="AJ23" i="11"/>
  <c r="AJ9" i="11"/>
  <c r="AK9" i="11" s="1"/>
  <c r="AH29" i="11"/>
  <c r="AI30" i="11"/>
  <c r="AI23" i="11"/>
  <c r="AI29" i="11"/>
  <c r="AK5" i="11"/>
  <c r="AI19" i="11"/>
  <c r="AI10" i="11"/>
  <c r="AI35" i="11" s="1"/>
  <c r="AI55" i="11" s="1"/>
  <c r="AB6" i="11"/>
  <c r="Y30" i="11" s="1"/>
  <c r="Z16" i="11"/>
  <c r="Z20" i="11"/>
  <c r="AB5" i="11"/>
  <c r="AA30" i="11"/>
  <c r="Y16" i="11"/>
  <c r="AA20" i="11"/>
  <c r="AA16" i="11"/>
  <c r="Y20" i="11"/>
  <c r="V74" i="11"/>
  <c r="K40" i="11"/>
  <c r="V53" i="11"/>
  <c r="U54" i="11"/>
  <c r="AA68" i="11" s="1"/>
  <c r="V6" i="11"/>
  <c r="S30" i="11"/>
  <c r="AH6" i="11" s="1"/>
  <c r="S49" i="11"/>
  <c r="V29" i="11"/>
  <c r="S8" i="11"/>
  <c r="D38" i="11"/>
  <c r="C38" i="11"/>
  <c r="F33" i="11"/>
  <c r="F32" i="11"/>
  <c r="C11" i="11"/>
  <c r="D11" i="11"/>
  <c r="B50" i="11"/>
  <c r="B52" i="11" s="1"/>
  <c r="C8" i="11"/>
  <c r="C9" i="11"/>
  <c r="D9" i="11"/>
  <c r="B9" i="11"/>
  <c r="B8" i="11"/>
  <c r="F7" i="11"/>
  <c r="F5" i="11"/>
  <c r="AH11" i="11" l="1"/>
  <c r="AJ10" i="11"/>
  <c r="AJ35" i="11" s="1"/>
  <c r="AJ55" i="11" s="1"/>
  <c r="AK29" i="11"/>
  <c r="AH30" i="11"/>
  <c r="AK30" i="11" s="1"/>
  <c r="AH21" i="11"/>
  <c r="AH23" i="11"/>
  <c r="AI11" i="11"/>
  <c r="AJ11" i="11"/>
  <c r="AJ21" i="11" s="1"/>
  <c r="S34" i="11"/>
  <c r="V34" i="11" s="1"/>
  <c r="V8" i="11"/>
  <c r="AB50" i="11" s="1"/>
  <c r="Y50" i="11" s="1"/>
  <c r="Y49" i="11"/>
  <c r="AB49" i="11" s="1"/>
  <c r="Y29" i="11"/>
  <c r="Y35" i="11" s="1"/>
  <c r="AA29" i="11"/>
  <c r="AA35" i="11" s="1"/>
  <c r="AB16" i="11"/>
  <c r="AB20" i="11"/>
  <c r="V49" i="11"/>
  <c r="S50" i="11"/>
  <c r="V50" i="11" s="1"/>
  <c r="V30" i="11"/>
  <c r="N31" i="11"/>
  <c r="M31" i="11"/>
  <c r="F35" i="11"/>
  <c r="B39" i="11" s="1"/>
  <c r="D12" i="11"/>
  <c r="D50" i="11"/>
  <c r="C12" i="11"/>
  <c r="C50" i="11"/>
  <c r="F8" i="11"/>
  <c r="F11" i="11"/>
  <c r="F12" i="11" s="1"/>
  <c r="F9" i="11"/>
  <c r="AK11" i="11" l="1"/>
  <c r="AI21" i="11"/>
  <c r="AH10" i="11"/>
  <c r="AH18" i="11"/>
  <c r="AK6" i="11"/>
  <c r="AA36" i="11"/>
  <c r="Y36" i="11"/>
  <c r="S54" i="11"/>
  <c r="M37" i="11"/>
  <c r="M38" i="11"/>
  <c r="M34" i="11"/>
  <c r="M39" i="11" s="1"/>
  <c r="N37" i="11"/>
  <c r="N38" i="11"/>
  <c r="N34" i="11"/>
  <c r="N39" i="11" s="1"/>
  <c r="F36" i="11"/>
  <c r="C39" i="11"/>
  <c r="D39" i="11"/>
  <c r="F50" i="11"/>
  <c r="F52" i="11" s="1"/>
  <c r="AK10" i="11" l="1"/>
  <c r="AK21" i="11" s="1"/>
  <c r="AH35" i="11"/>
  <c r="AI12" i="11"/>
  <c r="AI22" i="11" s="1"/>
  <c r="AJ12" i="11"/>
  <c r="AJ22" i="11" s="1"/>
  <c r="AH12" i="11"/>
  <c r="AK20" i="11"/>
  <c r="AK18" i="11"/>
  <c r="V54" i="11"/>
  <c r="Y71" i="11" s="1"/>
  <c r="Y68" i="11"/>
  <c r="AB68" i="11" s="1"/>
  <c r="M40" i="11"/>
  <c r="N40" i="11"/>
  <c r="AK19" i="11" l="1"/>
  <c r="AK23" i="11"/>
  <c r="AK35" i="11"/>
  <c r="AG55" i="11" s="1"/>
  <c r="AH55" i="11"/>
  <c r="AK12" i="11"/>
  <c r="AH22" i="11"/>
  <c r="AK22" i="11" s="1"/>
  <c r="Y70" i="11"/>
  <c r="AB70" i="11" s="1"/>
  <c r="Y69" i="11"/>
  <c r="AB69" i="11" s="1"/>
  <c r="AB71" i="11"/>
  <c r="AH39" i="11" l="1"/>
  <c r="AK39" i="11" s="1"/>
  <c r="AH41" i="11"/>
  <c r="AG41" i="11"/>
  <c r="AK41" i="11" s="1"/>
  <c r="AG40" i="11"/>
  <c r="AG38" i="11"/>
  <c r="AH40" i="11"/>
  <c r="AK40" i="11" l="1"/>
  <c r="AK38" i="11"/>
  <c r="AG58" i="11"/>
  <c r="AG59" i="11" s="1"/>
  <c r="AG60" i="11" s="1"/>
  <c r="AG62" i="11" s="1"/>
</calcChain>
</file>

<file path=xl/sharedStrings.xml><?xml version="1.0" encoding="utf-8"?>
<sst xmlns="http://schemas.openxmlformats.org/spreadsheetml/2006/main" count="343" uniqueCount="162">
  <si>
    <t>Sum kommunen</t>
  </si>
  <si>
    <t>Lånefond</t>
  </si>
  <si>
    <t>Interne utlån finansiert med ekstern gjeld</t>
  </si>
  <si>
    <t>Interne innlån finansiert med ekstern gjeld</t>
  </si>
  <si>
    <t>Interne utlån finansiert med egenkapital (fond)</t>
  </si>
  <si>
    <t>Interne innlån finansiert med egenkapital (fond)</t>
  </si>
  <si>
    <t>Avskrivninger</t>
  </si>
  <si>
    <t>Gjeld til kredittinstitusjoner</t>
  </si>
  <si>
    <t>Ubrukte lånemidler</t>
  </si>
  <si>
    <t>A.I.</t>
  </si>
  <si>
    <t>=</t>
  </si>
  <si>
    <t>Kommune-kassen</t>
  </si>
  <si>
    <t>Foretak I</t>
  </si>
  <si>
    <t>Foretak II</t>
  </si>
  <si>
    <t>Avskrivbare varige driftsmidler</t>
  </si>
  <si>
    <t>Lånegjeld (ekstern)</t>
  </si>
  <si>
    <t>Avskrivningstid, år</t>
  </si>
  <si>
    <t>Gjeldsgrad, prosent</t>
  </si>
  <si>
    <t>Maksimal løpetid, år</t>
  </si>
  <si>
    <t>Lånegjeld til beregning av minimumsavdrag</t>
  </si>
  <si>
    <t>Minimumskrav til avdrag ved bruk av unntaket</t>
  </si>
  <si>
    <t>Eksempler på mulige løsninger når</t>
  </si>
  <si>
    <t>a) kommunekassens avdrag er høyere enn minimumsavdraget</t>
  </si>
  <si>
    <t>Unntaket gjelder ikke kassen</t>
  </si>
  <si>
    <t>D.I.1</t>
  </si>
  <si>
    <t>D.I.2</t>
  </si>
  <si>
    <t>Obligasjonslån</t>
  </si>
  <si>
    <t>D.I.3</t>
  </si>
  <si>
    <t>Sertifikatlån</t>
  </si>
  <si>
    <t>KOSTRA kapittel</t>
  </si>
  <si>
    <t>Lånegjeld til beregning av minimumsavdraget</t>
  </si>
  <si>
    <t xml:space="preserve">- </t>
  </si>
  <si>
    <t>Lån til videreutlån (§ 14-17)</t>
  </si>
  <si>
    <t>+</t>
  </si>
  <si>
    <t>Mottatte avdrag benyttet til nedbetaling av andre lån (§ 14-18 tredje ledd)</t>
  </si>
  <si>
    <t>Sum lån</t>
  </si>
  <si>
    <t>A.I.1</t>
  </si>
  <si>
    <t>Faste eiendommer og anlegg</t>
  </si>
  <si>
    <t>A.I.2</t>
  </si>
  <si>
    <t>Utstyr, maskiner og transportmidler</t>
  </si>
  <si>
    <t>Konsernintern langsiktig gjeld</t>
  </si>
  <si>
    <t>Sum varige driftsmidler</t>
  </si>
  <si>
    <t>Tomter og andre ikke-avskrivbare varige driftsmidler</t>
  </si>
  <si>
    <t>Avskrivbare varige driftsmidler til beregning av minimumsavdraget</t>
  </si>
  <si>
    <t>Konserninterne langsiktige fordringer</t>
  </si>
  <si>
    <t>Minimumskravet er avhengig av faktiske avdrag for øvrig, men sum for kommunen må være minst 1467</t>
  </si>
  <si>
    <t xml:space="preserve">Balansepost </t>
  </si>
  <si>
    <t xml:space="preserve">Beregnet minimumsavdrag </t>
  </si>
  <si>
    <t xml:space="preserve">Lånegjeld, herav </t>
  </si>
  <si>
    <t>- Lån ekskl. lån til tomter</t>
  </si>
  <si>
    <t>- Lån til tomter</t>
  </si>
  <si>
    <t>Kommune-kassen ekskl. lån til tomter</t>
  </si>
  <si>
    <t>Kommune-kassen lån til tomter</t>
  </si>
  <si>
    <t>Avskrivningstid (avdragstid), år</t>
  </si>
  <si>
    <t>Sum kommune-kassen</t>
  </si>
  <si>
    <t>Memo: Gjeldsandel</t>
  </si>
  <si>
    <t>Beregnet minimumsavdrag per enhet</t>
  </si>
  <si>
    <t>Memo: Minimumsavdrag dersom de fordeles ut fra gjeldsandel</t>
  </si>
  <si>
    <t>b) kommunekassens avdrag er høyere enn minimumsavdraget</t>
  </si>
  <si>
    <t>c) kommunekassens avdrag er høyere enn minimumsavdraget</t>
  </si>
  <si>
    <t>d) en regnskapsenhets avdrag er høyere enn minimumsavdraget</t>
  </si>
  <si>
    <t>e) en regnskapsenhets avdrag er høyere enn minimumsavdraget</t>
  </si>
  <si>
    <t>f) begge regnskapsenhetenes avdrag er høyere enn minimumsavdraget</t>
  </si>
  <si>
    <t xml:space="preserve">Balanse-post </t>
  </si>
  <si>
    <t xml:space="preserve">                    -   </t>
  </si>
  <si>
    <t>Beregnet minimumsavdrag</t>
  </si>
  <si>
    <t>Uten nedskrivning</t>
  </si>
  <si>
    <t>Alternativ:</t>
  </si>
  <si>
    <t>År t</t>
  </si>
  <si>
    <t>Nedskrivning</t>
  </si>
  <si>
    <t>-</t>
  </si>
  <si>
    <t>Avskrivninger år t</t>
  </si>
  <si>
    <t>Avskrivbare varige driftsmidler 1.1. i år t</t>
  </si>
  <si>
    <t>Lånegjeld (ekstern) 1.1. i år t</t>
  </si>
  <si>
    <t>År t+1</t>
  </si>
  <si>
    <t>Avskrivninger i år t+1</t>
  </si>
  <si>
    <t>Avskrivbare varige driftsmidler 1.1. i år t+1</t>
  </si>
  <si>
    <t>Lånegjeld 1.1. i år t</t>
  </si>
  <si>
    <t xml:space="preserve">Hørings-forslag: </t>
  </si>
  <si>
    <t>41+42</t>
  </si>
  <si>
    <t>D.I.</t>
  </si>
  <si>
    <t>Mottatte avdrag benyttet til nedbetaling av andre lån enn lån til videreutlån (§ 14-18 tredje ledd)</t>
  </si>
  <si>
    <t>Tabell 5.1 Minimumsavdrag beregnet for den enkelte regnskapsenhet</t>
  </si>
  <si>
    <t>Tabell 5.2 Minimumsavdrag beregnet ut fra kommunen samlet</t>
  </si>
  <si>
    <t>Tabell 7.1 Anleggmidler som inngår i beregningen</t>
  </si>
  <si>
    <t>Tabell 7.2 Håndtering av nedskrivninger i minimumsavdraget</t>
  </si>
  <si>
    <t>Tabell 6.1 Unntak for kommunale foretak - mulige løsninger</t>
  </si>
  <si>
    <t>Tabell 7.3 Lånegjeld som skal inngå i beregningen av minimumsavdraget</t>
  </si>
  <si>
    <t xml:space="preserve">Balanse 01.01. (31.12.foregående regnskapsår) </t>
  </si>
  <si>
    <t>Ubrukte innlån til videre utlån / forskutteringer (memoriakonto)</t>
  </si>
  <si>
    <t>Fordringer videre utlån / forskutteringer (anleggsfordringer)</t>
  </si>
  <si>
    <t>Ubrukte mottatte avdrag på lån (bundet investeringsfond)</t>
  </si>
  <si>
    <t>Lån til videreutlån som skal trekkes ut fra lånegjelden ved beregningen av minimumsavdrag</t>
  </si>
  <si>
    <t>Tabell 7.4 Identifisering av lån til videreutlån</t>
  </si>
  <si>
    <t xml:space="preserve">                        -   </t>
  </si>
  <si>
    <t xml:space="preserve">Interne lån </t>
  </si>
  <si>
    <t>Tabell 7.5 Minimumsavdrag når enhetene kun har eksterne lån (jf. tabell 5.1)</t>
  </si>
  <si>
    <t>Tabell 7.6 Minimumsavdrag hvis kun eksterne lån inngår i beregningen</t>
  </si>
  <si>
    <t>Tabell 7.7 Minimumsavdrag når interne lån inngår i beregningen</t>
  </si>
  <si>
    <t>Tabell 7.8 Lånegjeld som skal inngå i beregningen når kommunen har interne lån</t>
  </si>
  <si>
    <t>Tabell 7.9 Minimumsavdrag og håndtering av interne lån finansiert med egenkapital</t>
  </si>
  <si>
    <t>Minimumsavdrag når interne lån som ikke er finansiert av eksternt lån, holdes utenfor beregningen:</t>
  </si>
  <si>
    <t>Minimumsavdrag når alle interne lån inngår i beregningen, uavhengig av finansiering:</t>
  </si>
  <si>
    <t>KOSTRA-kapittel</t>
  </si>
  <si>
    <t>?</t>
  </si>
  <si>
    <t>Tomter inngår ikke i avdragsberegningen</t>
  </si>
  <si>
    <t>Tomt inngår med avdragstid på 50 år</t>
  </si>
  <si>
    <t>Tabell 7.10 Minimumsavdrag når tomter inngår i beregningen med særskilt avdragstid</t>
  </si>
  <si>
    <t>Tabell 8.1 Avdrag ved avvik mellom utgiftsførte minimumsavdrag og  nedbetaling</t>
  </si>
  <si>
    <t>Utgiftsført avdrag i budsjettet/regnskapet</t>
  </si>
  <si>
    <t>Betalt avdrag</t>
  </si>
  <si>
    <t>Tabell 8.2 Utgiftsføring og nedbetaling av avdrag med interne lån</t>
  </si>
  <si>
    <t>Utgiftsført avdrag i budsjettet/regnskapet (drift)</t>
  </si>
  <si>
    <t>Utgiftsført avdrag i budsjettet/regnskapet (investering)</t>
  </si>
  <si>
    <t>Mottatte avdrag i budsjettet/regnskapet (investering)</t>
  </si>
  <si>
    <t>Lånefondet</t>
  </si>
  <si>
    <t xml:space="preserve">              - </t>
  </si>
  <si>
    <t xml:space="preserve">Interne utlån </t>
  </si>
  <si>
    <t>Eksempler på mulig fordeling</t>
  </si>
  <si>
    <t xml:space="preserve"> av ubrukte lånemidler i lånefondet</t>
  </si>
  <si>
    <t xml:space="preserve"> etter fordeling </t>
  </si>
  <si>
    <t>av ubrukte lånemidler</t>
  </si>
  <si>
    <r>
      <t>a)</t>
    </r>
    <r>
      <rPr>
        <sz val="7"/>
        <color rgb="FF000000"/>
        <rFont val="Times New Roman"/>
        <family val="1"/>
      </rPr>
      <t xml:space="preserve">        </t>
    </r>
    <r>
      <rPr>
        <sz val="8"/>
        <color rgb="FF000000"/>
        <rFont val="Calibri"/>
        <family val="2"/>
      </rPr>
      <t>Alt på kommunekassen</t>
    </r>
  </si>
  <si>
    <r>
      <t>b)</t>
    </r>
    <r>
      <rPr>
        <sz val="7"/>
        <color rgb="FF000000"/>
        <rFont val="Times New Roman"/>
        <family val="1"/>
      </rPr>
      <t xml:space="preserve">        </t>
    </r>
    <r>
      <rPr>
        <sz val="8"/>
        <color rgb="FF000000"/>
        <rFont val="Calibri"/>
        <family val="2"/>
      </rPr>
      <t>Alt på foretak I</t>
    </r>
  </si>
  <si>
    <r>
      <t>c)</t>
    </r>
    <r>
      <rPr>
        <sz val="7"/>
        <color rgb="FF000000"/>
        <rFont val="Times New Roman"/>
        <family val="1"/>
      </rPr>
      <t xml:space="preserve">        </t>
    </r>
    <r>
      <rPr>
        <sz val="8"/>
        <color rgb="FF000000"/>
        <rFont val="Calibri"/>
        <family val="2"/>
      </rPr>
      <t>Alt på foretak II</t>
    </r>
  </si>
  <si>
    <r>
      <t>d)</t>
    </r>
    <r>
      <rPr>
        <sz val="7"/>
        <color rgb="FF000000"/>
        <rFont val="Times New Roman"/>
        <family val="1"/>
      </rPr>
      <t xml:space="preserve">        </t>
    </r>
    <r>
      <rPr>
        <sz val="8"/>
        <color rgb="FF000000"/>
        <rFont val="Calibri"/>
        <family val="2"/>
      </rPr>
      <t xml:space="preserve">Fordeles etter gjelden til enhetene </t>
    </r>
  </si>
  <si>
    <r>
      <t>e)</t>
    </r>
    <r>
      <rPr>
        <sz val="7"/>
        <color rgb="FF000000"/>
        <rFont val="Times New Roman"/>
        <family val="1"/>
      </rPr>
      <t xml:space="preserve">        </t>
    </r>
    <r>
      <rPr>
        <sz val="8"/>
        <color rgb="FF000000"/>
        <rFont val="Calibri"/>
        <family val="2"/>
      </rPr>
      <t>Fordeles etter varige driftsmidler</t>
    </r>
  </si>
  <si>
    <r>
      <t>f)</t>
    </r>
    <r>
      <rPr>
        <sz val="7"/>
        <color rgb="FF000000"/>
        <rFont val="Times New Roman"/>
        <family val="1"/>
      </rPr>
      <t xml:space="preserve">         </t>
    </r>
    <r>
      <rPr>
        <sz val="8"/>
        <color rgb="FF000000"/>
        <rFont val="Calibri"/>
        <family val="2"/>
      </rPr>
      <t>Lik lånegjeldsbeløp per enhet</t>
    </r>
  </si>
  <si>
    <t>Tabell 9.1 Budsjett- og regnskapsmessig dekning ved ubrukte lånemidler i lånefond</t>
  </si>
  <si>
    <t>Minimumsavdrag før ubrukte  lånemidler I lånefondet</t>
  </si>
  <si>
    <t>Andel av kassens og foretakenes gjeld</t>
  </si>
  <si>
    <t>Andel av varige driftsmidler</t>
  </si>
  <si>
    <t>Tillegg for ubrukte lånemidler i lånefondet</t>
  </si>
  <si>
    <t>Totale lånegjeld</t>
  </si>
  <si>
    <t>Minimumsavdrag (eks. a fra tab. 9.1)</t>
  </si>
  <si>
    <r>
      <t>a)</t>
    </r>
    <r>
      <rPr>
        <sz val="7"/>
        <color rgb="FF000000"/>
        <rFont val="Times New Roman"/>
        <family val="1"/>
      </rPr>
      <t xml:space="preserve">      </t>
    </r>
    <r>
      <rPr>
        <sz val="8"/>
        <color rgb="FF000000"/>
        <rFont val="Calibri"/>
        <family val="2"/>
      </rPr>
      <t>Alt på lånefondet</t>
    </r>
  </si>
  <si>
    <t>x</t>
  </si>
  <si>
    <r>
      <t>b)</t>
    </r>
    <r>
      <rPr>
        <sz val="7"/>
        <color rgb="FF000000"/>
        <rFont val="Times New Roman"/>
        <family val="1"/>
      </rPr>
      <t xml:space="preserve">     </t>
    </r>
    <r>
      <rPr>
        <sz val="8"/>
        <color rgb="FF000000"/>
        <rFont val="Calibri"/>
        <family val="2"/>
      </rPr>
      <t>Alt på kommunekassen</t>
    </r>
  </si>
  <si>
    <r>
      <t>c)</t>
    </r>
    <r>
      <rPr>
        <sz val="7"/>
        <color rgb="FF000000"/>
        <rFont val="Times New Roman"/>
        <family val="1"/>
      </rPr>
      <t xml:space="preserve">      </t>
    </r>
    <r>
      <rPr>
        <sz val="8"/>
        <color rgb="FF000000"/>
        <rFont val="Calibri"/>
        <family val="2"/>
      </rPr>
      <t xml:space="preserve">Fordeles eter enhetenes eksterne gjeld </t>
    </r>
  </si>
  <si>
    <r>
      <t>d)</t>
    </r>
    <r>
      <rPr>
        <sz val="7"/>
        <color rgb="FF000000"/>
        <rFont val="Times New Roman"/>
        <family val="1"/>
      </rPr>
      <t xml:space="preserve">     </t>
    </r>
    <r>
      <rPr>
        <sz val="8"/>
        <color rgb="FF000000"/>
        <rFont val="Calibri"/>
        <family val="2"/>
      </rPr>
      <t>Likt nedbetalingsbeløp per enhet</t>
    </r>
  </si>
  <si>
    <t>Tabell 9.2 Nedbetaling ved eksterne lån i både lånefondet og kommunekassen</t>
  </si>
  <si>
    <t>Eksempler på mulig håndtering av betalingsplikten</t>
  </si>
  <si>
    <t>Tabell 9.3 Merforbruk i lånefondet</t>
  </si>
  <si>
    <t>Bevilgningsoversikt drift (kun utvalgte størrelser for kommunekasse og foretak)</t>
  </si>
  <si>
    <t>Sum generelle driftsinntekter</t>
  </si>
  <si>
    <t>Sum bevilgninger drift netto</t>
  </si>
  <si>
    <t>Sum netto driftsutgifter</t>
  </si>
  <si>
    <t>Brutto driftsresultat</t>
  </si>
  <si>
    <t>Renteinntekter</t>
  </si>
  <si>
    <t>Konserninterne renteinntekter</t>
  </si>
  <si>
    <r>
      <t xml:space="preserve">Mottatte konserninterne avdrag </t>
    </r>
    <r>
      <rPr>
        <vertAlign val="superscript"/>
        <sz val="8"/>
        <color rgb="FF000000"/>
        <rFont val="Calibri"/>
        <family val="2"/>
      </rPr>
      <t>1</t>
    </r>
  </si>
  <si>
    <t>Renteutgifter</t>
  </si>
  <si>
    <t>Konserninterne renteutgifter</t>
  </si>
  <si>
    <r>
      <t xml:space="preserve">Avdrag på eksterne lån </t>
    </r>
    <r>
      <rPr>
        <vertAlign val="superscript"/>
        <sz val="8"/>
        <color rgb="FF000000"/>
        <rFont val="Calibri"/>
        <family val="2"/>
      </rPr>
      <t>1</t>
    </r>
  </si>
  <si>
    <t>Netto finansutgifter</t>
  </si>
  <si>
    <t>Netto driftsresultat</t>
  </si>
  <si>
    <t>Sum netto bruk av fond</t>
  </si>
  <si>
    <t>Framført til inndekning i senere år (merforbruk)</t>
  </si>
  <si>
    <t xml:space="preserve">Rente innskudd </t>
  </si>
  <si>
    <t>Rente lån (ekstern og intern)</t>
  </si>
  <si>
    <t>Ikke korrigere for nedskrivninger i beregningsåret</t>
  </si>
  <si>
    <t>Korrigere for nedskrivninger i beregningsåret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</si>
</sst>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0.0"/>
    <numFmt numFmtId="167" formatCode="_ * #,##0.0_ ;_ * \-#,##0.0_ ;_ * &quot;-&quot;?_ ;_ @_ "/>
    <numFmt numFmtId="168" formatCode="0.0\ 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i/>
      <sz val="8"/>
      <color rgb="FF000000"/>
      <name val="Calibri"/>
      <family val="2"/>
    </font>
    <font>
      <sz val="8"/>
      <color theme="1"/>
      <name val="Times New Roman"/>
      <family val="1"/>
    </font>
    <font>
      <sz val="8"/>
      <color rgb="FF333333"/>
      <name val="Calibri"/>
      <family val="2"/>
    </font>
    <font>
      <b/>
      <sz val="8"/>
      <color rgb="FF333333"/>
      <name val="Calibri"/>
      <family val="2"/>
    </font>
    <font>
      <b/>
      <sz val="8"/>
      <color rgb="FF000000"/>
      <name val="Times New Roman"/>
      <family val="1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sz val="7"/>
      <color rgb="FF000000"/>
      <name val="Times New Roman"/>
      <family val="1"/>
    </font>
    <font>
      <vertAlign val="superscript"/>
      <sz val="8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6EE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2" fillId="0" borderId="3" xfId="0" applyFont="1" applyFill="1" applyBorder="1"/>
    <xf numFmtId="164" fontId="0" fillId="0" borderId="0" xfId="1" applyNumberFormat="1" applyFont="1" applyFill="1"/>
    <xf numFmtId="0" fontId="0" fillId="0" borderId="0" xfId="0" applyFill="1"/>
    <xf numFmtId="164" fontId="0" fillId="0" borderId="0" xfId="1" applyNumberFormat="1" applyFont="1" applyBorder="1"/>
    <xf numFmtId="164" fontId="2" fillId="0" borderId="0" xfId="1" applyNumberFormat="1" applyFont="1" applyBorder="1"/>
    <xf numFmtId="0" fontId="0" fillId="0" borderId="0" xfId="0" applyFill="1" applyBorder="1"/>
    <xf numFmtId="0" fontId="0" fillId="0" borderId="3" xfId="0" applyBorder="1"/>
    <xf numFmtId="0" fontId="0" fillId="0" borderId="1" xfId="0" applyBorder="1"/>
    <xf numFmtId="0" fontId="3" fillId="0" borderId="0" xfId="0" applyFont="1"/>
    <xf numFmtId="0" fontId="0" fillId="0" borderId="0" xfId="0" applyBorder="1"/>
    <xf numFmtId="0" fontId="0" fillId="0" borderId="2" xfId="0" applyBorder="1"/>
    <xf numFmtId="0" fontId="2" fillId="0" borderId="0" xfId="0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/>
    <xf numFmtId="0" fontId="5" fillId="0" borderId="0" xfId="0" applyFont="1" applyFill="1"/>
    <xf numFmtId="164" fontId="6" fillId="0" borderId="0" xfId="1" applyNumberFormat="1" applyFont="1" applyFill="1"/>
    <xf numFmtId="0" fontId="7" fillId="6" borderId="0" xfId="0" applyFont="1" applyFill="1"/>
    <xf numFmtId="164" fontId="8" fillId="6" borderId="0" xfId="1" applyNumberFormat="1" applyFont="1" applyFill="1"/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10" fillId="8" borderId="0" xfId="0" applyNumberFormat="1" applyFont="1" applyFill="1" applyBorder="1" applyAlignment="1">
      <alignment vertical="center"/>
    </xf>
    <xf numFmtId="0" fontId="10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3" fontId="9" fillId="0" borderId="3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3" fontId="10" fillId="8" borderId="1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7" borderId="4" xfId="0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7" fontId="0" fillId="0" borderId="0" xfId="0" applyNumberFormat="1" applyBorder="1"/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10" fillId="8" borderId="3" xfId="0" applyFont="1" applyFill="1" applyBorder="1" applyAlignment="1">
      <alignment vertical="center"/>
    </xf>
    <xf numFmtId="3" fontId="10" fillId="8" borderId="3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10" fillId="9" borderId="1" xfId="0" applyFont="1" applyFill="1" applyBorder="1" applyAlignment="1">
      <alignment vertical="center"/>
    </xf>
    <xf numFmtId="0" fontId="9" fillId="9" borderId="1" xfId="0" applyFont="1" applyFill="1" applyBorder="1" applyAlignment="1">
      <alignment vertical="center"/>
    </xf>
    <xf numFmtId="1" fontId="10" fillId="9" borderId="1" xfId="0" applyNumberFormat="1" applyFont="1" applyFill="1" applyBorder="1" applyAlignment="1">
      <alignment vertical="center"/>
    </xf>
    <xf numFmtId="3" fontId="10" fillId="9" borderId="1" xfId="0" applyNumberFormat="1" applyFont="1" applyFill="1" applyBorder="1" applyAlignme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164" fontId="10" fillId="9" borderId="1" xfId="1" applyNumberFormat="1" applyFont="1" applyFill="1" applyBorder="1" applyAlignment="1">
      <alignment vertical="center"/>
    </xf>
    <xf numFmtId="164" fontId="9" fillId="0" borderId="3" xfId="1" applyNumberFormat="1" applyFont="1" applyBorder="1" applyAlignment="1">
      <alignment vertical="center"/>
    </xf>
    <xf numFmtId="0" fontId="16" fillId="0" borderId="3" xfId="0" applyFont="1" applyBorder="1" applyAlignment="1">
      <alignment vertical="center" wrapText="1"/>
    </xf>
    <xf numFmtId="0" fontId="17" fillId="0" borderId="0" xfId="0" applyFont="1" applyBorder="1"/>
    <xf numFmtId="164" fontId="17" fillId="0" borderId="0" xfId="1" applyNumberFormat="1" applyFont="1" applyBorder="1"/>
    <xf numFmtId="0" fontId="17" fillId="0" borderId="3" xfId="0" applyFont="1" applyBorder="1"/>
    <xf numFmtId="164" fontId="17" fillId="0" borderId="3" xfId="1" applyNumberFormat="1" applyFont="1" applyBorder="1"/>
    <xf numFmtId="0" fontId="18" fillId="0" borderId="0" xfId="0" applyFont="1"/>
    <xf numFmtId="164" fontId="18" fillId="0" borderId="0" xfId="1" applyNumberFormat="1" applyFont="1"/>
    <xf numFmtId="9" fontId="18" fillId="0" borderId="0" xfId="2" applyFont="1"/>
    <xf numFmtId="0" fontId="17" fillId="0" borderId="0" xfId="0" applyFont="1"/>
    <xf numFmtId="164" fontId="17" fillId="0" borderId="0" xfId="1" applyNumberFormat="1" applyFont="1"/>
    <xf numFmtId="0" fontId="16" fillId="3" borderId="1" xfId="0" applyFont="1" applyFill="1" applyBorder="1"/>
    <xf numFmtId="164" fontId="17" fillId="3" borderId="1" xfId="1" applyNumberFormat="1" applyFont="1" applyFill="1" applyBorder="1"/>
    <xf numFmtId="164" fontId="4" fillId="3" borderId="1" xfId="1" applyNumberFormat="1" applyFont="1" applyFill="1" applyBorder="1"/>
    <xf numFmtId="0" fontId="19" fillId="0" borderId="0" xfId="0" applyFont="1"/>
    <xf numFmtId="164" fontId="19" fillId="0" borderId="0" xfId="1" applyNumberFormat="1" applyFont="1"/>
    <xf numFmtId="9" fontId="17" fillId="0" borderId="0" xfId="2" applyFont="1"/>
    <xf numFmtId="164" fontId="17" fillId="0" borderId="0" xfId="0" applyNumberFormat="1" applyFont="1"/>
    <xf numFmtId="0" fontId="16" fillId="0" borderId="0" xfId="0" applyFont="1"/>
    <xf numFmtId="164" fontId="16" fillId="0" borderId="0" xfId="0" applyNumberFormat="1" applyFont="1"/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3" fontId="10" fillId="8" borderId="1" xfId="0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vertical="center" wrapText="1"/>
    </xf>
    <xf numFmtId="3" fontId="9" fillId="0" borderId="3" xfId="0" applyNumberFormat="1" applyFont="1" applyBorder="1" applyAlignment="1">
      <alignment horizontal="right" vertical="center"/>
    </xf>
    <xf numFmtId="164" fontId="4" fillId="0" borderId="0" xfId="1" applyNumberFormat="1" applyFont="1" applyFill="1" applyBorder="1"/>
    <xf numFmtId="164" fontId="4" fillId="0" borderId="3" xfId="1" applyNumberFormat="1" applyFont="1" applyFill="1" applyBorder="1"/>
    <xf numFmtId="164" fontId="19" fillId="0" borderId="0" xfId="1" applyNumberFormat="1" applyFont="1" applyFill="1"/>
    <xf numFmtId="9" fontId="19" fillId="0" borderId="0" xfId="2" applyFont="1" applyFill="1"/>
    <xf numFmtId="164" fontId="4" fillId="0" borderId="0" xfId="1" applyNumberFormat="1" applyFont="1" applyFill="1"/>
    <xf numFmtId="164" fontId="4" fillId="0" borderId="1" xfId="1" applyNumberFormat="1" applyFont="1" applyFill="1" applyBorder="1"/>
    <xf numFmtId="164" fontId="17" fillId="0" borderId="0" xfId="1" applyNumberFormat="1" applyFont="1" applyFill="1" applyBorder="1"/>
    <xf numFmtId="164" fontId="17" fillId="0" borderId="3" xfId="1" applyNumberFormat="1" applyFont="1" applyFill="1" applyBorder="1"/>
    <xf numFmtId="1" fontId="16" fillId="3" borderId="1" xfId="0" applyNumberFormat="1" applyFont="1" applyFill="1" applyBorder="1"/>
    <xf numFmtId="0" fontId="17" fillId="0" borderId="2" xfId="0" applyFont="1" applyBorder="1"/>
    <xf numFmtId="164" fontId="17" fillId="0" borderId="2" xfId="1" applyNumberFormat="1" applyFont="1" applyBorder="1"/>
    <xf numFmtId="0" fontId="16" fillId="4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8" fillId="0" borderId="3" xfId="0" applyFont="1" applyBorder="1"/>
    <xf numFmtId="164" fontId="18" fillId="0" borderId="3" xfId="1" applyNumberFormat="1" applyFont="1" applyBorder="1"/>
    <xf numFmtId="3" fontId="9" fillId="0" borderId="0" xfId="0" applyNumberFormat="1" applyFont="1" applyFill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vertical="center" wrapText="1"/>
    </xf>
    <xf numFmtId="0" fontId="0" fillId="0" borderId="3" xfId="0" applyFill="1" applyBorder="1"/>
    <xf numFmtId="0" fontId="11" fillId="0" borderId="1" xfId="0" applyFont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10" fillId="7" borderId="1" xfId="0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0" fontId="9" fillId="7" borderId="4" xfId="0" applyFont="1" applyFill="1" applyBorder="1" applyAlignment="1">
      <alignment vertical="center"/>
    </xf>
    <xf numFmtId="0" fontId="0" fillId="0" borderId="5" xfId="0" applyFill="1" applyBorder="1"/>
    <xf numFmtId="0" fontId="0" fillId="0" borderId="6" xfId="0" applyFill="1" applyBorder="1"/>
    <xf numFmtId="0" fontId="0" fillId="0" borderId="4" xfId="0" applyBorder="1"/>
    <xf numFmtId="3" fontId="10" fillId="3" borderId="1" xfId="0" applyNumberFormat="1" applyFont="1" applyFill="1" applyBorder="1" applyAlignment="1">
      <alignment horizontal="center" vertical="center"/>
    </xf>
    <xf numFmtId="0" fontId="0" fillId="3" borderId="4" xfId="0" applyFill="1" applyBorder="1"/>
    <xf numFmtId="0" fontId="16" fillId="4" borderId="1" xfId="0" applyFont="1" applyFill="1" applyBorder="1" applyAlignment="1">
      <alignment horizontal="center" vertical="center" wrapText="1"/>
    </xf>
    <xf numFmtId="0" fontId="2" fillId="0" borderId="6" xfId="0" applyFont="1" applyFill="1" applyBorder="1"/>
    <xf numFmtId="166" fontId="11" fillId="0" borderId="1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3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horizontal="right" vertical="center"/>
    </xf>
    <xf numFmtId="1" fontId="9" fillId="0" borderId="0" xfId="0" applyNumberFormat="1" applyFont="1" applyBorder="1" applyAlignment="1">
      <alignment horizontal="right" vertical="center"/>
    </xf>
    <xf numFmtId="1" fontId="9" fillId="0" borderId="3" xfId="0" applyNumberFormat="1" applyFont="1" applyBorder="1" applyAlignment="1">
      <alignment horizontal="right" vertical="center"/>
    </xf>
    <xf numFmtId="1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0" fontId="10" fillId="10" borderId="0" xfId="0" applyFont="1" applyFill="1" applyBorder="1" applyAlignment="1">
      <alignment vertical="center"/>
    </xf>
    <xf numFmtId="0" fontId="10" fillId="1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indent="5"/>
    </xf>
    <xf numFmtId="3" fontId="9" fillId="0" borderId="3" xfId="0" applyNumberFormat="1" applyFont="1" applyBorder="1" applyAlignment="1">
      <alignment horizontal="right" vertical="center" wrapText="1"/>
    </xf>
    <xf numFmtId="0" fontId="0" fillId="10" borderId="3" xfId="0" applyFill="1" applyBorder="1" applyAlignment="1">
      <alignment vertical="center"/>
    </xf>
    <xf numFmtId="0" fontId="10" fillId="10" borderId="3" xfId="0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 wrapText="1"/>
    </xf>
    <xf numFmtId="0" fontId="10" fillId="10" borderId="2" xfId="0" applyFont="1" applyFill="1" applyBorder="1" applyAlignment="1">
      <alignment vertical="center"/>
    </xf>
    <xf numFmtId="0" fontId="10" fillId="10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indent="5"/>
    </xf>
    <xf numFmtId="0" fontId="9" fillId="0" borderId="3" xfId="0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1" fontId="9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2" fontId="11" fillId="0" borderId="0" xfId="0" applyNumberFormat="1" applyFont="1" applyBorder="1" applyAlignment="1">
      <alignment vertical="center"/>
    </xf>
    <xf numFmtId="4" fontId="11" fillId="0" borderId="0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indent="2"/>
    </xf>
    <xf numFmtId="1" fontId="9" fillId="0" borderId="1" xfId="0" applyNumberFormat="1" applyFont="1" applyBorder="1" applyAlignment="1">
      <alignment horizontal="right" vertical="center"/>
    </xf>
    <xf numFmtId="0" fontId="10" fillId="10" borderId="1" xfId="0" applyFont="1" applyFill="1" applyBorder="1" applyAlignment="1">
      <alignment vertical="center"/>
    </xf>
    <xf numFmtId="0" fontId="9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right" vertical="center" wrapText="1"/>
    </xf>
    <xf numFmtId="3" fontId="10" fillId="0" borderId="3" xfId="0" applyNumberFormat="1" applyFont="1" applyBorder="1" applyAlignment="1">
      <alignment horizontal="right" vertical="center" wrapText="1"/>
    </xf>
    <xf numFmtId="168" fontId="17" fillId="0" borderId="0" xfId="2" applyNumberFormat="1" applyFont="1"/>
    <xf numFmtId="164" fontId="17" fillId="0" borderId="3" xfId="0" applyNumberFormat="1" applyFont="1" applyBorder="1"/>
    <xf numFmtId="0" fontId="16" fillId="0" borderId="0" xfId="0" applyFont="1" applyBorder="1"/>
    <xf numFmtId="164" fontId="16" fillId="5" borderId="0" xfId="0" applyNumberFormat="1" applyFont="1" applyFill="1"/>
    <xf numFmtId="0" fontId="16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 wrapText="1"/>
    </xf>
    <xf numFmtId="43" fontId="17" fillId="3" borderId="1" xfId="1" applyFont="1" applyFill="1" applyBorder="1"/>
    <xf numFmtId="1" fontId="16" fillId="0" borderId="1" xfId="1" applyNumberFormat="1" applyFont="1" applyFill="1" applyBorder="1"/>
    <xf numFmtId="0" fontId="10" fillId="10" borderId="2" xfId="0" applyFont="1" applyFill="1" applyBorder="1" applyAlignment="1">
      <alignment horizontal="center" vertical="center" wrapText="1"/>
    </xf>
    <xf numFmtId="0" fontId="10" fillId="10" borderId="0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90DE6-2065-4D58-AB65-127036928298}">
  <dimension ref="A1:BN78"/>
  <sheetViews>
    <sheetView tabSelected="1" topLeftCell="A43" zoomScaleNormal="100" workbookViewId="0">
      <selection activeCell="D16" sqref="D16"/>
    </sheetView>
  </sheetViews>
  <sheetFormatPr baseColWidth="10" defaultRowHeight="15" x14ac:dyDescent="0.25"/>
  <cols>
    <col min="1" max="1" width="67" customWidth="1"/>
    <col min="2" max="2" width="13.140625" bestFit="1" customWidth="1"/>
    <col min="3" max="5" width="13" customWidth="1"/>
    <col min="6" max="6" width="17.5703125" customWidth="1"/>
    <col min="7" max="7" width="11.5703125" style="12"/>
    <col min="8" max="8" width="9.7109375" style="12" customWidth="1"/>
    <col min="9" max="9" width="13.140625" style="12" customWidth="1"/>
    <col min="10" max="10" width="65.5703125" style="12" customWidth="1"/>
    <col min="11" max="11" width="11.7109375" style="12" customWidth="1"/>
    <col min="12" max="12" width="11.42578125" style="12"/>
    <col min="13" max="13" width="14.42578125" style="12" customWidth="1"/>
    <col min="14" max="14" width="15.140625" style="12" customWidth="1"/>
    <col min="15" max="15" width="11.42578125" style="12"/>
    <col min="16" max="16" width="7.42578125" customWidth="1"/>
    <col min="17" max="17" width="7.5703125" customWidth="1"/>
    <col min="18" max="18" width="45" customWidth="1"/>
    <col min="19" max="20" width="13" customWidth="1"/>
    <col min="21" max="21" width="17.5703125" customWidth="1"/>
    <col min="22" max="22" width="14.5703125" style="12" customWidth="1"/>
    <col min="23" max="23" width="11.42578125" style="12"/>
    <col min="24" max="24" width="61.28515625" style="12" customWidth="1"/>
    <col min="25" max="25" width="11.5703125" style="12" customWidth="1"/>
    <col min="26" max="26" width="13.7109375" style="12" customWidth="1"/>
    <col min="27" max="27" width="12.140625" style="12" customWidth="1"/>
    <col min="28" max="28" width="12" style="12" customWidth="1"/>
    <col min="29" max="29" width="13.7109375" style="12" customWidth="1"/>
    <col min="30" max="30" width="11.42578125" style="12"/>
    <col min="31" max="31" width="11.42578125" style="12" customWidth="1"/>
    <col min="32" max="32" width="50.85546875" bestFit="1" customWidth="1"/>
    <col min="33" max="36" width="13" customWidth="1"/>
    <col min="37" max="37" width="19.85546875" customWidth="1"/>
    <col min="38" max="38" width="11.42578125" style="12"/>
    <col min="39" max="39" width="11.5703125" style="12"/>
  </cols>
  <sheetData>
    <row r="1" spans="1:66" x14ac:dyDescent="0.25">
      <c r="B1" s="1"/>
      <c r="C1" s="1"/>
      <c r="D1" s="1"/>
      <c r="E1" s="1"/>
      <c r="F1" s="1"/>
      <c r="G1" s="6"/>
      <c r="H1" s="6"/>
      <c r="I1" s="6"/>
      <c r="J1" s="6"/>
      <c r="K1" s="6"/>
      <c r="L1" s="6"/>
      <c r="M1" s="6"/>
      <c r="N1" s="6"/>
      <c r="O1" s="6"/>
      <c r="AL1"/>
      <c r="AM1"/>
    </row>
    <row r="2" spans="1:66" ht="23.25" x14ac:dyDescent="0.35">
      <c r="A2" s="20" t="s">
        <v>82</v>
      </c>
      <c r="B2" s="20"/>
      <c r="C2" s="20"/>
      <c r="D2" s="20"/>
      <c r="E2" s="20"/>
      <c r="F2" s="20"/>
      <c r="G2" s="6"/>
      <c r="H2" s="20" t="s">
        <v>84</v>
      </c>
      <c r="I2" s="20"/>
      <c r="J2" s="20"/>
      <c r="K2" s="20"/>
      <c r="L2" s="20"/>
      <c r="M2" s="20"/>
      <c r="N2" s="20"/>
      <c r="O2" s="6"/>
      <c r="P2" s="20" t="s">
        <v>96</v>
      </c>
      <c r="Q2" s="20"/>
      <c r="R2" s="20"/>
      <c r="S2" s="20"/>
      <c r="T2" s="20"/>
      <c r="U2" s="20"/>
      <c r="V2" s="20"/>
      <c r="X2" s="20" t="s">
        <v>100</v>
      </c>
      <c r="Y2" s="20"/>
      <c r="Z2" s="20"/>
      <c r="AA2" s="20"/>
      <c r="AB2" s="20"/>
      <c r="AC2" s="20"/>
      <c r="AE2" s="20" t="s">
        <v>128</v>
      </c>
      <c r="AF2" s="20"/>
      <c r="AG2" s="20"/>
      <c r="AH2" s="20"/>
      <c r="AI2" s="20"/>
      <c r="AJ2" s="20"/>
      <c r="AK2" s="20"/>
      <c r="AL2"/>
      <c r="AM2"/>
    </row>
    <row r="3" spans="1:66" ht="26.25" x14ac:dyDescent="0.4">
      <c r="A3" s="18"/>
      <c r="B3" s="19"/>
      <c r="C3" s="19"/>
      <c r="D3" s="19"/>
      <c r="E3" s="19"/>
      <c r="F3" s="19"/>
      <c r="G3" s="6"/>
      <c r="H3" s="6"/>
      <c r="I3" s="6"/>
      <c r="J3" s="6"/>
      <c r="K3" s="6"/>
      <c r="L3" s="6"/>
      <c r="M3" s="6"/>
      <c r="N3" s="6"/>
      <c r="O3" s="6"/>
      <c r="AL3"/>
      <c r="AM3"/>
    </row>
    <row r="4" spans="1:66" ht="22.5" x14ac:dyDescent="0.25">
      <c r="A4" s="29"/>
      <c r="B4" s="30" t="s">
        <v>11</v>
      </c>
      <c r="C4" s="30" t="s">
        <v>12</v>
      </c>
      <c r="D4" s="30" t="s">
        <v>13</v>
      </c>
      <c r="E4" s="30" t="s">
        <v>1</v>
      </c>
      <c r="F4" s="30" t="s">
        <v>0</v>
      </c>
      <c r="G4" s="15"/>
      <c r="H4" s="29"/>
      <c r="I4" s="30"/>
      <c r="J4" s="30"/>
      <c r="K4" s="30" t="s">
        <v>11</v>
      </c>
      <c r="L4" s="30" t="s">
        <v>12</v>
      </c>
      <c r="M4" s="30" t="s">
        <v>13</v>
      </c>
      <c r="N4" s="29" t="s">
        <v>0</v>
      </c>
      <c r="O4" s="6"/>
      <c r="R4" s="30"/>
      <c r="S4" s="30" t="s">
        <v>11</v>
      </c>
      <c r="T4" s="30" t="s">
        <v>12</v>
      </c>
      <c r="U4" s="30" t="s">
        <v>13</v>
      </c>
      <c r="V4" s="29" t="s">
        <v>0</v>
      </c>
      <c r="W4" s="15"/>
      <c r="X4" s="110"/>
      <c r="Y4" s="110" t="s">
        <v>11</v>
      </c>
      <c r="Z4" s="110" t="s">
        <v>12</v>
      </c>
      <c r="AA4" s="110" t="s">
        <v>13</v>
      </c>
      <c r="AB4" s="131" t="s">
        <v>0</v>
      </c>
      <c r="AC4" s="15"/>
      <c r="AF4" s="30"/>
      <c r="AG4" s="30" t="s">
        <v>115</v>
      </c>
      <c r="AH4" s="30" t="s">
        <v>11</v>
      </c>
      <c r="AI4" s="30" t="s">
        <v>12</v>
      </c>
      <c r="AJ4" s="30" t="s">
        <v>13</v>
      </c>
      <c r="AK4" s="30" t="s">
        <v>0</v>
      </c>
      <c r="AL4"/>
      <c r="AM4"/>
    </row>
    <row r="5" spans="1:66" x14ac:dyDescent="0.25">
      <c r="A5" s="76" t="s">
        <v>6</v>
      </c>
      <c r="B5" s="105">
        <v>1000</v>
      </c>
      <c r="C5" s="105">
        <v>1000</v>
      </c>
      <c r="D5" s="105">
        <v>100</v>
      </c>
      <c r="E5" s="77">
        <v>0</v>
      </c>
      <c r="F5" s="77">
        <f>+SUM(B5:E5)</f>
        <v>2100</v>
      </c>
      <c r="G5" s="6"/>
      <c r="H5"/>
      <c r="I5"/>
      <c r="J5"/>
      <c r="K5"/>
      <c r="L5"/>
      <c r="M5"/>
      <c r="N5"/>
      <c r="O5"/>
      <c r="R5" s="26" t="s">
        <v>6</v>
      </c>
      <c r="S5" s="27">
        <f t="shared" ref="S5:U7" si="0">B5</f>
        <v>1000</v>
      </c>
      <c r="T5" s="27">
        <f t="shared" si="0"/>
        <v>1000</v>
      </c>
      <c r="U5" s="27">
        <f t="shared" si="0"/>
        <v>100</v>
      </c>
      <c r="V5" s="27">
        <f>+SUM(R5:U5)</f>
        <v>2100</v>
      </c>
      <c r="X5" s="108" t="s">
        <v>6</v>
      </c>
      <c r="Y5" s="109">
        <f>S5</f>
        <v>1000</v>
      </c>
      <c r="Z5" s="109">
        <f t="shared" ref="Z5:AA5" si="1">T5</f>
        <v>1000</v>
      </c>
      <c r="AA5" s="109">
        <f t="shared" si="1"/>
        <v>100</v>
      </c>
      <c r="AB5" s="27">
        <f>+SUM(X5:AA5)</f>
        <v>2100</v>
      </c>
      <c r="AF5" s="26" t="s">
        <v>6</v>
      </c>
      <c r="AG5" s="142"/>
      <c r="AH5" s="136">
        <f>S29</f>
        <v>1000</v>
      </c>
      <c r="AI5" s="136">
        <f t="shared" ref="AI5:AJ5" si="2">T29</f>
        <v>1000</v>
      </c>
      <c r="AJ5" s="136">
        <f t="shared" si="2"/>
        <v>100</v>
      </c>
      <c r="AK5" s="136">
        <f>SUM(AG5:AJ5)</f>
        <v>2100</v>
      </c>
      <c r="AL5"/>
      <c r="AM5"/>
    </row>
    <row r="6" spans="1:66" s="16" customFormat="1" ht="21" customHeight="1" x14ac:dyDescent="0.25">
      <c r="A6" s="76" t="s">
        <v>14</v>
      </c>
      <c r="B6" s="105">
        <f>K11</f>
        <v>30000</v>
      </c>
      <c r="C6" s="105">
        <f>L11</f>
        <v>40000</v>
      </c>
      <c r="D6" s="105">
        <f>M11</f>
        <v>2000</v>
      </c>
      <c r="E6" s="77">
        <v>0</v>
      </c>
      <c r="F6" s="77">
        <f>+SUM(B6:E6)</f>
        <v>72000</v>
      </c>
      <c r="G6" s="6"/>
      <c r="H6" s="44" t="s">
        <v>46</v>
      </c>
      <c r="I6" s="44" t="s">
        <v>103</v>
      </c>
      <c r="J6" s="31"/>
      <c r="K6" s="32"/>
      <c r="L6" s="32"/>
      <c r="M6" s="32"/>
      <c r="N6" s="32"/>
      <c r="O6" s="26"/>
      <c r="P6"/>
      <c r="Q6"/>
      <c r="R6" s="23" t="s">
        <v>14</v>
      </c>
      <c r="S6" s="27">
        <f t="shared" si="0"/>
        <v>30000</v>
      </c>
      <c r="T6" s="27">
        <f t="shared" si="0"/>
        <v>40000</v>
      </c>
      <c r="U6" s="27">
        <f t="shared" si="0"/>
        <v>2000</v>
      </c>
      <c r="V6" s="27">
        <f>+SUM(R6:U6)</f>
        <v>72000</v>
      </c>
      <c r="W6" s="12"/>
      <c r="X6" s="76" t="s">
        <v>14</v>
      </c>
      <c r="Y6" s="77">
        <f>S6</f>
        <v>30000</v>
      </c>
      <c r="Z6" s="77">
        <f t="shared" ref="Z6" si="3">T6</f>
        <v>40000</v>
      </c>
      <c r="AA6" s="77">
        <f t="shared" ref="AA6" si="4">U6</f>
        <v>2000</v>
      </c>
      <c r="AB6" s="27">
        <f>+SUM(X6:AA6)</f>
        <v>72000</v>
      </c>
      <c r="AC6" s="12"/>
      <c r="AD6" s="15"/>
      <c r="AE6" s="15"/>
      <c r="AF6" s="26" t="s">
        <v>14</v>
      </c>
      <c r="AG6" s="142"/>
      <c r="AH6" s="136">
        <f>S30</f>
        <v>30000</v>
      </c>
      <c r="AI6" s="136">
        <f t="shared" ref="AI6:AJ6" si="5">T30</f>
        <v>40000</v>
      </c>
      <c r="AJ6" s="136">
        <f t="shared" si="5"/>
        <v>2000</v>
      </c>
      <c r="AK6" s="136">
        <f t="shared" ref="AK6:AK8" si="6">SUM(AG6:AJ6)</f>
        <v>72000</v>
      </c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</row>
    <row r="7" spans="1:66" s="13" customFormat="1" x14ac:dyDescent="0.25">
      <c r="A7" s="78" t="s">
        <v>15</v>
      </c>
      <c r="B7" s="106">
        <f>K59</f>
        <v>20000</v>
      </c>
      <c r="C7" s="106">
        <f>L59</f>
        <v>30000</v>
      </c>
      <c r="D7" s="106">
        <f>M59</f>
        <v>1000</v>
      </c>
      <c r="E7" s="79">
        <v>0</v>
      </c>
      <c r="F7" s="79">
        <f>+SUM(B7:E7)</f>
        <v>51000</v>
      </c>
      <c r="G7" s="6"/>
      <c r="H7" s="23" t="s">
        <v>36</v>
      </c>
      <c r="I7" s="24">
        <v>24</v>
      </c>
      <c r="J7" s="23" t="s">
        <v>37</v>
      </c>
      <c r="K7" s="25">
        <v>20500</v>
      </c>
      <c r="L7" s="25">
        <v>32000</v>
      </c>
      <c r="M7" s="23" t="s">
        <v>64</v>
      </c>
      <c r="N7" s="25">
        <v>52500</v>
      </c>
      <c r="O7" s="25"/>
      <c r="P7"/>
      <c r="Q7"/>
      <c r="R7" s="32" t="s">
        <v>15</v>
      </c>
      <c r="S7" s="33">
        <f t="shared" si="0"/>
        <v>20000</v>
      </c>
      <c r="T7" s="33">
        <f t="shared" si="0"/>
        <v>30000</v>
      </c>
      <c r="U7" s="33">
        <f t="shared" si="0"/>
        <v>1000</v>
      </c>
      <c r="V7" s="33">
        <f>+SUM(R7:U7)</f>
        <v>51000</v>
      </c>
      <c r="W7" s="12"/>
      <c r="X7" s="78" t="s">
        <v>15</v>
      </c>
      <c r="Y7" s="79">
        <f>S31</f>
        <v>51000</v>
      </c>
      <c r="Z7" s="79">
        <f t="shared" ref="Z7:AA7" si="7">T31</f>
        <v>0</v>
      </c>
      <c r="AA7" s="79">
        <f t="shared" si="7"/>
        <v>0</v>
      </c>
      <c r="AB7" s="79">
        <f>+SUM(Y7:AA7)</f>
        <v>51000</v>
      </c>
      <c r="AC7" s="12"/>
      <c r="AD7" s="12"/>
      <c r="AE7" s="12"/>
      <c r="AF7" s="26" t="s">
        <v>15</v>
      </c>
      <c r="AG7" s="143">
        <v>54000</v>
      </c>
      <c r="AH7" s="57" t="s">
        <v>116</v>
      </c>
      <c r="AI7" s="57" t="s">
        <v>94</v>
      </c>
      <c r="AJ7" s="57" t="s">
        <v>94</v>
      </c>
      <c r="AK7" s="136">
        <f t="shared" si="6"/>
        <v>54000</v>
      </c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s="12" customFormat="1" x14ac:dyDescent="0.25">
      <c r="A8" s="80" t="s">
        <v>16</v>
      </c>
      <c r="B8" s="81">
        <f>+B6/B5</f>
        <v>30</v>
      </c>
      <c r="C8" s="81">
        <f t="shared" ref="C8:F8" si="8">+C6/C5</f>
        <v>40</v>
      </c>
      <c r="D8" s="81">
        <v>10</v>
      </c>
      <c r="E8" s="81">
        <v>0</v>
      </c>
      <c r="F8" s="81">
        <f t="shared" si="8"/>
        <v>34.285714285714285</v>
      </c>
      <c r="G8" s="6"/>
      <c r="H8" s="32" t="s">
        <v>38</v>
      </c>
      <c r="I8" s="38">
        <v>27</v>
      </c>
      <c r="J8" s="32" t="s">
        <v>39</v>
      </c>
      <c r="K8" s="33">
        <v>10000</v>
      </c>
      <c r="L8" s="33">
        <v>10000</v>
      </c>
      <c r="M8" s="33">
        <v>2000</v>
      </c>
      <c r="N8" s="33">
        <v>22000</v>
      </c>
      <c r="O8" s="25"/>
      <c r="P8"/>
      <c r="Q8"/>
      <c r="R8" s="68" t="s">
        <v>65</v>
      </c>
      <c r="S8" s="70">
        <f>+S5*S7/S6</f>
        <v>666.66666666666663</v>
      </c>
      <c r="T8" s="70">
        <f t="shared" ref="T8:U8" si="9">+T5*T7/T6</f>
        <v>750</v>
      </c>
      <c r="U8" s="70">
        <f t="shared" si="9"/>
        <v>50</v>
      </c>
      <c r="V8" s="71">
        <f>SUM(S8:U8)</f>
        <v>1466.6666666666665</v>
      </c>
      <c r="X8" s="80" t="s">
        <v>2</v>
      </c>
      <c r="Y8" s="77">
        <v>-25000</v>
      </c>
      <c r="Z8" s="77"/>
      <c r="AA8" s="77"/>
      <c r="AB8" s="77"/>
      <c r="AF8" s="26" t="s">
        <v>8</v>
      </c>
      <c r="AG8" s="143">
        <v>3000</v>
      </c>
      <c r="AH8" s="57" t="s">
        <v>70</v>
      </c>
      <c r="AI8" s="57" t="s">
        <v>70</v>
      </c>
      <c r="AJ8" s="57" t="s">
        <v>70</v>
      </c>
      <c r="AK8" s="136">
        <f t="shared" si="6"/>
        <v>3000</v>
      </c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s="9" customFormat="1" x14ac:dyDescent="0.25">
      <c r="A9" s="80" t="s">
        <v>17</v>
      </c>
      <c r="B9" s="82">
        <f>+B7/B6</f>
        <v>0.66666666666666663</v>
      </c>
      <c r="C9" s="82">
        <f t="shared" ref="C9:F9" si="10">+C7/C6</f>
        <v>0.75</v>
      </c>
      <c r="D9" s="82">
        <f t="shared" si="10"/>
        <v>0.5</v>
      </c>
      <c r="E9" s="77">
        <v>0</v>
      </c>
      <c r="F9" s="82">
        <f t="shared" si="10"/>
        <v>0.70833333333333337</v>
      </c>
      <c r="G9" s="6"/>
      <c r="H9" s="32" t="s">
        <v>9</v>
      </c>
      <c r="I9" s="32"/>
      <c r="J9" s="32" t="s">
        <v>41</v>
      </c>
      <c r="K9" s="33">
        <v>30500</v>
      </c>
      <c r="L9" s="33">
        <v>42000</v>
      </c>
      <c r="M9" s="33">
        <v>2000</v>
      </c>
      <c r="N9" s="33">
        <v>74500</v>
      </c>
      <c r="O9" s="27"/>
      <c r="P9"/>
      <c r="Q9"/>
      <c r="R9"/>
      <c r="S9"/>
      <c r="T9"/>
      <c r="U9"/>
      <c r="V9" s="12"/>
      <c r="W9" s="12"/>
      <c r="X9" s="80" t="s">
        <v>3</v>
      </c>
      <c r="Y9" s="77"/>
      <c r="Z9" s="77">
        <v>25000</v>
      </c>
      <c r="AA9" s="77"/>
      <c r="AB9" s="77"/>
      <c r="AC9" s="12"/>
      <c r="AD9" s="12"/>
      <c r="AE9" s="12"/>
      <c r="AF9" s="34" t="s">
        <v>95</v>
      </c>
      <c r="AG9" s="150">
        <f>-AG7+AG8</f>
        <v>-51000</v>
      </c>
      <c r="AH9" s="150">
        <f>S53</f>
        <v>20000</v>
      </c>
      <c r="AI9" s="150">
        <f t="shared" ref="AI9:AJ9" si="11">T53</f>
        <v>30000</v>
      </c>
      <c r="AJ9" s="150">
        <f t="shared" si="11"/>
        <v>1000</v>
      </c>
      <c r="AK9" s="155">
        <f>SUM(AG9:AJ9)</f>
        <v>0</v>
      </c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</row>
    <row r="10" spans="1:66" x14ac:dyDescent="0.25">
      <c r="A10" s="83"/>
      <c r="B10" s="84"/>
      <c r="C10" s="84"/>
      <c r="D10" s="84"/>
      <c r="E10" s="84"/>
      <c r="F10" s="84"/>
      <c r="G10" s="6"/>
      <c r="H10" s="10"/>
      <c r="I10" s="10"/>
      <c r="J10" s="34" t="s">
        <v>42</v>
      </c>
      <c r="K10" s="34">
        <v>-500</v>
      </c>
      <c r="L10" s="35">
        <v>-2000</v>
      </c>
      <c r="M10" s="34" t="s">
        <v>64</v>
      </c>
      <c r="N10" s="35">
        <v>-2500</v>
      </c>
      <c r="O10" s="25"/>
      <c r="X10" s="80" t="s">
        <v>4</v>
      </c>
      <c r="Y10" s="77">
        <v>-6000</v>
      </c>
      <c r="Z10" s="77"/>
      <c r="AA10" s="77"/>
      <c r="AB10" s="77"/>
      <c r="AF10" s="26" t="s">
        <v>129</v>
      </c>
      <c r="AG10" s="156"/>
      <c r="AH10" s="157">
        <f>AH5/AH6*AH9</f>
        <v>666.66666666666663</v>
      </c>
      <c r="AI10" s="157">
        <f t="shared" ref="AI10:AJ10" si="12">AI5/AI6*AI9</f>
        <v>750</v>
      </c>
      <c r="AJ10" s="157">
        <f t="shared" si="12"/>
        <v>50</v>
      </c>
      <c r="AK10" s="27">
        <f>SUM(AH10:AJ10)</f>
        <v>1466.6666666666665</v>
      </c>
      <c r="AL10"/>
      <c r="AM10"/>
    </row>
    <row r="11" spans="1:66" x14ac:dyDescent="0.25">
      <c r="A11" s="85" t="s">
        <v>56</v>
      </c>
      <c r="B11" s="107">
        <f>+B5*B7/B6</f>
        <v>666.66666666666663</v>
      </c>
      <c r="C11" s="107">
        <f t="shared" ref="C11:D11" si="13">+C5*C7/C6</f>
        <v>750</v>
      </c>
      <c r="D11" s="107">
        <f t="shared" si="13"/>
        <v>50</v>
      </c>
      <c r="E11" s="186">
        <v>0</v>
      </c>
      <c r="F11" s="187">
        <f>+B11+C11+D11</f>
        <v>1466.6666666666665</v>
      </c>
      <c r="G11" s="6"/>
      <c r="H11" s="36"/>
      <c r="I11" s="36"/>
      <c r="J11" s="36" t="s">
        <v>43</v>
      </c>
      <c r="K11" s="37">
        <v>30000</v>
      </c>
      <c r="L11" s="37">
        <v>40000</v>
      </c>
      <c r="M11" s="37">
        <v>2000</v>
      </c>
      <c r="N11" s="37">
        <v>72000</v>
      </c>
      <c r="O11" s="28"/>
      <c r="X11" s="80" t="s">
        <v>5</v>
      </c>
      <c r="Y11" s="77"/>
      <c r="Z11" s="77">
        <v>5000</v>
      </c>
      <c r="AA11" s="77">
        <v>1000</v>
      </c>
      <c r="AB11" s="77"/>
      <c r="AF11" s="158" t="s">
        <v>130</v>
      </c>
      <c r="AG11" s="159"/>
      <c r="AH11" s="160">
        <f>AH9/SUM($AH$9:$AJ$9)</f>
        <v>0.39215686274509803</v>
      </c>
      <c r="AI11" s="160">
        <f t="shared" ref="AI11:AJ11" si="14">AI9/SUM($AH$9:$AJ$9)</f>
        <v>0.58823529411764708</v>
      </c>
      <c r="AJ11" s="160">
        <f t="shared" si="14"/>
        <v>1.9607843137254902E-2</v>
      </c>
      <c r="AK11" s="161">
        <f>SUM(AH11:AJ11)</f>
        <v>1</v>
      </c>
      <c r="AL11"/>
      <c r="AM11"/>
    </row>
    <row r="12" spans="1:66" x14ac:dyDescent="0.25">
      <c r="A12" s="80" t="s">
        <v>18</v>
      </c>
      <c r="B12" s="81">
        <f>+B7/B11</f>
        <v>30</v>
      </c>
      <c r="C12" s="81">
        <f t="shared" ref="C12:F12" si="15">+C7/C11</f>
        <v>40</v>
      </c>
      <c r="D12" s="81">
        <f t="shared" si="15"/>
        <v>20</v>
      </c>
      <c r="E12" s="81">
        <v>0</v>
      </c>
      <c r="F12" s="81">
        <f t="shared" si="15"/>
        <v>34.772727272727273</v>
      </c>
      <c r="G12" s="7"/>
      <c r="H12" s="7"/>
      <c r="I12" s="7"/>
      <c r="J12" s="7"/>
      <c r="K12" s="7"/>
      <c r="L12" s="7"/>
      <c r="M12" s="7"/>
      <c r="N12" s="14"/>
      <c r="O12" s="14"/>
      <c r="V12" s="14"/>
      <c r="W12" s="14"/>
      <c r="X12" s="108"/>
      <c r="Y12" s="109"/>
      <c r="Z12" s="109"/>
      <c r="AA12" s="109"/>
      <c r="AB12" s="109"/>
      <c r="AC12" s="14"/>
      <c r="AF12" s="158" t="s">
        <v>131</v>
      </c>
      <c r="AG12" s="156"/>
      <c r="AH12" s="160">
        <f>AH6/$AK$6</f>
        <v>0.41666666666666669</v>
      </c>
      <c r="AI12" s="160">
        <f t="shared" ref="AI12:AJ12" si="16">AI6/$AK$6</f>
        <v>0.55555555555555558</v>
      </c>
      <c r="AJ12" s="160">
        <f t="shared" si="16"/>
        <v>2.7777777777777776E-2</v>
      </c>
      <c r="AK12" s="161">
        <f>SUM(AH12:AJ12)</f>
        <v>1</v>
      </c>
      <c r="AL12"/>
      <c r="AM12"/>
    </row>
    <row r="13" spans="1:66" x14ac:dyDescent="0.25">
      <c r="A13" s="83"/>
      <c r="B13" s="84"/>
      <c r="C13" s="84"/>
      <c r="D13" s="84"/>
      <c r="E13" s="84"/>
      <c r="F13" s="84"/>
      <c r="G13" s="6"/>
      <c r="H13" s="6"/>
      <c r="I13" s="6"/>
      <c r="J13" s="6"/>
      <c r="K13" s="6"/>
      <c r="L13" s="6"/>
      <c r="M13" s="6"/>
      <c r="X13" s="112"/>
      <c r="Y13" s="113"/>
      <c r="Z13" s="113"/>
      <c r="AA13" s="113"/>
      <c r="AB13" s="113"/>
      <c r="AF13" s="26"/>
      <c r="AG13" s="156"/>
      <c r="AH13" s="157"/>
      <c r="AI13" s="157"/>
      <c r="AJ13" s="157"/>
      <c r="AK13" s="27"/>
      <c r="AL13"/>
      <c r="AM13"/>
    </row>
    <row r="14" spans="1:66" s="2" customFormat="1" x14ac:dyDescent="0.25">
      <c r="A14" s="83"/>
      <c r="B14" s="84"/>
      <c r="C14" s="84"/>
      <c r="D14" s="84"/>
      <c r="E14" s="84"/>
      <c r="F14" s="84"/>
      <c r="G14" s="6"/>
      <c r="H14" s="6"/>
      <c r="I14" s="6"/>
      <c r="J14" s="6"/>
      <c r="K14" s="6"/>
      <c r="L14" s="6"/>
      <c r="M14" s="6"/>
      <c r="N14" s="12"/>
      <c r="O14" s="12"/>
      <c r="P14"/>
      <c r="Q14"/>
      <c r="R14"/>
      <c r="S14"/>
      <c r="T14"/>
      <c r="U14"/>
      <c r="V14" s="12"/>
      <c r="W14" s="12"/>
      <c r="X14" s="111" t="s">
        <v>101</v>
      </c>
      <c r="Y14" s="111"/>
      <c r="Z14" s="111"/>
      <c r="AA14" s="111"/>
      <c r="AB14" s="82"/>
      <c r="AC14" s="12"/>
      <c r="AD14" s="14"/>
      <c r="AE14" s="12"/>
      <c r="AF14" s="26"/>
      <c r="AG14" s="156"/>
      <c r="AH14" s="26"/>
      <c r="AI14" s="26"/>
      <c r="AJ14" s="26"/>
      <c r="AK14" s="27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</row>
    <row r="15" spans="1:66" x14ac:dyDescent="0.25">
      <c r="B15" s="1"/>
      <c r="C15" s="1"/>
      <c r="D15" s="1"/>
      <c r="E15" s="1"/>
      <c r="F15" s="1"/>
      <c r="G15" s="7"/>
      <c r="H15" s="7"/>
      <c r="I15" s="7"/>
      <c r="J15" s="7"/>
      <c r="K15" s="7"/>
      <c r="L15" s="7"/>
      <c r="M15" s="7"/>
      <c r="N15" s="14"/>
      <c r="O15" s="14"/>
      <c r="R15" s="2"/>
      <c r="S15" s="2"/>
      <c r="T15" s="2"/>
      <c r="V15" s="14"/>
      <c r="W15" s="14"/>
      <c r="X15" s="32" t="s">
        <v>19</v>
      </c>
      <c r="Y15" s="33">
        <f>Y7+Y8+Y9</f>
        <v>26000</v>
      </c>
      <c r="Z15" s="33">
        <f t="shared" ref="Z15:AA15" si="17">Z7+Z8+Z9</f>
        <v>25000</v>
      </c>
      <c r="AA15" s="33">
        <f t="shared" si="17"/>
        <v>0</v>
      </c>
      <c r="AB15" s="79">
        <f>+SUM(Y15:AA15)</f>
        <v>51000</v>
      </c>
      <c r="AC15" s="14"/>
      <c r="AF15" s="151" t="s">
        <v>118</v>
      </c>
      <c r="AG15" s="188"/>
      <c r="AH15" s="191" t="s">
        <v>132</v>
      </c>
      <c r="AI15" s="191"/>
      <c r="AJ15" s="191"/>
      <c r="AK15" s="152" t="s">
        <v>0</v>
      </c>
      <c r="AL15"/>
      <c r="AM15"/>
    </row>
    <row r="16" spans="1:66" x14ac:dyDescent="0.25">
      <c r="B16" s="1"/>
      <c r="C16" s="1"/>
      <c r="D16" s="1"/>
      <c r="E16" s="1"/>
      <c r="F16" s="1"/>
      <c r="X16" s="68" t="s">
        <v>65</v>
      </c>
      <c r="Y16" s="70">
        <f>Y5/Y6*Y15</f>
        <v>866.66666666666663</v>
      </c>
      <c r="Z16" s="70">
        <f t="shared" ref="Z16:AA16" si="18">Z5/Z6*Z15</f>
        <v>625</v>
      </c>
      <c r="AA16" s="70">
        <f t="shared" si="18"/>
        <v>0</v>
      </c>
      <c r="AB16" s="71">
        <f>SUM(Y16:AA16)</f>
        <v>1491.6666666666665</v>
      </c>
      <c r="AF16" s="144" t="s">
        <v>119</v>
      </c>
      <c r="AG16" s="189"/>
      <c r="AH16" s="192"/>
      <c r="AI16" s="192"/>
      <c r="AJ16" s="192"/>
      <c r="AK16" s="145" t="s">
        <v>120</v>
      </c>
      <c r="AL16"/>
      <c r="AM16"/>
    </row>
    <row r="17" spans="1:66" s="2" customFormat="1" x14ac:dyDescent="0.25">
      <c r="X17" s="55"/>
      <c r="Y17" s="34"/>
      <c r="Z17" s="34"/>
      <c r="AA17" s="34"/>
      <c r="AB17" s="34"/>
      <c r="AD17" s="14"/>
      <c r="AE17" s="12"/>
      <c r="AF17" s="148"/>
      <c r="AG17" s="190"/>
      <c r="AH17" s="193"/>
      <c r="AI17" s="193"/>
      <c r="AJ17" s="193"/>
      <c r="AK17" s="149" t="s">
        <v>121</v>
      </c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</row>
    <row r="18" spans="1:66" ht="15" customHeight="1" x14ac:dyDescent="0.25">
      <c r="X18" s="111" t="s">
        <v>102</v>
      </c>
      <c r="Y18" s="111"/>
      <c r="Z18" s="111"/>
      <c r="AA18" s="111"/>
      <c r="AB18" s="111"/>
      <c r="AF18" s="146" t="s">
        <v>122</v>
      </c>
      <c r="AG18" s="142"/>
      <c r="AH18" s="57">
        <f>$AG$8*AH5/AH6</f>
        <v>100</v>
      </c>
      <c r="AI18" s="57"/>
      <c r="AJ18" s="57"/>
      <c r="AK18" s="136">
        <f>$AK$10+SUM(AH18:AJ18)</f>
        <v>1566.6666666666665</v>
      </c>
      <c r="AL18"/>
      <c r="AM18"/>
    </row>
    <row r="19" spans="1:66" ht="15" customHeight="1" x14ac:dyDescent="0.25">
      <c r="B19" s="1"/>
      <c r="C19" s="1"/>
      <c r="D19" s="1"/>
      <c r="E19" s="1"/>
      <c r="F19" s="1"/>
      <c r="X19" s="32" t="s">
        <v>19</v>
      </c>
      <c r="Y19" s="33">
        <f>SUM(Y7:Y11)</f>
        <v>20000</v>
      </c>
      <c r="Z19" s="33">
        <f t="shared" ref="Z19:AA19" si="19">SUM(Z7:Z11)</f>
        <v>30000</v>
      </c>
      <c r="AA19" s="33">
        <f t="shared" si="19"/>
        <v>1000</v>
      </c>
      <c r="AB19" s="79">
        <f>+SUM(Y19:AA19)</f>
        <v>51000</v>
      </c>
      <c r="AF19" s="146" t="s">
        <v>123</v>
      </c>
      <c r="AG19" s="142"/>
      <c r="AH19" s="57"/>
      <c r="AI19" s="57">
        <f>$AG$8*AI5/AI6</f>
        <v>75</v>
      </c>
      <c r="AJ19" s="57"/>
      <c r="AK19" s="136">
        <f t="shared" ref="AK19:AK23" si="20">$AK$10+SUM(AH19:AJ19)</f>
        <v>1541.6666666666665</v>
      </c>
      <c r="AL19"/>
      <c r="AM19"/>
    </row>
    <row r="20" spans="1:66" ht="15" customHeight="1" x14ac:dyDescent="0.25">
      <c r="B20" s="1"/>
      <c r="C20" s="1"/>
      <c r="D20" s="1"/>
      <c r="E20" s="1"/>
      <c r="F20" s="1"/>
      <c r="X20" s="68" t="s">
        <v>65</v>
      </c>
      <c r="Y20" s="70">
        <f>Y5/Y6*Y19</f>
        <v>666.66666666666663</v>
      </c>
      <c r="Z20" s="70">
        <f>Z5/Z6*Z19</f>
        <v>750</v>
      </c>
      <c r="AA20" s="70">
        <f>AA5/AA6*AA19</f>
        <v>50</v>
      </c>
      <c r="AB20" s="71">
        <f>SUM(Y20:AA20)</f>
        <v>1466.6666666666665</v>
      </c>
      <c r="AF20" s="146" t="s">
        <v>124</v>
      </c>
      <c r="AG20" s="142"/>
      <c r="AH20" s="57"/>
      <c r="AI20" s="57"/>
      <c r="AJ20" s="57">
        <f>$AG$8*AJ5/AJ6</f>
        <v>150</v>
      </c>
      <c r="AK20" s="136">
        <f t="shared" si="20"/>
        <v>1616.6666666666665</v>
      </c>
      <c r="AL20"/>
      <c r="AM20"/>
    </row>
    <row r="21" spans="1:66" ht="15" customHeight="1" x14ac:dyDescent="0.25">
      <c r="B21" s="1"/>
      <c r="C21" s="1"/>
      <c r="D21" s="1"/>
      <c r="E21" s="1"/>
      <c r="F21" s="1"/>
      <c r="AF21" s="146" t="s">
        <v>125</v>
      </c>
      <c r="AG21" s="142"/>
      <c r="AH21" s="137">
        <f>$AG$8*AH11*AH5/AH6</f>
        <v>39.215686274509807</v>
      </c>
      <c r="AI21" s="137">
        <f t="shared" ref="AI21:AJ21" si="21">$AG$8*AI11*AI5/AI6</f>
        <v>44.117647058823529</v>
      </c>
      <c r="AJ21" s="137">
        <f t="shared" si="21"/>
        <v>2.9411764705882351</v>
      </c>
      <c r="AK21" s="136">
        <f>$AK$10+SUM(AH21:AJ21)</f>
        <v>1552.9411764705881</v>
      </c>
      <c r="AL21"/>
      <c r="AM21"/>
    </row>
    <row r="22" spans="1:66" ht="15" customHeight="1" x14ac:dyDescent="0.25">
      <c r="B22" s="1"/>
      <c r="C22" s="1"/>
      <c r="D22" s="1"/>
      <c r="E22" s="1"/>
      <c r="F22" s="1"/>
      <c r="AF22" s="146" t="s">
        <v>126</v>
      </c>
      <c r="AG22" s="142"/>
      <c r="AH22" s="137">
        <f>$AG$8*AH12*AH5/AH6</f>
        <v>41.666666666666664</v>
      </c>
      <c r="AI22" s="137">
        <f>$AG$8*AI12*AI5/AI6</f>
        <v>41.666666666666671</v>
      </c>
      <c r="AJ22" s="137">
        <f>$AG$8*AJ12*AJ5/AJ6</f>
        <v>4.1666666666666661</v>
      </c>
      <c r="AK22" s="136">
        <f t="shared" si="20"/>
        <v>1554.1666666666665</v>
      </c>
      <c r="AL22"/>
      <c r="AM22"/>
    </row>
    <row r="23" spans="1:66" ht="15" customHeight="1" x14ac:dyDescent="0.25">
      <c r="B23" s="1"/>
      <c r="C23" s="1"/>
      <c r="D23" s="1"/>
      <c r="E23" s="1"/>
      <c r="F23" s="1"/>
      <c r="AF23" s="153" t="s">
        <v>127</v>
      </c>
      <c r="AG23" s="154"/>
      <c r="AH23" s="138">
        <f>$AG$8/3*AH5/AH6</f>
        <v>33.333333333333336</v>
      </c>
      <c r="AI23" s="138">
        <f t="shared" ref="AI23:AJ23" si="22">$AG$8/3*AI5/AI6</f>
        <v>25</v>
      </c>
      <c r="AJ23" s="138">
        <f t="shared" si="22"/>
        <v>50</v>
      </c>
      <c r="AK23" s="98">
        <f t="shared" si="20"/>
        <v>1574.9999999999998</v>
      </c>
      <c r="AL23"/>
      <c r="AM23"/>
    </row>
    <row r="24" spans="1:66" ht="15" customHeight="1" x14ac:dyDescent="0.25">
      <c r="B24" s="1"/>
      <c r="C24" s="1"/>
      <c r="D24" s="1"/>
      <c r="E24" s="1"/>
      <c r="F24" s="1"/>
      <c r="AL24"/>
      <c r="AM24"/>
    </row>
    <row r="25" spans="1:66" ht="23.25" x14ac:dyDescent="0.35">
      <c r="A25" s="20" t="s">
        <v>83</v>
      </c>
      <c r="B25" s="21"/>
      <c r="C25" s="21"/>
      <c r="D25" s="21"/>
      <c r="E25" s="21"/>
      <c r="F25" s="21"/>
      <c r="H25" s="20" t="s">
        <v>85</v>
      </c>
      <c r="I25" s="20"/>
      <c r="J25" s="20"/>
      <c r="K25" s="20"/>
      <c r="L25" s="20"/>
      <c r="M25" s="20"/>
      <c r="N25" s="20"/>
      <c r="P25" s="20" t="s">
        <v>97</v>
      </c>
      <c r="Q25" s="20"/>
      <c r="R25" s="20"/>
      <c r="S25" s="20"/>
      <c r="T25" s="20"/>
      <c r="U25" s="20"/>
      <c r="V25" s="20"/>
      <c r="X25" s="20" t="s">
        <v>107</v>
      </c>
      <c r="Y25" s="20"/>
      <c r="Z25" s="20"/>
      <c r="AA25" s="20"/>
      <c r="AB25" s="20"/>
      <c r="AC25" s="20"/>
      <c r="AE25" s="20" t="s">
        <v>140</v>
      </c>
      <c r="AF25" s="20"/>
      <c r="AG25" s="20"/>
      <c r="AH25" s="20"/>
      <c r="AI25" s="20"/>
      <c r="AJ25" s="20"/>
      <c r="AK25" s="20"/>
      <c r="AL25"/>
      <c r="AM25"/>
    </row>
    <row r="26" spans="1:66" x14ac:dyDescent="0.25">
      <c r="A26" s="5"/>
      <c r="B26" s="4"/>
      <c r="C26" s="4"/>
      <c r="D26" s="4"/>
      <c r="E26" s="4"/>
      <c r="F26" s="4"/>
      <c r="AL26"/>
      <c r="AM26"/>
    </row>
    <row r="27" spans="1:66" ht="22.5" x14ac:dyDescent="0.25">
      <c r="B27" s="1"/>
      <c r="C27" s="1"/>
      <c r="D27" s="1"/>
      <c r="E27" s="1"/>
      <c r="F27" s="1"/>
      <c r="J27" s="29"/>
      <c r="K27" s="30" t="s">
        <v>66</v>
      </c>
      <c r="L27" s="50"/>
      <c r="M27" s="30" t="s">
        <v>78</v>
      </c>
      <c r="N27" s="30" t="s">
        <v>67</v>
      </c>
      <c r="X27" s="122"/>
      <c r="Y27" s="123" t="s">
        <v>105</v>
      </c>
      <c r="Z27" s="125"/>
      <c r="AA27" s="195" t="s">
        <v>106</v>
      </c>
      <c r="AB27" s="195"/>
      <c r="AC27" s="195"/>
      <c r="AL27"/>
      <c r="AM27"/>
    </row>
    <row r="28" spans="1:66" s="11" customFormat="1" ht="33.75" x14ac:dyDescent="0.25">
      <c r="A28" s="29"/>
      <c r="B28" s="30" t="s">
        <v>11</v>
      </c>
      <c r="C28" s="30" t="s">
        <v>12</v>
      </c>
      <c r="D28" s="30" t="s">
        <v>13</v>
      </c>
      <c r="E28" s="30" t="s">
        <v>1</v>
      </c>
      <c r="F28" s="30" t="s">
        <v>0</v>
      </c>
      <c r="G28" s="17"/>
      <c r="J28" s="29"/>
      <c r="K28" s="30"/>
      <c r="L28" s="50"/>
      <c r="M28" s="30" t="s">
        <v>160</v>
      </c>
      <c r="N28" s="30" t="s">
        <v>161</v>
      </c>
      <c r="O28" s="17"/>
      <c r="R28" s="72"/>
      <c r="S28" s="30" t="s">
        <v>11</v>
      </c>
      <c r="T28" s="30" t="s">
        <v>12</v>
      </c>
      <c r="U28" s="30" t="s">
        <v>13</v>
      </c>
      <c r="V28" s="29" t="s">
        <v>0</v>
      </c>
      <c r="W28" s="17"/>
      <c r="X28" s="119"/>
      <c r="Y28" s="30" t="s">
        <v>11</v>
      </c>
      <c r="Z28" s="50"/>
      <c r="AA28" s="30" t="s">
        <v>51</v>
      </c>
      <c r="AB28" s="30" t="s">
        <v>52</v>
      </c>
      <c r="AC28" s="30" t="s">
        <v>54</v>
      </c>
      <c r="AD28" s="17"/>
      <c r="AE28" s="12"/>
      <c r="AF28" s="30"/>
      <c r="AG28" s="30" t="s">
        <v>115</v>
      </c>
      <c r="AH28" s="30" t="s">
        <v>11</v>
      </c>
      <c r="AI28" s="30" t="s">
        <v>12</v>
      </c>
      <c r="AJ28" s="30" t="s">
        <v>13</v>
      </c>
      <c r="AK28" s="30" t="s">
        <v>0</v>
      </c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</row>
    <row r="29" spans="1:66" x14ac:dyDescent="0.25">
      <c r="A29" s="76" t="s">
        <v>6</v>
      </c>
      <c r="B29" s="77">
        <v>1000</v>
      </c>
      <c r="C29" s="77">
        <v>1000</v>
      </c>
      <c r="D29" s="77">
        <v>100</v>
      </c>
      <c r="E29" s="77">
        <v>0</v>
      </c>
      <c r="F29" s="99">
        <f>+SUM(B29:E29)</f>
        <v>2100</v>
      </c>
      <c r="J29" s="183" t="s">
        <v>68</v>
      </c>
      <c r="K29" s="184"/>
      <c r="L29" s="185"/>
      <c r="M29" s="184"/>
      <c r="N29" s="184"/>
      <c r="R29" s="26" t="s">
        <v>6</v>
      </c>
      <c r="S29" s="27">
        <f t="shared" ref="S29:U30" si="23">S5</f>
        <v>1000</v>
      </c>
      <c r="T29" s="27">
        <f t="shared" si="23"/>
        <v>1000</v>
      </c>
      <c r="U29" s="27">
        <f t="shared" si="23"/>
        <v>100</v>
      </c>
      <c r="V29" s="27">
        <f>+SUM(S29:U29)</f>
        <v>2100</v>
      </c>
      <c r="X29" s="26" t="s">
        <v>6</v>
      </c>
      <c r="Y29" s="116">
        <f>AB5</f>
        <v>2100</v>
      </c>
      <c r="Z29" s="126"/>
      <c r="AA29" s="116">
        <f>AB5</f>
        <v>2100</v>
      </c>
      <c r="AB29" s="8"/>
      <c r="AC29" s="5"/>
      <c r="AF29" s="26" t="s">
        <v>6</v>
      </c>
      <c r="AG29" s="142"/>
      <c r="AH29" s="136">
        <f t="shared" ref="AH29:AJ30" si="24">AH5</f>
        <v>1000</v>
      </c>
      <c r="AI29" s="136">
        <f t="shared" si="24"/>
        <v>1000</v>
      </c>
      <c r="AJ29" s="136">
        <f t="shared" si="24"/>
        <v>100</v>
      </c>
      <c r="AK29" s="136">
        <f>SUM(AG29:AJ29)</f>
        <v>2100</v>
      </c>
      <c r="AL29"/>
      <c r="AM29"/>
    </row>
    <row r="30" spans="1:66" x14ac:dyDescent="0.25">
      <c r="A30" s="76" t="s">
        <v>14</v>
      </c>
      <c r="B30" s="77">
        <v>30000</v>
      </c>
      <c r="C30" s="77">
        <v>40000</v>
      </c>
      <c r="D30" s="77">
        <v>2000</v>
      </c>
      <c r="E30" s="77">
        <v>0</v>
      </c>
      <c r="F30" s="99">
        <f>+SUM(B30:E30)</f>
        <v>72000</v>
      </c>
      <c r="J30" s="23" t="s">
        <v>69</v>
      </c>
      <c r="K30" s="39" t="s">
        <v>70</v>
      </c>
      <c r="L30" s="46"/>
      <c r="M30" s="39">
        <v>300</v>
      </c>
      <c r="N30" s="39">
        <v>300</v>
      </c>
      <c r="R30" s="23" t="s">
        <v>14</v>
      </c>
      <c r="S30" s="27">
        <f t="shared" si="23"/>
        <v>30000</v>
      </c>
      <c r="T30" s="27">
        <f t="shared" si="23"/>
        <v>40000</v>
      </c>
      <c r="U30" s="27">
        <f t="shared" si="23"/>
        <v>2000</v>
      </c>
      <c r="V30" s="27">
        <f>+SUM(S30:U30)</f>
        <v>72000</v>
      </c>
      <c r="X30" s="23" t="s">
        <v>14</v>
      </c>
      <c r="Y30" s="114">
        <f>AB6</f>
        <v>72000</v>
      </c>
      <c r="Z30" s="126"/>
      <c r="AA30" s="114">
        <f>AB6</f>
        <v>72000</v>
      </c>
      <c r="AB30" s="5"/>
      <c r="AC30" s="5"/>
      <c r="AF30" s="23" t="s">
        <v>14</v>
      </c>
      <c r="AG30" s="140"/>
      <c r="AH30" s="136">
        <f t="shared" si="24"/>
        <v>30000</v>
      </c>
      <c r="AI30" s="136">
        <f t="shared" si="24"/>
        <v>40000</v>
      </c>
      <c r="AJ30" s="136">
        <f t="shared" si="24"/>
        <v>2000</v>
      </c>
      <c r="AK30" s="136">
        <f>SUM(AG30:AJ30)</f>
        <v>72000</v>
      </c>
      <c r="AL30"/>
      <c r="AM30"/>
    </row>
    <row r="31" spans="1:66" ht="15.75" x14ac:dyDescent="0.25">
      <c r="A31" s="78" t="s">
        <v>15</v>
      </c>
      <c r="B31" s="79">
        <v>20000</v>
      </c>
      <c r="C31" s="79">
        <v>30000</v>
      </c>
      <c r="D31" s="79">
        <v>1000</v>
      </c>
      <c r="E31" s="79">
        <v>0</v>
      </c>
      <c r="F31" s="100">
        <f>+SUM(B31:E31)</f>
        <v>51000</v>
      </c>
      <c r="J31" s="23" t="s">
        <v>71</v>
      </c>
      <c r="K31" s="40">
        <f>B5</f>
        <v>1000</v>
      </c>
      <c r="L31" s="46"/>
      <c r="M31" s="51">
        <f>(K32-M30)/B8</f>
        <v>990</v>
      </c>
      <c r="N31" s="51">
        <f>(K32-N30)/B8</f>
        <v>990</v>
      </c>
      <c r="R31" s="32" t="s">
        <v>15</v>
      </c>
      <c r="S31" s="33">
        <v>51000</v>
      </c>
      <c r="T31" s="33">
        <v>0</v>
      </c>
      <c r="U31" s="33">
        <v>0</v>
      </c>
      <c r="V31" s="27">
        <f>+SUM(S31:U31)</f>
        <v>51000</v>
      </c>
      <c r="X31" s="23" t="s">
        <v>48</v>
      </c>
      <c r="Y31" s="114">
        <f>AB7</f>
        <v>51000</v>
      </c>
      <c r="Z31" s="126"/>
      <c r="AA31" s="114">
        <f>Y32</f>
        <v>50000</v>
      </c>
      <c r="AB31" s="114">
        <v>1000</v>
      </c>
      <c r="AC31" s="5"/>
      <c r="AE31" s="17"/>
      <c r="AF31" s="23" t="s">
        <v>15</v>
      </c>
      <c r="AG31" s="136">
        <v>50000</v>
      </c>
      <c r="AH31" s="136">
        <v>4000</v>
      </c>
      <c r="AI31" s="39" t="s">
        <v>94</v>
      </c>
      <c r="AJ31" s="39" t="s">
        <v>94</v>
      </c>
      <c r="AK31" s="136">
        <f>AK7</f>
        <v>54000</v>
      </c>
      <c r="AL31"/>
      <c r="AM31"/>
    </row>
    <row r="32" spans="1:66" ht="14.45" customHeight="1" x14ac:dyDescent="0.25">
      <c r="A32" s="80" t="s">
        <v>16</v>
      </c>
      <c r="B32" s="81">
        <f>+B30/B29</f>
        <v>30</v>
      </c>
      <c r="C32" s="81">
        <f t="shared" ref="C32" si="25">+C30/C29</f>
        <v>40</v>
      </c>
      <c r="D32" s="81">
        <v>10</v>
      </c>
      <c r="E32" s="81">
        <v>0</v>
      </c>
      <c r="F32" s="101">
        <f t="shared" ref="F32" si="26">+F30/F29</f>
        <v>34.285714285714285</v>
      </c>
      <c r="J32" s="23" t="s">
        <v>72</v>
      </c>
      <c r="K32" s="40">
        <f>B6</f>
        <v>30000</v>
      </c>
      <c r="L32" s="46"/>
      <c r="M32" s="40">
        <v>30000</v>
      </c>
      <c r="N32" s="40">
        <f>K32-N30</f>
        <v>29700</v>
      </c>
      <c r="R32" s="68" t="s">
        <v>95</v>
      </c>
      <c r="S32" s="73">
        <v>-31000</v>
      </c>
      <c r="T32" s="73">
        <v>30000</v>
      </c>
      <c r="U32" s="73">
        <v>1000</v>
      </c>
      <c r="V32" s="71"/>
      <c r="X32" s="22" t="s">
        <v>49</v>
      </c>
      <c r="Y32" s="115">
        <v>50000</v>
      </c>
      <c r="Z32" s="126"/>
      <c r="AA32" s="115">
        <v>50000</v>
      </c>
      <c r="AB32" s="5"/>
      <c r="AC32" s="5"/>
      <c r="AF32" s="32" t="s">
        <v>8</v>
      </c>
      <c r="AG32" s="147">
        <v>3000</v>
      </c>
      <c r="AH32" s="60" t="s">
        <v>70</v>
      </c>
      <c r="AI32" s="60" t="s">
        <v>70</v>
      </c>
      <c r="AJ32" s="60" t="s">
        <v>70</v>
      </c>
      <c r="AK32" s="98">
        <f>AG32</f>
        <v>3000</v>
      </c>
      <c r="AL32"/>
      <c r="AM32"/>
    </row>
    <row r="33" spans="1:39" ht="14.45" customHeight="1" x14ac:dyDescent="0.25">
      <c r="A33" s="80" t="s">
        <v>17</v>
      </c>
      <c r="B33" s="82">
        <f>+B31/B30</f>
        <v>0.66666666666666663</v>
      </c>
      <c r="C33" s="82">
        <f t="shared" ref="C33:D33" si="27">+C31/C30</f>
        <v>0.75</v>
      </c>
      <c r="D33" s="82">
        <f t="shared" si="27"/>
        <v>0.5</v>
      </c>
      <c r="E33" s="77">
        <v>0</v>
      </c>
      <c r="F33" s="102">
        <f t="shared" ref="F33" si="28">+F31/F30</f>
        <v>0.70833333333333337</v>
      </c>
      <c r="J33" s="23" t="s">
        <v>73</v>
      </c>
      <c r="K33" s="40">
        <f>B7</f>
        <v>20000</v>
      </c>
      <c r="L33" s="46"/>
      <c r="M33" s="40">
        <f>K33</f>
        <v>20000</v>
      </c>
      <c r="N33" s="40">
        <f>K33</f>
        <v>20000</v>
      </c>
      <c r="R33" s="32" t="s">
        <v>19</v>
      </c>
      <c r="S33" s="33">
        <f>S31</f>
        <v>51000</v>
      </c>
      <c r="T33" s="33">
        <f t="shared" ref="T33:U33" si="29">T31</f>
        <v>0</v>
      </c>
      <c r="U33" s="33">
        <f t="shared" si="29"/>
        <v>0</v>
      </c>
      <c r="V33" s="27">
        <f>+SUM(S33:U33)</f>
        <v>51000</v>
      </c>
      <c r="X33" s="31" t="s">
        <v>50</v>
      </c>
      <c r="Y33" s="124">
        <v>1000</v>
      </c>
      <c r="Z33" s="127"/>
      <c r="AA33" s="120"/>
      <c r="AB33" s="124">
        <v>1000</v>
      </c>
      <c r="AC33" s="120"/>
      <c r="AF33" s="23" t="s">
        <v>117</v>
      </c>
      <c r="AG33" s="141">
        <v>-47000</v>
      </c>
      <c r="AH33" s="40">
        <v>16000</v>
      </c>
      <c r="AI33" s="40">
        <v>30000</v>
      </c>
      <c r="AJ33" s="40">
        <v>1000</v>
      </c>
      <c r="AK33" s="40">
        <v>47000</v>
      </c>
      <c r="AL33"/>
      <c r="AM33"/>
    </row>
    <row r="34" spans="1:39" ht="14.45" customHeight="1" x14ac:dyDescent="0.25">
      <c r="A34" s="83"/>
      <c r="B34" s="84"/>
      <c r="C34" s="84"/>
      <c r="D34" s="84"/>
      <c r="E34" s="84"/>
      <c r="F34" s="103"/>
      <c r="J34" s="41" t="s">
        <v>65</v>
      </c>
      <c r="K34" s="52">
        <f>+K31*K33/K32</f>
        <v>666.66666666666663</v>
      </c>
      <c r="L34" s="47"/>
      <c r="M34" s="52">
        <f>+M31*M33/M32</f>
        <v>660</v>
      </c>
      <c r="N34" s="52">
        <f>+N31*N33/N32</f>
        <v>666.66666666666663</v>
      </c>
      <c r="R34" s="68" t="s">
        <v>47</v>
      </c>
      <c r="S34" s="70">
        <f>+S29*S33/S30</f>
        <v>1700</v>
      </c>
      <c r="T34" s="70">
        <f t="shared" ref="T34:U34" si="30">+T29*T33/T30</f>
        <v>0</v>
      </c>
      <c r="U34" s="70">
        <f t="shared" si="30"/>
        <v>0</v>
      </c>
      <c r="V34" s="69">
        <f>+SUM(S34:U34)</f>
        <v>1700</v>
      </c>
      <c r="X34" s="31" t="s">
        <v>53</v>
      </c>
      <c r="Y34" s="124"/>
      <c r="Z34" s="132"/>
      <c r="AA34" s="3"/>
      <c r="AB34" s="124"/>
      <c r="AC34" s="3"/>
      <c r="AF34" s="23" t="s">
        <v>133</v>
      </c>
      <c r="AG34" s="141">
        <v>50000</v>
      </c>
      <c r="AH34" s="40">
        <v>20000</v>
      </c>
      <c r="AI34" s="40">
        <v>30000</v>
      </c>
      <c r="AJ34" s="40">
        <v>1000</v>
      </c>
      <c r="AK34" s="39"/>
      <c r="AL34"/>
      <c r="AM34"/>
    </row>
    <row r="35" spans="1:39" x14ac:dyDescent="0.25">
      <c r="A35" s="85" t="s">
        <v>56</v>
      </c>
      <c r="B35" s="104"/>
      <c r="C35" s="104"/>
      <c r="D35" s="104"/>
      <c r="E35" s="104"/>
      <c r="F35" s="87">
        <f>+F5*F7/F6</f>
        <v>1487.5</v>
      </c>
      <c r="J35" s="31"/>
      <c r="K35" s="43"/>
      <c r="L35" s="48"/>
      <c r="M35" s="43"/>
      <c r="N35" s="43"/>
      <c r="X35" s="68" t="s">
        <v>47</v>
      </c>
      <c r="Y35" s="129">
        <f>Y29/Y30*Y31</f>
        <v>1487.5</v>
      </c>
      <c r="Z35" s="130"/>
      <c r="AA35" s="129">
        <f>AA29/AA30*AA31</f>
        <v>1458.3333333333333</v>
      </c>
      <c r="AB35" s="129">
        <f>AB33/50</f>
        <v>20</v>
      </c>
      <c r="AC35" s="129">
        <v>1478</v>
      </c>
      <c r="AF35" s="34" t="s">
        <v>134</v>
      </c>
      <c r="AG35" s="163"/>
      <c r="AH35" s="165">
        <f>AH10+AH18</f>
        <v>766.66666666666663</v>
      </c>
      <c r="AI35" s="165">
        <f>AI10+AI18</f>
        <v>750</v>
      </c>
      <c r="AJ35" s="165">
        <f>AJ10+AJ18</f>
        <v>50</v>
      </c>
      <c r="AK35" s="95">
        <f>SUM(AH35:AJ35)</f>
        <v>1566.6666666666665</v>
      </c>
      <c r="AL35"/>
      <c r="AM35"/>
    </row>
    <row r="36" spans="1:39" x14ac:dyDescent="0.25">
      <c r="A36" s="88" t="s">
        <v>18</v>
      </c>
      <c r="B36" s="89"/>
      <c r="C36" s="89"/>
      <c r="D36" s="89"/>
      <c r="E36" s="89"/>
      <c r="F36" s="101">
        <f>+F7/F35</f>
        <v>34.285714285714285</v>
      </c>
      <c r="J36" s="183" t="s">
        <v>74</v>
      </c>
      <c r="K36" s="184"/>
      <c r="L36" s="185"/>
      <c r="M36" s="184"/>
      <c r="N36" s="184"/>
      <c r="X36" s="121" t="s">
        <v>18</v>
      </c>
      <c r="Y36" s="133">
        <f>Y30/Y29</f>
        <v>34.285714285714285</v>
      </c>
      <c r="Z36" s="128"/>
      <c r="AA36" s="133">
        <f>AA30/AA29</f>
        <v>34.285714285714285</v>
      </c>
      <c r="AB36" s="133">
        <v>50</v>
      </c>
      <c r="AC36" s="133">
        <f>(AA31+AB31)/AC35</f>
        <v>34.506089309878213</v>
      </c>
      <c r="AF36" s="26"/>
      <c r="AG36" s="142"/>
      <c r="AH36" s="57"/>
      <c r="AI36" s="57"/>
      <c r="AJ36" s="57"/>
      <c r="AK36" s="57"/>
      <c r="AL36"/>
      <c r="AM36"/>
    </row>
    <row r="37" spans="1:39" x14ac:dyDescent="0.25">
      <c r="A37" s="83"/>
      <c r="B37" s="83"/>
      <c r="C37" s="83"/>
      <c r="D37" s="83"/>
      <c r="E37" s="83"/>
      <c r="F37" s="83"/>
      <c r="J37" s="23" t="s">
        <v>75</v>
      </c>
      <c r="K37" s="40">
        <f>B5</f>
        <v>1000</v>
      </c>
      <c r="L37" s="46"/>
      <c r="M37" s="51">
        <f>M31</f>
        <v>990</v>
      </c>
      <c r="N37" s="51">
        <f>N31</f>
        <v>990</v>
      </c>
      <c r="AF37" s="166" t="s">
        <v>141</v>
      </c>
      <c r="AG37" s="167"/>
      <c r="AH37" s="168"/>
      <c r="AI37" s="168"/>
      <c r="AJ37" s="168"/>
      <c r="AK37" s="168"/>
      <c r="AL37"/>
      <c r="AM37"/>
    </row>
    <row r="38" spans="1:39" x14ac:dyDescent="0.25">
      <c r="A38" s="83" t="s">
        <v>55</v>
      </c>
      <c r="B38" s="90">
        <f>+B31/$F$31</f>
        <v>0.39215686274509803</v>
      </c>
      <c r="C38" s="90">
        <f t="shared" ref="C38:D38" si="31">+C31/$F$31</f>
        <v>0.58823529411764708</v>
      </c>
      <c r="D38" s="90">
        <f t="shared" si="31"/>
        <v>1.9607843137254902E-2</v>
      </c>
      <c r="E38" s="83"/>
      <c r="F38" s="83"/>
      <c r="J38" s="23" t="s">
        <v>76</v>
      </c>
      <c r="K38" s="40">
        <f>K32-K31</f>
        <v>29000</v>
      </c>
      <c r="L38" s="46"/>
      <c r="M38" s="40">
        <f>M32-M31-M30</f>
        <v>28710</v>
      </c>
      <c r="N38" s="40">
        <f>N32-N31</f>
        <v>28710</v>
      </c>
      <c r="AF38" s="162" t="s">
        <v>135</v>
      </c>
      <c r="AG38" s="141">
        <f>AK35</f>
        <v>1566.6666666666665</v>
      </c>
      <c r="AH38" s="39" t="s">
        <v>70</v>
      </c>
      <c r="AI38" s="39" t="s">
        <v>136</v>
      </c>
      <c r="AJ38" s="39" t="s">
        <v>136</v>
      </c>
      <c r="AK38" s="40">
        <f>SUM(AG38:AH38)</f>
        <v>1566.6666666666665</v>
      </c>
      <c r="AL38"/>
      <c r="AM38"/>
    </row>
    <row r="39" spans="1:39" x14ac:dyDescent="0.25">
      <c r="A39" s="83" t="s">
        <v>57</v>
      </c>
      <c r="B39" s="91">
        <f>+B38*$F$35</f>
        <v>583.33333333333337</v>
      </c>
      <c r="C39" s="91">
        <f t="shared" ref="C39:D39" si="32">+C38*$F$35</f>
        <v>875</v>
      </c>
      <c r="D39" s="91">
        <f t="shared" si="32"/>
        <v>29.166666666666668</v>
      </c>
      <c r="E39" s="83"/>
      <c r="F39" s="83"/>
      <c r="J39" s="23" t="s">
        <v>77</v>
      </c>
      <c r="K39" s="40">
        <f>K33-K34</f>
        <v>19333.333333333332</v>
      </c>
      <c r="L39" s="46"/>
      <c r="M39" s="40">
        <f>M33-M34</f>
        <v>19340</v>
      </c>
      <c r="N39" s="40">
        <f>N33-N34</f>
        <v>19333.333333333332</v>
      </c>
      <c r="AF39" s="162" t="s">
        <v>137</v>
      </c>
      <c r="AG39" s="140"/>
      <c r="AH39" s="40">
        <f>AK35</f>
        <v>1566.6666666666665</v>
      </c>
      <c r="AI39" s="39" t="s">
        <v>136</v>
      </c>
      <c r="AJ39" s="39" t="s">
        <v>136</v>
      </c>
      <c r="AK39" s="40">
        <f t="shared" ref="AK39:AK41" si="33">SUM(AG39:AH39)</f>
        <v>1566.6666666666665</v>
      </c>
      <c r="AL39"/>
      <c r="AM39"/>
    </row>
    <row r="40" spans="1:39" x14ac:dyDescent="0.25">
      <c r="J40" s="44" t="s">
        <v>47</v>
      </c>
      <c r="K40" s="53">
        <f>+K37*K39/K38</f>
        <v>666.66666666666663</v>
      </c>
      <c r="L40" s="49"/>
      <c r="M40" s="53">
        <f>+M37*M39/M38</f>
        <v>666.89655172413791</v>
      </c>
      <c r="N40" s="53">
        <f>+N37*N39/N38</f>
        <v>666.66666666666663</v>
      </c>
      <c r="AF40" s="162" t="s">
        <v>138</v>
      </c>
      <c r="AG40" s="141">
        <f>$AK$35*AG31/($AG$31+$AH$31)</f>
        <v>1450.6172839506171</v>
      </c>
      <c r="AH40" s="141">
        <f>$AK$35*AH31/($AG$31+$AH$31)</f>
        <v>116.04938271604937</v>
      </c>
      <c r="AI40" s="39" t="s">
        <v>136</v>
      </c>
      <c r="AJ40" s="39" t="s">
        <v>136</v>
      </c>
      <c r="AK40" s="40">
        <f t="shared" si="33"/>
        <v>1566.6666666666665</v>
      </c>
      <c r="AL40"/>
      <c r="AM40"/>
    </row>
    <row r="41" spans="1:39" x14ac:dyDescent="0.25">
      <c r="AF41" s="164" t="s">
        <v>139</v>
      </c>
      <c r="AG41" s="147">
        <f>$AK$35/2</f>
        <v>783.33333333333326</v>
      </c>
      <c r="AH41" s="147">
        <f>$AK$35/2</f>
        <v>783.33333333333326</v>
      </c>
      <c r="AI41" s="60" t="s">
        <v>136</v>
      </c>
      <c r="AJ41" s="60" t="s">
        <v>136</v>
      </c>
      <c r="AK41" s="98">
        <f t="shared" si="33"/>
        <v>1566.6666666666665</v>
      </c>
      <c r="AL41"/>
      <c r="AM41"/>
    </row>
    <row r="42" spans="1:39" x14ac:dyDescent="0.25">
      <c r="M42" s="54"/>
      <c r="AL42"/>
      <c r="AM42"/>
    </row>
    <row r="43" spans="1:39" ht="23.25" x14ac:dyDescent="0.35">
      <c r="A43" s="20" t="s">
        <v>86</v>
      </c>
      <c r="B43" s="21"/>
      <c r="C43" s="21"/>
      <c r="D43" s="21"/>
      <c r="E43" s="21"/>
      <c r="F43" s="21"/>
      <c r="H43" s="20" t="s">
        <v>87</v>
      </c>
      <c r="I43" s="21"/>
      <c r="J43" s="21"/>
      <c r="K43" s="21"/>
      <c r="L43" s="21"/>
      <c r="M43" s="21"/>
      <c r="N43" s="20"/>
      <c r="P43" s="20" t="s">
        <v>98</v>
      </c>
      <c r="Q43" s="20"/>
      <c r="R43" s="20"/>
      <c r="S43" s="20"/>
      <c r="T43" s="20"/>
      <c r="U43" s="20"/>
      <c r="V43" s="20"/>
      <c r="X43" s="20" t="s">
        <v>108</v>
      </c>
      <c r="Y43" s="20"/>
      <c r="Z43" s="20"/>
      <c r="AA43" s="20"/>
      <c r="AB43" s="20"/>
      <c r="AC43" s="20"/>
      <c r="AE43" s="20" t="s">
        <v>142</v>
      </c>
      <c r="AF43" s="20"/>
      <c r="AG43" s="20"/>
      <c r="AH43" s="20"/>
      <c r="AI43" s="20"/>
      <c r="AJ43" s="20"/>
      <c r="AK43" s="20"/>
      <c r="AL43"/>
      <c r="AM43"/>
    </row>
    <row r="44" spans="1:39" x14ac:dyDescent="0.25">
      <c r="AL44"/>
      <c r="AM44"/>
    </row>
    <row r="45" spans="1:39" x14ac:dyDescent="0.25">
      <c r="AF45" s="83" t="s">
        <v>159</v>
      </c>
      <c r="AG45" s="178">
        <v>0.05</v>
      </c>
      <c r="AL45"/>
      <c r="AM45"/>
    </row>
    <row r="46" spans="1:39" x14ac:dyDescent="0.25">
      <c r="X46"/>
      <c r="Y46"/>
      <c r="Z46"/>
      <c r="AA46"/>
      <c r="AB46"/>
      <c r="AF46" s="83" t="s">
        <v>158</v>
      </c>
      <c r="AG46" s="178">
        <v>0.03</v>
      </c>
      <c r="AL46"/>
      <c r="AM46"/>
    </row>
    <row r="47" spans="1:39" x14ac:dyDescent="0.25">
      <c r="B47" s="1"/>
      <c r="C47" s="1"/>
      <c r="D47" s="1"/>
      <c r="E47" s="1"/>
      <c r="F47" s="1"/>
      <c r="AE47" s="9"/>
      <c r="AF47" s="9"/>
      <c r="AG47" s="9"/>
      <c r="AH47" s="9"/>
      <c r="AI47" s="9"/>
      <c r="AJ47" s="9"/>
      <c r="AL47"/>
      <c r="AM47"/>
    </row>
    <row r="48" spans="1:39" ht="27.75" customHeight="1" x14ac:dyDescent="0.25">
      <c r="A48" s="29"/>
      <c r="B48" s="30" t="s">
        <v>11</v>
      </c>
      <c r="C48" s="30" t="s">
        <v>12</v>
      </c>
      <c r="D48" s="30" t="s">
        <v>13</v>
      </c>
      <c r="E48" s="30" t="s">
        <v>1</v>
      </c>
      <c r="F48" s="30" t="s">
        <v>0</v>
      </c>
      <c r="H48" s="30"/>
      <c r="I48" s="30"/>
      <c r="J48" s="30"/>
      <c r="K48" s="30" t="s">
        <v>11</v>
      </c>
      <c r="L48" s="30" t="s">
        <v>12</v>
      </c>
      <c r="M48" s="29" t="s">
        <v>13</v>
      </c>
      <c r="N48" s="30" t="s">
        <v>0</v>
      </c>
      <c r="R48" s="72"/>
      <c r="S48" s="30" t="s">
        <v>11</v>
      </c>
      <c r="T48" s="30" t="s">
        <v>12</v>
      </c>
      <c r="U48" s="30" t="s">
        <v>13</v>
      </c>
      <c r="V48" s="29" t="s">
        <v>0</v>
      </c>
      <c r="X48" s="72"/>
      <c r="Y48" s="30" t="s">
        <v>11</v>
      </c>
      <c r="Z48" s="30" t="s">
        <v>12</v>
      </c>
      <c r="AA48" s="30" t="s">
        <v>13</v>
      </c>
      <c r="AB48" s="29" t="s">
        <v>0</v>
      </c>
      <c r="AE48" s="117"/>
      <c r="AF48" s="117" t="s">
        <v>143</v>
      </c>
      <c r="AG48" s="118" t="s">
        <v>115</v>
      </c>
      <c r="AH48" s="118" t="s">
        <v>11</v>
      </c>
      <c r="AI48" s="118" t="s">
        <v>12</v>
      </c>
      <c r="AJ48" s="118" t="s">
        <v>13</v>
      </c>
      <c r="AL48"/>
      <c r="AM48"/>
    </row>
    <row r="49" spans="1:36" x14ac:dyDescent="0.25">
      <c r="A49" s="83"/>
      <c r="B49" s="84"/>
      <c r="C49" s="84"/>
      <c r="D49" s="84"/>
      <c r="E49" s="84"/>
      <c r="F49" s="84"/>
      <c r="H49" s="197"/>
      <c r="I49" s="197"/>
      <c r="J49" s="32"/>
      <c r="K49" s="33"/>
      <c r="L49" s="33"/>
      <c r="M49" s="33"/>
      <c r="N49" s="33"/>
      <c r="R49" s="26" t="s">
        <v>6</v>
      </c>
      <c r="S49" s="27">
        <f t="shared" ref="S49:U52" si="34">S29</f>
        <v>1000</v>
      </c>
      <c r="T49" s="27">
        <f t="shared" si="34"/>
        <v>1000</v>
      </c>
      <c r="U49" s="27">
        <f t="shared" si="34"/>
        <v>100</v>
      </c>
      <c r="V49" s="27">
        <f>+SUM(S49:U49)</f>
        <v>2100</v>
      </c>
      <c r="X49" s="23" t="s">
        <v>109</v>
      </c>
      <c r="Y49" s="134">
        <f>S8</f>
        <v>666.66666666666663</v>
      </c>
      <c r="Z49" s="23">
        <f>Z50</f>
        <v>900</v>
      </c>
      <c r="AA49" s="134">
        <f>U8</f>
        <v>50</v>
      </c>
      <c r="AB49" s="40">
        <f>SUM(Y49:AA49)</f>
        <v>1616.6666666666665</v>
      </c>
      <c r="AE49" s="172"/>
      <c r="AF49" s="111" t="s">
        <v>144</v>
      </c>
      <c r="AG49" s="173">
        <v>0</v>
      </c>
      <c r="AH49" s="174"/>
      <c r="AI49" s="174"/>
      <c r="AJ49" s="174"/>
    </row>
    <row r="50" spans="1:36" x14ac:dyDescent="0.25">
      <c r="A50" s="85" t="s">
        <v>65</v>
      </c>
      <c r="B50" s="86">
        <f>+B11</f>
        <v>666.66666666666663</v>
      </c>
      <c r="C50" s="86">
        <f>+C11</f>
        <v>750</v>
      </c>
      <c r="D50" s="86">
        <f>+D11</f>
        <v>50</v>
      </c>
      <c r="E50" s="86">
        <f>+E11</f>
        <v>0</v>
      </c>
      <c r="F50" s="86">
        <f>+B50+C50+D50</f>
        <v>1466.6666666666665</v>
      </c>
      <c r="H50" s="55" t="s">
        <v>46</v>
      </c>
      <c r="I50" s="55" t="s">
        <v>103</v>
      </c>
      <c r="J50" s="55"/>
      <c r="K50" s="55"/>
      <c r="L50" s="56"/>
      <c r="M50" s="55"/>
      <c r="N50" s="56"/>
      <c r="R50" s="23" t="s">
        <v>14</v>
      </c>
      <c r="S50" s="27">
        <f t="shared" si="34"/>
        <v>30000</v>
      </c>
      <c r="T50" s="27">
        <f t="shared" si="34"/>
        <v>40000</v>
      </c>
      <c r="U50" s="27">
        <f t="shared" si="34"/>
        <v>2000</v>
      </c>
      <c r="V50" s="27">
        <f>+SUM(S50:U50)</f>
        <v>72000</v>
      </c>
      <c r="X50" s="32" t="s">
        <v>110</v>
      </c>
      <c r="Y50" s="33">
        <f>AB50-AA50-Z50</f>
        <v>516.66666666666652</v>
      </c>
      <c r="Z50" s="32">
        <v>900</v>
      </c>
      <c r="AA50" s="135">
        <f>AA49</f>
        <v>50</v>
      </c>
      <c r="AB50" s="98">
        <f>V8</f>
        <v>1466.6666666666665</v>
      </c>
      <c r="AE50" s="169"/>
      <c r="AF50" s="23" t="s">
        <v>145</v>
      </c>
      <c r="AG50" s="140">
        <v>0</v>
      </c>
      <c r="AH50" s="39"/>
      <c r="AI50" s="39"/>
      <c r="AJ50" s="39"/>
    </row>
    <row r="51" spans="1:36" x14ac:dyDescent="0.25">
      <c r="A51" s="80"/>
      <c r="B51" s="81"/>
      <c r="C51" s="81"/>
      <c r="D51" s="81"/>
      <c r="E51" s="81"/>
      <c r="F51" s="81"/>
      <c r="H51" s="23" t="s">
        <v>24</v>
      </c>
      <c r="I51" s="24">
        <v>45</v>
      </c>
      <c r="J51" s="23" t="s">
        <v>7</v>
      </c>
      <c r="K51" s="25">
        <v>16000</v>
      </c>
      <c r="L51" s="25">
        <v>30000</v>
      </c>
      <c r="M51" s="25">
        <v>1000</v>
      </c>
      <c r="N51" s="25">
        <v>47000</v>
      </c>
      <c r="R51" s="32" t="s">
        <v>15</v>
      </c>
      <c r="S51" s="27">
        <f t="shared" si="34"/>
        <v>51000</v>
      </c>
      <c r="T51" s="27">
        <f t="shared" si="34"/>
        <v>0</v>
      </c>
      <c r="U51" s="27">
        <f t="shared" si="34"/>
        <v>0</v>
      </c>
      <c r="V51" s="27">
        <f>+SUM(S51:U51)</f>
        <v>51000</v>
      </c>
      <c r="AE51" s="175" t="s">
        <v>70</v>
      </c>
      <c r="AF51" s="44" t="s">
        <v>146</v>
      </c>
      <c r="AG51" s="176">
        <v>0</v>
      </c>
      <c r="AH51" s="45"/>
      <c r="AI51" s="45"/>
      <c r="AJ51" s="45"/>
    </row>
    <row r="52" spans="1:36" ht="15" customHeight="1" x14ac:dyDescent="0.25">
      <c r="A52" s="92" t="s">
        <v>20</v>
      </c>
      <c r="B52" s="181">
        <f>+B50</f>
        <v>666.66666666666663</v>
      </c>
      <c r="C52" s="182" t="s">
        <v>104</v>
      </c>
      <c r="D52" s="182" t="s">
        <v>104</v>
      </c>
      <c r="E52" s="92"/>
      <c r="F52" s="93">
        <f>+F50</f>
        <v>1466.6666666666665</v>
      </c>
      <c r="H52" s="23" t="s">
        <v>25</v>
      </c>
      <c r="I52" s="24">
        <v>47</v>
      </c>
      <c r="J52" s="23" t="s">
        <v>40</v>
      </c>
      <c r="K52" s="23" t="s">
        <v>64</v>
      </c>
      <c r="L52" s="23" t="s">
        <v>64</v>
      </c>
      <c r="M52" s="23" t="s">
        <v>64</v>
      </c>
      <c r="N52" s="23" t="s">
        <v>64</v>
      </c>
      <c r="R52" s="68" t="s">
        <v>95</v>
      </c>
      <c r="S52" s="73">
        <f t="shared" si="34"/>
        <v>-31000</v>
      </c>
      <c r="T52" s="73">
        <f t="shared" si="34"/>
        <v>30000</v>
      </c>
      <c r="U52" s="73">
        <f t="shared" si="34"/>
        <v>1000</v>
      </c>
      <c r="V52" s="73"/>
      <c r="AE52" s="170" t="s">
        <v>10</v>
      </c>
      <c r="AF52" s="41" t="s">
        <v>147</v>
      </c>
      <c r="AG52" s="171">
        <v>0</v>
      </c>
      <c r="AH52" s="42"/>
      <c r="AI52" s="42"/>
      <c r="AJ52" s="42"/>
    </row>
    <row r="53" spans="1:36" x14ac:dyDescent="0.25">
      <c r="A53" s="83"/>
      <c r="B53" s="196" t="s">
        <v>23</v>
      </c>
      <c r="C53" s="194" t="s">
        <v>45</v>
      </c>
      <c r="D53" s="194"/>
      <c r="E53" s="180"/>
      <c r="F53" s="92"/>
      <c r="H53" s="23" t="s">
        <v>25</v>
      </c>
      <c r="I53" s="24" t="s">
        <v>79</v>
      </c>
      <c r="J53" s="23" t="s">
        <v>26</v>
      </c>
      <c r="K53" s="25">
        <v>4000</v>
      </c>
      <c r="L53" s="23" t="s">
        <v>64</v>
      </c>
      <c r="M53" s="23" t="s">
        <v>64</v>
      </c>
      <c r="N53" s="25">
        <v>4000</v>
      </c>
      <c r="R53" s="32" t="s">
        <v>19</v>
      </c>
      <c r="S53" s="74">
        <f>S51+S52</f>
        <v>20000</v>
      </c>
      <c r="T53" s="74">
        <f>T51+T52</f>
        <v>30000</v>
      </c>
      <c r="U53" s="74">
        <f t="shared" ref="U53" si="35">U51+U52</f>
        <v>1000</v>
      </c>
      <c r="V53" s="27">
        <f>+SUM(S53:U53)</f>
        <v>51000</v>
      </c>
      <c r="AE53" s="169" t="s">
        <v>33</v>
      </c>
      <c r="AF53" s="23" t="s">
        <v>148</v>
      </c>
      <c r="AG53" s="140">
        <f>AG46*AG32</f>
        <v>90</v>
      </c>
      <c r="AH53" s="39"/>
      <c r="AI53" s="39"/>
      <c r="AJ53" s="39"/>
    </row>
    <row r="54" spans="1:36" x14ac:dyDescent="0.25">
      <c r="A54" s="83"/>
      <c r="B54" s="196"/>
      <c r="C54" s="194"/>
      <c r="D54" s="194"/>
      <c r="E54" s="180"/>
      <c r="F54" s="92"/>
      <c r="H54" s="197" t="s">
        <v>27</v>
      </c>
      <c r="I54" s="197">
        <v>43</v>
      </c>
      <c r="J54" s="32" t="s">
        <v>28</v>
      </c>
      <c r="K54" s="33">
        <v>700</v>
      </c>
      <c r="L54" s="33" t="s">
        <v>64</v>
      </c>
      <c r="M54" s="33" t="s">
        <v>64</v>
      </c>
      <c r="N54" s="33">
        <v>700</v>
      </c>
      <c r="R54" s="68" t="s">
        <v>47</v>
      </c>
      <c r="S54" s="70">
        <f>+S49*S53/S50</f>
        <v>666.66666666666663</v>
      </c>
      <c r="T54" s="70">
        <f t="shared" ref="T54:U54" si="36">+T49*T53/T50</f>
        <v>750</v>
      </c>
      <c r="U54" s="70">
        <f t="shared" si="36"/>
        <v>50</v>
      </c>
      <c r="V54" s="70">
        <f>+SUM(S54:U54)</f>
        <v>1466.6666666666665</v>
      </c>
      <c r="AE54" s="169" t="s">
        <v>33</v>
      </c>
      <c r="AF54" s="23" t="s">
        <v>149</v>
      </c>
      <c r="AG54" s="141">
        <f>AG45*-AG33</f>
        <v>2350</v>
      </c>
      <c r="AH54" s="39"/>
      <c r="AI54" s="39"/>
      <c r="AJ54" s="39"/>
    </row>
    <row r="55" spans="1:36" x14ac:dyDescent="0.25">
      <c r="A55" s="83"/>
      <c r="B55" s="196"/>
      <c r="C55" s="194"/>
      <c r="D55" s="194"/>
      <c r="E55" s="180"/>
      <c r="F55" s="92"/>
      <c r="H55" s="55" t="s">
        <v>80</v>
      </c>
      <c r="I55" s="55"/>
      <c r="J55" s="55" t="s">
        <v>35</v>
      </c>
      <c r="K55" s="55">
        <v>20700</v>
      </c>
      <c r="L55" s="56">
        <v>30000</v>
      </c>
      <c r="M55" s="55">
        <v>1000</v>
      </c>
      <c r="N55" s="56">
        <v>51700</v>
      </c>
      <c r="AE55" s="169" t="s">
        <v>33</v>
      </c>
      <c r="AF55" s="23" t="s">
        <v>150</v>
      </c>
      <c r="AG55" s="141">
        <f>AK35</f>
        <v>1566.6666666666665</v>
      </c>
      <c r="AH55" s="139">
        <f>-AH35</f>
        <v>-766.66666666666663</v>
      </c>
      <c r="AI55" s="139">
        <f>-AI35</f>
        <v>-750</v>
      </c>
      <c r="AJ55" s="139">
        <f>-AJ35</f>
        <v>-50</v>
      </c>
    </row>
    <row r="56" spans="1:36" x14ac:dyDescent="0.25">
      <c r="A56" s="83"/>
      <c r="B56" s="83"/>
      <c r="C56" s="83"/>
      <c r="D56" s="83"/>
      <c r="E56" s="83"/>
      <c r="F56" s="83"/>
      <c r="H56"/>
      <c r="I56" s="24">
        <v>23</v>
      </c>
      <c r="J56" s="23" t="s">
        <v>44</v>
      </c>
      <c r="K56" s="23" t="s">
        <v>64</v>
      </c>
      <c r="L56" s="23" t="s">
        <v>64</v>
      </c>
      <c r="M56" s="23" t="s">
        <v>64</v>
      </c>
      <c r="N56"/>
      <c r="AE56" s="169" t="s">
        <v>70</v>
      </c>
      <c r="AF56" s="23" t="s">
        <v>151</v>
      </c>
      <c r="AG56" s="141">
        <f>AG34*AG45</f>
        <v>2500</v>
      </c>
      <c r="AH56" s="39">
        <f>AH31*AG45</f>
        <v>200</v>
      </c>
      <c r="AI56" s="39"/>
      <c r="AJ56" s="39"/>
    </row>
    <row r="57" spans="1:36" x14ac:dyDescent="0.25">
      <c r="A57" s="92" t="s">
        <v>21</v>
      </c>
      <c r="B57" s="83"/>
      <c r="C57" s="83"/>
      <c r="D57" s="83"/>
      <c r="E57" s="83"/>
      <c r="F57" s="83"/>
      <c r="H57"/>
      <c r="I57" s="39" t="s">
        <v>31</v>
      </c>
      <c r="J57" s="23" t="s">
        <v>32</v>
      </c>
      <c r="K57" s="23">
        <v>-750</v>
      </c>
      <c r="L57" s="23" t="s">
        <v>64</v>
      </c>
      <c r="M57" s="23" t="s">
        <v>64</v>
      </c>
      <c r="N57" s="23">
        <v>-750</v>
      </c>
      <c r="AE57" s="169" t="s">
        <v>70</v>
      </c>
      <c r="AF57" s="23" t="s">
        <v>152</v>
      </c>
      <c r="AG57" s="140" t="s">
        <v>70</v>
      </c>
      <c r="AH57" s="39">
        <f>AH33*$AG$45</f>
        <v>800</v>
      </c>
      <c r="AI57" s="39">
        <f>AI33*$AG$45</f>
        <v>1500</v>
      </c>
      <c r="AJ57" s="39">
        <f>AJ33*$AG$45</f>
        <v>50</v>
      </c>
    </row>
    <row r="58" spans="1:36" x14ac:dyDescent="0.25">
      <c r="A58" s="83" t="s">
        <v>22</v>
      </c>
      <c r="B58" s="83">
        <v>707</v>
      </c>
      <c r="C58" s="83">
        <v>710</v>
      </c>
      <c r="D58" s="83">
        <v>50</v>
      </c>
      <c r="E58" s="83"/>
      <c r="F58" s="91">
        <f>+B58+C58+D58</f>
        <v>1467</v>
      </c>
      <c r="H58" s="9"/>
      <c r="I58" s="60" t="s">
        <v>33</v>
      </c>
      <c r="J58" s="32" t="s">
        <v>81</v>
      </c>
      <c r="K58" s="32">
        <v>50</v>
      </c>
      <c r="L58" s="32" t="s">
        <v>64</v>
      </c>
      <c r="M58" s="32" t="s">
        <v>64</v>
      </c>
      <c r="N58" s="32">
        <v>50</v>
      </c>
      <c r="AE58" s="169" t="s">
        <v>70</v>
      </c>
      <c r="AF58" s="23" t="s">
        <v>153</v>
      </c>
      <c r="AG58" s="141">
        <f>AG38</f>
        <v>1566.6666666666665</v>
      </c>
      <c r="AH58" s="39"/>
      <c r="AI58" s="39"/>
      <c r="AJ58" s="39"/>
    </row>
    <row r="59" spans="1:36" x14ac:dyDescent="0.25">
      <c r="A59" s="83" t="s">
        <v>58</v>
      </c>
      <c r="B59" s="83">
        <v>707</v>
      </c>
      <c r="C59" s="83">
        <v>750</v>
      </c>
      <c r="D59" s="83">
        <v>10</v>
      </c>
      <c r="E59" s="83"/>
      <c r="F59" s="91">
        <f t="shared" ref="F59:F63" si="37">+B59+C59+D59</f>
        <v>1467</v>
      </c>
      <c r="H59" s="58"/>
      <c r="I59" s="58"/>
      <c r="J59" s="58" t="s">
        <v>30</v>
      </c>
      <c r="K59" s="59">
        <v>20000</v>
      </c>
      <c r="L59" s="59">
        <v>30000</v>
      </c>
      <c r="M59" s="59">
        <v>1000</v>
      </c>
      <c r="N59" s="59">
        <v>51000</v>
      </c>
      <c r="AE59" s="175" t="s">
        <v>10</v>
      </c>
      <c r="AF59" s="44" t="s">
        <v>154</v>
      </c>
      <c r="AG59" s="177">
        <f>AG53+AG54+AG55-AG56-AG58</f>
        <v>-60</v>
      </c>
      <c r="AH59" s="45"/>
      <c r="AI59" s="45"/>
      <c r="AJ59" s="45"/>
    </row>
    <row r="60" spans="1:36" x14ac:dyDescent="0.25">
      <c r="A60" s="83" t="s">
        <v>59</v>
      </c>
      <c r="B60" s="83">
        <v>707</v>
      </c>
      <c r="C60" s="83">
        <v>730</v>
      </c>
      <c r="D60" s="83">
        <v>30</v>
      </c>
      <c r="E60" s="83"/>
      <c r="F60" s="91">
        <f t="shared" si="37"/>
        <v>1467</v>
      </c>
      <c r="AE60" s="175" t="s">
        <v>10</v>
      </c>
      <c r="AF60" s="44" t="s">
        <v>155</v>
      </c>
      <c r="AG60" s="177">
        <f>AG52+AG59</f>
        <v>-60</v>
      </c>
      <c r="AH60" s="45"/>
      <c r="AI60" s="45"/>
      <c r="AJ60" s="45"/>
    </row>
    <row r="61" spans="1:36" x14ac:dyDescent="0.25">
      <c r="A61" s="83" t="s">
        <v>60</v>
      </c>
      <c r="B61" s="83">
        <v>667</v>
      </c>
      <c r="C61" s="83">
        <v>760</v>
      </c>
      <c r="D61" s="83">
        <v>40</v>
      </c>
      <c r="E61" s="83"/>
      <c r="F61" s="91">
        <f t="shared" si="37"/>
        <v>1467</v>
      </c>
      <c r="AE61" s="175" t="s">
        <v>33</v>
      </c>
      <c r="AF61" s="44" t="s">
        <v>156</v>
      </c>
      <c r="AG61" s="176">
        <v>0</v>
      </c>
      <c r="AH61" s="45"/>
      <c r="AI61" s="45"/>
      <c r="AJ61" s="45"/>
    </row>
    <row r="62" spans="1:36" x14ac:dyDescent="0.25">
      <c r="A62" s="83" t="s">
        <v>61</v>
      </c>
      <c r="B62" s="83">
        <v>667</v>
      </c>
      <c r="C62" s="83">
        <v>740</v>
      </c>
      <c r="D62" s="83">
        <v>60</v>
      </c>
      <c r="E62" s="83"/>
      <c r="F62" s="91">
        <f t="shared" si="37"/>
        <v>1467</v>
      </c>
      <c r="AE62" s="175" t="s">
        <v>10</v>
      </c>
      <c r="AF62" s="44" t="s">
        <v>157</v>
      </c>
      <c r="AG62" s="177">
        <f>AG60+AG61</f>
        <v>-60</v>
      </c>
      <c r="AH62" s="45"/>
      <c r="AI62" s="45"/>
      <c r="AJ62" s="45"/>
    </row>
    <row r="63" spans="1:36" x14ac:dyDescent="0.25">
      <c r="A63" s="78" t="s">
        <v>62</v>
      </c>
      <c r="B63" s="78">
        <v>667</v>
      </c>
      <c r="C63" s="78">
        <v>760</v>
      </c>
      <c r="D63" s="78">
        <v>60</v>
      </c>
      <c r="E63" s="78"/>
      <c r="F63" s="179">
        <f t="shared" si="37"/>
        <v>1487</v>
      </c>
    </row>
    <row r="65" spans="1:37" ht="23.25" x14ac:dyDescent="0.35">
      <c r="A65" s="20"/>
      <c r="B65" s="21"/>
      <c r="C65" s="21"/>
      <c r="D65" s="21"/>
      <c r="E65" s="21"/>
      <c r="F65" s="21"/>
      <c r="H65" s="20" t="s">
        <v>93</v>
      </c>
      <c r="I65" s="21"/>
      <c r="J65" s="21"/>
      <c r="K65" s="21"/>
      <c r="L65" s="21"/>
      <c r="M65" s="21"/>
      <c r="N65" s="20"/>
      <c r="P65" s="20" t="s">
        <v>99</v>
      </c>
      <c r="Q65" s="21"/>
      <c r="R65" s="21"/>
      <c r="S65" s="21"/>
      <c r="T65" s="21"/>
      <c r="U65" s="21"/>
      <c r="V65" s="20"/>
      <c r="X65" s="20" t="s">
        <v>111</v>
      </c>
      <c r="Y65" s="20"/>
      <c r="Z65" s="20"/>
      <c r="AA65" s="20"/>
      <c r="AB65" s="20"/>
      <c r="AC65" s="20"/>
      <c r="AE65" s="20"/>
      <c r="AF65" s="20"/>
      <c r="AG65" s="20"/>
      <c r="AH65" s="20"/>
      <c r="AI65" s="20"/>
      <c r="AJ65" s="20"/>
      <c r="AK65" s="20"/>
    </row>
    <row r="67" spans="1:37" ht="23.25" customHeight="1" x14ac:dyDescent="0.25">
      <c r="P67" s="72"/>
      <c r="Q67" s="30"/>
      <c r="R67" s="30"/>
      <c r="S67" s="30" t="s">
        <v>11</v>
      </c>
      <c r="T67" s="29" t="s">
        <v>12</v>
      </c>
      <c r="U67" s="72" t="s">
        <v>13</v>
      </c>
      <c r="V67" s="30" t="s">
        <v>0</v>
      </c>
      <c r="X67" s="72"/>
      <c r="Y67" s="30" t="s">
        <v>11</v>
      </c>
      <c r="Z67" s="30" t="s">
        <v>12</v>
      </c>
      <c r="AA67" s="30" t="s">
        <v>13</v>
      </c>
      <c r="AB67" s="29" t="s">
        <v>0</v>
      </c>
    </row>
    <row r="68" spans="1:37" x14ac:dyDescent="0.25">
      <c r="J68" s="9"/>
      <c r="K68" s="9"/>
      <c r="P68" s="10"/>
      <c r="Q68" s="10"/>
      <c r="R68" s="10"/>
      <c r="S68" s="10"/>
      <c r="T68" s="10"/>
      <c r="U68" s="10"/>
      <c r="V68" s="10"/>
      <c r="X68" s="26" t="s">
        <v>112</v>
      </c>
      <c r="Y68" s="137">
        <f>S54</f>
        <v>666.66666666666663</v>
      </c>
      <c r="Z68" s="137">
        <f>T54</f>
        <v>750</v>
      </c>
      <c r="AA68" s="137">
        <f>U54</f>
        <v>50</v>
      </c>
      <c r="AB68" s="137">
        <f>SUM(Y68:AA68)</f>
        <v>1466.6666666666665</v>
      </c>
    </row>
    <row r="69" spans="1:37" ht="29.25" customHeight="1" x14ac:dyDescent="0.25">
      <c r="J69" s="75" t="s">
        <v>88</v>
      </c>
      <c r="K69" s="67"/>
      <c r="P69" s="97" t="s">
        <v>63</v>
      </c>
      <c r="Q69" s="97" t="s">
        <v>29</v>
      </c>
      <c r="R69" s="31"/>
      <c r="S69" s="9"/>
      <c r="T69" s="9"/>
      <c r="U69" s="9"/>
      <c r="V69" s="9"/>
      <c r="X69" s="23" t="s">
        <v>113</v>
      </c>
      <c r="Y69" s="139">
        <f>Y71-Y68</f>
        <v>799.99999999999989</v>
      </c>
      <c r="Z69" s="39"/>
      <c r="AA69" s="39"/>
      <c r="AB69" s="137">
        <f t="shared" ref="AB69:AB70" si="38">SUM(Y69:AA69)</f>
        <v>799.99999999999989</v>
      </c>
    </row>
    <row r="70" spans="1:37" x14ac:dyDescent="0.25">
      <c r="J70" s="61" t="s">
        <v>89</v>
      </c>
      <c r="K70" s="62">
        <v>100</v>
      </c>
      <c r="P70" s="23" t="s">
        <v>24</v>
      </c>
      <c r="Q70" s="24">
        <v>45</v>
      </c>
      <c r="R70" s="23" t="s">
        <v>7</v>
      </c>
      <c r="S70" s="40">
        <v>47000</v>
      </c>
      <c r="T70" s="39" t="s">
        <v>70</v>
      </c>
      <c r="U70" s="39" t="s">
        <v>70</v>
      </c>
      <c r="V70" s="40">
        <f>SUM(S70:U70)</f>
        <v>47000</v>
      </c>
      <c r="X70" s="23" t="s">
        <v>114</v>
      </c>
      <c r="Y70" s="139">
        <f>Y71-Y68</f>
        <v>799.99999999999989</v>
      </c>
      <c r="Z70" s="39"/>
      <c r="AA70" s="39"/>
      <c r="AB70" s="137">
        <f t="shared" si="38"/>
        <v>799.99999999999989</v>
      </c>
    </row>
    <row r="71" spans="1:37" x14ac:dyDescent="0.25">
      <c r="J71" s="61" t="s">
        <v>90</v>
      </c>
      <c r="K71" s="62">
        <v>600</v>
      </c>
      <c r="P71" s="23" t="s">
        <v>25</v>
      </c>
      <c r="Q71" s="24">
        <v>47</v>
      </c>
      <c r="R71" s="23" t="s">
        <v>40</v>
      </c>
      <c r="S71" s="39" t="s">
        <v>70</v>
      </c>
      <c r="T71" s="40">
        <f>T32</f>
        <v>30000</v>
      </c>
      <c r="U71" s="40">
        <f>U32</f>
        <v>1000</v>
      </c>
      <c r="V71" s="40">
        <f t="shared" ref="V71:V77" si="39">SUM(S71:U71)</f>
        <v>31000</v>
      </c>
      <c r="X71" s="32" t="s">
        <v>110</v>
      </c>
      <c r="Y71" s="138">
        <f>V54</f>
        <v>1466.6666666666665</v>
      </c>
      <c r="Z71" s="60">
        <v>0</v>
      </c>
      <c r="AA71" s="60">
        <v>0</v>
      </c>
      <c r="AB71" s="138">
        <f>SUM(Y71:AA71)</f>
        <v>1466.6666666666665</v>
      </c>
    </row>
    <row r="72" spans="1:37" x14ac:dyDescent="0.25">
      <c r="J72" s="63" t="s">
        <v>91</v>
      </c>
      <c r="K72" s="64">
        <v>50</v>
      </c>
      <c r="P72" s="23" t="s">
        <v>25</v>
      </c>
      <c r="Q72" s="24" t="s">
        <v>79</v>
      </c>
      <c r="R72" s="23" t="s">
        <v>26</v>
      </c>
      <c r="S72" s="40">
        <f>K53</f>
        <v>4000</v>
      </c>
      <c r="T72" s="39" t="s">
        <v>70</v>
      </c>
      <c r="U72" s="39" t="s">
        <v>70</v>
      </c>
      <c r="V72" s="40">
        <f t="shared" si="39"/>
        <v>4000</v>
      </c>
    </row>
    <row r="73" spans="1:37" ht="30" customHeight="1" x14ac:dyDescent="0.25">
      <c r="J73" s="65" t="s">
        <v>92</v>
      </c>
      <c r="K73" s="66">
        <v>750</v>
      </c>
      <c r="P73" s="32" t="s">
        <v>27</v>
      </c>
      <c r="Q73" s="38">
        <v>43</v>
      </c>
      <c r="R73" s="32" t="s">
        <v>28</v>
      </c>
      <c r="S73" s="98">
        <f>K54</f>
        <v>700</v>
      </c>
      <c r="T73" s="60" t="s">
        <v>70</v>
      </c>
      <c r="U73" s="60" t="s">
        <v>70</v>
      </c>
      <c r="V73" s="60">
        <f t="shared" si="39"/>
        <v>700</v>
      </c>
    </row>
    <row r="74" spans="1:37" x14ac:dyDescent="0.25">
      <c r="P74" s="34" t="s">
        <v>80</v>
      </c>
      <c r="Q74" s="94"/>
      <c r="R74" s="34" t="s">
        <v>35</v>
      </c>
      <c r="S74" s="95">
        <f>SUM(S70:S73)</f>
        <v>51700</v>
      </c>
      <c r="T74" s="95">
        <f t="shared" ref="T74:U74" si="40">SUM(T70:T73)</f>
        <v>30000</v>
      </c>
      <c r="U74" s="95">
        <f t="shared" si="40"/>
        <v>1000</v>
      </c>
      <c r="V74" s="95">
        <f t="shared" si="39"/>
        <v>82700</v>
      </c>
    </row>
    <row r="75" spans="1:37" x14ac:dyDescent="0.25">
      <c r="Q75" s="24">
        <v>23</v>
      </c>
      <c r="R75" s="23" t="s">
        <v>44</v>
      </c>
      <c r="S75" s="40">
        <f>S32</f>
        <v>-31000</v>
      </c>
      <c r="T75" s="39" t="s">
        <v>70</v>
      </c>
      <c r="U75" s="39" t="s">
        <v>70</v>
      </c>
      <c r="V75" s="40">
        <f t="shared" si="39"/>
        <v>-31000</v>
      </c>
    </row>
    <row r="76" spans="1:37" x14ac:dyDescent="0.25">
      <c r="Q76" s="39" t="s">
        <v>31</v>
      </c>
      <c r="R76" s="23" t="s">
        <v>32</v>
      </c>
      <c r="S76" s="39">
        <f>K57</f>
        <v>-750</v>
      </c>
      <c r="T76" s="39" t="s">
        <v>70</v>
      </c>
      <c r="U76" s="39" t="s">
        <v>70</v>
      </c>
      <c r="V76" s="40">
        <f t="shared" si="39"/>
        <v>-750</v>
      </c>
    </row>
    <row r="77" spans="1:37" x14ac:dyDescent="0.25">
      <c r="P77" s="9"/>
      <c r="Q77" s="60" t="s">
        <v>33</v>
      </c>
      <c r="R77" s="32" t="s">
        <v>34</v>
      </c>
      <c r="S77" s="60">
        <f>K58</f>
        <v>50</v>
      </c>
      <c r="T77" s="60" t="s">
        <v>70</v>
      </c>
      <c r="U77" s="60" t="s">
        <v>70</v>
      </c>
      <c r="V77" s="60">
        <f t="shared" si="39"/>
        <v>50</v>
      </c>
    </row>
    <row r="78" spans="1:37" x14ac:dyDescent="0.25">
      <c r="P78" s="36"/>
      <c r="Q78" s="36"/>
      <c r="R78" s="36" t="s">
        <v>30</v>
      </c>
      <c r="S78" s="96">
        <f>SUM(S74:S77)</f>
        <v>20000</v>
      </c>
      <c r="T78" s="96">
        <f>SUM(T74:T77)</f>
        <v>30000</v>
      </c>
      <c r="U78" s="96">
        <f>SUM(U74:U77)</f>
        <v>1000</v>
      </c>
      <c r="V78" s="96">
        <f>SUM(S78:U78)</f>
        <v>51000</v>
      </c>
    </row>
  </sheetData>
  <mergeCells count="7">
    <mergeCell ref="AG15:AG17"/>
    <mergeCell ref="AH15:AJ17"/>
    <mergeCell ref="C53:D55"/>
    <mergeCell ref="AA27:AC27"/>
    <mergeCell ref="B53:B55"/>
    <mergeCell ref="H49:I49"/>
    <mergeCell ref="H54:I54"/>
  </mergeCells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C 3 g r V w v 3 B u u l A A A A 9 w A A A B I A H A B D b 2 5 m a W c v U G F j a 2 F n Z S 5 4 b W w g o h g A K K A U A A A A A A A A A A A A A A A A A A A A A A A A A A A A h Y + x D o I w G I R f h X S n L c X B k J 8 y u I q a m B j X W i o 0 Q j G 0 W N 7 N w U f y F c Q o 6 u Z 4 d 9 8 l d / f r D b K h q Y O L 6 q x u T Y o i T F G g j G w L b c o U 9 e 4 Y z l H G Y S P k S Z Q q G G F j k 8 H q F F X O n R N C v P f Y x 7 j t S s I o j c g + X 2 5 l p R o R a m O d M F K h T 6 v 4 3 0 I c d q 8 x n O E o m m H G W I w p k M m F X J s v w c b B z / T H h E V f u 7 5 T 3 B z C 1 R r I J I G 8 T / A H U E s D B B Q A A g A I A A t 4 K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L e C t X K I p H u A 4 A A A A R A A A A E w A c A E Z v c m 1 1 b G F z L 1 N l Y 3 R p b 2 4 x L m 0 g o h g A K K A U A A A A A A A A A A A A A A A A A A A A A A A A A A A A K 0 5 N L s n M z 1 M I h t C G 1 g B Q S w E C L Q A U A A I A C A A L e C t X C / c G 6 6 U A A A D 3 A A A A E g A A A A A A A A A A A A A A A A A A A A A A Q 2 9 u Z m l n L 1 B h Y 2 t h Z 2 U u e G 1 s U E s B A i 0 A F A A C A A g A C 3 g r V w / K 6 a u k A A A A 6 Q A A A B M A A A A A A A A A A A A A A A A A 8 Q A A A F t D b 2 5 0 Z W 5 0 X 1 R 5 c G V z X S 5 4 b W x Q S w E C L Q A U A A I A C A A L e C t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U E 2 G 7 O A R t U O 0 A H T x 0 e k d F w A A A A A C A A A A A A A D Z g A A w A A A A B A A A A B b o n B 1 Q n m X Z S H U j N v r d m F b A A A A A A S A A A C g A A A A E A A A A P P M 1 z C t p L r a d O s K 2 s q a i m Z Q A A A A O I i m E q Q L 3 u 7 E H M w 6 g z i n z b + s B t 2 8 2 S t Y d r v A Q F h 8 a D l 4 M a 4 x g D X P x H K 4 Z O W i t Y L j 0 I / s 2 9 n y T b Z F r 7 b t Y X c i G W C k h V 9 F v K Z 8 O F C U C w O 9 n F M U A A A A Q i 1 R C U V i s t k S X q n l p V 1 2 R b p L b 6 4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C1B27F07ED111E5A8370800200C9A660101007C3931658AE17E4096EE4C42EA2BBCCA" ma:contentTypeVersion="31" ma:contentTypeDescription="Opprett et nytt dokument." ma:contentTypeScope="" ma:versionID="3a84470a05651e6bdbe01910dad170e7">
  <xsd:schema xmlns:xsd="http://www.w3.org/2001/XMLSchema" xmlns:xs="http://www.w3.org/2001/XMLSchema" xmlns:p="http://schemas.microsoft.com/office/2006/metadata/properties" xmlns:ns1="http://schemas.microsoft.com/sharepoint/v3" xmlns:ns2="8ec6489f-e512-4bdf-b776-806b59cd014f" xmlns:ns3="793ad56b-b905-482f-99c7-e0ad214f35d2" xmlns:ns4="39920f53-6211-4383-9fd6-28063d0782c2" xmlns:ns5="http://schemas.microsoft.com/sharepoint/v4" targetNamespace="http://schemas.microsoft.com/office/2006/metadata/properties" ma:root="true" ma:fieldsID="0331e78f1ce32080410c3c5019db7dbc" ns1:_="" ns2:_="" ns3:_="" ns4:_="" ns5:_="">
    <xsd:import namespace="http://schemas.microsoft.com/sharepoint/v3"/>
    <xsd:import namespace="8ec6489f-e512-4bdf-b776-806b59cd014f"/>
    <xsd:import namespace="793ad56b-b905-482f-99c7-e0ad214f35d2"/>
    <xsd:import namespace="39920f53-6211-4383-9fd6-28063d0782c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3:DssArchivable" minOccurs="0"/>
                <xsd:element ref="ns3:DssWebsakRef" minOccurs="0"/>
                <xsd:element ref="ns2:DssFremhevet" minOccurs="0"/>
                <xsd:element ref="ns2:DssRelaterteOppgaver" minOccurs="0"/>
                <xsd:element ref="ns4:Mikro_x0020__x002d__x0020_Oppgaver" minOccurs="0"/>
                <xsd:element ref="ns4:Mikro_x0020__x002d__x0020_Beskrivelse" minOccurs="0"/>
                <xsd:element ref="ns4:_x00c5_r" minOccurs="0"/>
                <xsd:element ref="ns2:ec4548291c174201804f8d6e346b5e78" minOccurs="0"/>
                <xsd:element ref="ns2:ja062c7924ed4f31b584a4220ff29390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1:AssignedTo" minOccurs="0"/>
                <xsd:element ref="ns2:DssNotater" minOccurs="0"/>
                <xsd:element ref="ns2:ofdc76af098e4c7f98490d5710fce5b2" minOccurs="0"/>
                <xsd:element ref="ns2:SharedWithUsers" minOccurs="0"/>
                <xsd:element ref="ns4:Kun_x0020_for_x0020_mikrom_x00f8_ter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27" nillable="true" ma:displayName="Tilordnet til" ma:hidden="true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6489f-e512-4bdf-b776-806b59cd014f" elementFormDefault="qualified">
    <xsd:import namespace="http://schemas.microsoft.com/office/2006/documentManagement/types"/>
    <xsd:import namespace="http://schemas.microsoft.com/office/infopath/2007/PartnerControls"/>
    <xsd:element name="DssFremhevet" ma:index="8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9" nillable="true" ma:displayName="Relaterte oppgaver" ma:list="{dc4e967c-68f4-46c9-b400-0e4ae56ae1d1}" ma:internalName="DssRelaterteOppgaver" ma:showField="Title" ma:web="8ec6489f-e512-4bdf-b776-806b59cd01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c4548291c174201804f8d6e346b5e78" ma:index="15" nillable="true" ma:taxonomy="true" ma:internalName="ec4548291c174201804f8d6e346b5e78" ma:taxonomyFieldName="DssFunksjon" ma:displayName="Funksjon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7" nillable="true" ma:taxonomy="true" ma:internalName="ja062c7924ed4f31b584a4220ff29390" ma:taxonomyFieldName="DssEmneord" ma:displayName="Emneord" ma:fieldId="{3a062c79-24ed-4f31-b584-a4220ff29390}" ma:taxonomyMulti="true" ma:sspId="dd1c9695-082f-4d62-9abb-ef5a22d84609" ma:termSetId="76727dcf-a431-492e-96ad-c8e0e60c175f" ma:anchorId="bd60c4b0-bb2c-4c99-acd3-a9c965622bd9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20" nillable="true" ma:taxonomy="true" ma:internalName="a20ae09631c242aba34ef34320889782" ma:taxonomyFieldName="DssDokumenttype" ma:displayName="Dokumenttype" ma:fieldId="{a20ae096-31c2-42ab-a34e-f34320889782}" ma:sspId="dd1c9695-082f-4d62-9abb-ef5a22d84609" ma:termSetId="cd5b78b7-dd9b-4155-92db-a439535e339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1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Global taksonomikolonne" ma:hidden="true" ma:list="{e07148de-a3f1-4391-8941-cf7974b1e0cd}" ma:internalName="TaxCatchAll" ma:showField="CatchAllData" ma:web="8ec6489f-e512-4bdf-b776-806b59cd01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Global taksonomikolonne1" ma:hidden="true" ma:list="{e07148de-a3f1-4391-8941-cf7974b1e0cd}" ma:internalName="TaxCatchAllLabel" ma:readOnly="true" ma:showField="CatchAllDataLabel" ma:web="8ec6489f-e512-4bdf-b776-806b59cd01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5" nillable="true" ma:taxonomy="true" ma:internalName="f2f49eccf7d24422907cdfb28d82571e" ma:taxonomyFieldName="DssDepartement" ma:displayName="Departement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ssNotater" ma:index="28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30" nillable="true" ma:taxonomy="true" ma:internalName="ofdc76af098e4c7f98490d5710fce5b2" ma:taxonomyFieldName="DssAvdeling" ma:displayName="Avdeling" ma:fieldId="{8fdc76af-098e-4c7f-9849-0d5710fce5b2}" ma:sspId="dd1c9695-082f-4d62-9abb-ef5a22d84609" ma:termSetId="13c90cc6-0f43-4adb-b19c-c400e157a76b" ma:anchorId="d404cf37-cc80-45de-b68c-64051e53934e" ma:open="false" ma:isKeyword="false">
      <xsd:complexType>
        <xsd:sequence>
          <xsd:element ref="pc:Terms" minOccurs="0" maxOccurs="1"/>
        </xsd:sequence>
      </xsd:complexType>
    </xsd:element>
    <xsd:element name="SharedWithUsers" ma:index="31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6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7" nillable="true" ma:displayName="Arkivreferanse" ma:description="Referanse i arkivsystem" ma:internalName="DssWebsakRef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20f53-6211-4383-9fd6-28063d0782c2" elementFormDefault="qualified">
    <xsd:import namespace="http://schemas.microsoft.com/office/2006/documentManagement/types"/>
    <xsd:import namespace="http://schemas.microsoft.com/office/infopath/2007/PartnerControls"/>
    <xsd:element name="Mikro_x0020__x002d__x0020_Oppgaver" ma:index="10" nillable="true" ma:displayName="Tematikk" ma:format="RadioButtons" ma:internalName="Mikro_x0020__x002d__x0020_Oppgaver">
      <xsd:simpleType>
        <xsd:restriction base="dms:Choice">
          <xsd:enumeration value="Annet"/>
          <xsd:enumeration value="Fylkesmannsarbeid"/>
          <xsd:enumeration value="GKRS"/>
          <xsd:enumeration value="Internasjonalt"/>
          <xsd:enumeration value="ISORD"/>
          <xsd:enumeration value="Kommunalbanken"/>
          <xsd:enumeration value="KOSTRA"/>
          <xsd:enumeration value="Mikromøter"/>
          <xsd:enumeration value="Pensjon"/>
          <xsd:enumeration value="Ressurskrevende tjenester"/>
          <xsd:enumeration value="ROBEK"/>
          <xsd:enumeration value="Økonomiregelverket – tolkningssaker"/>
          <xsd:enumeration value="Økonomiregelverket – lov- og forskriftsarbeid"/>
        </xsd:restriction>
      </xsd:simpleType>
    </xsd:element>
    <xsd:element name="Mikro_x0020__x002d__x0020_Beskrivelse" ma:index="11" nillable="true" ma:displayName="Mikro oppgaver" ma:format="RadioButtons" ma:internalName="Mikro_x0020__x002d__x0020_Beskrivelse">
      <xsd:simpleType>
        <xsd:restriction base="dms:Choice">
          <xsd:enumeration value="Pensjon - Beregningsforutsetninger og regnskapsføring"/>
          <xsd:enumeration value="Finans- og gjeldsforvaltning"/>
          <xsd:enumeration value="Garantier"/>
          <xsd:enumeration value="Garantier bompengeprosjekt"/>
          <xsd:enumeration value="GKRS møte 1"/>
          <xsd:enumeration value="GKRS møte 2"/>
          <xsd:enumeration value="GKRS møte 3"/>
          <xsd:enumeration value="GKRS møte 4"/>
          <xsd:enumeration value="GKRS møte 5"/>
          <xsd:enumeration value="GKRS møte 6"/>
          <xsd:enumeration value="GKRS møte 7"/>
          <xsd:enumeration value="GKRS møte 8"/>
          <xsd:enumeration value="GKRS møte 9"/>
          <xsd:enumeration value="Hovedveileder"/>
          <xsd:enumeration value="Kontoplanspørsmål"/>
          <xsd:enumeration value="Lån og avdrag"/>
          <xsd:enumeration value="Pensjon – arbeidsgruppe"/>
          <xsd:enumeration value="Regnskapsgruppa"/>
          <xsd:enumeration value="ROBEK"/>
          <xsd:enumeration value="ROBEK – forlenget inndekning"/>
          <xsd:enumeration value="ROBEK – historikk"/>
          <xsd:enumeration value="ROBEK – inn- og utmelding"/>
          <xsd:enumeration value="Selvkost"/>
          <xsd:enumeration value="Skille drift og investering"/>
          <xsd:enumeration value="Økonomiplan, årsbudsjett, årsregnskap og årsberetning"/>
          <xsd:enumeration value="Promotional bank"/>
          <xsd:enumeration value="Eierskapsmelding"/>
          <xsd:enumeration value="Annet"/>
        </xsd:restriction>
      </xsd:simpleType>
    </xsd:element>
    <xsd:element name="_x00c5_r" ma:index="13" nillable="true" ma:displayName="År" ma:format="RadioButtons" ma:internalName="_x00c5_r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Kun_x0020_for_x0020_mikrom_x00f8_ter" ma:index="32" nillable="true" ma:displayName="Mikromøter" ma:description="Kun for mikromøter" ma:format="Dropdown" ma:internalName="Kun_x0020_for_x0020_mikrom_x00f8_ter">
      <xsd:simpleType>
        <xsd:restriction base="dms:Choice">
          <xsd:enumeration value="1 - møter i januar"/>
          <xsd:enumeration value="2 - møter i februar"/>
          <xsd:enumeration value="3 - møter i mars"/>
          <xsd:enumeration value="4 - møter i april"/>
          <xsd:enumeration value="5 - møter i mai"/>
          <xsd:enumeration value="6 - møter i juni"/>
          <xsd:enumeration value="8 - møter i august"/>
          <xsd:enumeration value="9 - møter i september"/>
          <xsd:enumeration value="10 - møter i oktober"/>
          <xsd:enumeration value="11 - møter i november"/>
          <xsd:enumeration value="12 - møter i desemb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062c7924ed4f31b584a4220ff29390 xmlns="8ec6489f-e512-4bdf-b776-806b59cd014f">
      <Terms xmlns="http://schemas.microsoft.com/office/infopath/2007/PartnerControls"/>
    </ja062c7924ed4f31b584a4220ff29390>
    <Mikro_x0020__x002d__x0020_Oppgaver xmlns="39920f53-6211-4383-9fd6-28063d0782c2">Økonomiregelverket – lov- og forskriftsarbeid</Mikro_x0020__x002d__x0020_Oppgaver>
    <ofdc76af098e4c7f98490d5710fce5b2 xmlns="8ec6489f-e512-4bdf-b776-806b59cd014f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Kommunalavdelingen (KOMM)</TermName>
          <TermId xmlns="http://schemas.microsoft.com/office/infopath/2007/PartnerControls">02fccf34-b356-4110-9ba6-d78fb2992306</TermId>
        </TermInfo>
      </Terms>
    </ofdc76af098e4c7f98490d5710fce5b2>
    <Kun_x0020_for_x0020_mikrom_x00f8_ter xmlns="39920f53-6211-4383-9fd6-28063d0782c2" xsi:nil="true"/>
    <AssignedTo xmlns="http://schemas.microsoft.com/sharepoint/v3">
      <UserInfo>
        <DisplayName/>
        <AccountId xsi:nil="true"/>
        <AccountType/>
      </UserInfo>
    </AssignedTo>
    <IconOverlay xmlns="http://schemas.microsoft.com/sharepoint/v4" xsi:nil="true"/>
    <a20ae09631c242aba34ef34320889782 xmlns="8ec6489f-e512-4bdf-b776-806b59cd014f">
      <Terms xmlns="http://schemas.microsoft.com/office/infopath/2007/PartnerControls"/>
    </a20ae09631c242aba34ef34320889782>
    <DssNotater xmlns="8ec6489f-e512-4bdf-b776-806b59cd014f" xsi:nil="true"/>
    <DssArchivable xmlns="793ad56b-b905-482f-99c7-e0ad214f35d2">Ikke satt</DssArchivable>
    <DssRelaterteOppgaver xmlns="8ec6489f-e512-4bdf-b776-806b59cd014f"/>
    <DssWebsakRef xmlns="793ad56b-b905-482f-99c7-e0ad214f35d2" xsi:nil="true"/>
    <DssFremhevet xmlns="8ec6489f-e512-4bdf-b776-806b59cd014f">false</DssFremhevet>
    <l917ce326c5a48e1a29f6235eea1cd41 xmlns="8ec6489f-e512-4bdf-b776-806b59cd014f">
      <Terms xmlns="http://schemas.microsoft.com/office/infopath/2007/PartnerControls"/>
    </l917ce326c5a48e1a29f6235eea1cd41>
    <Mikro_x0020__x002d__x0020_Beskrivelse xmlns="39920f53-6211-4383-9fd6-28063d0782c2">Lån og avdrag</Mikro_x0020__x002d__x0020_Beskrivelse>
    <ec4548291c174201804f8d6e346b5e78 xmlns="8ec6489f-e512-4bdf-b776-806b59cd014f">
      <Terms xmlns="http://schemas.microsoft.com/office/infopath/2007/PartnerControls"/>
    </ec4548291c174201804f8d6e346b5e78>
    <f2f49eccf7d24422907cdfb28d82571e xmlns="8ec6489f-e512-4bdf-b776-806b59cd014f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Kommunal- og distriktsdepartementet</TermName>
          <TermId xmlns="http://schemas.microsoft.com/office/infopath/2007/PartnerControls">d404cf37-cc80-45de-b68c-64051e53934e</TermId>
        </TermInfo>
      </Terms>
    </f2f49eccf7d24422907cdfb28d82571e>
    <TaxCatchAll xmlns="8ec6489f-e512-4bdf-b776-806b59cd014f">
      <Value>2</Value>
      <Value>1</Value>
    </TaxCatchAll>
    <_x00c5_r xmlns="39920f53-6211-4383-9fd6-28063d0782c2">2023</_x00c5_r>
  </documentManagement>
</p:properties>
</file>

<file path=customXml/itemProps1.xml><?xml version="1.0" encoding="utf-8"?>
<ds:datastoreItem xmlns:ds="http://schemas.openxmlformats.org/officeDocument/2006/customXml" ds:itemID="{FB083FDA-B0B8-48CB-A671-AE861C4E04E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D99D7DE-35D2-4A5D-8412-3FB76FA4F4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ec6489f-e512-4bdf-b776-806b59cd014f"/>
    <ds:schemaRef ds:uri="793ad56b-b905-482f-99c7-e0ad214f35d2"/>
    <ds:schemaRef ds:uri="39920f53-6211-4383-9fd6-28063d0782c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29E007-630E-46CD-998F-39852D7D24F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751B34A-392B-4550-98B2-0D332A6D6FE9}">
  <ds:schemaRefs>
    <ds:schemaRef ds:uri="http://schemas.microsoft.com/office/infopath/2007/PartnerControls"/>
    <ds:schemaRef ds:uri="8ec6489f-e512-4bdf-b776-806b59cd014f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sharepoint/v3"/>
    <ds:schemaRef ds:uri="http://schemas.microsoft.com/sharepoint/v4"/>
    <ds:schemaRef ds:uri="http://purl.org/dc/elements/1.1/"/>
    <ds:schemaRef ds:uri="39920f53-6211-4383-9fd6-28063d0782c2"/>
    <ds:schemaRef ds:uri="793ad56b-b905-482f-99c7-e0ad214f35d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Tabeller i høringsnotatet</vt:lpstr>
      <vt:lpstr>'Tabeller i høringsnotatet'!_Hlk157094926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Bent Devik</dc:creator>
  <cp:lastModifiedBy>Vaboen Even</cp:lastModifiedBy>
  <dcterms:created xsi:type="dcterms:W3CDTF">2023-04-14T07:27:34Z</dcterms:created>
  <dcterms:modified xsi:type="dcterms:W3CDTF">2024-04-09T07:18:32Z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0x0101002C1B27F07ED111E5A8370800200C9A660101007C3931658AE17E4096EE4C42EA2BBCCA</vt:lpwstr>
  </property>
  <property fmtid="{D5CDD505-2E9C-101B-9397-08002B2CF9AE}" pid="3" name="DssEmneord">
    <vt:lpwstr/>
  </property>
  <property fmtid="{D5CDD505-2E9C-101B-9397-08002B2CF9AE}" pid="4" name="DssFunksjon">
    <vt:lpwstr/>
  </property>
  <property fmtid="{D5CDD505-2E9C-101B-9397-08002B2CF9AE}" pid="5" name="DssAvdeling">
    <vt:lpwstr>2;#Kommunalavdelingen (KOMM)|02fccf34-b356-4110-9ba6-d78fb2992306</vt:lpwstr>
  </property>
  <property fmtid="{D5CDD505-2E9C-101B-9397-08002B2CF9AE}" pid="6" name="DssDepartement">
    <vt:lpwstr>1;#Kommunal- og distriktsdepartementet|d404cf37-cc80-45de-b68c-64051e53934e</vt:lpwstr>
  </property>
  <property fmtid="{D5CDD505-2E9C-101B-9397-08002B2CF9AE}" pid="7" name="DssDokumenttype">
    <vt:lpwstr/>
  </property>
  <property fmtid="{D5CDD505-2E9C-101B-9397-08002B2CF9AE}" pid="8" name="DssRomtype">
    <vt:lpwstr/>
  </property>
  <property fmtid="{D5CDD505-2E9C-101B-9397-08002B2CF9AE}" pid="9" name="MSIP_Label_b7a0defb-d95a-4801-9cac-afdefc91cdbd_Enabled">
    <vt:lpwstr>true</vt:lpwstr>
  </property>
  <property fmtid="{D5CDD505-2E9C-101B-9397-08002B2CF9AE}" pid="10" name="MSIP_Label_b7a0defb-d95a-4801-9cac-afdefc91cdbd_SetDate">
    <vt:lpwstr>2024-01-30T09:56:37Z</vt:lpwstr>
  </property>
  <property fmtid="{D5CDD505-2E9C-101B-9397-08002B2CF9AE}" pid="11" name="MSIP_Label_b7a0defb-d95a-4801-9cac-afdefc91cdbd_Method">
    <vt:lpwstr>Standard</vt:lpwstr>
  </property>
  <property fmtid="{D5CDD505-2E9C-101B-9397-08002B2CF9AE}" pid="12" name="MSIP_Label_b7a0defb-d95a-4801-9cac-afdefc91cdbd_Name">
    <vt:lpwstr>Intern (KDD)</vt:lpwstr>
  </property>
  <property fmtid="{D5CDD505-2E9C-101B-9397-08002B2CF9AE}" pid="13" name="MSIP_Label_b7a0defb-d95a-4801-9cac-afdefc91cdbd_SiteId">
    <vt:lpwstr>f696e186-1c3b-44cd-bf76-5ace0e7007bd</vt:lpwstr>
  </property>
  <property fmtid="{D5CDD505-2E9C-101B-9397-08002B2CF9AE}" pid="14" name="MSIP_Label_b7a0defb-d95a-4801-9cac-afdefc91cdbd_ActionId">
    <vt:lpwstr>65d8d710-545d-40a0-84e4-fc1b9b0fd8a5</vt:lpwstr>
  </property>
  <property fmtid="{D5CDD505-2E9C-101B-9397-08002B2CF9AE}" pid="15" name="MSIP_Label_b7a0defb-d95a-4801-9cac-afdefc91cdbd_ContentBits">
    <vt:lpwstr>0</vt:lpwstr>
  </property>
</Properties>
</file>